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xdr="http://schemas.openxmlformats.org/drawingml/2006/spreadsheetDrawing"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8"/>
  <workbookPr showInkAnnotation="false" autoCompressPictures="false"/>
  <mc:AlternateContent xmlns:mc="http://schemas.openxmlformats.org/markup-compatibility/2006">
    <mc:Choice Requires="x15">
      <x15ac:absPath xmlns:x15ac="http://schemas.microsoft.com/office/spreadsheetml/2010/11/ac" url="https://eafit.sharepoint.com/sites/territorios/Projects/2025_Paper_Burundi/household_structure_burundi/out/"/>
    </mc:Choice>
  </mc:AlternateContent>
  <xr:revisionPtr revIDLastSave="69" documentId="10_ncr:8100000_{363314D1-E608-C64C-8EDC-987FBB8C59E7}" xr6:coauthVersionLast="47" xr6:coauthVersionMax="47" xr10:uidLastSave="{EFB115BA-9C85-4447-9422-05438AB738FE}"/>
  <bookViews>
    <workbookView xWindow="-38400" yWindow="1340" windowWidth="32320" windowHeight="17320" tabRatio="967" activeTab="1"/>
  </bookViews>
  <sheets>
    <sheet name="Table 1" sheetId="1" r:id="rId1"/>
    <sheet name="Table 2" sheetId="72" r:id="rId2"/>
    <sheet name="Table 3" sheetId="61" r:id="rId3"/>
    <sheet name="Table 4" sheetId="54" r:id="rId4"/>
    <sheet name="Table 5" sheetId="65" r:id="rId5"/>
    <sheet name="Table 6" sheetId="68" r:id="rId6"/>
    <sheet name="Table 7" sheetId="69" r:id="rId7"/>
    <sheet name="Table 8" sheetId="73" r:id="rId8"/>
    <sheet name="Table 9" sheetId="76" r:id="rId9"/>
    <sheet name="Table 10" sheetId="80" r:id="rId10"/>
    <sheet name="Table 11" sheetId="81" r:id="rId11"/>
  </sheets>
  <definedNames>
    <definedName name="_xlnm._FilterDatabase" localSheetId="10" hidden="true">'Table 11'!#REF!</definedName>
    <definedName name="_xlnm._FilterDatabase" localSheetId="3" hidden="true">'Table 4'!#REF!</definedName>
    <definedName name="_xlnm._FilterDatabase" localSheetId="5" hidden="true">'Table 6'!#REF!</definedName>
    <definedName name="_xlnm._FilterDatabase" localSheetId="8" hidden="true">'Table 9'!#REF!</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<sst xmlns="http://schemas.openxmlformats.org/spreadsheetml/2006/main" xmlns:r="http://schemas.openxmlformats.org/officeDocument/2006/relationships" xmlns:xdr="http://schemas.openxmlformats.org/drawingml/2006/spreadsheetDrawing" count="477" uniqueCount="103">
  <si>
    <t>Variable</t>
  </si>
  <si>
    <t>Obs</t>
  </si>
  <si>
    <t>Mean</t>
  </si>
  <si>
    <t>Std. Dev.</t>
  </si>
  <si>
    <t>Individual-year level</t>
  </si>
  <si>
    <t>Fraction of years when individual left the household</t>
  </si>
  <si>
    <t xml:space="preserve">Individual level </t>
  </si>
  <si>
    <t>Fraction of individuals that ever left the household</t>
  </si>
  <si>
    <t>Household-year level</t>
  </si>
  <si>
    <t>At least 1 person left the household in a given year (yes=1)</t>
  </si>
  <si>
    <t>Average number of people leaving the household in a given year</t>
  </si>
  <si>
    <t>Theft of money (yes=1) for a household in a given year</t>
  </si>
  <si>
    <t>Theft of crops (yes=1) for a household in a given year</t>
  </si>
  <si>
    <t>Theft or destruction of goods (yes=1) for a household in a given year</t>
  </si>
  <si>
    <t>Destruction of house (yes=1) for a household in a given year</t>
  </si>
  <si>
    <t>Loss of land (yes=1) for a household in a given year</t>
  </si>
  <si>
    <t xml:space="preserve">Household ever experienced theft of money </t>
  </si>
  <si>
    <t>Household ever experienced theft of crops</t>
  </si>
  <si>
    <t>Household ever experienced theft or destruction of good</t>
  </si>
  <si>
    <t>Household ever experienced destruction of house</t>
  </si>
  <si>
    <t>Household ever experienced loss of land</t>
  </si>
  <si>
    <t>Village-year level</t>
  </si>
  <si>
    <t>Fraction of years when village experienced violence</t>
  </si>
  <si>
    <t>Villages that experienced violence in at least 1 year during 1998-2007</t>
  </si>
  <si>
    <t>Year Fixed Effect</t>
  </si>
  <si>
    <t>Yes</t>
  </si>
  <si>
    <t>Individual Fixed Effect</t>
  </si>
  <si>
    <t>Observations</t>
  </si>
  <si>
    <t>(1)</t>
  </si>
  <si>
    <t>(2)</t>
  </si>
  <si>
    <t>(3)</t>
  </si>
  <si>
    <t>(4)</t>
  </si>
  <si>
    <t>(5)</t>
  </si>
  <si>
    <t>(6)</t>
  </si>
  <si>
    <t>(7)</t>
  </si>
  <si>
    <t>Adults (older than 18 years old)</t>
  </si>
  <si>
    <t>Poor Households (1998)</t>
  </si>
  <si>
    <t xml:space="preserve">Non-Poor Households (1998) </t>
  </si>
  <si>
    <t>Province time-trend</t>
  </si>
  <si>
    <t>(8)</t>
  </si>
  <si>
    <t>(9)</t>
  </si>
  <si>
    <t>Household level</t>
  </si>
  <si>
    <t>Village level</t>
  </si>
  <si>
    <t>Number of causalties in a given year</t>
  </si>
  <si>
    <t xml:space="preserve">Number of member of household that migrated outside household </t>
  </si>
  <si>
    <t>Fraction of villages that ever experienced violence at least one year during 1998-2007</t>
  </si>
  <si>
    <t>Dependent Variable: Migration outside household in a given year (yes=1)</t>
  </si>
  <si>
    <t>Only women</t>
  </si>
  <si>
    <t>Number of casualties in a given year</t>
  </si>
  <si>
    <t>Mean Dependent Variable</t>
  </si>
  <si>
    <t>Violence in a given year (yes=1)</t>
  </si>
  <si>
    <t>Children (younger than 18 years old)</t>
  </si>
  <si>
    <t>Conflict Exposure, Household level</t>
  </si>
  <si>
    <t>Conflict exposure, Village level</t>
  </si>
  <si>
    <t>Index of  Agricultural Related Losses (land and/or crops) - PCA</t>
  </si>
  <si>
    <t>Index of Asset Related Losses (money, goods and/or house) - PCA</t>
  </si>
  <si>
    <t>Index of  household Losss (all) - PCA</t>
  </si>
  <si>
    <r>
      <rPr>
        <b/>
        <sz val="10"/>
        <rFont val="Times New Roman"/>
        <family val="1"/>
      </rPr>
      <t>Notes -</t>
    </r>
    <r>
      <rPr>
        <sz val="10"/>
        <rFont val="Times New Roman"/>
        <family val="1"/>
      </rPr>
      <t xml:space="preserve"> * p&lt;0.10  ** p&lt;0.05 *** p&lt;0.01. Standard Deviation in brackets, Standard errors in paranthesis. Two-sided mean test reported. We only consider non-marital migration sample. Data Source: 2007 Burundi Priority Panel Survey.</t>
    </r>
  </si>
  <si>
    <t>(10)</t>
  </si>
  <si>
    <t>Table 1: Summary statistics</t>
  </si>
  <si>
    <t>Whithout marital migration</t>
  </si>
  <si>
    <r>
      <t>Notes -</t>
    </r>
    <r>
      <rPr>
        <sz val="10"/>
        <rFont val="Times New Roman"/>
        <family val="1"/>
      </rPr>
      <t xml:space="preserve"> This table presents the main descriptive statistics at different observation levels. </t>
    </r>
    <r>
      <rPr>
        <i/>
        <sz val="10"/>
        <rFont val="Times New Roman"/>
        <family val="1"/>
      </rPr>
      <t xml:space="preserve">Violence in a given year (yes=1) </t>
    </r>
    <r>
      <rPr>
        <sz val="10"/>
        <rFont val="Times New Roman"/>
        <family val="1"/>
      </rPr>
      <t xml:space="preserve"> takes the value one if the number of casualties in a given year is positive, 0 otherwise.</t>
    </r>
    <r>
      <rPr>
        <i/>
        <sz val="10"/>
        <rFont val="Times New Roman"/>
        <family val="1"/>
      </rPr>
      <t xml:space="preserve"> Number of causalties in a given year</t>
    </r>
    <r>
      <rPr>
        <sz val="10"/>
        <rFont val="Times New Roman"/>
        <family val="1"/>
      </rPr>
      <t xml:space="preserve"> measures the number of individuals killed or wounded in a given year (divided by 100).</t>
    </r>
    <r>
      <rPr>
        <i/>
        <sz val="10"/>
        <rFont val="Times New Roman"/>
        <family val="1"/>
      </rPr>
      <t> </t>
    </r>
    <r>
      <rPr>
        <sz val="10"/>
        <rFont val="Times New Roman"/>
        <family val="1"/>
      </rPr>
      <t xml:space="preserve"> Index of household Losses (all) - PCA -  referes to the first component from a Principal Component Analysis for the five different type of losses at household level (i.e. money, crops, destruction of goods, destrution of house and loss of land). Index of Agricultural Related Losses - PCA -  refers to the first component from a Principal Component Analysis for the Loss of land (yes=1) and Theft of crops (yes=1) for a household in a given year. Index of Asset Related Losses refers - PCA -  refers to the first component from a Principal Component Analysis for Theft of money (yes=1), Theft or destruction of goods (yes=1), and Destruction of house (yes=1)  for a household in a given year. Data Source: 2007 Burundi Priority Panel Survey.</t>
    </r>
  </si>
  <si>
    <t>Table 3. Baseline results. Armed Conflict and Non-Marital Migration, Individual-level Analysis</t>
  </si>
  <si>
    <t>Index of  household Losses (all) - PCA</t>
  </si>
  <si>
    <t>Only men</t>
  </si>
  <si>
    <t>Panel A</t>
  </si>
  <si>
    <t>Panel B</t>
  </si>
  <si>
    <t>Panel C</t>
  </si>
  <si>
    <t>Panel D</t>
  </si>
  <si>
    <t>Panel E</t>
  </si>
  <si>
    <t>Lag Violence in a given year (yes=1)</t>
  </si>
  <si>
    <t>Lag Number of casualties in a given year</t>
  </si>
  <si>
    <t>Lag Index of  Agricultural Related Losses (land and/or crops) - PCA</t>
  </si>
  <si>
    <t>Lag Index of Asset Related Losses (money, goods and/or house) - PCA</t>
  </si>
  <si>
    <t>Lag Index of  household Losss (all) - PCA</t>
  </si>
  <si>
    <t>Notes - This table presents our baseline regression for non-marital migration at individual level. Robust standard errors, clustered at VIllage level. * p&lt;0.10  ** p&lt;0.05 *** p&lt;0.01. The dependent variable, Migration outside of the household in a given year (yes=1) takes value one when a person migrates due to non-marital reasons in a given year. Sample includes all household members that either never migrate or migrate for non-marital reasons during 1998-2007. Violence in a given year (presence=1)   takes value one when the number of casualties in a given year is positive, 0 otherwise. Number of casualties in a given year includes the number of individuals killed or wounded in a given year, divided by 100 people. Index of Asset Related Losses refers - PCA -  refers to the first component from a Principal Component Analysis for Theft of money (yes=1), Theft or destruction of goods (yes=1), and Destruction of house (yes=1)  for a household in a given year.  Data Source: 2007 Burundi Priority Panel Survey. Data Source: 2007 Burundi Priority Panel Survey.</t>
  </si>
  <si>
    <t>Notes - This table presents our heterogeneity analysis for non-marital migration at individual level. Robust standard errors, clustered at VIllage level. * p&lt;0.10  ** p&lt;0.05 *** p&lt;0.01. The dependent variable, Migration outside of the household in a given year (yes=1) takes value one when a person migrates in a given year. Columns (1) to (4) restricts the baseline sample to only women, only men, only adults (older than 18 years old) or only young (younger than 18 years old), respectively. Columns (5) and (6) split the baseline sample defining poverty based on the 1997 national Burundi poverty line. Violence in a given year (presence=1)   takes value one when the number of casualties in a given year is positive, 0 otherwise. Number of casualties in a given year includes the number of individuals killed or wounded in a given year, divided by 100 people.Index of Asset Related Losses refers - PCA -  refers to the first component from a Principal Component Analysis for Theft of money (yes=1), Theft or destruction of goods (yes=1), and Destruction of house (yes=1)  for a household in a given year.  Data Source: 2007 Burundi Priority Panel Survey.</t>
  </si>
  <si>
    <t>Villages that never experienced violence during 1998-2007</t>
  </si>
  <si>
    <t>Share of migration</t>
  </si>
  <si>
    <t>Number of casualties during 1998-2007 below the mean</t>
  </si>
  <si>
    <t>Number of casualties during 1998-2007 above the mean</t>
  </si>
  <si>
    <t>Interactions</t>
  </si>
  <si>
    <t>Number of casualties in a given year above mean (yes=1)</t>
  </si>
  <si>
    <t>Table 6. Armed Conflict and Non-Marital Migration using lags, Individual-level Analysis</t>
  </si>
  <si>
    <t>Index of  household Losss (all) - PCA - above the mean (yes=1)</t>
  </si>
  <si>
    <t xml:space="preserve">Interaction effect						</t>
  </si>
  <si>
    <t>Number of casualties in a given year above mean (yes=1)*Index of  household Losss (all) - PCA - above the mean (yes=1)</t>
  </si>
  <si>
    <t>Lag. Violence in a given year (yes=1)</t>
  </si>
  <si>
    <t>Lag. Number of casualties in a given year</t>
  </si>
  <si>
    <t>Lag. Number of casualties in a given year above mean (yes=1)</t>
  </si>
  <si>
    <t>Lag. Index of  household Losss (all) - PCA - above the mean (yes=1)</t>
  </si>
  <si>
    <t>Lag. Number of casualties in a given year above mean (yes=1)*Index of  household Losss (all) - PCA - above the mean (yes=1)</t>
  </si>
  <si>
    <t>Index of  household Losss (all) - PCA below mean</t>
  </si>
  <si>
    <t>Index of  household Losss (all) - PCA above mean</t>
  </si>
  <si>
    <t>Table 4. Baseline results. Armed Conflict and Migration, Individual-level Analysis</t>
  </si>
  <si>
    <t>Table 5. Armed Conflict and Non-Marital Migration using lags, Individual-level Analysis</t>
  </si>
  <si>
    <t>Table 7. Baseline results. Armed Conflict and Non-Marital Migration, Individual-level Analysis</t>
  </si>
  <si>
    <t>Table 8. Baseline results. Armed Conflict and Non-Marital Migration, Individual-level Analysis</t>
  </si>
  <si>
    <t>Table 9. Baseline results. Armed Conflict and Migration, Individual-level Analysis</t>
  </si>
  <si>
    <t>Table 10. Armed Conflict and Non-Marital Migration using lags, Individual-level Analysis</t>
  </si>
  <si>
    <t>Table 11. Armed Conflict and Non-Marital Migration using lags, Individual-level Analysis</t>
  </si>
  <si>
    <t>Total Observations</t>
  </si>
  <si>
    <t>Table 2: Cross-tabulation of individual migration over different violence exposure</t>
  </si>
</sst>
</file>

<file path=xl/styles.xml><?xml version="1.0" encoding="utf-8"?>
<styleSheet xmlns="http://schemas.openxmlformats.org/spreadsheetml/2006/main" xmlns:r="http://schemas.openxmlformats.org/officeDocument/2006/relationships" xmlns:xdr="http://schemas.openxmlformats.org/drawingml/2006/spreadsheetDrawing">
  <numFmts count="2">
    <numFmt numFmtId="164" formatCode="0.000"/>
    <numFmt numFmtId="165" formatCode="#,##0.00\ &quot;€&quot;"/>
  </numFmts>
  <fonts count="23">
    <font>
      <sz val="12"/>
      <color theme="1"/>
      <name val="Calibri"/>
      <family val="2"/>
      <scheme val="minor"/>
    </font>
    <font>
      <sz val="11"/>
      <name val="Times New Roman"/>
      <family val="1"/>
    </font>
    <font>
      <sz val="10"/>
      <name val="Times New Roman"/>
      <family val="1"/>
    </font>
    <font>
      <sz val="12"/>
      <name val="Times New Roman"/>
      <family val="1"/>
    </font>
    <font>
      <sz val="12"/>
      <color theme="1"/>
      <name val="Times New Roman"/>
      <family val="1"/>
    </font>
    <font>
      <sz val="12"/>
      <color rgb="FF000000"/>
      <name val="Times New Roman"/>
      <family val="1"/>
    </font>
    <font>
      <u/>
      <sz val="12"/>
      <color theme="10"/>
      <name val="Calibri"/>
      <family val="2"/>
      <scheme val="minor"/>
    </font>
    <font>
      <u/>
      <sz val="12"/>
      <color theme="11"/>
      <name val="Calibri"/>
      <family val="2"/>
      <scheme val="minor"/>
    </font>
    <font>
      <b/>
      <i/>
      <u/>
      <sz val="11"/>
      <name val="Times New Roman"/>
      <family val="1"/>
    </font>
    <font>
      <b/>
      <sz val="10"/>
      <name val="Times New Roman"/>
      <family val="1"/>
    </font>
    <font>
      <b/>
      <i/>
      <u/>
      <sz val="12"/>
      <name val="Times New Roman"/>
      <family val="1"/>
    </font>
    <font>
      <i/>
      <u/>
      <sz val="11"/>
      <name val="Times New Roman"/>
      <family val="1"/>
    </font>
    <font>
      <i/>
      <sz val="12"/>
      <name val="Times New Roman"/>
      <family val="1"/>
    </font>
    <font>
      <i/>
      <u/>
      <sz val="12"/>
      <name val="Times New Roman"/>
      <family val="1"/>
    </font>
    <font>
      <i/>
      <sz val="10"/>
      <name val="Times New Roman"/>
      <family val="1"/>
    </font>
    <font>
      <i/>
      <sz val="12"/>
      <color theme="1"/>
      <name val="Times New Roman"/>
      <family val="1"/>
    </font>
    <font>
      <sz val="12"/>
      <color theme="1"/>
      <name val="Times New Roman"/>
      <family val="1"/>
    </font>
    <font>
      <b/>
      <sz val="12"/>
      <color theme="1"/>
      <name val="Times New Roman"/>
      <family val="1"/>
    </font>
    <font>
      <sz val="12"/>
      <color theme="1"/>
      <name val="Calibri"/>
      <family val="2"/>
    </font>
    <font>
      <u/>
      <sz val="12"/>
      <name val="Times New Roman"/>
      <family val="1"/>
    </font>
    <font>
      <sz val="10"/>
      <color theme="1"/>
      <name val="Calibri"/>
      <family val="2"/>
      <scheme val="minor"/>
    </font>
    <font>
      <b/>
      <sz val="12"/>
      <name val="Times New Roman"/>
      <family val="1"/>
    </font>
    <font>
      <b/>
      <u/>
      <sz val="12"/>
      <name val="Times New Roman"/>
      <family val="1"/>
    </font>
  </fonts>
  <fills count="2">
    <fill>
      <patternFill patternType="none"/>
    </fill>
    <fill>
      <patternFill patternType="gray125"/>
    </fill>
  </fills>
  <borders count="11">
    <border>
      <left/>
      <right/>
      <top/>
      <bottom/>
      <diagonal/>
    </border>
    <border>
      <left/>
      <right/>
      <top style="thin">
        <color auto="true"/>
      </top>
      <bottom style="double">
        <color auto="true"/>
      </bottom>
      <diagonal/>
    </border>
    <border>
      <left/>
      <right/>
      <top style="double">
        <color auto="true"/>
      </top>
      <bottom/>
      <diagonal/>
    </border>
    <border>
      <left/>
      <right/>
      <top style="dotted">
        <color auto="true"/>
      </top>
      <bottom/>
      <diagonal/>
    </border>
    <border>
      <left/>
      <right/>
      <top/>
      <bottom style="dotted">
        <color auto="true"/>
      </bottom>
      <diagonal/>
    </border>
    <border>
      <left/>
      <right/>
      <top style="thin">
        <color auto="true"/>
      </top>
      <bottom/>
      <diagonal/>
    </border>
    <border>
      <left/>
      <right/>
      <top/>
      <bottom style="double">
        <color auto="true"/>
      </bottom>
      <diagonal/>
    </border>
    <border>
      <left/>
      <right/>
      <top/>
      <bottom style="thin">
        <color auto="true"/>
      </bottom>
      <diagonal/>
    </border>
    <border>
      <left/>
      <right/>
      <top/>
      <bottom style="medium">
        <color auto="true"/>
      </bottom>
      <diagonal/>
    </border>
    <border>
      <left/>
      <right/>
      <top style="medium">
        <color auto="true"/>
      </top>
      <bottom/>
      <diagonal/>
    </border>
    <border>
      <left/>
      <right/>
      <top style="hair">
        <color auto="true"/>
      </top>
      <bottom/>
      <diagonal/>
    </border>
  </borders>
  <cellStyleXfs count="569">
    <xf numFmtId="0" fontId="0" fillId="0" borderId="0"/>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xf numFmtId="0" fontId="6" fillId="0" borderId="0" applyNumberFormat="false" applyFill="false" applyBorder="false" applyAlignment="false" applyProtection="false"/>
    <xf numFmtId="0" fontId="7" fillId="0" borderId="0" applyNumberFormat="false" applyFill="false" applyBorder="false" applyAlignment="false" applyProtection="false"/>
  </cellStyleXfs>
  <cellXfs count="94">
    <xf numFmtId="0" fontId="0" fillId="0" borderId="0" xfId="0"/>
    <xf numFmtId="0" fontId="3" fillId="0" borderId="5" xfId="0" applyFont="true" applyBorder="true"/>
    <xf numFmtId="0" fontId="3" fillId="0" borderId="6" xfId="0" applyFont="true" applyBorder="true"/>
    <xf numFmtId="0" fontId="3" fillId="0" borderId="0" xfId="0" applyFont="true"/>
    <xf numFmtId="1" fontId="3" fillId="0" borderId="0" xfId="0" applyNumberFormat="true" applyFont="true" applyAlignment="true">
      <alignment horizontal="center" vertical="center"/>
    </xf>
    <xf numFmtId="0" fontId="3" fillId="0" borderId="7" xfId="0" applyFont="true" applyBorder="true"/>
    <xf numFmtId="0" fontId="5" fillId="0" borderId="0" xfId="0" applyFont="true"/>
    <xf numFmtId="49" fontId="3" fillId="0" borderId="6" xfId="0" applyNumberFormat="true" applyFont="true" applyBorder="true" applyAlignment="true">
      <alignment horizontal="center" vertical="center"/>
    </xf>
    <xf numFmtId="0" fontId="4" fillId="0" borderId="0" xfId="0" applyFont="true"/>
    <xf numFmtId="49" fontId="3" fillId="0" borderId="1" xfId="0" applyNumberFormat="true" applyFont="true" applyBorder="true" applyAlignment="true">
      <alignment horizontal="center" vertical="center"/>
    </xf>
    <xf numFmtId="165" fontId="4" fillId="0" borderId="0" xfId="0" applyNumberFormat="true" applyFont="true"/>
    <xf numFmtId="0" fontId="1" fillId="0" borderId="0" xfId="0" applyFont="true" applyAlignment="true">
      <alignment horizontal="left"/>
    </xf>
    <xf numFmtId="0" fontId="1" fillId="0" borderId="4" xfId="0" applyFont="true" applyBorder="true" applyAlignment="true">
      <alignment horizontal="left"/>
    </xf>
    <xf numFmtId="0" fontId="11" fillId="0" borderId="3" xfId="0" applyFont="true" applyBorder="true" applyAlignment="true">
      <alignment vertical="center"/>
    </xf>
    <xf numFmtId="0" fontId="8" fillId="0" borderId="3" xfId="0" applyFont="true" applyBorder="true" applyAlignment="true">
      <alignment vertical="center"/>
    </xf>
    <xf numFmtId="0" fontId="12" fillId="0" borderId="0" xfId="0" applyFont="true"/>
    <xf numFmtId="164" fontId="12" fillId="0" borderId="0" xfId="0" applyNumberFormat="true" applyFont="true" applyAlignment="true">
      <alignment horizontal="center" vertical="center"/>
    </xf>
    <xf numFmtId="0" fontId="10" fillId="0" borderId="2" xfId="0" applyFont="true" applyBorder="true" applyAlignment="true">
      <alignment vertical="center"/>
    </xf>
    <xf numFmtId="0" fontId="4" fillId="0" borderId="5" xfId="0" applyFont="true" applyBorder="true" applyAlignment="true">
      <alignment horizontal="left"/>
    </xf>
    <xf numFmtId="0" fontId="12" fillId="0" borderId="0" xfId="0" applyFont="true" applyAlignment="true">
      <alignment horizontal="center" vertical="center"/>
    </xf>
    <xf numFmtId="0" fontId="12" fillId="0" borderId="7" xfId="0" applyFont="true" applyBorder="true"/>
    <xf numFmtId="0" fontId="12" fillId="0" borderId="7" xfId="0" applyFont="true" applyBorder="true" applyAlignment="true">
      <alignment horizontal="center" vertical="center"/>
    </xf>
    <xf numFmtId="0" fontId="13" fillId="0" borderId="2" xfId="0" applyFont="true" applyBorder="true" applyAlignment="true">
      <alignment vertical="center"/>
    </xf>
    <xf numFmtId="0" fontId="4" fillId="0" borderId="0" xfId="0" applyFont="true" applyAlignment="true">
      <alignment horizontal="center" vertical="center"/>
    </xf>
    <xf numFmtId="0" fontId="3" fillId="0" borderId="1" xfId="0" applyFont="true" applyBorder="true" applyAlignment="true">
      <alignment horizontal="center" vertical="center" wrapText="true"/>
    </xf>
    <xf numFmtId="0" fontId="3" fillId="0" borderId="0" xfId="0" applyFont="true" applyAlignment="true">
      <alignment horizontal="center" vertical="center"/>
    </xf>
    <xf numFmtId="0" fontId="1" fillId="0" borderId="8" xfId="0" applyFont="true" applyBorder="true" applyAlignment="true">
      <alignment wrapText="true"/>
    </xf>
    <xf numFmtId="0" fontId="10" fillId="0" borderId="5" xfId="0" applyFont="true" applyBorder="true" applyAlignment="true">
      <alignment horizontal="center" vertical="center"/>
    </xf>
    <xf numFmtId="165" fontId="4" fillId="0" borderId="0" xfId="0" applyNumberFormat="true" applyFont="true" applyAlignment="true">
      <alignment horizontal="center" vertical="center"/>
    </xf>
    <xf numFmtId="0" fontId="15" fillId="0" borderId="5" xfId="0" applyFont="true" applyBorder="true" applyAlignment="true">
      <alignment horizontal="center"/>
    </xf>
    <xf numFmtId="0" fontId="11" fillId="0" borderId="0" xfId="0" applyFont="true" applyAlignment="true">
      <alignment vertical="center"/>
    </xf>
    <xf numFmtId="0" fontId="16" fillId="0" borderId="5" xfId="0" applyFont="true" applyBorder="true" applyAlignment="true">
      <alignment horizontal="center"/>
    </xf>
    <xf numFmtId="0" fontId="1" fillId="0" borderId="6" xfId="0" applyFont="true" applyBorder="true" applyAlignment="true">
      <alignment horizontal="center"/>
    </xf>
    <xf numFmtId="0" fontId="0" fillId="0" borderId="0" xfId="0" applyAlignment="true">
      <alignment horizontal="center" vertical="center"/>
    </xf>
    <xf numFmtId="0" fontId="13" fillId="0" borderId="5" xfId="0" applyFont="true" applyBorder="true" applyAlignment="true">
      <alignment vertical="center"/>
    </xf>
    <xf numFmtId="0" fontId="18" fillId="0" borderId="0" xfId="0" applyFont="true" applyAlignment="true">
      <alignment horizontal="center" vertical="center"/>
    </xf>
    <xf numFmtId="0" fontId="3" fillId="0" borderId="5" xfId="0" applyFont="true" applyBorder="true" applyAlignment="true">
      <alignment horizontal="center" vertical="center"/>
    </xf>
    <xf numFmtId="0" fontId="3" fillId="0" borderId="7" xfId="0" applyFont="true" applyBorder="true" applyAlignment="true">
      <alignment horizontal="center" vertical="center"/>
    </xf>
    <xf numFmtId="0" fontId="18" fillId="0" borderId="7" xfId="0" applyFont="true" applyBorder="true" applyAlignment="true">
      <alignment horizontal="center" vertical="center"/>
    </xf>
    <xf numFmtId="0" fontId="3" fillId="0" borderId="5" xfId="0" applyFont="true" applyBorder="true" applyAlignment="true">
      <alignment horizontal="center" vertical="center" wrapText="true"/>
    </xf>
    <xf numFmtId="0" fontId="4" fillId="0" borderId="7" xfId="0" applyFont="true" applyBorder="true" applyAlignment="true">
      <alignment horizontal="center" vertical="center"/>
    </xf>
    <xf numFmtId="0" fontId="19" fillId="0" borderId="2" xfId="0" applyFont="true" applyBorder="true" applyAlignment="true">
      <alignment vertical="center"/>
    </xf>
    <xf numFmtId="0" fontId="13" fillId="0" borderId="10" xfId="0" applyFont="true" applyBorder="true" applyAlignment="true">
      <alignment vertical="center"/>
    </xf>
    <xf numFmtId="0" fontId="10" fillId="0" borderId="10" xfId="0" applyFont="true" applyBorder="true" applyAlignment="true">
      <alignment vertical="center"/>
    </xf>
    <xf numFmtId="0" fontId="12" fillId="0" borderId="5" xfId="0" applyFont="true" applyBorder="true"/>
    <xf numFmtId="164" fontId="12" fillId="0" borderId="5" xfId="0" applyNumberFormat="true" applyFont="true" applyBorder="true" applyAlignment="true">
      <alignment horizontal="center" vertical="center"/>
    </xf>
    <xf numFmtId="0" fontId="13" fillId="0" borderId="0" xfId="0" applyFont="true" applyAlignment="true">
      <alignment vertical="center"/>
    </xf>
    <xf numFmtId="0" fontId="3" fillId="0" borderId="0" xfId="0" applyFont="true" applyAlignment="true">
      <alignment wrapText="true"/>
    </xf>
    <xf numFmtId="0" fontId="1" fillId="0" borderId="0" xfId="0" applyFont="true" applyAlignment="true">
      <alignment horizontal="left" wrapText="true"/>
    </xf>
    <xf numFmtId="0" fontId="2" fillId="0" borderId="0" xfId="0" applyFont="true" applyAlignment="true">
      <alignment horizontal="center" vertical="top" wrapText="true"/>
    </xf>
    <xf numFmtId="0" fontId="1" fillId="0" borderId="0" xfId="0" applyFont="true" applyAlignment="true">
      <alignment horizontal="center" wrapText="true"/>
    </xf>
    <xf numFmtId="0" fontId="19" fillId="0" borderId="0" xfId="0" applyFont="true" applyAlignment="true">
      <alignment vertical="center"/>
    </xf>
    <xf numFmtId="0" fontId="10" fillId="0" borderId="0" xfId="0" applyFont="true" applyAlignment="true">
      <alignment vertical="center"/>
    </xf>
    <xf numFmtId="164" fontId="3" fillId="0" borderId="0" xfId="0" applyNumberFormat="true" applyFont="true" applyAlignment="true">
      <alignment horizontal="center" vertical="center"/>
    </xf>
    <xf numFmtId="0" fontId="3" fillId="0" borderId="6" xfId="0" applyFont="true" applyBorder="true" applyAlignment="true">
      <alignment horizontal="center" vertical="center" wrapText="true"/>
    </xf>
    <xf numFmtId="49" fontId="21" fillId="0" borderId="1" xfId="0" applyNumberFormat="true" applyFont="true" applyBorder="true" applyAlignment="true">
      <alignment horizontal="center" vertical="center"/>
    </xf>
    <xf numFmtId="0" fontId="3" fillId="0" borderId="0" xfId="0" applyFont="true" applyAlignment="true">
      <alignment vertical="center" wrapText="true"/>
    </xf>
    <xf numFmtId="1" fontId="0" fillId="0" borderId="0" xfId="0" applyNumberFormat="true"/>
    <xf numFmtId="0" fontId="4" fillId="0" borderId="0" xfId="0" applyFont="true" applyAlignment="true">
      <alignment wrapText="true"/>
    </xf>
    <xf numFmtId="0" fontId="0" fillId="0" borderId="0" xfId="0" applyAlignment="true">
      <alignment wrapText="true"/>
    </xf>
    <xf numFmtId="0" fontId="18" fillId="0" borderId="0" xfId="0" applyFont="true"/>
    <xf numFmtId="0" fontId="10" fillId="0" borderId="5" xfId="0" applyFont="true" applyBorder="true" applyAlignment="true">
      <alignment vertical="center"/>
    </xf>
    <xf numFmtId="0" fontId="10" fillId="0" borderId="0" xfId="0" applyFont="true" applyAlignment="true">
      <alignment horizontal="left" vertical="center" wrapText="true"/>
    </xf>
    <xf numFmtId="0" fontId="10" fillId="0" borderId="0" xfId="0" applyFont="true" applyAlignment="true">
      <alignment horizontal="left"/>
    </xf>
    <xf numFmtId="0" fontId="2" fillId="0" borderId="0" xfId="0" applyFont="true" applyAlignment="true">
      <alignment horizontal="left" vertical="top" wrapText="true"/>
    </xf>
    <xf numFmtId="0" fontId="3" fillId="0" borderId="2" xfId="0" applyFont="true" applyBorder="true" applyAlignment="true">
      <alignment horizontal="center" vertical="center" wrapText="true"/>
    </xf>
    <xf numFmtId="0" fontId="22" fillId="0" borderId="2" xfId="0" applyFont="true" applyBorder="true" applyAlignment="true">
      <alignment horizontal="left" vertical="center"/>
    </xf>
    <xf numFmtId="0" fontId="22" fillId="0" borderId="0" xfId="0" applyFont="true" applyAlignment="true">
      <alignment horizontal="left" vertical="center"/>
    </xf>
    <xf numFmtId="164" fontId="21" fillId="0" borderId="0" xfId="0" applyNumberFormat="true" applyFont="true" applyAlignment="true">
      <alignment horizontal="center" vertical="center"/>
    </xf>
    <xf numFmtId="0" fontId="12" fillId="0" borderId="0" xfId="0" applyFont="true" applyAlignment="true">
      <alignment vertical="center" wrapText="true"/>
    </xf>
    <xf numFmtId="1" fontId="12" fillId="0" borderId="0" xfId="0" applyNumberFormat="true" applyFont="true" applyAlignment="true">
      <alignment horizontal="center" vertical="center"/>
    </xf>
    <xf numFmtId="164" fontId="8" fillId="0" borderId="3" xfId="0" applyNumberFormat="true" applyFont="true" applyBorder="true" applyAlignment="true">
      <alignment vertical="center"/>
    </xf>
    <xf numFmtId="1" fontId="8" fillId="0" borderId="3" xfId="0" applyNumberFormat="true" applyFont="true" applyBorder="true" applyAlignment="true">
      <alignment vertical="center"/>
    </xf>
    <xf numFmtId="0" fontId="0" fillId="0" borderId="0" xfId="0" applyAlignment="true">
      <alignment vertical="center"/>
    </xf>
    <xf numFmtId="0" fontId="1" fillId="0" borderId="6" xfId="0" applyFont="true" applyBorder="true" applyAlignment="true">
      <alignment vertical="center"/>
    </xf>
    <xf numFmtId="0" fontId="1" fillId="0" borderId="0" xfId="0" applyFont="true" applyAlignment="true">
      <alignment vertical="center"/>
    </xf>
    <xf numFmtId="164" fontId="1" fillId="0" borderId="0" xfId="0" applyNumberFormat="true" applyFont="true" applyAlignment="true">
      <alignment vertical="center"/>
    </xf>
    <xf numFmtId="0" fontId="1" fillId="0" borderId="4" xfId="0" applyFont="true" applyBorder="true" applyAlignment="true">
      <alignment vertical="center"/>
    </xf>
    <xf numFmtId="164" fontId="1" fillId="0" borderId="4" xfId="0" applyNumberFormat="true" applyFont="true" applyBorder="true" applyAlignment="true">
      <alignment vertical="center"/>
    </xf>
    <xf numFmtId="0" fontId="1" fillId="0" borderId="8" xfId="0" applyFont="true" applyBorder="true" applyAlignment="true">
      <alignment vertical="center"/>
    </xf>
    <xf numFmtId="164" fontId="1" fillId="0" borderId="8" xfId="0" applyNumberFormat="true" applyFont="true" applyBorder="true" applyAlignment="true">
      <alignment vertical="center"/>
    </xf>
    <xf numFmtId="0" fontId="9" fillId="0" borderId="9" xfId="0" applyFont="true" applyBorder="true" applyAlignment="true">
      <alignment horizontal="left" vertical="top" wrapText="true"/>
    </xf>
    <xf numFmtId="0" fontId="17" fillId="0" borderId="5" xfId="0" applyFont="true" applyBorder="true" applyAlignment="true">
      <alignment vertical="center"/>
    </xf>
    <xf numFmtId="0" fontId="4" fillId="0" borderId="7" xfId="0" applyFont="true" applyBorder="true" applyAlignment="true">
      <alignment horizontal="center"/>
    </xf>
    <xf numFmtId="0" fontId="3" fillId="0" borderId="5" xfId="0" applyFont="true" applyBorder="true" applyAlignment="true">
      <alignment horizontal="center" vertical="center" wrapText="true"/>
    </xf>
    <xf numFmtId="0" fontId="2" fillId="0" borderId="10" xfId="0" applyFont="true" applyBorder="true" applyAlignment="true">
      <alignment horizontal="center" vertical="top" wrapText="true"/>
    </xf>
    <xf numFmtId="0" fontId="2" fillId="0" borderId="5" xfId="0" applyFont="true" applyBorder="true" applyAlignment="true">
      <alignment horizontal="left" vertical="top" wrapText="true"/>
    </xf>
    <xf numFmtId="0" fontId="0" fillId="0" borderId="7" xfId="0" applyBorder="true" applyAlignment="true">
      <alignment horizontal="center"/>
    </xf>
    <xf numFmtId="0" fontId="3" fillId="0" borderId="0" xfId="0" applyFont="true" applyAlignment="true">
      <alignment horizontal="center" vertical="center"/>
    </xf>
    <xf numFmtId="0" fontId="3" fillId="0" borderId="6" xfId="0" applyFont="true" applyBorder="true" applyAlignment="true">
      <alignment horizontal="center" vertical="center" wrapText="true"/>
    </xf>
    <xf numFmtId="0" fontId="10" fillId="0" borderId="2" xfId="0" applyFont="true" applyBorder="true" applyAlignment="true">
      <alignment horizontal="left" vertical="center" wrapText="true"/>
    </xf>
    <xf numFmtId="0" fontId="10" fillId="0" borderId="10" xfId="0" applyFont="true" applyBorder="true" applyAlignment="true">
      <alignment horizontal="left"/>
    </xf>
    <xf numFmtId="0" fontId="20" fillId="0" borderId="5" xfId="0" applyFont="true" applyBorder="true" applyAlignment="true">
      <alignment horizontal="center" vertical="top" wrapText="true"/>
    </xf>
    <xf numFmtId="0" fontId="2" fillId="0" borderId="5" xfId="0" applyFont="true" applyBorder="true" applyAlignment="true">
      <alignment horizontal="center" vertical="top" wrapText="true"/>
    </xf>
  </cellXfs>
  <cellStyles count="569">
    <cellStyle name="Followed Hyperlink" xfId="2" builtinId="9" hidden="true"/>
    <cellStyle name="Followed Hyperlink" xfId="4" builtinId="9" hidden="true"/>
    <cellStyle name="Followed Hyperlink" xfId="6" builtinId="9" hidden="true"/>
    <cellStyle name="Followed Hyperlink" xfId="8" builtinId="9" hidden="true"/>
    <cellStyle name="Followed Hyperlink" xfId="10" builtinId="9" hidden="true"/>
    <cellStyle name="Followed Hyperlink" xfId="12" builtinId="9" hidden="true"/>
    <cellStyle name="Followed Hyperlink" xfId="14" builtinId="9" hidden="true"/>
    <cellStyle name="Followed Hyperlink" xfId="16" builtinId="9" hidden="true"/>
    <cellStyle name="Followed Hyperlink" xfId="18" builtinId="9" hidden="true"/>
    <cellStyle name="Followed Hyperlink" xfId="20" builtinId="9" hidden="true"/>
    <cellStyle name="Followed Hyperlink" xfId="22" builtinId="9" hidden="true"/>
    <cellStyle name="Followed Hyperlink" xfId="24" builtinId="9" hidden="true"/>
    <cellStyle name="Followed Hyperlink" xfId="26" builtinId="9" hidden="true"/>
    <cellStyle name="Followed Hyperlink" xfId="28" builtinId="9" hidden="true"/>
    <cellStyle name="Followed Hyperlink" xfId="30" builtinId="9" hidden="true"/>
    <cellStyle name="Followed Hyperlink" xfId="32" builtinId="9" hidden="true"/>
    <cellStyle name="Followed Hyperlink" xfId="34" builtinId="9" hidden="true"/>
    <cellStyle name="Followed Hyperlink" xfId="36" builtinId="9" hidden="true"/>
    <cellStyle name="Followed Hyperlink" xfId="38" builtinId="9" hidden="true"/>
    <cellStyle name="Followed Hyperlink" xfId="40" builtinId="9" hidden="true"/>
    <cellStyle name="Followed Hyperlink" xfId="42" builtinId="9" hidden="true"/>
    <cellStyle name="Followed Hyperlink" xfId="44" builtinId="9" hidden="true"/>
    <cellStyle name="Followed Hyperlink" xfId="46" builtinId="9" hidden="true"/>
    <cellStyle name="Followed Hyperlink" xfId="48" builtinId="9" hidden="true"/>
    <cellStyle name="Followed Hyperlink" xfId="50" builtinId="9" hidden="true"/>
    <cellStyle name="Followed Hyperlink" xfId="52" builtinId="9" hidden="true"/>
    <cellStyle name="Followed Hyperlink" xfId="54" builtinId="9" hidden="true"/>
    <cellStyle name="Followed Hyperlink" xfId="56" builtinId="9" hidden="true"/>
    <cellStyle name="Followed Hyperlink" xfId="58" builtinId="9" hidden="true"/>
    <cellStyle name="Followed Hyperlink" xfId="60" builtinId="9" hidden="true"/>
    <cellStyle name="Followed Hyperlink" xfId="62" builtinId="9" hidden="true"/>
    <cellStyle name="Followed Hyperlink" xfId="64" builtinId="9" hidden="true"/>
    <cellStyle name="Followed Hyperlink" xfId="66" builtinId="9" hidden="true"/>
    <cellStyle name="Followed Hyperlink" xfId="68" builtinId="9" hidden="true"/>
    <cellStyle name="Followed Hyperlink" xfId="70" builtinId="9" hidden="true"/>
    <cellStyle name="Followed Hyperlink" xfId="72" builtinId="9" hidden="true"/>
    <cellStyle name="Followed Hyperlink" xfId="74" builtinId="9" hidden="true"/>
    <cellStyle name="Followed Hyperlink" xfId="76" builtinId="9" hidden="true"/>
    <cellStyle name="Followed Hyperlink" xfId="78" builtinId="9" hidden="true"/>
    <cellStyle name="Followed Hyperlink" xfId="80" builtinId="9" hidden="true"/>
    <cellStyle name="Followed Hyperlink" xfId="82" builtinId="9" hidden="true"/>
    <cellStyle name="Followed Hyperlink" xfId="84" builtinId="9" hidden="true"/>
    <cellStyle name="Followed Hyperlink" xfId="86" builtinId="9" hidden="true"/>
    <cellStyle name="Followed Hyperlink" xfId="88" builtinId="9" hidden="true"/>
    <cellStyle name="Followed Hyperlink" xfId="90" builtinId="9" hidden="true"/>
    <cellStyle name="Followed Hyperlink" xfId="92" builtinId="9" hidden="true"/>
    <cellStyle name="Followed Hyperlink" xfId="94" builtinId="9" hidden="true"/>
    <cellStyle name="Followed Hyperlink" xfId="96" builtinId="9" hidden="true"/>
    <cellStyle name="Followed Hyperlink" xfId="98" builtinId="9" hidden="true"/>
    <cellStyle name="Followed Hyperlink" xfId="100" builtinId="9" hidden="true"/>
    <cellStyle name="Followed Hyperlink" xfId="102" builtinId="9" hidden="true"/>
    <cellStyle name="Followed Hyperlink" xfId="104" builtinId="9" hidden="true"/>
    <cellStyle name="Followed Hyperlink" xfId="106" builtinId="9" hidden="true"/>
    <cellStyle name="Followed Hyperlink" xfId="108" builtinId="9" hidden="true"/>
    <cellStyle name="Followed Hyperlink" xfId="110" builtinId="9" hidden="true"/>
    <cellStyle name="Followed Hyperlink" xfId="112" builtinId="9" hidden="true"/>
    <cellStyle name="Followed Hyperlink" xfId="114" builtinId="9" hidden="true"/>
    <cellStyle name="Followed Hyperlink" xfId="116" builtinId="9" hidden="true"/>
    <cellStyle name="Followed Hyperlink" xfId="118" builtinId="9" hidden="true"/>
    <cellStyle name="Followed Hyperlink" xfId="120" builtinId="9" hidden="true"/>
    <cellStyle name="Followed Hyperlink" xfId="122" builtinId="9" hidden="true"/>
    <cellStyle name="Followed Hyperlink" xfId="124" builtinId="9" hidden="true"/>
    <cellStyle name="Followed Hyperlink" xfId="126" builtinId="9" hidden="true"/>
    <cellStyle name="Followed Hyperlink" xfId="128" builtinId="9" hidden="true"/>
    <cellStyle name="Followed Hyperlink" xfId="130" builtinId="9" hidden="true"/>
    <cellStyle name="Followed Hyperlink" xfId="132" builtinId="9" hidden="true"/>
    <cellStyle name="Followed Hyperlink" xfId="134" builtinId="9" hidden="true"/>
    <cellStyle name="Followed Hyperlink" xfId="136" builtinId="9" hidden="true"/>
    <cellStyle name="Followed Hyperlink" xfId="138" builtinId="9" hidden="true"/>
    <cellStyle name="Followed Hyperlink" xfId="140" builtinId="9" hidden="true"/>
    <cellStyle name="Followed Hyperlink" xfId="142" builtinId="9" hidden="true"/>
    <cellStyle name="Followed Hyperlink" xfId="144" builtinId="9" hidden="true"/>
    <cellStyle name="Followed Hyperlink" xfId="146" builtinId="9" hidden="true"/>
    <cellStyle name="Followed Hyperlink" xfId="148" builtinId="9" hidden="true"/>
    <cellStyle name="Followed Hyperlink" xfId="150" builtinId="9" hidden="true"/>
    <cellStyle name="Followed Hyperlink" xfId="152" builtinId="9" hidden="true"/>
    <cellStyle name="Followed Hyperlink" xfId="154" builtinId="9" hidden="true"/>
    <cellStyle name="Followed Hyperlink" xfId="156" builtinId="9" hidden="true"/>
    <cellStyle name="Followed Hyperlink" xfId="158" builtinId="9" hidden="true"/>
    <cellStyle name="Followed Hyperlink" xfId="160" builtinId="9" hidden="true"/>
    <cellStyle name="Followed Hyperlink" xfId="162" builtinId="9" hidden="true"/>
    <cellStyle name="Followed Hyperlink" xfId="164" builtinId="9" hidden="true"/>
    <cellStyle name="Followed Hyperlink" xfId="166" builtinId="9" hidden="true"/>
    <cellStyle name="Followed Hyperlink" xfId="168" builtinId="9" hidden="true"/>
    <cellStyle name="Followed Hyperlink" xfId="170" builtinId="9" hidden="true"/>
    <cellStyle name="Followed Hyperlink" xfId="172" builtinId="9" hidden="true"/>
    <cellStyle name="Followed Hyperlink" xfId="174" builtinId="9" hidden="true"/>
    <cellStyle name="Followed Hyperlink" xfId="176" builtinId="9" hidden="true"/>
    <cellStyle name="Followed Hyperlink" xfId="178" builtinId="9" hidden="true"/>
    <cellStyle name="Followed Hyperlink" xfId="180" builtinId="9" hidden="true"/>
    <cellStyle name="Followed Hyperlink" xfId="182" builtinId="9" hidden="true"/>
    <cellStyle name="Followed Hyperlink" xfId="184" builtinId="9" hidden="true"/>
    <cellStyle name="Followed Hyperlink" xfId="186" builtinId="9" hidden="true"/>
    <cellStyle name="Followed Hyperlink" xfId="188" builtinId="9" hidden="true"/>
    <cellStyle name="Followed Hyperlink" xfId="190" builtinId="9" hidden="true"/>
    <cellStyle name="Followed Hyperlink" xfId="192" builtinId="9" hidden="true"/>
    <cellStyle name="Followed Hyperlink" xfId="194" builtinId="9" hidden="true"/>
    <cellStyle name="Followed Hyperlink" xfId="196" builtinId="9" hidden="true"/>
    <cellStyle name="Followed Hyperlink" xfId="198" builtinId="9" hidden="true"/>
    <cellStyle name="Followed Hyperlink" xfId="200" builtinId="9" hidden="true"/>
    <cellStyle name="Followed Hyperlink" xfId="202" builtinId="9" hidden="true"/>
    <cellStyle name="Followed Hyperlink" xfId="204" builtinId="9" hidden="true"/>
    <cellStyle name="Followed Hyperlink" xfId="206" builtinId="9" hidden="true"/>
    <cellStyle name="Followed Hyperlink" xfId="208" builtinId="9" hidden="true"/>
    <cellStyle name="Followed Hyperlink" xfId="210" builtinId="9" hidden="true"/>
    <cellStyle name="Followed Hyperlink" xfId="212" builtinId="9" hidden="true"/>
    <cellStyle name="Followed Hyperlink" xfId="214" builtinId="9" hidden="true"/>
    <cellStyle name="Followed Hyperlink" xfId="216" builtinId="9" hidden="true"/>
    <cellStyle name="Followed Hyperlink" xfId="218" builtinId="9" hidden="true"/>
    <cellStyle name="Followed Hyperlink" xfId="220" builtinId="9" hidden="true"/>
    <cellStyle name="Followed Hyperlink" xfId="222" builtinId="9" hidden="true"/>
    <cellStyle name="Followed Hyperlink" xfId="224" builtinId="9" hidden="true"/>
    <cellStyle name="Followed Hyperlink" xfId="226" builtinId="9" hidden="true"/>
    <cellStyle name="Followed Hyperlink" xfId="228" builtinId="9" hidden="true"/>
    <cellStyle name="Followed Hyperlink" xfId="230" builtinId="9" hidden="true"/>
    <cellStyle name="Followed Hyperlink" xfId="232" builtinId="9" hidden="true"/>
    <cellStyle name="Followed Hyperlink" xfId="234" builtinId="9" hidden="true"/>
    <cellStyle name="Followed Hyperlink" xfId="236" builtinId="9" hidden="true"/>
    <cellStyle name="Followed Hyperlink" xfId="238" builtinId="9" hidden="true"/>
    <cellStyle name="Followed Hyperlink" xfId="240" builtinId="9" hidden="true"/>
    <cellStyle name="Followed Hyperlink" xfId="242" builtinId="9" hidden="true"/>
    <cellStyle name="Followed Hyperlink" xfId="244" builtinId="9" hidden="true"/>
    <cellStyle name="Followed Hyperlink" xfId="246" builtinId="9" hidden="true"/>
    <cellStyle name="Followed Hyperlink" xfId="248" builtinId="9" hidden="true"/>
    <cellStyle name="Followed Hyperlink" xfId="250" builtinId="9" hidden="true"/>
    <cellStyle name="Followed Hyperlink" xfId="252" builtinId="9" hidden="true"/>
    <cellStyle name="Followed Hyperlink" xfId="254" builtinId="9" hidden="true"/>
    <cellStyle name="Followed Hyperlink" xfId="256" builtinId="9" hidden="true"/>
    <cellStyle name="Followed Hyperlink" xfId="258" builtinId="9" hidden="true"/>
    <cellStyle name="Followed Hyperlink" xfId="260" builtinId="9" hidden="true"/>
    <cellStyle name="Followed Hyperlink" xfId="262" builtinId="9" hidden="true"/>
    <cellStyle name="Followed Hyperlink" xfId="264" builtinId="9" hidden="true"/>
    <cellStyle name="Followed Hyperlink" xfId="266" builtinId="9" hidden="true"/>
    <cellStyle name="Followed Hyperlink" xfId="268" builtinId="9" hidden="true"/>
    <cellStyle name="Followed Hyperlink" xfId="270" builtinId="9" hidden="true"/>
    <cellStyle name="Followed Hyperlink" xfId="272" builtinId="9" hidden="true"/>
    <cellStyle name="Followed Hyperlink" xfId="274" builtinId="9" hidden="true"/>
    <cellStyle name="Followed Hyperlink" xfId="276" builtinId="9" hidden="true"/>
    <cellStyle name="Followed Hyperlink" xfId="278" builtinId="9" hidden="true"/>
    <cellStyle name="Followed Hyperlink" xfId="280" builtinId="9" hidden="true"/>
    <cellStyle name="Followed Hyperlink" xfId="282" builtinId="9" hidden="true"/>
    <cellStyle name="Followed Hyperlink" xfId="284" builtinId="9" hidden="true"/>
    <cellStyle name="Followed Hyperlink" xfId="286" builtinId="9" hidden="true"/>
    <cellStyle name="Followed Hyperlink" xfId="288" builtinId="9" hidden="true"/>
    <cellStyle name="Followed Hyperlink" xfId="290" builtinId="9" hidden="true"/>
    <cellStyle name="Followed Hyperlink" xfId="292" builtinId="9" hidden="true"/>
    <cellStyle name="Followed Hyperlink" xfId="294" builtinId="9" hidden="true"/>
    <cellStyle name="Followed Hyperlink" xfId="296" builtinId="9" hidden="true"/>
    <cellStyle name="Followed Hyperlink" xfId="298" builtinId="9" hidden="true"/>
    <cellStyle name="Followed Hyperlink" xfId="300" builtinId="9" hidden="true"/>
    <cellStyle name="Followed Hyperlink" xfId="302" builtinId="9" hidden="true"/>
    <cellStyle name="Followed Hyperlink" xfId="304" builtinId="9" hidden="true"/>
    <cellStyle name="Followed Hyperlink" xfId="306" builtinId="9" hidden="true"/>
    <cellStyle name="Followed Hyperlink" xfId="308" builtinId="9" hidden="true"/>
    <cellStyle name="Followed Hyperlink" xfId="310" builtinId="9" hidden="true"/>
    <cellStyle name="Followed Hyperlink" xfId="312" builtinId="9" hidden="true"/>
    <cellStyle name="Followed Hyperlink" xfId="314" builtinId="9" hidden="true"/>
    <cellStyle name="Followed Hyperlink" xfId="316" builtinId="9" hidden="true"/>
    <cellStyle name="Followed Hyperlink" xfId="318" builtinId="9" hidden="true"/>
    <cellStyle name="Followed Hyperlink" xfId="320" builtinId="9" hidden="true"/>
    <cellStyle name="Followed Hyperlink" xfId="322" builtinId="9" hidden="true"/>
    <cellStyle name="Followed Hyperlink" xfId="324" builtinId="9" hidden="true"/>
    <cellStyle name="Followed Hyperlink" xfId="326" builtinId="9" hidden="true"/>
    <cellStyle name="Followed Hyperlink" xfId="328" builtinId="9" hidden="true"/>
    <cellStyle name="Followed Hyperlink" xfId="330" builtinId="9" hidden="true"/>
    <cellStyle name="Followed Hyperlink" xfId="332" builtinId="9" hidden="true"/>
    <cellStyle name="Followed Hyperlink" xfId="334" builtinId="9" hidden="true"/>
    <cellStyle name="Followed Hyperlink" xfId="336" builtinId="9" hidden="true"/>
    <cellStyle name="Followed Hyperlink" xfId="338" builtinId="9" hidden="true"/>
    <cellStyle name="Followed Hyperlink" xfId="340" builtinId="9" hidden="true"/>
    <cellStyle name="Followed Hyperlink" xfId="342" builtinId="9" hidden="true"/>
    <cellStyle name="Followed Hyperlink" xfId="344" builtinId="9" hidden="true"/>
    <cellStyle name="Followed Hyperlink" xfId="346" builtinId="9" hidden="true"/>
    <cellStyle name="Followed Hyperlink" xfId="348" builtinId="9" hidden="true"/>
    <cellStyle name="Followed Hyperlink" xfId="350" builtinId="9" hidden="true"/>
    <cellStyle name="Followed Hyperlink" xfId="352" builtinId="9" hidden="true"/>
    <cellStyle name="Followed Hyperlink" xfId="354" builtinId="9" hidden="true"/>
    <cellStyle name="Followed Hyperlink" xfId="356" builtinId="9" hidden="true"/>
    <cellStyle name="Followed Hyperlink" xfId="358" builtinId="9" hidden="true"/>
    <cellStyle name="Followed Hyperlink" xfId="360" builtinId="9" hidden="true"/>
    <cellStyle name="Followed Hyperlink" xfId="362" builtinId="9" hidden="true"/>
    <cellStyle name="Followed Hyperlink" xfId="364" builtinId="9" hidden="true"/>
    <cellStyle name="Followed Hyperlink" xfId="366" builtinId="9" hidden="true"/>
    <cellStyle name="Followed Hyperlink" xfId="368" builtinId="9" hidden="true"/>
    <cellStyle name="Followed Hyperlink" xfId="370" builtinId="9" hidden="true"/>
    <cellStyle name="Followed Hyperlink" xfId="372" builtinId="9" hidden="true"/>
    <cellStyle name="Followed Hyperlink" xfId="374" builtinId="9" hidden="true"/>
    <cellStyle name="Followed Hyperlink" xfId="376" builtinId="9" hidden="true"/>
    <cellStyle name="Followed Hyperlink" xfId="378" builtinId="9" hidden="true"/>
    <cellStyle name="Followed Hyperlink" xfId="380" builtinId="9" hidden="true"/>
    <cellStyle name="Followed Hyperlink" xfId="382" builtinId="9" hidden="true"/>
    <cellStyle name="Followed Hyperlink" xfId="384" builtinId="9" hidden="true"/>
    <cellStyle name="Followed Hyperlink" xfId="386" builtinId="9" hidden="true"/>
    <cellStyle name="Followed Hyperlink" xfId="388" builtinId="9" hidden="true"/>
    <cellStyle name="Followed Hyperlink" xfId="390" builtinId="9" hidden="true"/>
    <cellStyle name="Followed Hyperlink" xfId="392" builtinId="9" hidden="true"/>
    <cellStyle name="Followed Hyperlink" xfId="394" builtinId="9" hidden="true"/>
    <cellStyle name="Followed Hyperlink" xfId="396" builtinId="9" hidden="true"/>
    <cellStyle name="Followed Hyperlink" xfId="398" builtinId="9" hidden="true"/>
    <cellStyle name="Followed Hyperlink" xfId="400" builtinId="9" hidden="true"/>
    <cellStyle name="Followed Hyperlink" xfId="402" builtinId="9" hidden="true"/>
    <cellStyle name="Followed Hyperlink" xfId="404" builtinId="9" hidden="true"/>
    <cellStyle name="Followed Hyperlink" xfId="406" builtinId="9" hidden="true"/>
    <cellStyle name="Followed Hyperlink" xfId="408" builtinId="9" hidden="true"/>
    <cellStyle name="Followed Hyperlink" xfId="410" builtinId="9" hidden="true"/>
    <cellStyle name="Followed Hyperlink" xfId="412" builtinId="9" hidden="true"/>
    <cellStyle name="Followed Hyperlink" xfId="414" builtinId="9" hidden="true"/>
    <cellStyle name="Followed Hyperlink" xfId="416" builtinId="9" hidden="true"/>
    <cellStyle name="Followed Hyperlink" xfId="418" builtinId="9" hidden="true"/>
    <cellStyle name="Followed Hyperlink" xfId="420" builtinId="9" hidden="true"/>
    <cellStyle name="Followed Hyperlink" xfId="422" builtinId="9" hidden="true"/>
    <cellStyle name="Followed Hyperlink" xfId="424" builtinId="9" hidden="true"/>
    <cellStyle name="Followed Hyperlink" xfId="426" builtinId="9" hidden="true"/>
    <cellStyle name="Followed Hyperlink" xfId="428" builtinId="9" hidden="true"/>
    <cellStyle name="Followed Hyperlink" xfId="430" builtinId="9" hidden="true"/>
    <cellStyle name="Followed Hyperlink" xfId="432" builtinId="9" hidden="true"/>
    <cellStyle name="Followed Hyperlink" xfId="434" builtinId="9" hidden="true"/>
    <cellStyle name="Followed Hyperlink" xfId="436" builtinId="9" hidden="true"/>
    <cellStyle name="Followed Hyperlink" xfId="438" builtinId="9" hidden="true"/>
    <cellStyle name="Followed Hyperlink" xfId="440" builtinId="9" hidden="true"/>
    <cellStyle name="Followed Hyperlink" xfId="442" builtinId="9" hidden="true"/>
    <cellStyle name="Followed Hyperlink" xfId="444" builtinId="9" hidden="true"/>
    <cellStyle name="Followed Hyperlink" xfId="446" builtinId="9" hidden="true"/>
    <cellStyle name="Followed Hyperlink" xfId="448" builtinId="9" hidden="true"/>
    <cellStyle name="Followed Hyperlink" xfId="450" builtinId="9" hidden="true"/>
    <cellStyle name="Followed Hyperlink" xfId="452" builtinId="9" hidden="true"/>
    <cellStyle name="Followed Hyperlink" xfId="454" builtinId="9" hidden="true"/>
    <cellStyle name="Followed Hyperlink" xfId="456" builtinId="9" hidden="true"/>
    <cellStyle name="Followed Hyperlink" xfId="458" builtinId="9" hidden="true"/>
    <cellStyle name="Followed Hyperlink" xfId="460" builtinId="9" hidden="true"/>
    <cellStyle name="Followed Hyperlink" xfId="462" builtinId="9" hidden="true"/>
    <cellStyle name="Followed Hyperlink" xfId="464" builtinId="9" hidden="true"/>
    <cellStyle name="Followed Hyperlink" xfId="466" builtinId="9" hidden="true"/>
    <cellStyle name="Followed Hyperlink" xfId="468" builtinId="9" hidden="true"/>
    <cellStyle name="Followed Hyperlink" xfId="470" builtinId="9" hidden="true"/>
    <cellStyle name="Followed Hyperlink" xfId="472" builtinId="9" hidden="true"/>
    <cellStyle name="Followed Hyperlink" xfId="474" builtinId="9" hidden="true"/>
    <cellStyle name="Followed Hyperlink" xfId="476" builtinId="9" hidden="true"/>
    <cellStyle name="Followed Hyperlink" xfId="478" builtinId="9" hidden="true"/>
    <cellStyle name="Followed Hyperlink" xfId="480" builtinId="9" hidden="true"/>
    <cellStyle name="Followed Hyperlink" xfId="482" builtinId="9" hidden="true"/>
    <cellStyle name="Followed Hyperlink" xfId="484" builtinId="9" hidden="true"/>
    <cellStyle name="Followed Hyperlink" xfId="486" builtinId="9" hidden="true"/>
    <cellStyle name="Followed Hyperlink" xfId="488" builtinId="9" hidden="true"/>
    <cellStyle name="Followed Hyperlink" xfId="490" builtinId="9" hidden="true"/>
    <cellStyle name="Followed Hyperlink" xfId="492" builtinId="9" hidden="true"/>
    <cellStyle name="Followed Hyperlink" xfId="494" builtinId="9" hidden="true"/>
    <cellStyle name="Followed Hyperlink" xfId="496" builtinId="9" hidden="true"/>
    <cellStyle name="Followed Hyperlink" xfId="498" builtinId="9" hidden="true"/>
    <cellStyle name="Followed Hyperlink" xfId="500" builtinId="9" hidden="true"/>
    <cellStyle name="Followed Hyperlink" xfId="502" builtinId="9" hidden="true"/>
    <cellStyle name="Followed Hyperlink" xfId="504" builtinId="9" hidden="true"/>
    <cellStyle name="Followed Hyperlink" xfId="506" builtinId="9" hidden="true"/>
    <cellStyle name="Followed Hyperlink" xfId="508" builtinId="9" hidden="true"/>
    <cellStyle name="Followed Hyperlink" xfId="510" builtinId="9" hidden="true"/>
    <cellStyle name="Followed Hyperlink" xfId="512" builtinId="9" hidden="true"/>
    <cellStyle name="Followed Hyperlink" xfId="514" builtinId="9" hidden="true"/>
    <cellStyle name="Followed Hyperlink" xfId="516" builtinId="9" hidden="true"/>
    <cellStyle name="Followed Hyperlink" xfId="518" builtinId="9" hidden="true"/>
    <cellStyle name="Followed Hyperlink" xfId="520" builtinId="9" hidden="true"/>
    <cellStyle name="Followed Hyperlink" xfId="522" builtinId="9" hidden="true"/>
    <cellStyle name="Followed Hyperlink" xfId="524" builtinId="9" hidden="true"/>
    <cellStyle name="Followed Hyperlink" xfId="526" builtinId="9" hidden="true"/>
    <cellStyle name="Followed Hyperlink" xfId="528" builtinId="9" hidden="true"/>
    <cellStyle name="Followed Hyperlink" xfId="530" builtinId="9" hidden="true"/>
    <cellStyle name="Followed Hyperlink" xfId="532" builtinId="9" hidden="true"/>
    <cellStyle name="Followed Hyperlink" xfId="534" builtinId="9" hidden="true"/>
    <cellStyle name="Followed Hyperlink" xfId="536" builtinId="9" hidden="true"/>
    <cellStyle name="Followed Hyperlink" xfId="538" builtinId="9" hidden="true"/>
    <cellStyle name="Followed Hyperlink" xfId="540" builtinId="9" hidden="true"/>
    <cellStyle name="Followed Hyperlink" xfId="542" builtinId="9" hidden="true"/>
    <cellStyle name="Followed Hyperlink" xfId="544" builtinId="9" hidden="true"/>
    <cellStyle name="Followed Hyperlink" xfId="546" builtinId="9" hidden="true"/>
    <cellStyle name="Followed Hyperlink" xfId="548" builtinId="9" hidden="true"/>
    <cellStyle name="Followed Hyperlink" xfId="550" builtinId="9" hidden="true"/>
    <cellStyle name="Followed Hyperlink" xfId="552" builtinId="9" hidden="true"/>
    <cellStyle name="Followed Hyperlink" xfId="554" builtinId="9" hidden="true"/>
    <cellStyle name="Followed Hyperlink" xfId="556" builtinId="9" hidden="true"/>
    <cellStyle name="Followed Hyperlink" xfId="558" builtinId="9" hidden="true"/>
    <cellStyle name="Followed Hyperlink" xfId="560" builtinId="9" hidden="true"/>
    <cellStyle name="Followed Hyperlink" xfId="562" builtinId="9" hidden="true"/>
    <cellStyle name="Followed Hyperlink" xfId="564" builtinId="9" hidden="true"/>
    <cellStyle name="Followed Hyperlink" xfId="566" builtinId="9" hidden="true"/>
    <cellStyle name="Followed Hyperlink" xfId="568" builtinId="9" hidden="true"/>
    <cellStyle name="Hyperlink" xfId="1" builtinId="8" hidden="true"/>
    <cellStyle name="Hyperlink" xfId="3" builtinId="8" hidden="true"/>
    <cellStyle name="Hyperlink" xfId="5" builtinId="8" hidden="true"/>
    <cellStyle name="Hyperlink" xfId="7" builtinId="8" hidden="true"/>
    <cellStyle name="Hyperlink" xfId="9" builtinId="8" hidden="true"/>
    <cellStyle name="Hyperlink" xfId="11" builtinId="8" hidden="true"/>
    <cellStyle name="Hyperlink" xfId="13" builtinId="8" hidden="true"/>
    <cellStyle name="Hyperlink" xfId="15" builtinId="8" hidden="true"/>
    <cellStyle name="Hyperlink" xfId="17" builtinId="8" hidden="true"/>
    <cellStyle name="Hyperlink" xfId="19" builtinId="8" hidden="true"/>
    <cellStyle name="Hyperlink" xfId="21" builtinId="8" hidden="true"/>
    <cellStyle name="Hyperlink" xfId="23" builtinId="8" hidden="true"/>
    <cellStyle name="Hyperlink" xfId="25" builtinId="8" hidden="true"/>
    <cellStyle name="Hyperlink" xfId="27" builtinId="8" hidden="true"/>
    <cellStyle name="Hyperlink" xfId="29" builtinId="8" hidden="true"/>
    <cellStyle name="Hyperlink" xfId="31" builtinId="8" hidden="true"/>
    <cellStyle name="Hyperlink" xfId="33" builtinId="8" hidden="true"/>
    <cellStyle name="Hyperlink" xfId="35" builtinId="8" hidden="true"/>
    <cellStyle name="Hyperlink" xfId="37" builtinId="8" hidden="true"/>
    <cellStyle name="Hyperlink" xfId="39" builtinId="8" hidden="true"/>
    <cellStyle name="Hyperlink" xfId="41" builtinId="8" hidden="true"/>
    <cellStyle name="Hyperlink" xfId="43" builtinId="8" hidden="true"/>
    <cellStyle name="Hyperlink" xfId="45" builtinId="8" hidden="true"/>
    <cellStyle name="Hyperlink" xfId="47" builtinId="8" hidden="true"/>
    <cellStyle name="Hyperlink" xfId="49" builtinId="8" hidden="true"/>
    <cellStyle name="Hyperlink" xfId="51" builtinId="8" hidden="true"/>
    <cellStyle name="Hyperlink" xfId="53" builtinId="8" hidden="true"/>
    <cellStyle name="Hyperlink" xfId="55" builtinId="8" hidden="true"/>
    <cellStyle name="Hyperlink" xfId="57" builtinId="8" hidden="true"/>
    <cellStyle name="Hyperlink" xfId="59" builtinId="8" hidden="true"/>
    <cellStyle name="Hyperlink" xfId="61" builtinId="8" hidden="true"/>
    <cellStyle name="Hyperlink" xfId="63" builtinId="8" hidden="true"/>
    <cellStyle name="Hyperlink" xfId="65" builtinId="8" hidden="true"/>
    <cellStyle name="Hyperlink" xfId="67" builtinId="8" hidden="true"/>
    <cellStyle name="Hyperlink" xfId="69" builtinId="8" hidden="true"/>
    <cellStyle name="Hyperlink" xfId="71" builtinId="8" hidden="true"/>
    <cellStyle name="Hyperlink" xfId="73" builtinId="8" hidden="true"/>
    <cellStyle name="Hyperlink" xfId="75" builtinId="8" hidden="true"/>
    <cellStyle name="Hyperlink" xfId="77" builtinId="8" hidden="true"/>
    <cellStyle name="Hyperlink" xfId="79" builtinId="8" hidden="true"/>
    <cellStyle name="Hyperlink" xfId="81" builtinId="8" hidden="true"/>
    <cellStyle name="Hyperlink" xfId="83" builtinId="8" hidden="true"/>
    <cellStyle name="Hyperlink" xfId="85" builtinId="8" hidden="true"/>
    <cellStyle name="Hyperlink" xfId="87" builtinId="8" hidden="true"/>
    <cellStyle name="Hyperlink" xfId="89" builtinId="8" hidden="true"/>
    <cellStyle name="Hyperlink" xfId="91" builtinId="8" hidden="true"/>
    <cellStyle name="Hyperlink" xfId="93" builtinId="8" hidden="true"/>
    <cellStyle name="Hyperlink" xfId="95" builtinId="8" hidden="true"/>
    <cellStyle name="Hyperlink" xfId="97" builtinId="8" hidden="true"/>
    <cellStyle name="Hyperlink" xfId="99" builtinId="8" hidden="true"/>
    <cellStyle name="Hyperlink" xfId="101" builtinId="8" hidden="true"/>
    <cellStyle name="Hyperlink" xfId="103" builtinId="8" hidden="true"/>
    <cellStyle name="Hyperlink" xfId="105" builtinId="8" hidden="true"/>
    <cellStyle name="Hyperlink" xfId="107" builtinId="8" hidden="true"/>
    <cellStyle name="Hyperlink" xfId="109" builtinId="8" hidden="true"/>
    <cellStyle name="Hyperlink" xfId="111" builtinId="8" hidden="true"/>
    <cellStyle name="Hyperlink" xfId="113" builtinId="8" hidden="true"/>
    <cellStyle name="Hyperlink" xfId="115" builtinId="8" hidden="true"/>
    <cellStyle name="Hyperlink" xfId="117" builtinId="8" hidden="true"/>
    <cellStyle name="Hyperlink" xfId="119" builtinId="8" hidden="true"/>
    <cellStyle name="Hyperlink" xfId="121" builtinId="8" hidden="true"/>
    <cellStyle name="Hyperlink" xfId="123" builtinId="8" hidden="true"/>
    <cellStyle name="Hyperlink" xfId="125" builtinId="8" hidden="true"/>
    <cellStyle name="Hyperlink" xfId="127" builtinId="8" hidden="true"/>
    <cellStyle name="Hyperlink" xfId="129" builtinId="8" hidden="true"/>
    <cellStyle name="Hyperlink" xfId="131" builtinId="8" hidden="true"/>
    <cellStyle name="Hyperlink" xfId="133" builtinId="8" hidden="true"/>
    <cellStyle name="Hyperlink" xfId="135" builtinId="8" hidden="true"/>
    <cellStyle name="Hyperlink" xfId="137" builtinId="8" hidden="true"/>
    <cellStyle name="Hyperlink" xfId="139" builtinId="8" hidden="true"/>
    <cellStyle name="Hyperlink" xfId="141" builtinId="8" hidden="true"/>
    <cellStyle name="Hyperlink" xfId="143" builtinId="8" hidden="true"/>
    <cellStyle name="Hyperlink" xfId="145" builtinId="8" hidden="true"/>
    <cellStyle name="Hyperlink" xfId="147" builtinId="8" hidden="true"/>
    <cellStyle name="Hyperlink" xfId="149" builtinId="8" hidden="true"/>
    <cellStyle name="Hyperlink" xfId="151" builtinId="8" hidden="true"/>
    <cellStyle name="Hyperlink" xfId="153" builtinId="8" hidden="true"/>
    <cellStyle name="Hyperlink" xfId="155" builtinId="8" hidden="true"/>
    <cellStyle name="Hyperlink" xfId="157" builtinId="8" hidden="true"/>
    <cellStyle name="Hyperlink" xfId="159" builtinId="8" hidden="true"/>
    <cellStyle name="Hyperlink" xfId="161" builtinId="8" hidden="true"/>
    <cellStyle name="Hyperlink" xfId="163" builtinId="8" hidden="true"/>
    <cellStyle name="Hyperlink" xfId="165" builtinId="8" hidden="true"/>
    <cellStyle name="Hyperlink" xfId="167" builtinId="8" hidden="true"/>
    <cellStyle name="Hyperlink" xfId="169" builtinId="8" hidden="true"/>
    <cellStyle name="Hyperlink" xfId="171" builtinId="8" hidden="true"/>
    <cellStyle name="Hyperlink" xfId="173" builtinId="8" hidden="true"/>
    <cellStyle name="Hyperlink" xfId="175" builtinId="8" hidden="true"/>
    <cellStyle name="Hyperlink" xfId="177" builtinId="8" hidden="true"/>
    <cellStyle name="Hyperlink" xfId="179" builtinId="8" hidden="true"/>
    <cellStyle name="Hyperlink" xfId="181" builtinId="8" hidden="true"/>
    <cellStyle name="Hyperlink" xfId="183" builtinId="8" hidden="true"/>
    <cellStyle name="Hyperlink" xfId="185" builtinId="8" hidden="true"/>
    <cellStyle name="Hyperlink" xfId="187" builtinId="8" hidden="true"/>
    <cellStyle name="Hyperlink" xfId="189" builtinId="8" hidden="true"/>
    <cellStyle name="Hyperlink" xfId="191" builtinId="8" hidden="true"/>
    <cellStyle name="Hyperlink" xfId="193" builtinId="8" hidden="true"/>
    <cellStyle name="Hyperlink" xfId="195" builtinId="8" hidden="true"/>
    <cellStyle name="Hyperlink" xfId="197" builtinId="8" hidden="true"/>
    <cellStyle name="Hyperlink" xfId="199" builtinId="8" hidden="true"/>
    <cellStyle name="Hyperlink" xfId="201" builtinId="8" hidden="true"/>
    <cellStyle name="Hyperlink" xfId="203" builtinId="8" hidden="true"/>
    <cellStyle name="Hyperlink" xfId="205" builtinId="8" hidden="true"/>
    <cellStyle name="Hyperlink" xfId="207" builtinId="8" hidden="true"/>
    <cellStyle name="Hyperlink" xfId="209" builtinId="8" hidden="true"/>
    <cellStyle name="Hyperlink" xfId="211" builtinId="8" hidden="true"/>
    <cellStyle name="Hyperlink" xfId="213" builtinId="8" hidden="true"/>
    <cellStyle name="Hyperlink" xfId="215" builtinId="8" hidden="true"/>
    <cellStyle name="Hyperlink" xfId="217" builtinId="8" hidden="true"/>
    <cellStyle name="Hyperlink" xfId="219" builtinId="8" hidden="true"/>
    <cellStyle name="Hyperlink" xfId="221" builtinId="8" hidden="true"/>
    <cellStyle name="Hyperlink" xfId="223" builtinId="8" hidden="true"/>
    <cellStyle name="Hyperlink" xfId="225" builtinId="8" hidden="true"/>
    <cellStyle name="Hyperlink" xfId="227" builtinId="8" hidden="true"/>
    <cellStyle name="Hyperlink" xfId="229" builtinId="8" hidden="true"/>
    <cellStyle name="Hyperlink" xfId="231" builtinId="8" hidden="true"/>
    <cellStyle name="Hyperlink" xfId="233" builtinId="8" hidden="true"/>
    <cellStyle name="Hyperlink" xfId="235" builtinId="8" hidden="true"/>
    <cellStyle name="Hyperlink" xfId="237" builtinId="8" hidden="true"/>
    <cellStyle name="Hyperlink" xfId="239" builtinId="8" hidden="true"/>
    <cellStyle name="Hyperlink" xfId="241" builtinId="8" hidden="true"/>
    <cellStyle name="Hyperlink" xfId="243" builtinId="8" hidden="true"/>
    <cellStyle name="Hyperlink" xfId="245" builtinId="8" hidden="true"/>
    <cellStyle name="Hyperlink" xfId="247" builtinId="8" hidden="true"/>
    <cellStyle name="Hyperlink" xfId="249" builtinId="8" hidden="true"/>
    <cellStyle name="Hyperlink" xfId="251" builtinId="8" hidden="true"/>
    <cellStyle name="Hyperlink" xfId="253" builtinId="8" hidden="true"/>
    <cellStyle name="Hyperlink" xfId="255" builtinId="8" hidden="true"/>
    <cellStyle name="Hyperlink" xfId="257" builtinId="8" hidden="true"/>
    <cellStyle name="Hyperlink" xfId="259" builtinId="8" hidden="true"/>
    <cellStyle name="Hyperlink" xfId="261" builtinId="8" hidden="true"/>
    <cellStyle name="Hyperlink" xfId="263" builtinId="8" hidden="true"/>
    <cellStyle name="Hyperlink" xfId="265" builtinId="8" hidden="true"/>
    <cellStyle name="Hyperlink" xfId="267" builtinId="8" hidden="true"/>
    <cellStyle name="Hyperlink" xfId="269" builtinId="8" hidden="true"/>
    <cellStyle name="Hyperlink" xfId="271" builtinId="8" hidden="true"/>
    <cellStyle name="Hyperlink" xfId="273" builtinId="8" hidden="true"/>
    <cellStyle name="Hyperlink" xfId="275" builtinId="8" hidden="true"/>
    <cellStyle name="Hyperlink" xfId="277" builtinId="8" hidden="true"/>
    <cellStyle name="Hyperlink" xfId="279" builtinId="8" hidden="true"/>
    <cellStyle name="Hyperlink" xfId="281" builtinId="8" hidden="true"/>
    <cellStyle name="Hyperlink" xfId="283" builtinId="8" hidden="true"/>
    <cellStyle name="Hyperlink" xfId="285" builtinId="8" hidden="true"/>
    <cellStyle name="Hyperlink" xfId="287" builtinId="8" hidden="true"/>
    <cellStyle name="Hyperlink" xfId="289" builtinId="8" hidden="true"/>
    <cellStyle name="Hyperlink" xfId="291" builtinId="8" hidden="true"/>
    <cellStyle name="Hyperlink" xfId="293" builtinId="8" hidden="true"/>
    <cellStyle name="Hyperlink" xfId="295" builtinId="8" hidden="true"/>
    <cellStyle name="Hyperlink" xfId="297" builtinId="8" hidden="true"/>
    <cellStyle name="Hyperlink" xfId="299" builtinId="8" hidden="true"/>
    <cellStyle name="Hyperlink" xfId="301" builtinId="8" hidden="true"/>
    <cellStyle name="Hyperlink" xfId="303" builtinId="8" hidden="true"/>
    <cellStyle name="Hyperlink" xfId="305" builtinId="8" hidden="true"/>
    <cellStyle name="Hyperlink" xfId="307" builtinId="8" hidden="true"/>
    <cellStyle name="Hyperlink" xfId="309" builtinId="8" hidden="true"/>
    <cellStyle name="Hyperlink" xfId="311" builtinId="8" hidden="true"/>
    <cellStyle name="Hyperlink" xfId="313" builtinId="8" hidden="true"/>
    <cellStyle name="Hyperlink" xfId="315" builtinId="8" hidden="true"/>
    <cellStyle name="Hyperlink" xfId="317" builtinId="8" hidden="true"/>
    <cellStyle name="Hyperlink" xfId="319" builtinId="8" hidden="true"/>
    <cellStyle name="Hyperlink" xfId="321" builtinId="8" hidden="true"/>
    <cellStyle name="Hyperlink" xfId="323" builtinId="8" hidden="true"/>
    <cellStyle name="Hyperlink" xfId="325" builtinId="8" hidden="true"/>
    <cellStyle name="Hyperlink" xfId="327" builtinId="8" hidden="true"/>
    <cellStyle name="Hyperlink" xfId="329" builtinId="8" hidden="true"/>
    <cellStyle name="Hyperlink" xfId="331" builtinId="8" hidden="true"/>
    <cellStyle name="Hyperlink" xfId="333" builtinId="8" hidden="true"/>
    <cellStyle name="Hyperlink" xfId="335" builtinId="8" hidden="true"/>
    <cellStyle name="Hyperlink" xfId="337" builtinId="8" hidden="true"/>
    <cellStyle name="Hyperlink" xfId="339" builtinId="8" hidden="true"/>
    <cellStyle name="Hyperlink" xfId="341" builtinId="8" hidden="true"/>
    <cellStyle name="Hyperlink" xfId="343" builtinId="8" hidden="true"/>
    <cellStyle name="Hyperlink" xfId="345" builtinId="8" hidden="true"/>
    <cellStyle name="Hyperlink" xfId="347" builtinId="8" hidden="true"/>
    <cellStyle name="Hyperlink" xfId="349" builtinId="8" hidden="true"/>
    <cellStyle name="Hyperlink" xfId="351" builtinId="8" hidden="true"/>
    <cellStyle name="Hyperlink" xfId="353" builtinId="8" hidden="true"/>
    <cellStyle name="Hyperlink" xfId="355" builtinId="8" hidden="true"/>
    <cellStyle name="Hyperlink" xfId="357" builtinId="8" hidden="true"/>
    <cellStyle name="Hyperlink" xfId="359" builtinId="8" hidden="true"/>
    <cellStyle name="Hyperlink" xfId="361" builtinId="8" hidden="true"/>
    <cellStyle name="Hyperlink" xfId="363" builtinId="8" hidden="true"/>
    <cellStyle name="Hyperlink" xfId="365" builtinId="8" hidden="true"/>
    <cellStyle name="Hyperlink" xfId="367" builtinId="8" hidden="true"/>
    <cellStyle name="Hyperlink" xfId="369" builtinId="8" hidden="true"/>
    <cellStyle name="Hyperlink" xfId="371" builtinId="8" hidden="true"/>
    <cellStyle name="Hyperlink" xfId="373" builtinId="8" hidden="true"/>
    <cellStyle name="Hyperlink" xfId="375" builtinId="8" hidden="true"/>
    <cellStyle name="Hyperlink" xfId="377" builtinId="8" hidden="true"/>
    <cellStyle name="Hyperlink" xfId="379" builtinId="8" hidden="true"/>
    <cellStyle name="Hyperlink" xfId="381" builtinId="8" hidden="true"/>
    <cellStyle name="Hyperlink" xfId="383" builtinId="8" hidden="true"/>
    <cellStyle name="Hyperlink" xfId="385" builtinId="8" hidden="true"/>
    <cellStyle name="Hyperlink" xfId="387" builtinId="8" hidden="true"/>
    <cellStyle name="Hyperlink" xfId="389" builtinId="8" hidden="true"/>
    <cellStyle name="Hyperlink" xfId="391" builtinId="8" hidden="true"/>
    <cellStyle name="Hyperlink" xfId="393" builtinId="8" hidden="true"/>
    <cellStyle name="Hyperlink" xfId="395" builtinId="8" hidden="true"/>
    <cellStyle name="Hyperlink" xfId="397" builtinId="8" hidden="true"/>
    <cellStyle name="Hyperlink" xfId="399" builtinId="8" hidden="true"/>
    <cellStyle name="Hyperlink" xfId="401" builtinId="8" hidden="true"/>
    <cellStyle name="Hyperlink" xfId="403" builtinId="8" hidden="true"/>
    <cellStyle name="Hyperlink" xfId="405" builtinId="8" hidden="true"/>
    <cellStyle name="Hyperlink" xfId="407" builtinId="8" hidden="true"/>
    <cellStyle name="Hyperlink" xfId="409" builtinId="8" hidden="true"/>
    <cellStyle name="Hyperlink" xfId="411" builtinId="8" hidden="true"/>
    <cellStyle name="Hyperlink" xfId="413" builtinId="8" hidden="true"/>
    <cellStyle name="Hyperlink" xfId="415" builtinId="8" hidden="true"/>
    <cellStyle name="Hyperlink" xfId="417" builtinId="8" hidden="true"/>
    <cellStyle name="Hyperlink" xfId="419" builtinId="8" hidden="true"/>
    <cellStyle name="Hyperlink" xfId="421" builtinId="8" hidden="true"/>
    <cellStyle name="Hyperlink" xfId="423" builtinId="8" hidden="true"/>
    <cellStyle name="Hyperlink" xfId="425" builtinId="8" hidden="true"/>
    <cellStyle name="Hyperlink" xfId="427" builtinId="8" hidden="true"/>
    <cellStyle name="Hyperlink" xfId="429" builtinId="8" hidden="true"/>
    <cellStyle name="Hyperlink" xfId="431" builtinId="8" hidden="true"/>
    <cellStyle name="Hyperlink" xfId="433" builtinId="8" hidden="true"/>
    <cellStyle name="Hyperlink" xfId="435" builtinId="8" hidden="true"/>
    <cellStyle name="Hyperlink" xfId="437" builtinId="8" hidden="true"/>
    <cellStyle name="Hyperlink" xfId="439" builtinId="8" hidden="true"/>
    <cellStyle name="Hyperlink" xfId="441" builtinId="8" hidden="true"/>
    <cellStyle name="Hyperlink" xfId="443" builtinId="8" hidden="true"/>
    <cellStyle name="Hyperlink" xfId="445" builtinId="8" hidden="true"/>
    <cellStyle name="Hyperlink" xfId="447" builtinId="8" hidden="true"/>
    <cellStyle name="Hyperlink" xfId="449" builtinId="8" hidden="true"/>
    <cellStyle name="Hyperlink" xfId="451" builtinId="8" hidden="true"/>
    <cellStyle name="Hyperlink" xfId="453" builtinId="8" hidden="true"/>
    <cellStyle name="Hyperlink" xfId="455" builtinId="8" hidden="true"/>
    <cellStyle name="Hyperlink" xfId="457" builtinId="8" hidden="true"/>
    <cellStyle name="Hyperlink" xfId="459" builtinId="8" hidden="true"/>
    <cellStyle name="Hyperlink" xfId="461" builtinId="8" hidden="true"/>
    <cellStyle name="Hyperlink" xfId="463" builtinId="8" hidden="true"/>
    <cellStyle name="Hyperlink" xfId="465" builtinId="8" hidden="true"/>
    <cellStyle name="Hyperlink" xfId="467" builtinId="8" hidden="true"/>
    <cellStyle name="Hyperlink" xfId="469" builtinId="8" hidden="true"/>
    <cellStyle name="Hyperlink" xfId="471" builtinId="8" hidden="true"/>
    <cellStyle name="Hyperlink" xfId="473" builtinId="8" hidden="true"/>
    <cellStyle name="Hyperlink" xfId="475" builtinId="8" hidden="true"/>
    <cellStyle name="Hyperlink" xfId="477" builtinId="8" hidden="true"/>
    <cellStyle name="Hyperlink" xfId="479" builtinId="8" hidden="true"/>
    <cellStyle name="Hyperlink" xfId="481" builtinId="8" hidden="true"/>
    <cellStyle name="Hyperlink" xfId="483" builtinId="8" hidden="true"/>
    <cellStyle name="Hyperlink" xfId="485" builtinId="8" hidden="true"/>
    <cellStyle name="Hyperlink" xfId="487" builtinId="8" hidden="true"/>
    <cellStyle name="Hyperlink" xfId="489" builtinId="8" hidden="true"/>
    <cellStyle name="Hyperlink" xfId="491" builtinId="8" hidden="true"/>
    <cellStyle name="Hyperlink" xfId="493" builtinId="8" hidden="true"/>
    <cellStyle name="Hyperlink" xfId="495" builtinId="8" hidden="true"/>
    <cellStyle name="Hyperlink" xfId="497" builtinId="8" hidden="true"/>
    <cellStyle name="Hyperlink" xfId="499" builtinId="8" hidden="true"/>
    <cellStyle name="Hyperlink" xfId="501" builtinId="8" hidden="true"/>
    <cellStyle name="Hyperlink" xfId="503" builtinId="8" hidden="true"/>
    <cellStyle name="Hyperlink" xfId="505" builtinId="8" hidden="true"/>
    <cellStyle name="Hyperlink" xfId="507" builtinId="8" hidden="true"/>
    <cellStyle name="Hyperlink" xfId="509" builtinId="8" hidden="true"/>
    <cellStyle name="Hyperlink" xfId="511" builtinId="8" hidden="true"/>
    <cellStyle name="Hyperlink" xfId="513" builtinId="8" hidden="true"/>
    <cellStyle name="Hyperlink" xfId="515" builtinId="8" hidden="true"/>
    <cellStyle name="Hyperlink" xfId="517" builtinId="8" hidden="true"/>
    <cellStyle name="Hyperlink" xfId="519" builtinId="8" hidden="true"/>
    <cellStyle name="Hyperlink" xfId="521" builtinId="8" hidden="true"/>
    <cellStyle name="Hyperlink" xfId="523" builtinId="8" hidden="true"/>
    <cellStyle name="Hyperlink" xfId="525" builtinId="8" hidden="true"/>
    <cellStyle name="Hyperlink" xfId="527" builtinId="8" hidden="true"/>
    <cellStyle name="Hyperlink" xfId="529" builtinId="8" hidden="true"/>
    <cellStyle name="Hyperlink" xfId="531" builtinId="8" hidden="true"/>
    <cellStyle name="Hyperlink" xfId="533" builtinId="8" hidden="true"/>
    <cellStyle name="Hyperlink" xfId="535" builtinId="8" hidden="true"/>
    <cellStyle name="Hyperlink" xfId="537" builtinId="8" hidden="true"/>
    <cellStyle name="Hyperlink" xfId="539" builtinId="8" hidden="true"/>
    <cellStyle name="Hyperlink" xfId="541" builtinId="8" hidden="true"/>
    <cellStyle name="Hyperlink" xfId="543" builtinId="8" hidden="true"/>
    <cellStyle name="Hyperlink" xfId="545" builtinId="8" hidden="true"/>
    <cellStyle name="Hyperlink" xfId="547" builtinId="8" hidden="true"/>
    <cellStyle name="Hyperlink" xfId="549" builtinId="8" hidden="true"/>
    <cellStyle name="Hyperlink" xfId="551" builtinId="8" hidden="true"/>
    <cellStyle name="Hyperlink" xfId="553" builtinId="8" hidden="true"/>
    <cellStyle name="Hyperlink" xfId="555" builtinId="8" hidden="true"/>
    <cellStyle name="Hyperlink" xfId="557" builtinId="8" hidden="true"/>
    <cellStyle name="Hyperlink" xfId="559" builtinId="8" hidden="true"/>
    <cellStyle name="Hyperlink" xfId="561" builtinId="8" hidden="true"/>
    <cellStyle name="Hyperlink" xfId="563" builtinId="8" hidden="true"/>
    <cellStyle name="Hyperlink" xfId="565" builtinId="8" hidden="true"/>
    <cellStyle name="Hyperlink" xfId="567" builtinId="8" hidden="true"/>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r="http://schemas.openxmlformats.org/officeDocument/2006/relationships"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tint val="100000"/>
                <a:shade val="100000"/>
                <a:satMod val="130000"/>
              </a:schemeClr>
            </a:gs>
            <a:gs pos="100000">
              <a:schemeClr val="phClr">
                <a:tint val="50000"/>
                <a:shade val="100000"/>
                <a:satMod val="350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E41"/>
  <sheetViews>
    <sheetView showGridLines="false" topLeftCell="A17" workbookViewId="0">
      <selection activeCell="A33" sqref="A33:XFD35"/>
    </sheetView>
  </sheetViews>
  <sheetFormatPr xmlns:x14ac="http://schemas.microsoft.com/office/spreadsheetml/2009/9/ac" baseColWidth="10" defaultColWidth="11" defaultRowHeight="16" x14ac:dyDescent="0.2"/>
  <cols>
    <col min="1" max="1" width="14.33203125" customWidth="true"/>
    <col min="2" max="2" width="54.1640625" customWidth="true"/>
    <col min="3" max="3" width="14.33203125" style="73" bestFit="true" customWidth="true"/>
    <col min="4" max="4" width="8.5" style="73" customWidth="true"/>
    <col min="5" max="5" width="11.6640625" style="73" bestFit="true" customWidth="true"/>
  </cols>
  <sheetData>
    <row xmlns:x14ac="http://schemas.microsoft.com/office/spreadsheetml/2009/9/ac" r="1" x14ac:dyDescent="0.2">
      <c r="B1" s="83" t="s">
        <v>59</v>
      </c>
      <c r="C1" s="83"/>
      <c r="D1" s="83"/>
      <c r="E1" s="83"/>
    </row>
    <row xmlns:x14ac="http://schemas.microsoft.com/office/spreadsheetml/2009/9/ac" r="2" ht="41" customHeight="true" x14ac:dyDescent="0.2">
      <c r="B2" s="31"/>
      <c r="C2" s="82" t="s">
        <v>60</v>
      </c>
      <c r="D2" s="82"/>
      <c r="E2" s="82"/>
    </row>
    <row xmlns:x14ac="http://schemas.microsoft.com/office/spreadsheetml/2009/9/ac" r="3" ht="15" customHeight="true" thickBot="true" x14ac:dyDescent="0.25">
      <c r="B3" s="32" t="s">
        <v>0</v>
      </c>
      <c r="C3" s="74" t="s">
        <v>1</v>
      </c>
      <c r="D3" s="74" t="s">
        <v>2</v>
      </c>
      <c r="E3" s="74" t="s">
        <v>3</v>
      </c>
    </row>
    <row xmlns:x14ac="http://schemas.microsoft.com/office/spreadsheetml/2009/9/ac" r="4" ht="22" customHeight="true" thickTop="true" x14ac:dyDescent="0.2">
      <c r="B4" s="30" t="s">
        <v>4</v>
      </c>
      <c r="C4" s="72"/>
      <c r="D4" s="71"/>
      <c r="E4" s="71"/>
    </row>
    <row xmlns:x14ac="http://schemas.microsoft.com/office/spreadsheetml/2009/9/ac" r="5" x14ac:dyDescent="0.2">
      <c r="B5" s="11" t="s">
        <v>50</v>
      </c>
      <c r="C5" s="75">
        <v>34800</v>
      </c>
      <c r="D5" s="76">
        <v>0.077155172413793105</v>
      </c>
      <c r="E5" s="76">
        <v>0.26684133466182647</v>
      </c>
    </row>
    <row xmlns:x14ac="http://schemas.microsoft.com/office/spreadsheetml/2009/9/ac" r="6" x14ac:dyDescent="0.2">
      <c r="B6" s="11" t="s">
        <v>43</v>
      </c>
      <c r="C6" s="75">
        <v>34800</v>
      </c>
      <c r="D6" s="76">
        <v>0.0045594828095736686</v>
      </c>
      <c r="E6" s="76">
        <v>0.037793402653613577</v>
      </c>
    </row>
    <row xmlns:x14ac="http://schemas.microsoft.com/office/spreadsheetml/2009/9/ac" r="7" x14ac:dyDescent="0.2">
      <c r="B7" s="11" t="s">
        <v>5</v>
      </c>
      <c r="C7" s="75">
        <v>34800</v>
      </c>
      <c r="D7" s="76">
        <v>0.044913793103448278</v>
      </c>
      <c r="E7" s="76">
        <v>0.20711778529921068</v>
      </c>
    </row>
    <row xmlns:x14ac="http://schemas.microsoft.com/office/spreadsheetml/2009/9/ac" r="8" ht="20" customHeight="true" x14ac:dyDescent="0.2">
      <c r="B8" s="13" t="s">
        <v>6</v>
      </c>
      <c r="C8" s="13"/>
      <c r="D8" s="13"/>
      <c r="E8" s="13"/>
    </row>
    <row xmlns:x14ac="http://schemas.microsoft.com/office/spreadsheetml/2009/9/ac" r="9" x14ac:dyDescent="0.2">
      <c r="B9" s="12" t="s">
        <v>7</v>
      </c>
      <c r="C9" s="77">
        <v>3480</v>
      </c>
      <c r="D9" s="78">
        <v>0.13821839080459769</v>
      </c>
      <c r="E9" s="78">
        <v>0.34517865702667655</v>
      </c>
    </row>
    <row xmlns:x14ac="http://schemas.microsoft.com/office/spreadsheetml/2009/9/ac" r="10" ht="20" customHeight="true" x14ac:dyDescent="0.2">
      <c r="B10" s="13" t="s">
        <v>8</v>
      </c>
      <c r="C10" s="72"/>
      <c r="D10" s="71"/>
      <c r="E10" s="71"/>
    </row>
    <row xmlns:x14ac="http://schemas.microsoft.com/office/spreadsheetml/2009/9/ac" r="11" x14ac:dyDescent="0.2">
      <c r="B11" s="11" t="s">
        <v>50</v>
      </c>
      <c r="C11" s="75">
        <v>8720</v>
      </c>
      <c r="D11" s="76">
        <v>0.077866972477064214</v>
      </c>
      <c r="E11" s="76">
        <v>0.26797750351254202</v>
      </c>
    </row>
    <row xmlns:x14ac="http://schemas.microsoft.com/office/spreadsheetml/2009/9/ac" r="12" x14ac:dyDescent="0.2">
      <c r="B12" s="11" t="s">
        <v>43</v>
      </c>
      <c r="C12" s="75">
        <v>8720</v>
      </c>
      <c r="D12" s="76">
        <v>0.0044667431633970741</v>
      </c>
      <c r="E12" s="76">
        <v>0.036619888723642594</v>
      </c>
    </row>
    <row xmlns:x14ac="http://schemas.microsoft.com/office/spreadsheetml/2009/9/ac" r="13" x14ac:dyDescent="0.2">
      <c r="B13" s="11" t="s">
        <v>9</v>
      </c>
      <c r="C13" s="75">
        <v>8720</v>
      </c>
      <c r="D13" s="76">
        <v>0.099082568807339455</v>
      </c>
      <c r="E13" s="76">
        <v>0.29878997870805041</v>
      </c>
    </row>
    <row xmlns:x14ac="http://schemas.microsoft.com/office/spreadsheetml/2009/9/ac" r="14" x14ac:dyDescent="0.2">
      <c r="B14" s="11" t="s">
        <v>10</v>
      </c>
      <c r="C14" s="75">
        <v>8720</v>
      </c>
      <c r="D14" s="76">
        <v>0.17924311926605505</v>
      </c>
      <c r="E14" s="76">
        <v>0.71831854709854459</v>
      </c>
    </row>
    <row xmlns:x14ac="http://schemas.microsoft.com/office/spreadsheetml/2009/9/ac" r="15" x14ac:dyDescent="0.2">
      <c r="B15" s="11" t="s">
        <v>11</v>
      </c>
      <c r="C15" s="75">
        <v>8720</v>
      </c>
      <c r="D15" s="76">
        <v>0.029587155963302754</v>
      </c>
      <c r="E15" s="76">
        <v>0.16945515387716156</v>
      </c>
    </row>
    <row xmlns:x14ac="http://schemas.microsoft.com/office/spreadsheetml/2009/9/ac" r="16" x14ac:dyDescent="0.2">
      <c r="B16" s="11" t="s">
        <v>12</v>
      </c>
      <c r="C16" s="75">
        <v>8720</v>
      </c>
      <c r="D16" s="76">
        <v>0.069266055045871564</v>
      </c>
      <c r="E16" s="76">
        <v>0.25392058337650686</v>
      </c>
    </row>
    <row xmlns:x14ac="http://schemas.microsoft.com/office/spreadsheetml/2009/9/ac" r="17" x14ac:dyDescent="0.2">
      <c r="B17" s="11" t="s">
        <v>13</v>
      </c>
      <c r="C17" s="75">
        <v>8720</v>
      </c>
      <c r="D17" s="76">
        <v>0.034059633027522934</v>
      </c>
      <c r="E17" s="76">
        <v>0.1813927995959293</v>
      </c>
    </row>
    <row xmlns:x14ac="http://schemas.microsoft.com/office/spreadsheetml/2009/9/ac" r="18" x14ac:dyDescent="0.2">
      <c r="B18" s="11" t="s">
        <v>14</v>
      </c>
      <c r="C18" s="75">
        <v>8720</v>
      </c>
      <c r="D18" s="76">
        <v>0.013876146788990826</v>
      </c>
      <c r="E18" s="76">
        <v>0.11698362594553989</v>
      </c>
    </row>
    <row xmlns:x14ac="http://schemas.microsoft.com/office/spreadsheetml/2009/9/ac" r="19" x14ac:dyDescent="0.2">
      <c r="B19" s="11" t="s">
        <v>15</v>
      </c>
      <c r="C19" s="75">
        <v>8720</v>
      </c>
      <c r="D19" s="76">
        <v>0.014908256880733946</v>
      </c>
      <c r="E19" s="76">
        <v>0.12119276020073233</v>
      </c>
    </row>
    <row xmlns:x14ac="http://schemas.microsoft.com/office/spreadsheetml/2009/9/ac" r="20" x14ac:dyDescent="0.2">
      <c r="B20" s="11" t="s">
        <v>54</v>
      </c>
      <c r="C20" s="75">
        <v>8720</v>
      </c>
      <c r="D20" s="76">
        <v>3.1488025437801257</v>
      </c>
      <c r="E20" s="76">
        <v>11.757565867393998</v>
      </c>
    </row>
    <row xmlns:x14ac="http://schemas.microsoft.com/office/spreadsheetml/2009/9/ac" r="21" x14ac:dyDescent="0.2">
      <c r="B21" s="11" t="s">
        <v>55</v>
      </c>
      <c r="C21" s="75">
        <v>8720</v>
      </c>
      <c r="D21" s="76">
        <v>2.3736464889771347</v>
      </c>
      <c r="E21" s="76">
        <v>10.888926155949509</v>
      </c>
    </row>
    <row xmlns:x14ac="http://schemas.microsoft.com/office/spreadsheetml/2009/9/ac" r="22" x14ac:dyDescent="0.2">
      <c r="B22" s="11" t="s">
        <v>63</v>
      </c>
      <c r="C22" s="75">
        <v>8720</v>
      </c>
      <c r="D22" s="76">
        <v>2.937467321562111</v>
      </c>
      <c r="E22" s="76">
        <v>10.420675247920407</v>
      </c>
    </row>
    <row xmlns:x14ac="http://schemas.microsoft.com/office/spreadsheetml/2009/9/ac" r="23" ht="21" customHeight="true" x14ac:dyDescent="0.2">
      <c r="B23" s="13" t="s">
        <v>41</v>
      </c>
      <c r="C23" s="14"/>
      <c r="D23" s="71"/>
      <c r="E23" s="71"/>
    </row>
    <row xmlns:x14ac="http://schemas.microsoft.com/office/spreadsheetml/2009/9/ac" r="24" x14ac:dyDescent="0.2">
      <c r="B24" s="11" t="s">
        <v>50</v>
      </c>
      <c r="C24" s="75">
        <v>872</v>
      </c>
      <c r="D24" s="76">
        <v>0.27522935779816515</v>
      </c>
      <c r="E24" s="76">
        <v>0.44688609331690593</v>
      </c>
    </row>
    <row xmlns:x14ac="http://schemas.microsoft.com/office/spreadsheetml/2009/9/ac" r="25" x14ac:dyDescent="0.2">
      <c r="B25" s="11" t="s">
        <v>43</v>
      </c>
      <c r="C25" s="75">
        <v>872</v>
      </c>
      <c r="D25" s="76">
        <v>0.015665137881857402</v>
      </c>
      <c r="E25" s="76">
        <v>0.054387460204926207</v>
      </c>
    </row>
    <row xmlns:x14ac="http://schemas.microsoft.com/office/spreadsheetml/2009/9/ac" r="26" x14ac:dyDescent="0.2">
      <c r="B26" s="11" t="s">
        <v>44</v>
      </c>
      <c r="C26" s="75">
        <v>872</v>
      </c>
      <c r="D26" s="76">
        <v>1.7924311926605505</v>
      </c>
      <c r="E26" s="76">
        <v>5.3208674445670896</v>
      </c>
    </row>
    <row xmlns:x14ac="http://schemas.microsoft.com/office/spreadsheetml/2009/9/ac" r="27" x14ac:dyDescent="0.2">
      <c r="B27" s="11" t="s">
        <v>7</v>
      </c>
      <c r="C27" s="75">
        <v>872</v>
      </c>
      <c r="D27" s="76">
        <v>0.27866972477064223</v>
      </c>
      <c r="E27" s="76">
        <v>0.44860193191611192</v>
      </c>
    </row>
    <row xmlns:x14ac="http://schemas.microsoft.com/office/spreadsheetml/2009/9/ac" r="28" x14ac:dyDescent="0.2">
      <c r="B28" s="11" t="s">
        <v>16</v>
      </c>
      <c r="C28" s="75">
        <v>872</v>
      </c>
      <c r="D28" s="76">
        <v>0.20871559633027523</v>
      </c>
      <c r="E28" s="76">
        <v>0.4066239168101552</v>
      </c>
    </row>
    <row xmlns:x14ac="http://schemas.microsoft.com/office/spreadsheetml/2009/9/ac" r="29" x14ac:dyDescent="0.2">
      <c r="B29" s="11" t="s">
        <v>17</v>
      </c>
      <c r="C29" s="75">
        <v>872</v>
      </c>
      <c r="D29" s="76">
        <v>0.41055045871559631</v>
      </c>
      <c r="E29" s="76">
        <v>0.49221602952793397</v>
      </c>
    </row>
    <row xmlns:x14ac="http://schemas.microsoft.com/office/spreadsheetml/2009/9/ac" r="30" x14ac:dyDescent="0.2">
      <c r="B30" s="11" t="s">
        <v>18</v>
      </c>
      <c r="C30" s="75">
        <v>872</v>
      </c>
      <c r="D30" s="76">
        <v>0.23967889908256881</v>
      </c>
      <c r="E30" s="76">
        <v>0.42713247015750383</v>
      </c>
    </row>
    <row xmlns:x14ac="http://schemas.microsoft.com/office/spreadsheetml/2009/9/ac" r="31" x14ac:dyDescent="0.2">
      <c r="B31" s="11" t="s">
        <v>19</v>
      </c>
      <c r="C31" s="75">
        <v>872</v>
      </c>
      <c r="D31" s="76">
        <v>0.10321100917431193</v>
      </c>
      <c r="E31" s="76">
        <v>0.30440887584032367</v>
      </c>
    </row>
    <row xmlns:x14ac="http://schemas.microsoft.com/office/spreadsheetml/2009/9/ac" r="32" x14ac:dyDescent="0.2">
      <c r="B32" s="11" t="s">
        <v>20</v>
      </c>
      <c r="C32" s="75">
        <v>872</v>
      </c>
      <c r="D32" s="76">
        <v>0.10665137614678899</v>
      </c>
      <c r="E32" s="76">
        <v>0.30884664157455444</v>
      </c>
    </row>
    <row xmlns:x14ac="http://schemas.microsoft.com/office/spreadsheetml/2009/9/ac" r="33" x14ac:dyDescent="0.2">
      <c r="B33" s="11" t="s">
        <v>54</v>
      </c>
      <c r="C33" s="75">
        <v>872</v>
      </c>
      <c r="D33" s="76">
        <v>0</v>
      </c>
      <c r="E33" s="76">
        <v>0</v>
      </c>
    </row>
    <row xmlns:x14ac="http://schemas.microsoft.com/office/spreadsheetml/2009/9/ac" r="34" x14ac:dyDescent="0.2">
      <c r="B34" s="11" t="s">
        <v>55</v>
      </c>
      <c r="C34" s="75">
        <v>872</v>
      </c>
      <c r="D34" s="76">
        <v>0</v>
      </c>
      <c r="E34" s="76">
        <v>0</v>
      </c>
    </row>
    <row xmlns:x14ac="http://schemas.microsoft.com/office/spreadsheetml/2009/9/ac" r="35" x14ac:dyDescent="0.2">
      <c r="B35" s="11" t="s">
        <v>63</v>
      </c>
      <c r="C35" s="75">
        <v>872</v>
      </c>
      <c r="D35" s="76">
        <v>0</v>
      </c>
      <c r="E35" s="76">
        <v>0</v>
      </c>
    </row>
    <row xmlns:x14ac="http://schemas.microsoft.com/office/spreadsheetml/2009/9/ac" r="36" ht="20" customHeight="true" x14ac:dyDescent="0.2">
      <c r="B36" s="13" t="s">
        <v>21</v>
      </c>
      <c r="C36" s="13"/>
      <c r="D36" s="13"/>
      <c r="E36" s="13"/>
    </row>
    <row xmlns:x14ac="http://schemas.microsoft.com/office/spreadsheetml/2009/9/ac" r="37" x14ac:dyDescent="0.2">
      <c r="B37" s="11" t="s">
        <v>22</v>
      </c>
      <c r="C37" s="75">
        <v>1000</v>
      </c>
      <c r="D37" s="76">
        <v>0.0045400000493973497</v>
      </c>
      <c r="E37" s="76">
        <v>0.037831463902810197</v>
      </c>
    </row>
    <row xmlns:x14ac="http://schemas.microsoft.com/office/spreadsheetml/2009/9/ac" r="38" ht="14" customHeight="true" x14ac:dyDescent="0.2">
      <c r="B38" s="11" t="s">
        <v>43</v>
      </c>
      <c r="C38" s="77">
        <v>1000</v>
      </c>
      <c r="D38" s="78">
        <v>0.075999999999999998</v>
      </c>
      <c r="E38" s="78">
        <v>0.2651307117146075</v>
      </c>
    </row>
    <row xmlns:x14ac="http://schemas.microsoft.com/office/spreadsheetml/2009/9/ac" r="39" ht="19" customHeight="true" x14ac:dyDescent="0.2">
      <c r="B39" s="13" t="s">
        <v>42</v>
      </c>
      <c r="C39" s="13"/>
      <c r="D39" s="13"/>
      <c r="E39" s="13"/>
    </row>
    <row xmlns:x14ac="http://schemas.microsoft.com/office/spreadsheetml/2009/9/ac" r="40" ht="38" customHeight="true" thickBot="true" x14ac:dyDescent="0.25">
      <c r="B40" s="26" t="s">
        <v>45</v>
      </c>
      <c r="C40" s="79">
        <v>100</v>
      </c>
      <c r="D40" s="80">
        <v>0.27000000000000002</v>
      </c>
      <c r="E40" s="80">
        <v>0.44619604333847368</v>
      </c>
    </row>
    <row xmlns:x14ac="http://schemas.microsoft.com/office/spreadsheetml/2009/9/ac" r="41" ht="160" customHeight="true" x14ac:dyDescent="0.2">
      <c r="B41" s="81" t="s">
        <v>61</v>
      </c>
      <c r="C41" s="81"/>
      <c r="D41" s="81"/>
      <c r="E41" s="81"/>
    </row>
  </sheetData>
  <mergeCells count="3">
    <mergeCell ref="B41:E41"/>
    <mergeCell ref="C2:E2"/>
    <mergeCell ref="B1:E1"/>
  </mergeCells>
  <pageMargins left="0.75" right="0.75" top="1" bottom="1" header="0.5" footer="0.5"/>
  <pageSetup orientation="portrait" horizontalDpi="4294967292" verticalDpi="4294967292"/>
</worksheet>
</file>

<file path=xl/worksheets/sheet10.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6A8C8-F5BB-C748-8821-C0CDD7D7F307}">
  <dimension ref="B2:H58"/>
  <sheetViews>
    <sheetView showGridLines="false" topLeftCell="B1" workbookViewId="0">
      <selection activeCell="C3" sqref="C3:H3"/>
    </sheetView>
  </sheetViews>
  <sheetFormatPr xmlns:x14ac="http://schemas.microsoft.com/office/spreadsheetml/2009/9/ac" baseColWidth="10" defaultColWidth="11" defaultRowHeight="16" x14ac:dyDescent="0.2"/>
  <cols>
    <col min="2" max="2" width="68.83203125" customWidth="true"/>
  </cols>
  <sheetData>
    <row xmlns:x14ac="http://schemas.microsoft.com/office/spreadsheetml/2009/9/ac" r="2" x14ac:dyDescent="0.2">
      <c r="B2" s="87" t="s">
        <v>99</v>
      </c>
      <c r="C2" s="87"/>
      <c r="D2" s="87"/>
      <c r="E2" s="87"/>
      <c r="F2" s="87"/>
      <c r="G2" s="87"/>
      <c r="H2" s="87"/>
    </row>
    <row xmlns:x14ac="http://schemas.microsoft.com/office/spreadsheetml/2009/9/ac" r="3" ht="37" customHeight="true" thickBot="true" x14ac:dyDescent="0.25">
      <c r="B3" s="24" t="s">
        <v>46</v>
      </c>
      <c r="C3" s="9" t="s">
        <v>28</v>
      </c>
      <c r="D3" s="9" t="s">
        <v>29</v>
      </c>
      <c r="E3" s="55" t="s">
        <v>30</v>
      </c>
      <c r="F3" s="9" t="s">
        <v>31</v>
      </c>
      <c r="G3" s="9" t="s">
        <v>32</v>
      </c>
      <c r="H3" s="9" t="s">
        <v>33</v>
      </c>
    </row>
    <row xmlns:x14ac="http://schemas.microsoft.com/office/spreadsheetml/2009/9/ac" r="4" ht="17" thickTop="true" x14ac:dyDescent="0.2">
      <c r="B4" s="17" t="s">
        <v>53</v>
      </c>
      <c r="C4" s="17"/>
      <c r="D4" s="17"/>
      <c r="E4" s="17"/>
      <c r="F4" s="17"/>
      <c r="H4" s="17"/>
    </row>
    <row xmlns:x14ac="http://schemas.microsoft.com/office/spreadsheetml/2009/9/ac" r="5" x14ac:dyDescent="0.2">
      <c r="B5" s="3" t="s">
        <v>50</v>
      </c>
      <c r="C5" t="str">
        <f>"0.017"</f>
        <v>0.017</v>
      </c>
      <c r="D5" t="str">
        <f>"0.023*"</f>
        <v>0.023*</v>
      </c>
      <c r="E5" t="str">
        <f>""</f>
        <v/>
      </c>
      <c r="F5" t="str">
        <f>""</f>
        <v/>
      </c>
      <c r="G5" t="str">
        <f>""</f>
        <v/>
      </c>
      <c r="H5" t="str">
        <f>""</f>
        <v/>
      </c>
    </row>
    <row xmlns:x14ac="http://schemas.microsoft.com/office/spreadsheetml/2009/9/ac" r="6" x14ac:dyDescent="0.2">
      <c r="B6" s="3"/>
      <c r="C6" t="str">
        <f>"[0.014]"</f>
        <v>[0.014]</v>
      </c>
      <c r="D6" t="str">
        <f>"[0.013]"</f>
        <v>[0.013]</v>
      </c>
      <c r="E6" t="str">
        <f>""</f>
        <v/>
      </c>
      <c r="F6" t="str">
        <f>""</f>
        <v/>
      </c>
      <c r="G6" t="str">
        <f>""</f>
        <v/>
      </c>
      <c r="H6" t="str">
        <f>""</f>
        <v/>
      </c>
    </row>
    <row xmlns:x14ac="http://schemas.microsoft.com/office/spreadsheetml/2009/9/ac" r="7" x14ac:dyDescent="0.2">
      <c r="B7" s="3" t="s">
        <v>87</v>
      </c>
      <c r="C7" t="str">
        <f>"0.033**"</f>
        <v>0.033**</v>
      </c>
      <c r="D7" t="str">
        <f>"0.036**"</f>
        <v>0.036**</v>
      </c>
      <c r="E7" t="str">
        <f>""</f>
        <v/>
      </c>
      <c r="F7" t="str">
        <f>""</f>
        <v/>
      </c>
      <c r="G7" t="str">
        <f>""</f>
        <v/>
      </c>
      <c r="H7" t="str">
        <f>""</f>
        <v/>
      </c>
    </row>
    <row xmlns:x14ac="http://schemas.microsoft.com/office/spreadsheetml/2009/9/ac" r="8" x14ac:dyDescent="0.2">
      <c r="B8" s="3"/>
      <c r="C8" t="str">
        <f>"[0.015]"</f>
        <v>[0.015]</v>
      </c>
      <c r="D8" t="str">
        <f>"[0.015]"</f>
        <v>[0.015]</v>
      </c>
      <c r="E8" t="str">
        <f>""</f>
        <v/>
      </c>
      <c r="F8" t="str">
        <f>""</f>
        <v/>
      </c>
      <c r="G8" t="str">
        <f>""</f>
        <v/>
      </c>
      <c r="H8" t="str">
        <f>""</f>
        <v/>
      </c>
    </row>
    <row xmlns:x14ac="http://schemas.microsoft.com/office/spreadsheetml/2009/9/ac" r="9" x14ac:dyDescent="0.2">
      <c r="B9" s="3" t="s">
        <v>48</v>
      </c>
      <c r="C9" t="str">
        <f>""</f>
        <v/>
      </c>
      <c r="D9" t="str">
        <f>""</f>
        <v/>
      </c>
      <c r="E9" t="str">
        <f>"0.280***"</f>
        <v>0.280***</v>
      </c>
      <c r="F9" t="str">
        <f>"0.250**"</f>
        <v>0.250**</v>
      </c>
      <c r="G9" t="str">
        <f>""</f>
        <v/>
      </c>
      <c r="H9" t="str">
        <f>""</f>
        <v/>
      </c>
    </row>
    <row xmlns:x14ac="http://schemas.microsoft.com/office/spreadsheetml/2009/9/ac" r="10" x14ac:dyDescent="0.2">
      <c r="B10" s="3"/>
      <c r="C10" t="str">
        <f>""</f>
        <v/>
      </c>
      <c r="D10" t="str">
        <f>""</f>
        <v/>
      </c>
      <c r="E10" t="str">
        <f>"[0.101]"</f>
        <v>[0.101]</v>
      </c>
      <c r="F10" t="str">
        <f>"[0.116]"</f>
        <v>[0.116]</v>
      </c>
      <c r="G10" t="str">
        <f>""</f>
        <v/>
      </c>
      <c r="H10" t="str">
        <f>""</f>
        <v/>
      </c>
    </row>
    <row xmlns:x14ac="http://schemas.microsoft.com/office/spreadsheetml/2009/9/ac" r="11" x14ac:dyDescent="0.2">
      <c r="B11" s="3" t="s">
        <v>88</v>
      </c>
      <c r="C11" t="str">
        <f>""</f>
        <v/>
      </c>
      <c r="D11" t="str">
        <f>""</f>
        <v/>
      </c>
      <c r="E11" t="str">
        <f>"0.340**"</f>
        <v>0.340**</v>
      </c>
      <c r="F11" t="str">
        <f>"0.325**"</f>
        <v>0.325**</v>
      </c>
      <c r="G11" t="str">
        <f>""</f>
        <v/>
      </c>
      <c r="H11" t="str">
        <f>""</f>
        <v/>
      </c>
    </row>
    <row xmlns:x14ac="http://schemas.microsoft.com/office/spreadsheetml/2009/9/ac" r="12" x14ac:dyDescent="0.2">
      <c r="B12" s="3"/>
      <c r="C12" t="str">
        <f>""</f>
        <v/>
      </c>
      <c r="D12" t="str">
        <f>""</f>
        <v/>
      </c>
      <c r="E12" t="str">
        <f>"[0.145]"</f>
        <v>[0.145]</v>
      </c>
      <c r="F12" t="str">
        <f>"[0.145]"</f>
        <v>[0.145]</v>
      </c>
      <c r="G12" t="str">
        <f>""</f>
        <v/>
      </c>
      <c r="H12" t="str">
        <f>""</f>
        <v/>
      </c>
    </row>
    <row xmlns:x14ac="http://schemas.microsoft.com/office/spreadsheetml/2009/9/ac" r="13" x14ac:dyDescent="0.2">
      <c r="B13" s="3" t="s">
        <v>82</v>
      </c>
      <c r="C13" t="str">
        <f>""</f>
        <v/>
      </c>
      <c r="D13" t="str">
        <f>""</f>
        <v/>
      </c>
      <c r="E13" t="str">
        <f>""</f>
        <v/>
      </c>
      <c r="F13" t="str">
        <f>""</f>
        <v/>
      </c>
      <c r="G13" t="str">
        <f>"0.007"</f>
        <v>0.007</v>
      </c>
      <c r="H13" t="str">
        <f>"0.012"</f>
        <v>0.012</v>
      </c>
    </row>
    <row xmlns:x14ac="http://schemas.microsoft.com/office/spreadsheetml/2009/9/ac" r="14" x14ac:dyDescent="0.2">
      <c r="B14" s="3" t="str">
        <f>""</f>
        <v/>
      </c>
      <c r="C14" t="str">
        <f>""</f>
        <v/>
      </c>
      <c r="D14" t="str">
        <f>""</f>
        <v/>
      </c>
      <c r="E14" t="str">
        <f>""</f>
        <v/>
      </c>
      <c r="F14" t="str">
        <f>""</f>
        <v/>
      </c>
      <c r="G14" t="str">
        <f>"[0.012]"</f>
        <v>[0.012]</v>
      </c>
      <c r="H14" t="str">
        <f>"[0.012]"</f>
        <v>[0.012]</v>
      </c>
    </row>
    <row xmlns:x14ac="http://schemas.microsoft.com/office/spreadsheetml/2009/9/ac" r="15" x14ac:dyDescent="0.2">
      <c r="B15" s="3" t="s">
        <v>89</v>
      </c>
      <c r="C15" t="str">
        <f>""</f>
        <v/>
      </c>
      <c r="D15" t="str">
        <f>""</f>
        <v/>
      </c>
      <c r="E15" t="str">
        <f>""</f>
        <v/>
      </c>
      <c r="F15" t="str">
        <f>""</f>
        <v/>
      </c>
      <c r="G15" t="str">
        <f>"0.024*"</f>
        <v>0.024*</v>
      </c>
      <c r="H15" t="str">
        <f>"0.026*"</f>
        <v>0.026*</v>
      </c>
    </row>
    <row xmlns:x14ac="http://schemas.microsoft.com/office/spreadsheetml/2009/9/ac" r="16" x14ac:dyDescent="0.2">
      <c r="B16" s="3"/>
      <c r="C16" t="str">
        <f>""</f>
        <v/>
      </c>
      <c r="D16" t="str">
        <f>""</f>
        <v/>
      </c>
      <c r="E16" t="str">
        <f>""</f>
        <v/>
      </c>
      <c r="F16" t="str">
        <f>""</f>
        <v/>
      </c>
      <c r="G16" t="str">
        <f>"[0.014]"</f>
        <v>[0.014]</v>
      </c>
      <c r="H16" t="str">
        <f>"[0.014]"</f>
        <v>[0.014]</v>
      </c>
    </row>
    <row xmlns:x14ac="http://schemas.microsoft.com/office/spreadsheetml/2009/9/ac" r="17" x14ac:dyDescent="0.2">
      <c r="B17" s="3"/>
      <c r="C17" s="23"/>
      <c r="D17" s="23"/>
      <c r="E17" s="23"/>
      <c r="F17" s="23"/>
      <c r="H17" s="23"/>
    </row>
    <row xmlns:x14ac="http://schemas.microsoft.com/office/spreadsheetml/2009/9/ac" r="18" x14ac:dyDescent="0.2">
      <c r="B18" s="61" t="s">
        <v>52</v>
      </c>
      <c r="C18" s="27"/>
      <c r="D18" s="27"/>
      <c r="E18" s="27"/>
      <c r="F18" s="27"/>
      <c r="G18" s="27"/>
      <c r="H18" s="27"/>
    </row>
    <row xmlns:x14ac="http://schemas.microsoft.com/office/spreadsheetml/2009/9/ac" r="19" x14ac:dyDescent="0.2">
      <c r="B19" s="8" t="str">
        <f>"Index of  household Losss (all) - PCA - above the mean (yes=1)"</f>
        <v>Index of  household Losss (all) - PCA - above the mean (yes=1)</v>
      </c>
      <c r="C19" t="str">
        <f>"0.019***"</f>
        <v>0.019***</v>
      </c>
      <c r="D19" t="str">
        <f>""</f>
        <v/>
      </c>
      <c r="E19" t="str">
        <f>"0.023***"</f>
        <v>0.023***</v>
      </c>
      <c r="F19" t="str">
        <f>""</f>
        <v/>
      </c>
      <c r="G19" t="str">
        <f>"0.023***"</f>
        <v>0.023***</v>
      </c>
      <c r="H19" t="str">
        <f>""</f>
        <v/>
      </c>
    </row>
    <row xmlns:x14ac="http://schemas.microsoft.com/office/spreadsheetml/2009/9/ac" r="20" x14ac:dyDescent="0.2">
      <c r="B20" s="8" t="str">
        <f>""</f>
        <v/>
      </c>
      <c r="C20" t="str">
        <f>"[0.006]"</f>
        <v>[0.006]</v>
      </c>
      <c r="D20" t="str">
        <f>""</f>
        <v/>
      </c>
      <c r="E20" t="str">
        <f>"[0.008]"</f>
        <v>[0.008]</v>
      </c>
      <c r="F20" t="str">
        <f>""</f>
        <v/>
      </c>
      <c r="G20" t="str">
        <f>"[0.008]"</f>
        <v>[0.008]</v>
      </c>
      <c r="H20" t="str">
        <f>""</f>
        <v/>
      </c>
    </row>
    <row xmlns:x14ac="http://schemas.microsoft.com/office/spreadsheetml/2009/9/ac" r="21" x14ac:dyDescent="0.2">
      <c r="B21" s="8" t="s">
        <v>90</v>
      </c>
      <c r="C21" t="str">
        <f>"-0.007"</f>
        <v>-0.007</v>
      </c>
      <c r="D21" t="str">
        <f>""</f>
        <v/>
      </c>
      <c r="E21" t="str">
        <f>"-0.004"</f>
        <v>-0.004</v>
      </c>
      <c r="F21" t="str">
        <f>""</f>
        <v/>
      </c>
      <c r="G21" t="str">
        <f>"-0.006"</f>
        <v>-0.006</v>
      </c>
      <c r="H21" t="str">
        <f>""</f>
        <v/>
      </c>
    </row>
    <row xmlns:x14ac="http://schemas.microsoft.com/office/spreadsheetml/2009/9/ac" r="22" x14ac:dyDescent="0.2">
      <c r="B22" s="8"/>
      <c r="C22" t="str">
        <f>"[0.005]"</f>
        <v>[0.005]</v>
      </c>
      <c r="D22" t="str">
        <f>""</f>
        <v/>
      </c>
      <c r="E22" t="str">
        <f>"[0.005]"</f>
        <v>[0.005]</v>
      </c>
      <c r="F22" t="str">
        <f>""</f>
        <v/>
      </c>
      <c r="G22" t="str">
        <f>"[0.005]"</f>
        <v>[0.005]</v>
      </c>
      <c r="H22" t="str">
        <f>""</f>
        <v/>
      </c>
    </row>
    <row xmlns:x14ac="http://schemas.microsoft.com/office/spreadsheetml/2009/9/ac" r="23" x14ac:dyDescent="0.2">
      <c r="B23" s="10" t="str">
        <f>"Index of  household Losss (all) - PCA"</f>
        <v>Index of  household Losss (all) - PCA</v>
      </c>
      <c r="C23" t="str">
        <f>""</f>
        <v/>
      </c>
      <c r="D23" t="str">
        <f>"0.008***"</f>
        <v>0.008***</v>
      </c>
      <c r="E23" t="str">
        <f>""</f>
        <v/>
      </c>
      <c r="F23" t="str">
        <f>"0.009***"</f>
        <v>0.009***</v>
      </c>
      <c r="G23" t="str">
        <f>""</f>
        <v/>
      </c>
      <c r="H23" t="str">
        <f>"0.008***"</f>
        <v>0.008***</v>
      </c>
    </row>
    <row xmlns:x14ac="http://schemas.microsoft.com/office/spreadsheetml/2009/9/ac" r="24" x14ac:dyDescent="0.2">
      <c r="B24" s="10"/>
      <c r="C24" t="str">
        <f>""</f>
        <v/>
      </c>
      <c r="D24" t="str">
        <f>"[0.002]"</f>
        <v>[0.002]</v>
      </c>
      <c r="E24" t="str">
        <f>""</f>
        <v/>
      </c>
      <c r="F24" t="str">
        <f>"[0.002]"</f>
        <v>[0.002]</v>
      </c>
      <c r="G24" t="str">
        <f>""</f>
        <v/>
      </c>
      <c r="H24" t="str">
        <f>"[0.002]"</f>
        <v>[0.002]</v>
      </c>
    </row>
    <row xmlns:x14ac="http://schemas.microsoft.com/office/spreadsheetml/2009/9/ac" r="25" x14ac:dyDescent="0.2">
      <c r="B25" s="10" t="str">
        <f>"Lag. Index of  household Losss (all) - PCA"</f>
        <v>Lag. Index of  household Losss (all) - PCA</v>
      </c>
      <c r="C25" t="str">
        <f>""</f>
        <v/>
      </c>
      <c r="D25" t="str">
        <f>"-0.002"</f>
        <v>-0.002</v>
      </c>
      <c r="E25" t="str">
        <f>""</f>
        <v/>
      </c>
      <c r="F25" t="str">
        <f>"-0.002"</f>
        <v>-0.002</v>
      </c>
      <c r="G25" t="str">
        <f>""</f>
        <v/>
      </c>
      <c r="H25" t="str">
        <f>"-0.002"</f>
        <v>-0.002</v>
      </c>
    </row>
    <row xmlns:x14ac="http://schemas.microsoft.com/office/spreadsheetml/2009/9/ac" r="26" x14ac:dyDescent="0.2">
      <c r="B26" s="10"/>
      <c r="D26" t="str">
        <f>"[0.002]"</f>
        <v>[0.002]</v>
      </c>
      <c r="E26" t="str">
        <f>""</f>
        <v/>
      </c>
      <c r="F26" t="str">
        <f>"[0.001]"</f>
        <v>[0.001]</v>
      </c>
      <c r="G26" t="str">
        <f>""</f>
        <v/>
      </c>
      <c r="H26" t="str">
        <f>"[0.002]"</f>
        <v>[0.002]</v>
      </c>
    </row>
    <row xmlns:x14ac="http://schemas.microsoft.com/office/spreadsheetml/2009/9/ac" r="27" x14ac:dyDescent="0.2">
      <c r="B27" s="8" t="str">
        <f>""</f>
        <v/>
      </c>
      <c r="C27" t="str">
        <f>""</f>
        <v/>
      </c>
      <c r="E27" t="str">
        <f>""</f>
        <v/>
      </c>
      <c r="G27" t="str">
        <f>""</f>
        <v/>
      </c>
    </row>
    <row xmlns:x14ac="http://schemas.microsoft.com/office/spreadsheetml/2009/9/ac" r="28" x14ac:dyDescent="0.2">
      <c r="B28" s="61" t="s">
        <v>81</v>
      </c>
      <c r="C28" s="27"/>
      <c r="D28" s="27"/>
      <c r="E28" s="27"/>
      <c r="F28" s="27"/>
      <c r="G28" s="27"/>
      <c r="H28" s="27"/>
    </row>
    <row xmlns:x14ac="http://schemas.microsoft.com/office/spreadsheetml/2009/9/ac" r="29" ht="34" x14ac:dyDescent="0.2">
      <c r="B29" s="58" t="str">
        <f>"Violence in a given year (yes=1)*Index of  household Losss (all) - PCA - above the mean"</f>
        <v>Violence in a given year (yes=1)*Index of  household Losss (all) - PCA - above the mean</v>
      </c>
      <c r="C29" t="str">
        <f>"0.063"</f>
        <v>0.063</v>
      </c>
      <c r="D29" t="str">
        <f>""</f>
        <v/>
      </c>
      <c r="E29" t="str">
        <f>""</f>
        <v/>
      </c>
      <c r="F29" t="str">
        <f>""</f>
        <v/>
      </c>
      <c r="G29" t="str">
        <f>""</f>
        <v/>
      </c>
      <c r="H29" t="str">
        <f>""</f>
        <v/>
      </c>
    </row>
    <row xmlns:x14ac="http://schemas.microsoft.com/office/spreadsheetml/2009/9/ac" r="30" x14ac:dyDescent="0.2">
      <c r="B30" s="58"/>
      <c r="C30" t="str">
        <f>"[0.049]"</f>
        <v>[0.049]</v>
      </c>
      <c r="D30" t="str">
        <f>""</f>
        <v/>
      </c>
      <c r="E30" t="str">
        <f>""</f>
        <v/>
      </c>
      <c r="F30" t="str">
        <f>""</f>
        <v/>
      </c>
      <c r="G30" t="str">
        <f>""</f>
        <v/>
      </c>
      <c r="H30" t="str">
        <f>""</f>
        <v/>
      </c>
    </row>
    <row xmlns:x14ac="http://schemas.microsoft.com/office/spreadsheetml/2009/9/ac" r="31" ht="34" x14ac:dyDescent="0.2">
      <c r="B31" s="58" t="str">
        <f>"Lag. Violence in a given year (yes=1)*Index of  household Losss (all) - PCA - above the mean"</f>
        <v>Lag. Violence in a given year (yes=1)*Index of  household Losss (all) - PCA - above the mean</v>
      </c>
      <c r="C31" t="str">
        <f>"0.042"</f>
        <v>0.042</v>
      </c>
      <c r="D31" t="str">
        <f>""</f>
        <v/>
      </c>
      <c r="E31" t="str">
        <f>""</f>
        <v/>
      </c>
      <c r="F31" t="str">
        <f>""</f>
        <v/>
      </c>
      <c r="G31" t="str">
        <f>""</f>
        <v/>
      </c>
      <c r="H31" t="str">
        <f>""</f>
        <v/>
      </c>
    </row>
    <row xmlns:x14ac="http://schemas.microsoft.com/office/spreadsheetml/2009/9/ac" r="32" x14ac:dyDescent="0.2">
      <c r="B32" s="58"/>
      <c r="C32" t="str">
        <f>"[0.030]"</f>
        <v>[0.030]</v>
      </c>
      <c r="D32" t="str">
        <f>""</f>
        <v/>
      </c>
      <c r="E32" t="str">
        <f>""</f>
        <v/>
      </c>
      <c r="F32" t="str">
        <f>""</f>
        <v/>
      </c>
      <c r="G32" t="str">
        <f>""</f>
        <v/>
      </c>
      <c r="H32" t="str">
        <f>""</f>
        <v/>
      </c>
    </row>
    <row xmlns:x14ac="http://schemas.microsoft.com/office/spreadsheetml/2009/9/ac" r="33" ht="17" x14ac:dyDescent="0.2">
      <c r="B33" s="58" t="str">
        <f>"Violence in a given year (yes=1)*Index of  household Losss (all) - PCA"</f>
        <v>Violence in a given year (yes=1)*Index of  household Losss (all) - PCA</v>
      </c>
      <c r="C33" t="str">
        <f>""</f>
        <v/>
      </c>
      <c r="D33" t="str">
        <f>"0.009"</f>
        <v>0.009</v>
      </c>
      <c r="E33" t="str">
        <f>""</f>
        <v/>
      </c>
      <c r="F33" t="str">
        <f>""</f>
        <v/>
      </c>
      <c r="G33" t="str">
        <f>""</f>
        <v/>
      </c>
      <c r="H33" t="str">
        <f>""</f>
        <v/>
      </c>
    </row>
    <row xmlns:x14ac="http://schemas.microsoft.com/office/spreadsheetml/2009/9/ac" r="34" x14ac:dyDescent="0.2">
      <c r="B34" s="58"/>
      <c r="C34" t="str">
        <f>""</f>
        <v/>
      </c>
      <c r="D34" t="str">
        <f>"[0.008]"</f>
        <v>[0.008]</v>
      </c>
      <c r="E34" t="str">
        <f>""</f>
        <v/>
      </c>
      <c r="F34" t="str">
        <f>""</f>
        <v/>
      </c>
      <c r="G34" t="str">
        <f>""</f>
        <v/>
      </c>
      <c r="H34" t="str">
        <f>""</f>
        <v/>
      </c>
    </row>
    <row xmlns:x14ac="http://schemas.microsoft.com/office/spreadsheetml/2009/9/ac" r="35" ht="17" x14ac:dyDescent="0.2">
      <c r="B35" s="58" t="str">
        <f>"Lag. Violence in a given year (yes=1)*Index of  household Losss (all) - PCA"</f>
        <v>Lag. Violence in a given year (yes=1)*Index of  household Losss (all) - PCA</v>
      </c>
      <c r="C35" t="str">
        <f>""</f>
        <v/>
      </c>
      <c r="D35" t="str">
        <f>"0.006"</f>
        <v>0.006</v>
      </c>
      <c r="E35" t="str">
        <f>""</f>
        <v/>
      </c>
      <c r="F35" t="str">
        <f>""</f>
        <v/>
      </c>
      <c r="G35" t="str">
        <f>""</f>
        <v/>
      </c>
      <c r="H35" t="str">
        <f>""</f>
        <v/>
      </c>
    </row>
    <row xmlns:x14ac="http://schemas.microsoft.com/office/spreadsheetml/2009/9/ac" r="36" x14ac:dyDescent="0.2">
      <c r="B36" s="58"/>
      <c r="C36" t="str">
        <f>""</f>
        <v/>
      </c>
      <c r="D36" t="str">
        <f>"[0.008]"</f>
        <v>[0.008]</v>
      </c>
      <c r="E36" t="str">
        <f>""</f>
        <v/>
      </c>
      <c r="F36" t="str">
        <f>""</f>
        <v/>
      </c>
      <c r="G36" t="str">
        <f>""</f>
        <v/>
      </c>
      <c r="H36" t="str">
        <f>""</f>
        <v/>
      </c>
    </row>
    <row xmlns:x14ac="http://schemas.microsoft.com/office/spreadsheetml/2009/9/ac" r="37" ht="34" x14ac:dyDescent="0.2">
      <c r="B37" s="58" t="str">
        <f>"Number of casualties in a given year*Index of  household Losss (all) - PCA - above the mean (yes=1)"</f>
        <v>Number of casualties in a given year*Index of  household Losss (all) - PCA - above the mean (yes=1)</v>
      </c>
      <c r="C37" t="str">
        <f>""</f>
        <v/>
      </c>
      <c r="D37" t="str">
        <f>""</f>
        <v/>
      </c>
      <c r="E37" t="str">
        <f>"0.069***"</f>
        <v>0.069***</v>
      </c>
      <c r="F37" t="str">
        <f>""</f>
        <v/>
      </c>
      <c r="G37" t="str">
        <f>""</f>
        <v/>
      </c>
      <c r="H37" t="str">
        <f>""</f>
        <v/>
      </c>
    </row>
    <row xmlns:x14ac="http://schemas.microsoft.com/office/spreadsheetml/2009/9/ac" r="38" x14ac:dyDescent="0.2">
      <c r="B38" s="58"/>
      <c r="C38" t="str">
        <f>""</f>
        <v/>
      </c>
      <c r="D38" t="str">
        <f>""</f>
        <v/>
      </c>
      <c r="E38" t="str">
        <f>"[0.026]"</f>
        <v>[0.026]</v>
      </c>
      <c r="F38" t="str">
        <f>""</f>
        <v/>
      </c>
      <c r="G38" t="str">
        <f>""</f>
        <v/>
      </c>
      <c r="H38" t="str">
        <f>""</f>
        <v/>
      </c>
    </row>
    <row xmlns:x14ac="http://schemas.microsoft.com/office/spreadsheetml/2009/9/ac" r="39" ht="34" x14ac:dyDescent="0.2">
      <c r="B39" s="58" t="str">
        <f>"Lag. Number of casualties in a given year*Index of  household Losss (all) - PCA - above the mean (yes=1)"</f>
        <v>Lag. Number of casualties in a given year*Index of  household Losss (all) - PCA - above the mean (yes=1)</v>
      </c>
      <c r="C39" t="str">
        <f>""</f>
        <v/>
      </c>
      <c r="D39" t="str">
        <f>""</f>
        <v/>
      </c>
      <c r="E39" t="str">
        <f>"0.008"</f>
        <v>0.008</v>
      </c>
      <c r="F39" t="str">
        <f>""</f>
        <v/>
      </c>
      <c r="G39" t="str">
        <f>""</f>
        <v/>
      </c>
      <c r="H39" t="str">
        <f>""</f>
        <v/>
      </c>
    </row>
    <row xmlns:x14ac="http://schemas.microsoft.com/office/spreadsheetml/2009/9/ac" r="40" x14ac:dyDescent="0.2">
      <c r="B40" s="58"/>
      <c r="C40" t="str">
        <f>""</f>
        <v/>
      </c>
      <c r="D40" t="str">
        <f>""</f>
        <v/>
      </c>
      <c r="E40" t="str">
        <f>"[0.055]"</f>
        <v>[0.055]</v>
      </c>
      <c r="F40" t="str">
        <f>""</f>
        <v/>
      </c>
      <c r="G40" t="str">
        <f>""</f>
        <v/>
      </c>
      <c r="H40" t="str">
        <f>""</f>
        <v/>
      </c>
    </row>
    <row xmlns:x14ac="http://schemas.microsoft.com/office/spreadsheetml/2009/9/ac" r="41" ht="17" x14ac:dyDescent="0.2">
      <c r="B41" s="58" t="str">
        <f>"Number of casualties in a given year*Index of  household Losss (all) - PCA"</f>
        <v>Number of casualties in a given year*Index of  household Losss (all) - PCA</v>
      </c>
      <c r="C41" t="str">
        <f>""</f>
        <v/>
      </c>
      <c r="D41" t="str">
        <f>""</f>
        <v/>
      </c>
      <c r="E41" t="str">
        <f>""</f>
        <v/>
      </c>
      <c r="F41" t="str">
        <f>"0.312"</f>
        <v>0.312</v>
      </c>
      <c r="G41" t="str">
        <f>""</f>
        <v/>
      </c>
      <c r="H41" t="str">
        <f>""</f>
        <v/>
      </c>
    </row>
    <row xmlns:x14ac="http://schemas.microsoft.com/office/spreadsheetml/2009/9/ac" r="42" x14ac:dyDescent="0.2">
      <c r="B42" s="59"/>
      <c r="C42" t="str">
        <f>""</f>
        <v/>
      </c>
      <c r="D42" t="str">
        <f>""</f>
        <v/>
      </c>
      <c r="E42" t="str">
        <f>""</f>
        <v/>
      </c>
      <c r="F42" t="str">
        <f>"[0.206]"</f>
        <v>[0.206]</v>
      </c>
      <c r="G42" t="str">
        <f>""</f>
        <v/>
      </c>
      <c r="H42" t="str">
        <f>""</f>
        <v/>
      </c>
    </row>
    <row xmlns:x14ac="http://schemas.microsoft.com/office/spreadsheetml/2009/9/ac" r="43" ht="17" x14ac:dyDescent="0.2">
      <c r="B43" s="58" t="str">
        <f>"Lag. Number of casualties in a given year*Index of  household Losss (all) - PCA"</f>
        <v>Lag. Number of casualties in a given year*Index of  household Losss (all) - PCA</v>
      </c>
      <c r="C43" t="str">
        <f>""</f>
        <v/>
      </c>
      <c r="D43" t="str">
        <f>""</f>
        <v/>
      </c>
      <c r="E43" t="str">
        <f>""</f>
        <v/>
      </c>
      <c r="F43" t="str">
        <f>"0.237"</f>
        <v>0.237</v>
      </c>
      <c r="G43" t="str">
        <f>""</f>
        <v/>
      </c>
      <c r="H43" t="str">
        <f>""</f>
        <v/>
      </c>
    </row>
    <row xmlns:x14ac="http://schemas.microsoft.com/office/spreadsheetml/2009/9/ac" r="44" x14ac:dyDescent="0.2">
      <c r="B44" s="59"/>
      <c r="C44" t="str">
        <f>""</f>
        <v/>
      </c>
      <c r="D44" t="str">
        <f>""</f>
        <v/>
      </c>
      <c r="E44" t="str">
        <f>""</f>
        <v/>
      </c>
      <c r="F44" t="str">
        <f>"[0.227]"</f>
        <v>[0.227]</v>
      </c>
      <c r="G44" t="str">
        <f>""</f>
        <v/>
      </c>
      <c r="H44" t="str">
        <f>""</f>
        <v/>
      </c>
    </row>
    <row xmlns:x14ac="http://schemas.microsoft.com/office/spreadsheetml/2009/9/ac" r="45" ht="34" x14ac:dyDescent="0.2">
      <c r="B45" s="58" t="str">
        <f>"Number of casualties in a given year above mean (yes=1)*Index of  household Losss (all) - PCA - above the mean (yes=1)"</f>
        <v>Number of casualties in a given year above mean (yes=1)*Index of  household Losss (all) - PCA - above the mean (yes=1)</v>
      </c>
      <c r="C45" t="str">
        <f>""</f>
        <v/>
      </c>
      <c r="D45" t="str">
        <f>""</f>
        <v/>
      </c>
      <c r="E45" t="str">
        <f>""</f>
        <v/>
      </c>
      <c r="F45" t="str">
        <f>""</f>
        <v/>
      </c>
      <c r="G45" t="str">
        <f>"0.557***"</f>
        <v>0.557***</v>
      </c>
      <c r="H45" t="str">
        <f>""</f>
        <v/>
      </c>
    </row>
    <row xmlns:x14ac="http://schemas.microsoft.com/office/spreadsheetml/2009/9/ac" r="46" x14ac:dyDescent="0.2">
      <c r="B46" s="59"/>
      <c r="C46" t="str">
        <f>""</f>
        <v/>
      </c>
      <c r="D46" t="str">
        <f>""</f>
        <v/>
      </c>
      <c r="E46" t="str">
        <f>""</f>
        <v/>
      </c>
      <c r="F46" t="str">
        <f>""</f>
        <v/>
      </c>
      <c r="G46" t="str">
        <f>"[0.136]"</f>
        <v>[0.136]</v>
      </c>
      <c r="H46" t="str">
        <f>""</f>
        <v/>
      </c>
    </row>
    <row xmlns:x14ac="http://schemas.microsoft.com/office/spreadsheetml/2009/9/ac" r="47" ht="34" x14ac:dyDescent="0.2">
      <c r="B47" s="58" t="str">
        <f>"Lag Number of casualties in a given year above mean (yes=1)*Index of  household Losss (all) - PCA - above the mean (yes=1)"</f>
        <v>Lag Number of casualties in a given year above mean (yes=1)*Index of  household Losss (all) - PCA - above the mean (yes=1)</v>
      </c>
      <c r="C47" t="str">
        <f>""</f>
        <v/>
      </c>
      <c r="D47" t="str">
        <f>""</f>
        <v/>
      </c>
      <c r="E47" t="str">
        <f>""</f>
        <v/>
      </c>
      <c r="F47" t="str">
        <f>""</f>
        <v/>
      </c>
      <c r="G47" t="str">
        <f>"0.510***"</f>
        <v>0.510***</v>
      </c>
      <c r="H47" t="str">
        <f>""</f>
        <v/>
      </c>
    </row>
    <row xmlns:x14ac="http://schemas.microsoft.com/office/spreadsheetml/2009/9/ac" r="48" x14ac:dyDescent="0.2">
      <c r="B48" s="59"/>
      <c r="C48" t="str">
        <f>""</f>
        <v/>
      </c>
      <c r="D48" t="str">
        <f>""</f>
        <v/>
      </c>
      <c r="E48" t="str">
        <f>""</f>
        <v/>
      </c>
      <c r="F48" t="str">
        <f>""</f>
        <v/>
      </c>
      <c r="G48" t="str">
        <f>"[0.116]"</f>
        <v>[0.116]</v>
      </c>
      <c r="H48" t="str">
        <f>""</f>
        <v/>
      </c>
    </row>
    <row xmlns:x14ac="http://schemas.microsoft.com/office/spreadsheetml/2009/9/ac" r="49" ht="34" x14ac:dyDescent="0.2">
      <c r="B49" s="58" t="str">
        <f>"Number of casualties in a given year above mean (yes=1)*Index of  household Losss (all) - PCA"</f>
        <v>Number of casualties in a given year above mean (yes=1)*Index of  household Losss (all) - PCA</v>
      </c>
      <c r="C49" t="str">
        <f>""</f>
        <v/>
      </c>
      <c r="D49" t="str">
        <f>""</f>
        <v/>
      </c>
      <c r="E49" t="str">
        <f>""</f>
        <v/>
      </c>
      <c r="F49" t="str">
        <f>""</f>
        <v/>
      </c>
      <c r="G49" t="str">
        <f>""</f>
        <v/>
      </c>
      <c r="H49" t="str">
        <f>"0.008"</f>
        <v>0.008</v>
      </c>
    </row>
    <row xmlns:x14ac="http://schemas.microsoft.com/office/spreadsheetml/2009/9/ac" r="50" x14ac:dyDescent="0.2">
      <c r="B50" s="58"/>
      <c r="C50" t="str">
        <f>""</f>
        <v/>
      </c>
      <c r="D50" t="str">
        <f>""</f>
        <v/>
      </c>
      <c r="E50" t="str">
        <f>""</f>
        <v/>
      </c>
      <c r="F50" t="str">
        <f>""</f>
        <v/>
      </c>
      <c r="G50" t="str">
        <f>""</f>
        <v/>
      </c>
      <c r="H50" t="str">
        <f>"[0.007]"</f>
        <v>[0.007]</v>
      </c>
    </row>
    <row xmlns:x14ac="http://schemas.microsoft.com/office/spreadsheetml/2009/9/ac" r="51" ht="34" x14ac:dyDescent="0.2">
      <c r="B51" s="58" t="str">
        <f>"Lag. Number of casualties in a given year above mean (yes=1)*Index of  household Losss (all) - PCA"</f>
        <v>Lag. Number of casualties in a given year above mean (yes=1)*Index of  household Losss (all) - PCA</v>
      </c>
      <c r="C51" t="str">
        <f>""</f>
        <v/>
      </c>
      <c r="D51" t="str">
        <f>""</f>
        <v/>
      </c>
      <c r="E51" t="str">
        <f>""</f>
        <v/>
      </c>
      <c r="F51" t="str">
        <f>""</f>
        <v/>
      </c>
      <c r="G51" t="str">
        <f>""</f>
        <v/>
      </c>
      <c r="H51" t="str">
        <f>"0.010"</f>
        <v>0.010</v>
      </c>
    </row>
    <row xmlns:x14ac="http://schemas.microsoft.com/office/spreadsheetml/2009/9/ac" r="52" x14ac:dyDescent="0.2">
      <c r="B52" s="48"/>
      <c r="C52" t="str">
        <f>""</f>
        <v/>
      </c>
      <c r="D52" t="str">
        <f>""</f>
        <v/>
      </c>
      <c r="E52" t="str">
        <f>""</f>
        <v/>
      </c>
      <c r="F52" t="str">
        <f>""</f>
        <v/>
      </c>
      <c r="G52" t="str">
        <f>""</f>
        <v/>
      </c>
      <c r="H52" t="str">
        <f>"[0.010]"</f>
        <v>[0.010]</v>
      </c>
    </row>
    <row xmlns:x14ac="http://schemas.microsoft.com/office/spreadsheetml/2009/9/ac" r="53" x14ac:dyDescent="0.2">
      <c r="B53" s="18" t="s">
        <v>27</v>
      </c>
      <c r="C53" s="29" t="str">
        <f t="shared" ref="C53:H53" si="0">"31320"</f>
        <v>31320</v>
      </c>
      <c r="D53" s="29" t="str">
        <f t="shared" si="0"/>
        <v>31320</v>
      </c>
      <c r="E53" s="29" t="str">
        <f t="shared" si="0"/>
        <v>31320</v>
      </c>
      <c r="F53" s="29" t="str">
        <f t="shared" si="0"/>
        <v>31320</v>
      </c>
      <c r="G53" s="29" t="str">
        <f t="shared" si="0"/>
        <v>31320</v>
      </c>
      <c r="H53" s="29" t="str">
        <f t="shared" si="0"/>
        <v>31320</v>
      </c>
    </row>
    <row xmlns:x14ac="http://schemas.microsoft.com/office/spreadsheetml/2009/9/ac" r="54" x14ac:dyDescent="0.2">
      <c r="B54" s="15" t="s">
        <v>49</v>
      </c>
      <c r="C54" s="16" t="str">
        <f t="shared" ref="C54:H54" si="1">"0.045"</f>
        <v>0.045</v>
      </c>
      <c r="D54" s="16" t="str">
        <f t="shared" si="1"/>
        <v>0.045</v>
      </c>
      <c r="E54" s="16" t="str">
        <f t="shared" si="1"/>
        <v>0.045</v>
      </c>
      <c r="F54" s="16" t="str">
        <f t="shared" si="1"/>
        <v>0.045</v>
      </c>
      <c r="G54" s="16" t="str">
        <f t="shared" si="1"/>
        <v>0.045</v>
      </c>
      <c r="H54" s="16" t="str">
        <f t="shared" si="1"/>
        <v>0.045</v>
      </c>
    </row>
    <row xmlns:x14ac="http://schemas.microsoft.com/office/spreadsheetml/2009/9/ac" r="55" x14ac:dyDescent="0.2">
      <c r="B55" s="15" t="s">
        <v>26</v>
      </c>
      <c r="C55" s="19" t="s">
        <v>25</v>
      </c>
      <c r="D55" s="19" t="s">
        <v>25</v>
      </c>
      <c r="E55" s="19" t="s">
        <v>25</v>
      </c>
      <c r="F55" s="19" t="s">
        <v>25</v>
      </c>
      <c r="G55" s="19" t="s">
        <v>25</v>
      </c>
      <c r="H55" s="19" t="s">
        <v>25</v>
      </c>
    </row>
    <row xmlns:x14ac="http://schemas.microsoft.com/office/spreadsheetml/2009/9/ac" r="56" x14ac:dyDescent="0.2">
      <c r="B56" s="15" t="s">
        <v>24</v>
      </c>
      <c r="C56" s="19" t="s">
        <v>25</v>
      </c>
      <c r="D56" s="19" t="s">
        <v>25</v>
      </c>
      <c r="E56" s="19" t="s">
        <v>25</v>
      </c>
      <c r="F56" s="19" t="s">
        <v>25</v>
      </c>
      <c r="G56" s="19" t="s">
        <v>25</v>
      </c>
      <c r="H56" s="19" t="s">
        <v>25</v>
      </c>
    </row>
    <row xmlns:x14ac="http://schemas.microsoft.com/office/spreadsheetml/2009/9/ac" r="57" x14ac:dyDescent="0.2">
      <c r="B57" s="20" t="s">
        <v>38</v>
      </c>
      <c r="C57" s="21" t="s">
        <v>25</v>
      </c>
      <c r="D57" s="21" t="s">
        <v>25</v>
      </c>
      <c r="E57" s="21" t="s">
        <v>25</v>
      </c>
      <c r="F57" s="21" t="s">
        <v>25</v>
      </c>
      <c r="G57" s="21" t="s">
        <v>25</v>
      </c>
      <c r="H57" s="21" t="s">
        <v>25</v>
      </c>
    </row>
    <row xmlns:x14ac="http://schemas.microsoft.com/office/spreadsheetml/2009/9/ac" r="58" ht="84" customHeight="true" x14ac:dyDescent="0.2">
      <c r="B58" s="93" t="s">
        <v>75</v>
      </c>
      <c r="C58" s="93"/>
      <c r="D58" s="93"/>
      <c r="E58" s="93"/>
      <c r="F58" s="93"/>
      <c r="G58" s="93"/>
      <c r="H58" s="93"/>
    </row>
  </sheetData>
  <mergeCells count="2">
    <mergeCell ref="B2:H2"/>
    <mergeCell ref="B58:H58"/>
  </mergeCells>
  <pageMargins left="0.75" right="0.75" top="1" bottom="1" header="0.5" footer="0.5"/>
  <pageSetup orientation="portrait" horizontalDpi="4294967292" verticalDpi="4294967292"/>
</worksheet>
</file>

<file path=xl/worksheets/sheet11.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5B019-079D-7F48-A8D7-852E8885C4FC}">
  <dimension ref="B1:K28"/>
  <sheetViews>
    <sheetView showGridLines="false" workbookViewId="0">
      <selection activeCell="B8" sqref="B8"/>
    </sheetView>
  </sheetViews>
  <sheetFormatPr xmlns:x14ac="http://schemas.microsoft.com/office/spreadsheetml/2009/9/ac" baseColWidth="10" defaultColWidth="11" defaultRowHeight="16" x14ac:dyDescent="0.2"/>
  <cols>
    <col min="2" max="2" width="61.83203125" customWidth="true"/>
  </cols>
  <sheetData>
    <row xmlns:x14ac="http://schemas.microsoft.com/office/spreadsheetml/2009/9/ac" r="1" x14ac:dyDescent="0.2">
      <c r="D1" s="88"/>
      <c r="E1" s="88"/>
      <c r="F1" s="88"/>
      <c r="G1" s="88"/>
      <c r="H1" s="88"/>
      <c r="I1" s="88"/>
      <c r="J1" s="88"/>
      <c r="K1" s="88"/>
    </row>
    <row xmlns:x14ac="http://schemas.microsoft.com/office/spreadsheetml/2009/9/ac" r="2" x14ac:dyDescent="0.2">
      <c r="B2" s="88" t="s">
        <v>100</v>
      </c>
      <c r="C2" s="88"/>
      <c r="D2" s="88"/>
      <c r="E2" s="88"/>
      <c r="F2" s="88"/>
      <c r="G2" s="88"/>
      <c r="H2" s="88"/>
    </row>
    <row xmlns:x14ac="http://schemas.microsoft.com/office/spreadsheetml/2009/9/ac" r="3" ht="68" x14ac:dyDescent="0.2">
      <c r="B3" s="84" t="s">
        <v>46</v>
      </c>
      <c r="C3" s="39" t="s">
        <v>47</v>
      </c>
      <c r="D3" s="39" t="s">
        <v>64</v>
      </c>
      <c r="E3" s="39" t="s">
        <v>35</v>
      </c>
      <c r="F3" s="39" t="s">
        <v>51</v>
      </c>
      <c r="G3" s="39" t="s">
        <v>36</v>
      </c>
      <c r="H3" s="39" t="s">
        <v>37</v>
      </c>
    </row>
    <row xmlns:x14ac="http://schemas.microsoft.com/office/spreadsheetml/2009/9/ac" r="4" ht="17" thickBot="true" x14ac:dyDescent="0.25">
      <c r="B4" s="89"/>
      <c r="C4" s="7" t="s">
        <v>28</v>
      </c>
      <c r="D4" s="7" t="s">
        <v>29</v>
      </c>
      <c r="E4" s="7" t="s">
        <v>30</v>
      </c>
      <c r="F4" s="7" t="s">
        <v>31</v>
      </c>
      <c r="G4" s="7" t="s">
        <v>32</v>
      </c>
      <c r="H4" s="7" t="s">
        <v>33</v>
      </c>
    </row>
    <row xmlns:x14ac="http://schemas.microsoft.com/office/spreadsheetml/2009/9/ac" r="5" ht="21" customHeight="true" thickTop="true" x14ac:dyDescent="0.2">
      <c r="B5" s="90" t="s">
        <v>53</v>
      </c>
      <c r="C5" s="90"/>
      <c r="D5" s="90"/>
      <c r="E5" s="90"/>
      <c r="F5" s="90"/>
      <c r="G5" s="90"/>
      <c r="H5" s="90"/>
    </row>
    <row xmlns:x14ac="http://schemas.microsoft.com/office/spreadsheetml/2009/9/ac" r="6" ht="21" customHeight="true" x14ac:dyDescent="0.2">
      <c r="B6" s="47" t="s">
        <v>82</v>
      </c>
      <c r="C6" s="25" t="str">
        <f>"0.008"</f>
        <v>0.008</v>
      </c>
      <c r="D6" s="25" t="str">
        <f>"0.005"</f>
        <v>0.005</v>
      </c>
      <c r="E6" s="25" t="str">
        <f>"0.002"</f>
        <v>0.002</v>
      </c>
      <c r="F6" s="25" t="str">
        <f>"0.005"</f>
        <v>0.005</v>
      </c>
      <c r="G6" s="25" t="str">
        <f>"0.007"</f>
        <v>0.007</v>
      </c>
      <c r="H6" s="25" t="str">
        <f>"0.003"</f>
        <v>0.003</v>
      </c>
    </row>
    <row xmlns:x14ac="http://schemas.microsoft.com/office/spreadsheetml/2009/9/ac" r="7" ht="21" customHeight="true" x14ac:dyDescent="0.2">
      <c r="B7" s="62"/>
      <c r="C7" s="25" t="str">
        <f>"[0.015]"</f>
        <v>[0.015]</v>
      </c>
      <c r="D7" s="25" t="str">
        <f>"[0.010]"</f>
        <v>[0.010]</v>
      </c>
      <c r="E7" s="25" t="str">
        <f>"[0.011]"</f>
        <v>[0.011]</v>
      </c>
      <c r="F7" s="25" t="str">
        <f>"[0.014]"</f>
        <v>[0.014]</v>
      </c>
      <c r="G7" s="25" t="str">
        <f>"[0.016]"</f>
        <v>[0.016]</v>
      </c>
      <c r="H7" s="25" t="str">
        <f>"[0.005]"</f>
        <v>[0.005]</v>
      </c>
    </row>
    <row xmlns:x14ac="http://schemas.microsoft.com/office/spreadsheetml/2009/9/ac" r="8" ht="17" x14ac:dyDescent="0.2">
      <c r="B8" s="47" t="s">
        <v>89</v>
      </c>
      <c r="C8" s="25" t="str">
        <f>"0.019"</f>
        <v>0.019</v>
      </c>
      <c r="D8" s="25" t="str">
        <f>"0.030*"</f>
        <v>0.030*</v>
      </c>
      <c r="E8" s="25" t="str">
        <f>"0.018"</f>
        <v>0.018</v>
      </c>
      <c r="F8" s="25" t="str">
        <f>"0.026*"</f>
        <v>0.026*</v>
      </c>
      <c r="G8" s="25" t="str">
        <f>"0.032*"</f>
        <v>0.032*</v>
      </c>
      <c r="H8" s="25" t="str">
        <f>"0.003"</f>
        <v>0.003</v>
      </c>
    </row>
    <row xmlns:x14ac="http://schemas.microsoft.com/office/spreadsheetml/2009/9/ac" r="9" x14ac:dyDescent="0.2">
      <c r="B9" s="3"/>
      <c r="C9" s="25" t="str">
        <f>"[0.013]"</f>
        <v>[0.013]</v>
      </c>
      <c r="D9" s="25" t="str">
        <f>"[0.015]"</f>
        <v>[0.015]</v>
      </c>
      <c r="E9" s="25" t="str">
        <f>"[0.015]"</f>
        <v>[0.015]</v>
      </c>
      <c r="F9" s="25" t="str">
        <f>"[0.014]"</f>
        <v>[0.014]</v>
      </c>
      <c r="G9" s="25" t="str">
        <f>"[0.017]"</f>
        <v>[0.017]</v>
      </c>
      <c r="H9" s="25" t="str">
        <f>"[0.005]"</f>
        <v>[0.005]</v>
      </c>
    </row>
    <row xmlns:x14ac="http://schemas.microsoft.com/office/spreadsheetml/2009/9/ac" r="10" x14ac:dyDescent="0.2">
      <c r="B10" s="91" t="s">
        <v>52</v>
      </c>
      <c r="C10" s="91"/>
      <c r="D10" s="91"/>
      <c r="E10" s="91"/>
      <c r="F10" s="91"/>
      <c r="G10" s="91"/>
      <c r="H10" s="91"/>
    </row>
    <row xmlns:x14ac="http://schemas.microsoft.com/office/spreadsheetml/2009/9/ac" r="11" x14ac:dyDescent="0.2">
      <c r="B11" s="48" t="s">
        <v>84</v>
      </c>
      <c r="C11" s="25" t="str">
        <f>"0.022**"</f>
        <v>0.022**</v>
      </c>
      <c r="D11" s="25" t="str">
        <f>"0.023**"</f>
        <v>0.023**</v>
      </c>
      <c r="E11" s="25" t="str">
        <f>"0.016**"</f>
        <v>0.016**</v>
      </c>
      <c r="F11" s="25" t="str">
        <f>"0.025***"</f>
        <v>0.025***</v>
      </c>
      <c r="G11" s="25" t="str">
        <f>"0.031***"</f>
        <v>0.031***</v>
      </c>
      <c r="H11" s="25" t="str">
        <f>"0.004"</f>
        <v>0.004</v>
      </c>
    </row>
    <row xmlns:x14ac="http://schemas.microsoft.com/office/spreadsheetml/2009/9/ac" r="12" x14ac:dyDescent="0.2">
      <c r="B12" s="63"/>
      <c r="C12" s="25" t="str">
        <f>"[0.008]"</f>
        <v>[0.008]</v>
      </c>
      <c r="D12" s="25" t="str">
        <f>"[0.009]"</f>
        <v>[0.009]</v>
      </c>
      <c r="E12" s="25" t="str">
        <f>"[0.007]"</f>
        <v>[0.007]</v>
      </c>
      <c r="F12" s="25" t="str">
        <f>"[0.008]"</f>
        <v>[0.008]</v>
      </c>
      <c r="G12" s="25" t="str">
        <f>"[0.010]"</f>
        <v>[0.010]</v>
      </c>
      <c r="H12" s="25" t="str">
        <f>"[0.006]"</f>
        <v>[0.006]</v>
      </c>
    </row>
    <row xmlns:x14ac="http://schemas.microsoft.com/office/spreadsheetml/2009/9/ac" r="13" x14ac:dyDescent="0.2">
      <c r="B13" s="48" t="s">
        <v>90</v>
      </c>
      <c r="C13" s="25" t="str">
        <f>"-0.002"</f>
        <v>-0.002</v>
      </c>
      <c r="D13" s="25" t="str">
        <f>"-0.009"</f>
        <v>-0.009</v>
      </c>
      <c r="E13" s="25" t="str">
        <f>"-0.007"</f>
        <v>-0.007</v>
      </c>
      <c r="F13" s="25" t="str">
        <f>"-0.006"</f>
        <v>-0.006</v>
      </c>
      <c r="G13" s="25" t="str">
        <f>"-0.007"</f>
        <v>-0.007</v>
      </c>
      <c r="H13" s="25" t="str">
        <f>"-0.004"</f>
        <v>-0.004</v>
      </c>
    </row>
    <row xmlns:x14ac="http://schemas.microsoft.com/office/spreadsheetml/2009/9/ac" r="14" x14ac:dyDescent="0.2">
      <c r="B14" s="3"/>
      <c r="C14" s="25" t="str">
        <f>"[0.005]"</f>
        <v>[0.005]</v>
      </c>
      <c r="D14" s="25" t="str">
        <f>"[0.006]"</f>
        <v>[0.006]</v>
      </c>
      <c r="E14" s="25" t="str">
        <f>"[0.005]"</f>
        <v>[0.005]</v>
      </c>
      <c r="F14" s="25" t="str">
        <f>"[0.006]"</f>
        <v>[0.006]</v>
      </c>
      <c r="G14" s="25" t="str">
        <f>"[0.006]"</f>
        <v>[0.006]</v>
      </c>
      <c r="H14" s="25" t="str">
        <f>"[0.006]"</f>
        <v>[0.006]</v>
      </c>
    </row>
    <row xmlns:x14ac="http://schemas.microsoft.com/office/spreadsheetml/2009/9/ac" r="15" x14ac:dyDescent="0.2">
      <c r="B15" s="43" t="s">
        <v>85</v>
      </c>
      <c r="C15" s="43"/>
      <c r="D15" s="43"/>
      <c r="E15" s="43"/>
      <c r="F15" s="43"/>
      <c r="G15" s="43"/>
      <c r="H15" s="43"/>
    </row>
    <row xmlns:x14ac="http://schemas.microsoft.com/office/spreadsheetml/2009/9/ac" r="16" ht="31" x14ac:dyDescent="0.2">
      <c r="B16" s="48" t="s">
        <v>86</v>
      </c>
      <c r="C16" s="25" t="str">
        <f>"0.544"</f>
        <v>0.544</v>
      </c>
      <c r="D16" s="25" t="str">
        <f>"0.568***"</f>
        <v>0.568***</v>
      </c>
      <c r="E16" s="25" t="str">
        <f>"0.601***"</f>
        <v>0.601***</v>
      </c>
      <c r="F16" s="25" t="str">
        <f>"0.377*"</f>
        <v>0.377*</v>
      </c>
      <c r="G16" s="25" t="str">
        <f>"0.605***"</f>
        <v>0.605***</v>
      </c>
      <c r="H16" s="25" t="str">
        <f>"-0.156"</f>
        <v>-0.156</v>
      </c>
    </row>
    <row xmlns:x14ac="http://schemas.microsoft.com/office/spreadsheetml/2009/9/ac" r="17" x14ac:dyDescent="0.2">
      <c r="B17" s="52"/>
      <c r="C17" s="25" t="str">
        <f>"[0.341]"</f>
        <v>[0.341]</v>
      </c>
      <c r="D17" s="25" t="str">
        <f>"[0.049]"</f>
        <v>[0.049]</v>
      </c>
      <c r="E17" s="25" t="str">
        <f>"[0.062]"</f>
        <v>[0.062]</v>
      </c>
      <c r="F17" s="25" t="str">
        <f>"[0.205]"</f>
        <v>[0.205]</v>
      </c>
      <c r="G17" s="25" t="str">
        <f>"[0.195]"</f>
        <v>[0.195]</v>
      </c>
      <c r="H17" s="25" t="str">
        <f>"[0.272]"</f>
        <v>[0.272]</v>
      </c>
    </row>
    <row xmlns:x14ac="http://schemas.microsoft.com/office/spreadsheetml/2009/9/ac" r="18" ht="31" x14ac:dyDescent="0.2">
      <c r="B18" s="48" t="s">
        <v>91</v>
      </c>
      <c r="C18" s="25" t="str">
        <f>"0.333**"</f>
        <v>0.333**</v>
      </c>
      <c r="D18" s="25" t="str">
        <f>"0.619***"</f>
        <v>0.619***</v>
      </c>
      <c r="E18" s="25" t="str">
        <f>"0.588***"</f>
        <v>0.588***</v>
      </c>
      <c r="F18" s="25" t="str">
        <f>"0.316**"</f>
        <v>0.316**</v>
      </c>
      <c r="G18" s="25" t="str">
        <f>"0.558***"</f>
        <v>0.558***</v>
      </c>
      <c r="H18" s="25" t="str">
        <f>"-0.186"</f>
        <v>-0.186</v>
      </c>
    </row>
    <row xmlns:x14ac="http://schemas.microsoft.com/office/spreadsheetml/2009/9/ac" r="19" x14ac:dyDescent="0.2">
      <c r="B19" s="3"/>
      <c r="C19" s="25" t="str">
        <f>"[0.142]"</f>
        <v>[0.142]</v>
      </c>
      <c r="D19" s="25" t="str">
        <f>"[0.117]"</f>
        <v>[0.117]</v>
      </c>
      <c r="E19" s="25" t="str">
        <f>"[0.108]"</f>
        <v>[0.108]</v>
      </c>
      <c r="F19" s="25" t="str">
        <f>"[0.148]"</f>
        <v>[0.148]</v>
      </c>
      <c r="G19" s="25" t="str">
        <f>"[0.151]"</f>
        <v>[0.151]</v>
      </c>
      <c r="H19" s="25" t="str">
        <f>"[0.309]"</f>
        <v>[0.309]</v>
      </c>
    </row>
    <row xmlns:x14ac="http://schemas.microsoft.com/office/spreadsheetml/2009/9/ac" r="20" x14ac:dyDescent="0.2">
      <c r="B20" s="44" t="s">
        <v>27</v>
      </c>
      <c r="C20" s="45" t="str">
        <f>"16092"</f>
        <v>16092</v>
      </c>
      <c r="D20" s="45" t="str">
        <f>"15228"</f>
        <v>15228</v>
      </c>
      <c r="E20" s="45" t="str">
        <f>"16156"</f>
        <v>16156</v>
      </c>
      <c r="F20" s="45" t="str">
        <f>"15164"</f>
        <v>15164</v>
      </c>
      <c r="G20" s="45" t="str">
        <f>"22419"</f>
        <v>22419</v>
      </c>
      <c r="H20" s="45" t="str">
        <f>"8874"</f>
        <v>8874</v>
      </c>
    </row>
    <row xmlns:x14ac="http://schemas.microsoft.com/office/spreadsheetml/2009/9/ac" r="21" x14ac:dyDescent="0.2">
      <c r="B21" s="15" t="s">
        <v>49</v>
      </c>
      <c r="C21" s="19" t="str">
        <f>"0.041"</f>
        <v>0.041</v>
      </c>
      <c r="D21" s="19" t="str">
        <f>"0.049"</f>
        <v>0.049</v>
      </c>
      <c r="E21" s="19" t="str">
        <f>"0.052"</f>
        <v>0.052</v>
      </c>
      <c r="F21" s="19" t="str">
        <f>"0.037"</f>
        <v>0.037</v>
      </c>
      <c r="G21" s="19" t="str">
        <f>"0.048"</f>
        <v>0.048</v>
      </c>
      <c r="H21" s="19" t="str">
        <f>"0.038"</f>
        <v>0.038</v>
      </c>
    </row>
    <row xmlns:x14ac="http://schemas.microsoft.com/office/spreadsheetml/2009/9/ac" r="22" x14ac:dyDescent="0.2">
      <c r="B22" s="15" t="s">
        <v>26</v>
      </c>
      <c r="C22" s="19" t="s">
        <v>25</v>
      </c>
      <c r="D22" s="19" t="s">
        <v>25</v>
      </c>
      <c r="E22" s="19" t="s">
        <v>25</v>
      </c>
      <c r="F22" s="19" t="s">
        <v>25</v>
      </c>
      <c r="G22" s="19" t="s">
        <v>25</v>
      </c>
      <c r="H22" s="19" t="s">
        <v>25</v>
      </c>
    </row>
    <row xmlns:x14ac="http://schemas.microsoft.com/office/spreadsheetml/2009/9/ac" r="23" x14ac:dyDescent="0.2">
      <c r="B23" s="15" t="s">
        <v>24</v>
      </c>
      <c r="C23" s="19" t="s">
        <v>25</v>
      </c>
      <c r="D23" s="19" t="s">
        <v>25</v>
      </c>
      <c r="E23" s="19" t="s">
        <v>25</v>
      </c>
      <c r="F23" s="19" t="s">
        <v>25</v>
      </c>
      <c r="G23" s="19" t="s">
        <v>25</v>
      </c>
      <c r="H23" s="19" t="s">
        <v>25</v>
      </c>
    </row>
    <row xmlns:x14ac="http://schemas.microsoft.com/office/spreadsheetml/2009/9/ac" r="24" x14ac:dyDescent="0.2">
      <c r="B24" s="15" t="s">
        <v>38</v>
      </c>
      <c r="C24" s="21" t="s">
        <v>25</v>
      </c>
      <c r="D24" s="21" t="s">
        <v>25</v>
      </c>
      <c r="E24" s="21" t="s">
        <v>25</v>
      </c>
      <c r="F24" s="21" t="s">
        <v>25</v>
      </c>
      <c r="G24" s="21" t="s">
        <v>25</v>
      </c>
      <c r="H24" s="21" t="s">
        <v>25</v>
      </c>
    </row>
    <row xmlns:x14ac="http://schemas.microsoft.com/office/spreadsheetml/2009/9/ac" r="25" ht="122" customHeight="true" x14ac:dyDescent="0.2">
      <c r="B25" s="86" t="s">
        <v>76</v>
      </c>
      <c r="C25" s="86"/>
      <c r="D25" s="86"/>
      <c r="E25" s="86"/>
      <c r="F25" s="86"/>
      <c r="G25" s="86"/>
      <c r="H25" s="86"/>
    </row>
    <row xmlns:x14ac="http://schemas.microsoft.com/office/spreadsheetml/2009/9/ac" r="28" ht="129" customHeight="true" x14ac:dyDescent="0.2"/>
  </sheetData>
  <mergeCells count="6">
    <mergeCell ref="B25:H25"/>
    <mergeCell ref="D1:K1"/>
    <mergeCell ref="B2:H2"/>
    <mergeCell ref="B3:B4"/>
    <mergeCell ref="B5:H5"/>
    <mergeCell ref="B10:H10"/>
  </mergeCells>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E1A9C-5CC4-2549-922A-14C60939F3F8}">
  <dimension ref="B1:G20"/>
  <sheetViews>
    <sheetView showGridLines="false" tabSelected="true" workbookViewId="0">
      <selection activeCell="C3" sqref="C3:D3"/>
    </sheetView>
  </sheetViews>
  <sheetFormatPr xmlns:x14ac="http://schemas.microsoft.com/office/spreadsheetml/2009/9/ac" baseColWidth="10" defaultColWidth="11" defaultRowHeight="16" x14ac:dyDescent="0.2"/>
  <cols>
    <col min="2" max="2" width="38" customWidth="true"/>
    <col min="3" max="3" width="12.33203125" customWidth="true"/>
    <col min="4" max="4" width="15.1640625" customWidth="true"/>
    <col min="5" max="5" width="11.5" customWidth="true"/>
    <col min="6" max="6" width="16.6640625" customWidth="true"/>
    <col min="7" max="7" width="17" customWidth="true"/>
  </cols>
  <sheetData>
    <row xmlns:x14ac="http://schemas.microsoft.com/office/spreadsheetml/2009/9/ac" r="1" x14ac:dyDescent="0.2">
      <c r="B1" s="6"/>
      <c r="C1" s="3"/>
      <c r="D1" s="3"/>
      <c r="E1" s="3"/>
      <c r="F1" s="3"/>
    </row>
    <row xmlns:x14ac="http://schemas.microsoft.com/office/spreadsheetml/2009/9/ac" r="2" x14ac:dyDescent="0.2">
      <c r="B2" s="83" t="s">
        <v>102</v>
      </c>
      <c r="C2" s="83"/>
      <c r="D2" s="83"/>
      <c r="E2" s="83"/>
      <c r="F2" s="83"/>
    </row>
    <row xmlns:x14ac="http://schemas.microsoft.com/office/spreadsheetml/2009/9/ac" r="3" ht="38" customHeight="true" x14ac:dyDescent="0.2">
      <c r="B3" s="1"/>
      <c r="C3" s="84" t="s">
        <v>92</v>
      </c>
      <c r="D3" s="84"/>
      <c r="E3" s="84" t="s">
        <v>93</v>
      </c>
      <c r="F3" s="84"/>
    </row>
    <row xmlns:x14ac="http://schemas.microsoft.com/office/spreadsheetml/2009/9/ac" r="4" ht="35" thickBot="true" x14ac:dyDescent="0.25">
      <c r="B4" s="2"/>
      <c r="C4" s="54" t="s">
        <v>27</v>
      </c>
      <c r="D4" s="54" t="s">
        <v>78</v>
      </c>
      <c r="E4" s="54" t="s">
        <v>27</v>
      </c>
      <c r="F4" s="54" t="s">
        <v>78</v>
      </c>
    </row>
    <row xmlns:x14ac="http://schemas.microsoft.com/office/spreadsheetml/2009/9/ac" r="5" ht="25" customHeight="true" thickTop="true" x14ac:dyDescent="0.2">
      <c r="B5" s="66" t="s">
        <v>65</v>
      </c>
      <c r="C5" s="65"/>
      <c r="D5" s="65"/>
      <c r="E5" s="65"/>
      <c r="F5" s="65"/>
    </row>
    <row xmlns:x14ac="http://schemas.microsoft.com/office/spreadsheetml/2009/9/ac" r="6" ht="34" x14ac:dyDescent="0.2">
      <c r="B6" s="47" t="s">
        <v>77</v>
      </c>
      <c r="C6" s="4">
        <v>1788</v>
      </c>
      <c r="D6" s="53">
        <v>0.113</v>
      </c>
      <c r="E6" s="4">
        <v>752</v>
      </c>
      <c r="F6" s="53">
        <v>0.151</v>
      </c>
      <c r="G6" s="57"/>
    </row>
    <row xmlns:x14ac="http://schemas.microsoft.com/office/spreadsheetml/2009/9/ac" r="7" ht="34" x14ac:dyDescent="0.2">
      <c r="B7" s="56" t="s">
        <v>23</v>
      </c>
      <c r="C7" s="4">
        <v>525</v>
      </c>
      <c r="D7" s="53">
        <v>0.152</v>
      </c>
      <c r="E7" s="4">
        <v>415</v>
      </c>
      <c r="F7" s="53">
        <v>0.20200000000000001</v>
      </c>
    </row>
    <row xmlns:x14ac="http://schemas.microsoft.com/office/spreadsheetml/2009/9/ac" r="8" ht="12" customHeight="true" x14ac:dyDescent="0.2">
      <c r="B8" s="69" t="s">
        <v>101</v>
      </c>
      <c r="C8" s="70">
        <f>SUM(C6+C7)</f>
        <v>2313</v>
      </c>
      <c r="D8" s="16"/>
      <c r="E8" s="70">
        <f>+E6+E7</f>
        <v>1167</v>
      </c>
      <c r="F8" s="53"/>
      <c r="G8" s="57"/>
    </row>
    <row xmlns:x14ac="http://schemas.microsoft.com/office/spreadsheetml/2009/9/ac" r="9" ht="9" customHeight="true" x14ac:dyDescent="0.2">
      <c r="B9" s="85"/>
      <c r="C9" s="85"/>
      <c r="D9" s="85"/>
      <c r="E9" s="85"/>
      <c r="F9" s="85"/>
    </row>
    <row xmlns:x14ac="http://schemas.microsoft.com/office/spreadsheetml/2009/9/ac" r="10" ht="19" customHeight="true" x14ac:dyDescent="0.2">
      <c r="B10" s="67" t="s">
        <v>66</v>
      </c>
      <c r="C10" s="49"/>
      <c r="D10" s="49"/>
      <c r="E10" s="49"/>
      <c r="F10" s="49"/>
    </row>
    <row xmlns:x14ac="http://schemas.microsoft.com/office/spreadsheetml/2009/9/ac" r="11" ht="34" x14ac:dyDescent="0.2">
      <c r="B11" s="47" t="s">
        <v>79</v>
      </c>
      <c r="C11" s="4">
        <v>1977</v>
      </c>
      <c r="D11" s="53">
        <v>0.114</v>
      </c>
      <c r="E11" s="4">
        <v>908</v>
      </c>
      <c r="F11" s="53">
        <v>0.153</v>
      </c>
    </row>
    <row xmlns:x14ac="http://schemas.microsoft.com/office/spreadsheetml/2009/9/ac" r="12" ht="46" customHeight="true" x14ac:dyDescent="0.2">
      <c r="B12" s="56" t="s">
        <v>80</v>
      </c>
      <c r="C12" s="4">
        <v>336</v>
      </c>
      <c r="D12" s="53">
        <v>0.16600000000000001</v>
      </c>
      <c r="E12" s="4">
        <v>259</v>
      </c>
      <c r="F12" s="53">
        <v>0.22700000000000001</v>
      </c>
    </row>
    <row xmlns:x14ac="http://schemas.microsoft.com/office/spreadsheetml/2009/9/ac" r="13" ht="14" customHeight="true" x14ac:dyDescent="0.2">
      <c r="B13" s="69" t="s">
        <v>101</v>
      </c>
      <c r="C13" s="70">
        <f>C11+C12</f>
        <v>2313</v>
      </c>
      <c r="D13" s="16"/>
      <c r="E13" s="70">
        <f>E11+E12</f>
        <v>1167</v>
      </c>
      <c r="F13" s="68"/>
    </row>
    <row xmlns:x14ac="http://schemas.microsoft.com/office/spreadsheetml/2009/9/ac" r="14" x14ac:dyDescent="0.2">
      <c r="B14" s="86" t="s">
        <v>57</v>
      </c>
      <c r="C14" s="86"/>
      <c r="D14" s="86"/>
      <c r="E14" s="86"/>
      <c r="F14" s="86"/>
    </row>
    <row xmlns:x14ac="http://schemas.microsoft.com/office/spreadsheetml/2009/9/ac" r="15" x14ac:dyDescent="0.2">
      <c r="B15" s="64"/>
      <c r="C15" s="64"/>
      <c r="D15" s="64"/>
      <c r="E15" s="64"/>
      <c r="F15" s="64"/>
    </row>
    <row xmlns:x14ac="http://schemas.microsoft.com/office/spreadsheetml/2009/9/ac" r="16" x14ac:dyDescent="0.2">
      <c r="B16" s="64"/>
      <c r="C16" s="64"/>
      <c r="D16" s="64"/>
      <c r="E16" s="64"/>
      <c r="F16" s="64"/>
    </row>
    <row xmlns:x14ac="http://schemas.microsoft.com/office/spreadsheetml/2009/9/ac" r="17" x14ac:dyDescent="0.2">
      <c r="B17" s="64"/>
      <c r="C17" s="64"/>
      <c r="D17" s="64"/>
      <c r="E17" s="64"/>
      <c r="F17" s="64"/>
    </row>
    <row xmlns:x14ac="http://schemas.microsoft.com/office/spreadsheetml/2009/9/ac" r="18" x14ac:dyDescent="0.2">
      <c r="B18" s="64"/>
      <c r="C18" s="64"/>
      <c r="D18" s="64"/>
      <c r="E18" s="64"/>
      <c r="F18" s="64"/>
    </row>
    <row xmlns:x14ac="http://schemas.microsoft.com/office/spreadsheetml/2009/9/ac" r="19" x14ac:dyDescent="0.2">
      <c r="B19" s="64"/>
      <c r="C19" s="64"/>
      <c r="D19" s="64"/>
      <c r="E19" s="64"/>
      <c r="F19" s="64"/>
    </row>
    <row xmlns:x14ac="http://schemas.microsoft.com/office/spreadsheetml/2009/9/ac" r="20" x14ac:dyDescent="0.2">
      <c r="B20" s="64"/>
      <c r="C20" s="64"/>
      <c r="D20" s="64"/>
      <c r="E20" s="64"/>
      <c r="F20" s="64"/>
    </row>
  </sheetData>
  <mergeCells count="5">
    <mergeCell ref="B2:F2"/>
    <mergeCell ref="C3:D3"/>
    <mergeCell ref="E3:F3"/>
    <mergeCell ref="B9:F9"/>
    <mergeCell ref="B14:F14"/>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44EF6-3B06-AA46-9A8E-8BD1C4290401}">
  <dimension ref="B2:L32"/>
  <sheetViews>
    <sheetView showGridLines="false" workbookViewId="0">
      <selection activeCell="B7" sqref="B7"/>
    </sheetView>
  </sheetViews>
  <sheetFormatPr xmlns:x14ac="http://schemas.microsoft.com/office/spreadsheetml/2009/9/ac" baseColWidth="10" defaultColWidth="11" defaultRowHeight="16" x14ac:dyDescent="0.2"/>
  <cols>
    <col min="2" max="2" width="56.1640625" customWidth="true"/>
  </cols>
  <sheetData>
    <row xmlns:x14ac="http://schemas.microsoft.com/office/spreadsheetml/2009/9/ac" r="2" x14ac:dyDescent="0.2">
      <c r="B2" s="87" t="s">
        <v>62</v>
      </c>
      <c r="C2" s="87"/>
      <c r="D2" s="87"/>
      <c r="E2" s="87"/>
      <c r="F2" s="87"/>
      <c r="G2" s="87"/>
      <c r="H2" s="87"/>
      <c r="I2" s="87"/>
      <c r="J2" s="87"/>
      <c r="K2" s="87"/>
      <c r="L2" s="87"/>
    </row>
    <row xmlns:x14ac="http://schemas.microsoft.com/office/spreadsheetml/2009/9/ac" r="3" ht="37" customHeight="true" thickBot="true" x14ac:dyDescent="0.25">
      <c r="B3" s="24" t="s">
        <v>46</v>
      </c>
      <c r="C3" s="9" t="s">
        <v>28</v>
      </c>
      <c r="D3" s="9" t="s">
        <v>29</v>
      </c>
      <c r="E3" s="9" t="s">
        <v>30</v>
      </c>
      <c r="F3" s="9" t="s">
        <v>31</v>
      </c>
      <c r="G3" s="9" t="s">
        <v>32</v>
      </c>
      <c r="H3" s="9" t="s">
        <v>33</v>
      </c>
      <c r="I3" s="9" t="s">
        <v>34</v>
      </c>
      <c r="J3" s="9" t="s">
        <v>39</v>
      </c>
      <c r="K3" s="9" t="s">
        <v>40</v>
      </c>
      <c r="L3" s="9" t="s">
        <v>58</v>
      </c>
    </row>
    <row xmlns:x14ac="http://schemas.microsoft.com/office/spreadsheetml/2009/9/ac" r="4" ht="17" thickTop="true" x14ac:dyDescent="0.2">
      <c r="B4" s="22" t="s">
        <v>53</v>
      </c>
      <c r="C4" s="17"/>
      <c r="D4" s="17"/>
      <c r="E4" s="17"/>
      <c r="F4" s="17"/>
      <c r="G4" s="17"/>
      <c r="H4" s="17"/>
      <c r="I4" s="17"/>
      <c r="J4" s="17"/>
      <c r="K4" s="17"/>
    </row>
    <row xmlns:x14ac="http://schemas.microsoft.com/office/spreadsheetml/2009/9/ac" r="5" x14ac:dyDescent="0.2">
      <c r="B5" s="3" t="s">
        <v>50</v>
      </c>
      <c r="C5" s="23" t="str">
        <f>"0.031**"</f>
        <v>0.031**</v>
      </c>
      <c r="D5" s="23" t="str">
        <f>""</f>
        <v/>
      </c>
      <c r="E5" s="23"/>
      <c r="F5" s="23"/>
      <c r="G5" s="23"/>
      <c r="H5" s="23"/>
      <c r="I5" s="23"/>
      <c r="J5" s="23"/>
      <c r="K5" s="23"/>
    </row>
    <row xmlns:x14ac="http://schemas.microsoft.com/office/spreadsheetml/2009/9/ac" r="6" x14ac:dyDescent="0.2">
      <c r="B6" s="3"/>
      <c r="C6" s="23" t="str">
        <f>"[0.014]"</f>
        <v>[0.014]</v>
      </c>
      <c r="D6" s="23" t="str">
        <f>""</f>
        <v/>
      </c>
      <c r="E6" s="23"/>
      <c r="F6" s="23"/>
      <c r="G6" s="23"/>
      <c r="H6" s="23"/>
      <c r="I6" s="23"/>
      <c r="J6" s="23"/>
      <c r="K6" s="23"/>
    </row>
    <row xmlns:x14ac="http://schemas.microsoft.com/office/spreadsheetml/2009/9/ac" r="7" x14ac:dyDescent="0.2">
      <c r="B7" s="3" t="s">
        <v>48</v>
      </c>
      <c r="C7" s="23" t="str">
        <f>""</f>
        <v/>
      </c>
      <c r="D7" s="23" t="str">
        <f>"0.241***"</f>
        <v>0.241***</v>
      </c>
      <c r="E7" s="23"/>
      <c r="F7" s="23"/>
      <c r="G7" s="23"/>
      <c r="H7" s="23"/>
      <c r="I7" s="23"/>
      <c r="J7" s="23"/>
      <c r="K7" s="23"/>
    </row>
    <row xmlns:x14ac="http://schemas.microsoft.com/office/spreadsheetml/2009/9/ac" r="8" x14ac:dyDescent="0.2">
      <c r="B8" s="3" t="str">
        <f>""</f>
        <v/>
      </c>
      <c r="C8" s="23" t="str">
        <f>""</f>
        <v/>
      </c>
      <c r="D8" s="23" t="str">
        <f>"[0.090]"</f>
        <v>[0.090]</v>
      </c>
      <c r="E8" s="23"/>
      <c r="F8" s="23"/>
      <c r="G8" s="23"/>
      <c r="H8" s="23"/>
      <c r="I8" s="23"/>
      <c r="J8" s="23"/>
      <c r="K8" s="23"/>
    </row>
    <row xmlns:x14ac="http://schemas.microsoft.com/office/spreadsheetml/2009/9/ac" r="9" x14ac:dyDescent="0.2">
      <c r="B9" s="3"/>
      <c r="C9" s="23"/>
      <c r="D9" s="23"/>
      <c r="E9" s="23"/>
      <c r="F9" s="23"/>
      <c r="G9" s="23"/>
      <c r="H9" s="23"/>
      <c r="I9" s="23"/>
      <c r="J9" s="23"/>
      <c r="K9" s="23"/>
    </row>
    <row xmlns:x14ac="http://schemas.microsoft.com/office/spreadsheetml/2009/9/ac" r="10" x14ac:dyDescent="0.2">
      <c r="B10" s="34" t="s">
        <v>52</v>
      </c>
      <c r="C10" s="27"/>
      <c r="D10" s="27"/>
      <c r="E10" s="27"/>
      <c r="F10" s="27"/>
      <c r="G10" s="27"/>
      <c r="H10" s="27"/>
      <c r="I10" s="27"/>
      <c r="J10" s="27"/>
      <c r="K10" s="27"/>
      <c r="L10" s="27"/>
    </row>
    <row xmlns:x14ac="http://schemas.microsoft.com/office/spreadsheetml/2009/9/ac" r="11" x14ac:dyDescent="0.2">
      <c r="B11" s="8" t="str">
        <f>"Loss of land (yes=1) for a household in a given year"</f>
        <v>Loss of land (yes=1) for a household in a given year</v>
      </c>
      <c r="C11" s="23"/>
      <c r="D11" s="23"/>
      <c r="E11" t="str">
        <f>"-0.003"</f>
        <v>-0.003</v>
      </c>
      <c r="F11" t="str">
        <f>""</f>
        <v/>
      </c>
      <c r="G11" t="str">
        <f>""</f>
        <v/>
      </c>
      <c r="H11" t="str">
        <f>""</f>
        <v/>
      </c>
      <c r="I11" t="str">
        <f>""</f>
        <v/>
      </c>
      <c r="J11" t="str">
        <f>""</f>
        <v/>
      </c>
      <c r="K11" t="str">
        <f>""</f>
        <v/>
      </c>
      <c r="L11" t="str">
        <f>""</f>
        <v/>
      </c>
    </row>
    <row xmlns:x14ac="http://schemas.microsoft.com/office/spreadsheetml/2009/9/ac" r="12" x14ac:dyDescent="0.2">
      <c r="B12" s="8" t="str">
        <f>""</f>
        <v/>
      </c>
      <c r="C12" s="23"/>
      <c r="D12" s="23"/>
      <c r="E12" t="str">
        <f>"[0.018]"</f>
        <v>[0.018]</v>
      </c>
      <c r="F12" t="str">
        <f>""</f>
        <v/>
      </c>
      <c r="G12" t="str">
        <f>""</f>
        <v/>
      </c>
      <c r="H12" t="str">
        <f>""</f>
        <v/>
      </c>
      <c r="I12" t="str">
        <f>""</f>
        <v/>
      </c>
      <c r="J12" t="str">
        <f>""</f>
        <v/>
      </c>
      <c r="K12" t="str">
        <f>""</f>
        <v/>
      </c>
      <c r="L12" t="str">
        <f>""</f>
        <v/>
      </c>
    </row>
    <row xmlns:x14ac="http://schemas.microsoft.com/office/spreadsheetml/2009/9/ac" r="13" x14ac:dyDescent="0.2">
      <c r="B13" s="8" t="str">
        <f>"Theft of crops (yes=1) for a household in a given year"</f>
        <v>Theft of crops (yes=1) for a household in a given year</v>
      </c>
      <c r="C13" s="23"/>
      <c r="D13" s="23"/>
      <c r="E13" t="str">
        <f>""</f>
        <v/>
      </c>
      <c r="F13" t="str">
        <f>"0.013*"</f>
        <v>0.013*</v>
      </c>
      <c r="G13" t="str">
        <f>""</f>
        <v/>
      </c>
      <c r="H13" t="str">
        <f>""</f>
        <v/>
      </c>
      <c r="I13" t="str">
        <f>""</f>
        <v/>
      </c>
      <c r="J13" t="str">
        <f>""</f>
        <v/>
      </c>
      <c r="K13" t="str">
        <f>""</f>
        <v/>
      </c>
      <c r="L13" t="str">
        <f>""</f>
        <v/>
      </c>
    </row>
    <row xmlns:x14ac="http://schemas.microsoft.com/office/spreadsheetml/2009/9/ac" r="14" x14ac:dyDescent="0.2">
      <c r="B14" s="8" t="str">
        <f>""</f>
        <v/>
      </c>
      <c r="C14" s="23"/>
      <c r="D14" s="23"/>
      <c r="E14" t="str">
        <f>""</f>
        <v/>
      </c>
      <c r="F14" t="str">
        <f>"[0.008]"</f>
        <v>[0.008]</v>
      </c>
      <c r="G14" t="str">
        <f>""</f>
        <v/>
      </c>
      <c r="H14" t="str">
        <f>""</f>
        <v/>
      </c>
      <c r="I14" t="str">
        <f>""</f>
        <v/>
      </c>
      <c r="J14" t="str">
        <f>""</f>
        <v/>
      </c>
      <c r="K14" t="str">
        <f>""</f>
        <v/>
      </c>
      <c r="L14" t="str">
        <f>""</f>
        <v/>
      </c>
    </row>
    <row xmlns:x14ac="http://schemas.microsoft.com/office/spreadsheetml/2009/9/ac" r="15" x14ac:dyDescent="0.2">
      <c r="B15" s="10" t="str">
        <f>"Theft of money (yes=1) for a household in a given year"</f>
        <v>Theft of money (yes=1) for a household in a given year</v>
      </c>
      <c r="C15" s="28"/>
      <c r="D15" s="28"/>
      <c r="E15" t="str">
        <f>""</f>
        <v/>
      </c>
      <c r="F15" t="str">
        <f>""</f>
        <v/>
      </c>
      <c r="G15" t="str">
        <f>"0.046***"</f>
        <v>0.046***</v>
      </c>
      <c r="H15" t="str">
        <f>""</f>
        <v/>
      </c>
      <c r="I15" t="str">
        <f>""</f>
        <v/>
      </c>
      <c r="J15" t="str">
        <f>""</f>
        <v/>
      </c>
      <c r="K15" t="str">
        <f>""</f>
        <v/>
      </c>
      <c r="L15" t="str">
        <f>""</f>
        <v/>
      </c>
    </row>
    <row xmlns:x14ac="http://schemas.microsoft.com/office/spreadsheetml/2009/9/ac" r="16" x14ac:dyDescent="0.2">
      <c r="B16" s="8" t="str">
        <f>""</f>
        <v/>
      </c>
      <c r="C16" s="23"/>
      <c r="D16" s="23"/>
      <c r="E16" t="str">
        <f>""</f>
        <v/>
      </c>
      <c r="F16" t="str">
        <f>""</f>
        <v/>
      </c>
      <c r="G16" t="str">
        <f>"[0.014]"</f>
        <v>[0.014]</v>
      </c>
      <c r="H16" t="str">
        <f>""</f>
        <v/>
      </c>
      <c r="I16" t="str">
        <f>""</f>
        <v/>
      </c>
      <c r="J16" t="str">
        <f>""</f>
        <v/>
      </c>
      <c r="K16" t="str">
        <f>""</f>
        <v/>
      </c>
      <c r="L16" t="str">
        <f>""</f>
        <v/>
      </c>
    </row>
    <row xmlns:x14ac="http://schemas.microsoft.com/office/spreadsheetml/2009/9/ac" r="17" x14ac:dyDescent="0.2">
      <c r="B17" s="8" t="str">
        <f>"Theft or destruction of goods (yes=1) for a household in a given year"</f>
        <v>Theft or destruction of goods (yes=1) for a household in a given year</v>
      </c>
      <c r="C17" s="23"/>
      <c r="D17" s="23"/>
      <c r="E17" t="str">
        <f>""</f>
        <v/>
      </c>
      <c r="F17" t="str">
        <f>""</f>
        <v/>
      </c>
      <c r="G17" t="str">
        <f>""</f>
        <v/>
      </c>
      <c r="H17" t="str">
        <f>"0.040***"</f>
        <v>0.040***</v>
      </c>
      <c r="I17" t="str">
        <f>""</f>
        <v/>
      </c>
      <c r="J17" t="str">
        <f>""</f>
        <v/>
      </c>
      <c r="K17" t="str">
        <f>""</f>
        <v/>
      </c>
      <c r="L17" t="str">
        <f>""</f>
        <v/>
      </c>
    </row>
    <row xmlns:x14ac="http://schemas.microsoft.com/office/spreadsheetml/2009/9/ac" r="18" x14ac:dyDescent="0.2">
      <c r="B18" s="8"/>
      <c r="C18" s="23"/>
      <c r="D18" s="23"/>
      <c r="E18" t="str">
        <f>""</f>
        <v/>
      </c>
      <c r="F18" t="str">
        <f>""</f>
        <v/>
      </c>
      <c r="G18" t="str">
        <f>""</f>
        <v/>
      </c>
      <c r="H18" t="str">
        <f>"[0.014]"</f>
        <v>[0.014]</v>
      </c>
      <c r="I18" t="str">
        <f>""</f>
        <v/>
      </c>
      <c r="J18" t="str">
        <f>""</f>
        <v/>
      </c>
      <c r="K18" t="str">
        <f>""</f>
        <v/>
      </c>
      <c r="L18" t="str">
        <f>""</f>
        <v/>
      </c>
    </row>
    <row xmlns:x14ac="http://schemas.microsoft.com/office/spreadsheetml/2009/9/ac" r="19" x14ac:dyDescent="0.2">
      <c r="B19" s="8" t="str">
        <f>"Destruction of house (yes=1) for a household in a given year"</f>
        <v>Destruction of house (yes=1) for a household in a given year</v>
      </c>
      <c r="C19" s="23"/>
      <c r="D19" s="23"/>
      <c r="E19" t="str">
        <f>""</f>
        <v/>
      </c>
      <c r="F19" t="str">
        <f>""</f>
        <v/>
      </c>
      <c r="G19" t="str">
        <f>""</f>
        <v/>
      </c>
      <c r="H19" t="str">
        <f>""</f>
        <v/>
      </c>
      <c r="I19" t="str">
        <f>"0.059**"</f>
        <v>0.059**</v>
      </c>
      <c r="J19" t="str">
        <f>""</f>
        <v/>
      </c>
      <c r="K19" t="str">
        <f>""</f>
        <v/>
      </c>
      <c r="L19" t="str">
        <f>""</f>
        <v/>
      </c>
    </row>
    <row xmlns:x14ac="http://schemas.microsoft.com/office/spreadsheetml/2009/9/ac" r="20" x14ac:dyDescent="0.2">
      <c r="B20" s="8"/>
      <c r="C20" s="23"/>
      <c r="D20" s="23"/>
      <c r="E20" t="str">
        <f>""</f>
        <v/>
      </c>
      <c r="F20" t="str">
        <f>""</f>
        <v/>
      </c>
      <c r="G20" t="str">
        <f>""</f>
        <v/>
      </c>
      <c r="H20" t="str">
        <f>""</f>
        <v/>
      </c>
      <c r="I20" t="str">
        <f>"[0.023]"</f>
        <v>[0.023]</v>
      </c>
      <c r="J20" t="str">
        <f>""</f>
        <v/>
      </c>
      <c r="K20" t="str">
        <f>""</f>
        <v/>
      </c>
      <c r="L20" t="str">
        <f>""</f>
        <v/>
      </c>
    </row>
    <row xmlns:x14ac="http://schemas.microsoft.com/office/spreadsheetml/2009/9/ac" r="21" x14ac:dyDescent="0.2">
      <c r="B21" s="11" t="s">
        <v>54</v>
      </c>
      <c r="C21" s="23"/>
      <c r="D21" s="23"/>
      <c r="E21" t="str">
        <f>""</f>
        <v/>
      </c>
      <c r="F21" t="str">
        <f>""</f>
        <v/>
      </c>
      <c r="G21" t="str">
        <f>""</f>
        <v/>
      </c>
      <c r="H21" t="str">
        <f>""</f>
        <v/>
      </c>
      <c r="I21" t="str">
        <f>""</f>
        <v/>
      </c>
      <c r="J21" t="str">
        <f>"0.002"</f>
        <v>0.002</v>
      </c>
      <c r="K21" t="str">
        <f>""</f>
        <v/>
      </c>
      <c r="L21" t="str">
        <f>""</f>
        <v/>
      </c>
    </row>
    <row xmlns:x14ac="http://schemas.microsoft.com/office/spreadsheetml/2009/9/ac" r="22" x14ac:dyDescent="0.2">
      <c r="C22" s="23"/>
      <c r="D22" s="23"/>
      <c r="E22" t="str">
        <f>""</f>
        <v/>
      </c>
      <c r="F22" t="str">
        <f>""</f>
        <v/>
      </c>
      <c r="G22" t="str">
        <f>""</f>
        <v/>
      </c>
      <c r="H22" t="str">
        <f>""</f>
        <v/>
      </c>
      <c r="I22" t="str">
        <f>""</f>
        <v/>
      </c>
      <c r="J22" t="str">
        <f>"[0.002]"</f>
        <v>[0.002]</v>
      </c>
      <c r="K22" t="str">
        <f>""</f>
        <v/>
      </c>
      <c r="L22" t="str">
        <f>""</f>
        <v/>
      </c>
    </row>
    <row xmlns:x14ac="http://schemas.microsoft.com/office/spreadsheetml/2009/9/ac" r="23" x14ac:dyDescent="0.2">
      <c r="B23" s="11" t="s">
        <v>55</v>
      </c>
      <c r="C23" s="23"/>
      <c r="D23" s="23"/>
      <c r="E23" t="str">
        <f>""</f>
        <v/>
      </c>
      <c r="F23" t="str">
        <f>""</f>
        <v/>
      </c>
      <c r="G23" t="str">
        <f>""</f>
        <v/>
      </c>
      <c r="H23" t="str">
        <f>""</f>
        <v/>
      </c>
      <c r="I23" t="str">
        <f>""</f>
        <v/>
      </c>
      <c r="J23" t="str">
        <f>""</f>
        <v/>
      </c>
      <c r="K23" t="str">
        <f>"0.008***"</f>
        <v>0.008***</v>
      </c>
      <c r="L23" t="str">
        <f>""</f>
        <v/>
      </c>
    </row>
    <row xmlns:x14ac="http://schemas.microsoft.com/office/spreadsheetml/2009/9/ac" r="24" x14ac:dyDescent="0.2">
      <c r="C24" s="23"/>
      <c r="D24" s="23"/>
      <c r="E24" t="str">
        <f>""</f>
        <v/>
      </c>
      <c r="F24" t="str">
        <f>""</f>
        <v/>
      </c>
      <c r="G24" t="str">
        <f>""</f>
        <v/>
      </c>
      <c r="H24" t="str">
        <f>""</f>
        <v/>
      </c>
      <c r="I24" t="str">
        <f>""</f>
        <v/>
      </c>
      <c r="J24" t="str">
        <f>""</f>
        <v/>
      </c>
      <c r="K24" t="str">
        <f>"[0.002]"</f>
        <v>[0.002]</v>
      </c>
      <c r="L24" t="str">
        <f>""</f>
        <v/>
      </c>
    </row>
    <row xmlns:x14ac="http://schemas.microsoft.com/office/spreadsheetml/2009/9/ac" r="25" x14ac:dyDescent="0.2">
      <c r="B25" s="11" t="s">
        <v>56</v>
      </c>
      <c r="C25" s="23"/>
      <c r="D25" s="23"/>
      <c r="E25" t="str">
        <f>""</f>
        <v/>
      </c>
      <c r="F25" t="str">
        <f>""</f>
        <v/>
      </c>
      <c r="G25" t="str">
        <f>""</f>
        <v/>
      </c>
      <c r="H25" t="str">
        <f>""</f>
        <v/>
      </c>
      <c r="I25" t="str">
        <f>""</f>
        <v/>
      </c>
      <c r="J25" t="str">
        <f>""</f>
        <v/>
      </c>
      <c r="K25" t="str">
        <f>""</f>
        <v/>
      </c>
      <c r="L25" t="str">
        <f>"0.007***"</f>
        <v>0.007***</v>
      </c>
    </row>
    <row xmlns:x14ac="http://schemas.microsoft.com/office/spreadsheetml/2009/9/ac" r="26" x14ac:dyDescent="0.2">
      <c r="B26" s="11"/>
      <c r="C26" s="23"/>
      <c r="D26" s="23"/>
      <c r="E26" t="str">
        <f>""</f>
        <v/>
      </c>
      <c r="F26" t="str">
        <f>""</f>
        <v/>
      </c>
      <c r="G26" t="str">
        <f>""</f>
        <v/>
      </c>
      <c r="H26" t="str">
        <f>""</f>
        <v/>
      </c>
      <c r="I26" t="str">
        <f>""</f>
        <v/>
      </c>
      <c r="J26" t="str">
        <f>""</f>
        <v/>
      </c>
      <c r="K26" t="str">
        <f>""</f>
        <v/>
      </c>
      <c r="L26" t="str">
        <f>"[0.002]"</f>
        <v>[0.002]</v>
      </c>
    </row>
    <row xmlns:x14ac="http://schemas.microsoft.com/office/spreadsheetml/2009/9/ac" r="27" x14ac:dyDescent="0.2">
      <c r="B27" s="18" t="s">
        <v>27</v>
      </c>
      <c r="C27" s="29" t="str">
        <f t="shared" ref="C27:L27" si="0">"34800"</f>
        <v>34800</v>
      </c>
      <c r="D27" s="29" t="str">
        <f t="shared" si="0"/>
        <v>34800</v>
      </c>
      <c r="E27" s="29" t="str">
        <f t="shared" si="0"/>
        <v>34800</v>
      </c>
      <c r="F27" s="29" t="str">
        <f t="shared" si="0"/>
        <v>34800</v>
      </c>
      <c r="G27" s="29" t="str">
        <f t="shared" si="0"/>
        <v>34800</v>
      </c>
      <c r="H27" s="29" t="str">
        <f t="shared" si="0"/>
        <v>34800</v>
      </c>
      <c r="I27" s="29" t="str">
        <f t="shared" si="0"/>
        <v>34800</v>
      </c>
      <c r="J27" s="29" t="str">
        <f t="shared" si="0"/>
        <v>34800</v>
      </c>
      <c r="K27" s="29" t="str">
        <f t="shared" si="0"/>
        <v>34800</v>
      </c>
      <c r="L27" s="29" t="str">
        <f t="shared" si="0"/>
        <v>34800</v>
      </c>
    </row>
    <row xmlns:x14ac="http://schemas.microsoft.com/office/spreadsheetml/2009/9/ac" r="28" x14ac:dyDescent="0.2">
      <c r="B28" s="15" t="s">
        <v>49</v>
      </c>
      <c r="C28" s="16" t="str">
        <f t="shared" ref="C28:L28" si="1">"0.045"</f>
        <v>0.045</v>
      </c>
      <c r="D28" s="16" t="str">
        <f t="shared" si="1"/>
        <v>0.045</v>
      </c>
      <c r="E28" s="16" t="str">
        <f t="shared" si="1"/>
        <v>0.045</v>
      </c>
      <c r="F28" s="16" t="str">
        <f t="shared" si="1"/>
        <v>0.045</v>
      </c>
      <c r="G28" s="16" t="str">
        <f t="shared" si="1"/>
        <v>0.045</v>
      </c>
      <c r="H28" s="16" t="str">
        <f t="shared" si="1"/>
        <v>0.045</v>
      </c>
      <c r="I28" s="16" t="str">
        <f t="shared" si="1"/>
        <v>0.045</v>
      </c>
      <c r="J28" s="16" t="str">
        <f t="shared" si="1"/>
        <v>0.045</v>
      </c>
      <c r="K28" s="16" t="str">
        <f t="shared" si="1"/>
        <v>0.045</v>
      </c>
      <c r="L28" s="16" t="str">
        <f t="shared" si="1"/>
        <v>0.045</v>
      </c>
    </row>
    <row xmlns:x14ac="http://schemas.microsoft.com/office/spreadsheetml/2009/9/ac" r="29" x14ac:dyDescent="0.2">
      <c r="B29" s="15" t="s">
        <v>26</v>
      </c>
      <c r="C29" s="19" t="s">
        <v>25</v>
      </c>
      <c r="D29" s="19" t="s">
        <v>25</v>
      </c>
      <c r="E29" s="19" t="s">
        <v>25</v>
      </c>
      <c r="F29" s="19" t="s">
        <v>25</v>
      </c>
      <c r="G29" s="19" t="s">
        <v>25</v>
      </c>
      <c r="H29" s="19" t="s">
        <v>25</v>
      </c>
      <c r="I29" s="19" t="s">
        <v>25</v>
      </c>
      <c r="J29" s="19" t="s">
        <v>25</v>
      </c>
      <c r="K29" s="19" t="s">
        <v>25</v>
      </c>
      <c r="L29" s="19" t="s">
        <v>25</v>
      </c>
    </row>
    <row xmlns:x14ac="http://schemas.microsoft.com/office/spreadsheetml/2009/9/ac" r="30" x14ac:dyDescent="0.2">
      <c r="B30" s="15" t="s">
        <v>24</v>
      </c>
      <c r="C30" s="19" t="s">
        <v>25</v>
      </c>
      <c r="D30" s="19" t="s">
        <v>25</v>
      </c>
      <c r="E30" s="19" t="s">
        <v>25</v>
      </c>
      <c r="F30" s="19" t="s">
        <v>25</v>
      </c>
      <c r="G30" s="19" t="s">
        <v>25</v>
      </c>
      <c r="H30" s="19" t="s">
        <v>25</v>
      </c>
      <c r="I30" s="19" t="s">
        <v>25</v>
      </c>
      <c r="J30" s="19" t="s">
        <v>25</v>
      </c>
      <c r="K30" s="19" t="s">
        <v>25</v>
      </c>
      <c r="L30" s="19" t="s">
        <v>25</v>
      </c>
    </row>
    <row xmlns:x14ac="http://schemas.microsoft.com/office/spreadsheetml/2009/9/ac" r="31" x14ac:dyDescent="0.2">
      <c r="B31" s="20" t="s">
        <v>38</v>
      </c>
      <c r="C31" s="21" t="s">
        <v>25</v>
      </c>
      <c r="D31" s="21" t="s">
        <v>25</v>
      </c>
      <c r="E31" s="21" t="s">
        <v>25</v>
      </c>
      <c r="F31" s="21" t="s">
        <v>25</v>
      </c>
      <c r="G31" s="21" t="s">
        <v>25</v>
      </c>
      <c r="H31" s="21" t="s">
        <v>25</v>
      </c>
      <c r="I31" s="21" t="s">
        <v>25</v>
      </c>
      <c r="J31" s="21" t="s">
        <v>25</v>
      </c>
      <c r="K31" s="21" t="s">
        <v>25</v>
      </c>
      <c r="L31" s="21" t="s">
        <v>25</v>
      </c>
    </row>
    <row xmlns:x14ac="http://schemas.microsoft.com/office/spreadsheetml/2009/9/ac" r="32" ht="84" customHeight="true" x14ac:dyDescent="0.2">
      <c r="B32" s="86" t="s">
        <v>75</v>
      </c>
      <c r="C32" s="86"/>
      <c r="D32" s="86"/>
      <c r="E32" s="86"/>
      <c r="F32" s="86"/>
      <c r="G32" s="86"/>
      <c r="H32" s="86"/>
      <c r="I32" s="86"/>
      <c r="J32" s="86"/>
      <c r="K32" s="86"/>
      <c r="L32" s="86"/>
    </row>
  </sheetData>
  <mergeCells count="2">
    <mergeCell ref="B32:L32"/>
    <mergeCell ref="B2:L2"/>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K24"/>
  <sheetViews>
    <sheetView showGridLines="false" workbookViewId="0">
      <selection activeCell="B3" sqref="B3:B4"/>
    </sheetView>
  </sheetViews>
  <sheetFormatPr xmlns:x14ac="http://schemas.microsoft.com/office/spreadsheetml/2009/9/ac" baseColWidth="10" defaultColWidth="11" defaultRowHeight="16" x14ac:dyDescent="0.2"/>
  <cols>
    <col min="2" max="2" width="33" customWidth="true"/>
  </cols>
  <sheetData>
    <row xmlns:x14ac="http://schemas.microsoft.com/office/spreadsheetml/2009/9/ac" r="1" x14ac:dyDescent="0.2">
      <c r="D1" s="88"/>
      <c r="E1" s="88"/>
      <c r="F1" s="88"/>
      <c r="G1" s="88"/>
      <c r="H1" s="88"/>
      <c r="I1" s="88"/>
      <c r="J1" s="88"/>
      <c r="K1" s="88"/>
    </row>
    <row xmlns:x14ac="http://schemas.microsoft.com/office/spreadsheetml/2009/9/ac" r="2" x14ac:dyDescent="0.2">
      <c r="B2" s="88" t="s">
        <v>94</v>
      </c>
      <c r="C2" s="88"/>
      <c r="D2" s="88"/>
      <c r="E2" s="88"/>
      <c r="F2" s="88"/>
      <c r="G2" s="88"/>
      <c r="H2" s="88"/>
    </row>
    <row xmlns:x14ac="http://schemas.microsoft.com/office/spreadsheetml/2009/9/ac" r="3" ht="68" x14ac:dyDescent="0.2">
      <c r="B3" s="84" t="s">
        <v>46</v>
      </c>
      <c r="C3" s="39" t="s">
        <v>47</v>
      </c>
      <c r="D3" s="39" t="s">
        <v>64</v>
      </c>
      <c r="E3" s="39" t="s">
        <v>35</v>
      </c>
      <c r="F3" s="39" t="s">
        <v>51</v>
      </c>
      <c r="G3" s="39" t="s">
        <v>36</v>
      </c>
      <c r="H3" s="39" t="s">
        <v>37</v>
      </c>
    </row>
    <row xmlns:x14ac="http://schemas.microsoft.com/office/spreadsheetml/2009/9/ac" r="4" ht="17" thickBot="true" x14ac:dyDescent="0.25">
      <c r="B4" s="89"/>
      <c r="C4" s="7" t="s">
        <v>28</v>
      </c>
      <c r="D4" s="7" t="s">
        <v>29</v>
      </c>
      <c r="E4" s="7" t="s">
        <v>30</v>
      </c>
      <c r="F4" s="7" t="s">
        <v>31</v>
      </c>
      <c r="G4" s="7" t="s">
        <v>32</v>
      </c>
      <c r="H4" s="7" t="s">
        <v>33</v>
      </c>
    </row>
    <row xmlns:x14ac="http://schemas.microsoft.com/office/spreadsheetml/2009/9/ac" r="5" ht="21" customHeight="true" thickTop="true" x14ac:dyDescent="0.2">
      <c r="B5" s="90" t="s">
        <v>53</v>
      </c>
      <c r="C5" s="90"/>
      <c r="D5" s="90"/>
      <c r="E5" s="90"/>
      <c r="F5" s="90"/>
      <c r="G5" s="90"/>
      <c r="H5" s="90"/>
    </row>
    <row xmlns:x14ac="http://schemas.microsoft.com/office/spreadsheetml/2009/9/ac" r="6" x14ac:dyDescent="0.2">
      <c r="B6" s="46" t="s">
        <v>65</v>
      </c>
      <c r="C6" s="51"/>
      <c r="D6" s="51"/>
      <c r="E6" s="51"/>
      <c r="F6" s="51"/>
      <c r="G6" s="51"/>
      <c r="H6" s="51"/>
    </row>
    <row xmlns:x14ac="http://schemas.microsoft.com/office/spreadsheetml/2009/9/ac" r="7" ht="17" x14ac:dyDescent="0.2">
      <c r="B7" s="47" t="s">
        <v>50</v>
      </c>
      <c r="C7" s="25" t="str">
        <f>"0.025*"</f>
        <v>0.025*</v>
      </c>
      <c r="D7" s="25" t="str">
        <f>"0.037**"</f>
        <v>0.037**</v>
      </c>
      <c r="E7" s="25" t="str">
        <f>"0.029**"</f>
        <v>0.029**</v>
      </c>
      <c r="F7" s="25" t="str">
        <f>"0.025"</f>
        <v>0.025</v>
      </c>
      <c r="G7" s="25" t="str">
        <f>"0.036**"</f>
        <v>0.036**</v>
      </c>
      <c r="H7" s="25" t="str">
        <f>"0.006"</f>
        <v>0.006</v>
      </c>
    </row>
    <row xmlns:x14ac="http://schemas.microsoft.com/office/spreadsheetml/2009/9/ac" r="8" x14ac:dyDescent="0.2">
      <c r="B8" s="3"/>
      <c r="C8" s="25" t="str">
        <f>"[0.013]"</f>
        <v>[0.013]</v>
      </c>
      <c r="D8" s="25" t="str">
        <f>"[0.016]"</f>
        <v>[0.016]</v>
      </c>
      <c r="E8" s="25" t="str">
        <f>"[0.014]"</f>
        <v>[0.014]</v>
      </c>
      <c r="F8" s="25" t="str">
        <f>"[0.015]"</f>
        <v>[0.015]</v>
      </c>
      <c r="G8" s="25" t="str">
        <f>"[0.016]"</f>
        <v>[0.016]</v>
      </c>
      <c r="H8" s="25" t="str">
        <f>"[0.006]"</f>
        <v>[0.006]</v>
      </c>
    </row>
    <row xmlns:x14ac="http://schemas.microsoft.com/office/spreadsheetml/2009/9/ac" r="9" x14ac:dyDescent="0.2">
      <c r="B9" s="42" t="s">
        <v>66</v>
      </c>
      <c r="C9" s="43"/>
      <c r="D9" s="43"/>
      <c r="E9" s="43"/>
      <c r="F9" s="43"/>
      <c r="G9" s="43"/>
      <c r="H9" s="43"/>
    </row>
    <row xmlns:x14ac="http://schemas.microsoft.com/office/spreadsheetml/2009/9/ac" r="10" ht="17" x14ac:dyDescent="0.2">
      <c r="B10" s="47" t="s">
        <v>48</v>
      </c>
      <c r="C10" s="25" t="str">
        <f>"0.277***"</f>
        <v>0.277***</v>
      </c>
      <c r="D10" s="25" t="str">
        <f>"0.208**"</f>
        <v>0.208**</v>
      </c>
      <c r="E10" s="25" t="str">
        <f>"0.192**"</f>
        <v>0.192**</v>
      </c>
      <c r="F10" s="25" t="str">
        <f>"0.279**"</f>
        <v>0.279**</v>
      </c>
      <c r="G10" s="25" t="str">
        <f>"0.241**"</f>
        <v>0.241**</v>
      </c>
      <c r="H10" s="25" t="str">
        <f>"0.127***"</f>
        <v>0.127***</v>
      </c>
    </row>
    <row xmlns:x14ac="http://schemas.microsoft.com/office/spreadsheetml/2009/9/ac" r="11" x14ac:dyDescent="0.2">
      <c r="B11" s="3"/>
      <c r="C11" s="25" t="str">
        <f>"[0.104]"</f>
        <v>[0.104]</v>
      </c>
      <c r="D11" s="25" t="str">
        <f>"[0.080]"</f>
        <v>[0.080]</v>
      </c>
      <c r="E11" s="25" t="str">
        <f>"[0.088]"</f>
        <v>[0.088]</v>
      </c>
      <c r="F11" s="25" t="str">
        <f>"[0.108]"</f>
        <v>[0.108]</v>
      </c>
      <c r="G11" s="25" t="str">
        <f>"[0.092]"</f>
        <v>[0.092]</v>
      </c>
      <c r="H11" s="25" t="str">
        <f>"[0.048]"</f>
        <v>[0.048]</v>
      </c>
    </row>
    <row xmlns:x14ac="http://schemas.microsoft.com/office/spreadsheetml/2009/9/ac" r="12" x14ac:dyDescent="0.2">
      <c r="B12" s="91" t="s">
        <v>52</v>
      </c>
      <c r="C12" s="91"/>
      <c r="D12" s="91"/>
      <c r="E12" s="91"/>
      <c r="F12" s="91"/>
      <c r="G12" s="91"/>
      <c r="H12" s="91"/>
    </row>
    <row xmlns:x14ac="http://schemas.microsoft.com/office/spreadsheetml/2009/9/ac" r="13" x14ac:dyDescent="0.2">
      <c r="B13" s="46" t="s">
        <v>67</v>
      </c>
      <c r="C13" s="52"/>
      <c r="D13" s="52"/>
      <c r="E13" s="52"/>
      <c r="F13" s="52"/>
      <c r="G13" s="52"/>
      <c r="H13" s="52"/>
    </row>
    <row xmlns:x14ac="http://schemas.microsoft.com/office/spreadsheetml/2009/9/ac" r="14" ht="31" x14ac:dyDescent="0.2">
      <c r="B14" s="48" t="s">
        <v>55</v>
      </c>
      <c r="C14" s="25" t="str">
        <f>"0.008***"</f>
        <v>0.008***</v>
      </c>
      <c r="D14" s="25" t="str">
        <f>"0.008***"</f>
        <v>0.008***</v>
      </c>
      <c r="E14" s="25" t="str">
        <f>"0.008***"</f>
        <v>0.008***</v>
      </c>
      <c r="F14" s="25" t="str">
        <f>"0.007***"</f>
        <v>0.007***</v>
      </c>
      <c r="G14" s="25" t="str">
        <f>"0.010***"</f>
        <v>0.010***</v>
      </c>
      <c r="H14" s="25" t="str">
        <f>"0.004**"</f>
        <v>0.004**</v>
      </c>
    </row>
    <row xmlns:x14ac="http://schemas.microsoft.com/office/spreadsheetml/2009/9/ac" r="15" x14ac:dyDescent="0.2">
      <c r="B15" s="3"/>
      <c r="C15" s="25" t="str">
        <f>"[0.003]"</f>
        <v>[0.003]</v>
      </c>
      <c r="D15" s="25" t="str">
        <f>"[0.002]"</f>
        <v>[0.002]</v>
      </c>
      <c r="E15" s="25" t="str">
        <f>"[0.002]"</f>
        <v>[0.002]</v>
      </c>
      <c r="F15" s="25" t="str">
        <f>"[0.002]"</f>
        <v>[0.002]</v>
      </c>
      <c r="G15" s="25" t="str">
        <f>"[0.003]"</f>
        <v>[0.003]</v>
      </c>
      <c r="H15" s="25" t="str">
        <f>"[0.002]"</f>
        <v>[0.002]</v>
      </c>
    </row>
    <row xmlns:x14ac="http://schemas.microsoft.com/office/spreadsheetml/2009/9/ac" r="16" x14ac:dyDescent="0.2">
      <c r="B16" s="42" t="s">
        <v>68</v>
      </c>
      <c r="C16" s="43"/>
      <c r="D16" s="43"/>
      <c r="E16" s="43"/>
      <c r="F16" s="43"/>
      <c r="G16" s="43"/>
      <c r="H16" s="43"/>
    </row>
    <row xmlns:x14ac="http://schemas.microsoft.com/office/spreadsheetml/2009/9/ac" r="17" x14ac:dyDescent="0.2">
      <c r="B17" s="48" t="s">
        <v>56</v>
      </c>
      <c r="C17" s="25" t="str">
        <f>"0.007***"</f>
        <v>0.007***</v>
      </c>
      <c r="D17" s="25" t="str">
        <f>"0.007***"</f>
        <v>0.007***</v>
      </c>
      <c r="E17" s="25" t="str">
        <f>"0.007***"</f>
        <v>0.007***</v>
      </c>
      <c r="F17" s="25" t="str">
        <f>"0.006***"</f>
        <v>0.006***</v>
      </c>
      <c r="G17" s="25" t="str">
        <f>"0.008***"</f>
        <v>0.008***</v>
      </c>
      <c r="H17" s="25" t="str">
        <f>"0.003"</f>
        <v>0.003</v>
      </c>
    </row>
    <row xmlns:x14ac="http://schemas.microsoft.com/office/spreadsheetml/2009/9/ac" r="18" x14ac:dyDescent="0.2">
      <c r="B18" s="3"/>
      <c r="C18" s="25" t="str">
        <f t="shared" ref="C18:H18" si="0">"[0.002]"</f>
        <v>[0.002]</v>
      </c>
      <c r="D18" s="25" t="str">
        <f t="shared" si="0"/>
        <v>[0.002]</v>
      </c>
      <c r="E18" s="25" t="str">
        <f t="shared" si="0"/>
        <v>[0.002]</v>
      </c>
      <c r="F18" s="25" t="str">
        <f t="shared" si="0"/>
        <v>[0.002]</v>
      </c>
      <c r="G18" s="25" t="str">
        <f t="shared" si="0"/>
        <v>[0.002]</v>
      </c>
      <c r="H18" s="25" t="str">
        <f t="shared" si="0"/>
        <v>[0.002]</v>
      </c>
    </row>
    <row xmlns:x14ac="http://schemas.microsoft.com/office/spreadsheetml/2009/9/ac" r="19" x14ac:dyDescent="0.2">
      <c r="B19" s="44" t="s">
        <v>27</v>
      </c>
      <c r="C19" s="45" t="str">
        <f>"17880"</f>
        <v>17880</v>
      </c>
      <c r="D19" s="45" t="str">
        <f>"16920"</f>
        <v>16920</v>
      </c>
      <c r="E19" s="45" t="str">
        <f>"17828"</f>
        <v>17828</v>
      </c>
      <c r="F19" s="45" t="str">
        <f>"16972"</f>
        <v>16972</v>
      </c>
      <c r="G19" s="45" t="str">
        <f>"24910"</f>
        <v>24910</v>
      </c>
      <c r="H19" s="45" t="str">
        <f>"9860"</f>
        <v>9860</v>
      </c>
    </row>
    <row xmlns:x14ac="http://schemas.microsoft.com/office/spreadsheetml/2009/9/ac" r="20" x14ac:dyDescent="0.2">
      <c r="B20" s="15" t="s">
        <v>49</v>
      </c>
      <c r="C20" s="19" t="str">
        <f>"0.041"</f>
        <v>0.041</v>
      </c>
      <c r="D20" s="19" t="str">
        <f>"0.049"</f>
        <v>0.049</v>
      </c>
      <c r="E20" s="19" t="str">
        <f>"0.052"</f>
        <v>0.052</v>
      </c>
      <c r="F20" s="19" t="str">
        <f>"0.037"</f>
        <v>0.037</v>
      </c>
      <c r="G20" s="19" t="str">
        <f>"0.048"</f>
        <v>0.048</v>
      </c>
      <c r="H20" s="19" t="str">
        <f>"0.038"</f>
        <v>0.038</v>
      </c>
    </row>
    <row xmlns:x14ac="http://schemas.microsoft.com/office/spreadsheetml/2009/9/ac" r="21" x14ac:dyDescent="0.2">
      <c r="B21" s="15" t="s">
        <v>26</v>
      </c>
      <c r="C21" s="19" t="s">
        <v>25</v>
      </c>
      <c r="D21" s="19" t="s">
        <v>25</v>
      </c>
      <c r="E21" s="19" t="s">
        <v>25</v>
      </c>
      <c r="F21" s="19" t="s">
        <v>25</v>
      </c>
      <c r="G21" s="19" t="s">
        <v>25</v>
      </c>
      <c r="H21" s="19" t="s">
        <v>25</v>
      </c>
    </row>
    <row xmlns:x14ac="http://schemas.microsoft.com/office/spreadsheetml/2009/9/ac" r="22" x14ac:dyDescent="0.2">
      <c r="B22" s="15" t="s">
        <v>24</v>
      </c>
      <c r="C22" s="19" t="s">
        <v>25</v>
      </c>
      <c r="D22" s="19" t="s">
        <v>25</v>
      </c>
      <c r="E22" s="19" t="s">
        <v>25</v>
      </c>
      <c r="F22" s="19" t="s">
        <v>25</v>
      </c>
      <c r="G22" s="19" t="s">
        <v>25</v>
      </c>
      <c r="H22" s="19" t="s">
        <v>25</v>
      </c>
    </row>
    <row xmlns:x14ac="http://schemas.microsoft.com/office/spreadsheetml/2009/9/ac" r="23" x14ac:dyDescent="0.2">
      <c r="B23" s="15" t="s">
        <v>38</v>
      </c>
      <c r="C23" s="21" t="s">
        <v>25</v>
      </c>
      <c r="D23" s="21" t="s">
        <v>25</v>
      </c>
      <c r="E23" s="21" t="s">
        <v>25</v>
      </c>
      <c r="F23" s="21" t="s">
        <v>25</v>
      </c>
      <c r="G23" s="21" t="s">
        <v>25</v>
      </c>
      <c r="H23" s="21" t="s">
        <v>25</v>
      </c>
    </row>
    <row xmlns:x14ac="http://schemas.microsoft.com/office/spreadsheetml/2009/9/ac" r="24" ht="129" customHeight="true" x14ac:dyDescent="0.2">
      <c r="B24" s="86" t="s">
        <v>76</v>
      </c>
      <c r="C24" s="86"/>
      <c r="D24" s="86"/>
      <c r="E24" s="86"/>
      <c r="F24" s="86"/>
      <c r="G24" s="86"/>
      <c r="H24" s="86"/>
    </row>
  </sheetData>
  <mergeCells count="6">
    <mergeCell ref="D1:K1"/>
    <mergeCell ref="B2:H2"/>
    <mergeCell ref="B3:B4"/>
    <mergeCell ref="B24:H24"/>
    <mergeCell ref="B5:H5"/>
    <mergeCell ref="B12:H12"/>
  </mergeCell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6C833-B2F9-554C-9BCF-EE77651C1782}">
  <dimension ref="B2:L51"/>
  <sheetViews>
    <sheetView showGridLines="false" workbookViewId="0">
      <selection activeCell="B3" sqref="B3"/>
    </sheetView>
  </sheetViews>
  <sheetFormatPr xmlns:x14ac="http://schemas.microsoft.com/office/spreadsheetml/2009/9/ac" baseColWidth="10" defaultColWidth="11" defaultRowHeight="16" x14ac:dyDescent="0.2"/>
  <cols>
    <col min="2" max="2" width="71.6640625" customWidth="true"/>
  </cols>
  <sheetData>
    <row xmlns:x14ac="http://schemas.microsoft.com/office/spreadsheetml/2009/9/ac" r="2" x14ac:dyDescent="0.2">
      <c r="B2" s="87" t="s">
        <v>95</v>
      </c>
      <c r="C2" s="87"/>
      <c r="D2" s="87"/>
      <c r="E2" s="87"/>
      <c r="F2" s="87"/>
      <c r="G2" s="87"/>
      <c r="H2" s="87"/>
      <c r="I2" s="87"/>
      <c r="J2" s="87"/>
      <c r="K2" s="87"/>
      <c r="L2" s="87"/>
    </row>
    <row xmlns:x14ac="http://schemas.microsoft.com/office/spreadsheetml/2009/9/ac" r="3" ht="37" customHeight="true" thickBot="true" x14ac:dyDescent="0.25">
      <c r="B3" s="24" t="s">
        <v>46</v>
      </c>
      <c r="C3" s="9" t="s">
        <v>28</v>
      </c>
      <c r="D3" s="9" t="s">
        <v>29</v>
      </c>
      <c r="E3" s="9" t="s">
        <v>30</v>
      </c>
      <c r="F3" s="9" t="s">
        <v>31</v>
      </c>
      <c r="G3" s="9" t="s">
        <v>32</v>
      </c>
      <c r="H3" s="9" t="s">
        <v>33</v>
      </c>
      <c r="I3" s="9" t="s">
        <v>34</v>
      </c>
      <c r="J3" s="9" t="s">
        <v>39</v>
      </c>
      <c r="K3" s="9" t="s">
        <v>40</v>
      </c>
      <c r="L3" s="9" t="s">
        <v>58</v>
      </c>
    </row>
    <row xmlns:x14ac="http://schemas.microsoft.com/office/spreadsheetml/2009/9/ac" r="4" ht="17" thickTop="true" x14ac:dyDescent="0.2">
      <c r="B4" s="22" t="s">
        <v>53</v>
      </c>
      <c r="C4" s="17"/>
      <c r="D4" s="17"/>
      <c r="E4" s="17"/>
      <c r="F4" s="17"/>
      <c r="G4" s="17"/>
      <c r="H4" s="17"/>
      <c r="I4" s="17"/>
      <c r="J4" s="17"/>
      <c r="K4" s="17"/>
    </row>
    <row xmlns:x14ac="http://schemas.microsoft.com/office/spreadsheetml/2009/9/ac" r="5" x14ac:dyDescent="0.2">
      <c r="B5" s="3" t="s">
        <v>50</v>
      </c>
      <c r="C5" s="25" t="str">
        <f>"0.025*"</f>
        <v>0.025*</v>
      </c>
      <c r="D5" s="25" t="str">
        <f>""</f>
        <v/>
      </c>
      <c r="E5" s="25" t="str">
        <f>""</f>
        <v/>
      </c>
      <c r="F5" s="35" t="str">
        <f>""</f>
        <v/>
      </c>
      <c r="G5" s="35" t="str">
        <f>""</f>
        <v/>
      </c>
      <c r="H5" s="35" t="str">
        <f>""</f>
        <v/>
      </c>
      <c r="I5" s="35" t="str">
        <f>""</f>
        <v/>
      </c>
      <c r="J5" s="35" t="str">
        <f>""</f>
        <v/>
      </c>
      <c r="K5" s="35" t="str">
        <f>""</f>
        <v/>
      </c>
      <c r="L5" s="35" t="str">
        <f>""</f>
        <v/>
      </c>
    </row>
    <row xmlns:x14ac="http://schemas.microsoft.com/office/spreadsheetml/2009/9/ac" r="6" x14ac:dyDescent="0.2">
      <c r="B6" s="3"/>
      <c r="C6" s="25" t="str">
        <f>"[0.014]"</f>
        <v>[0.014]</v>
      </c>
      <c r="D6" s="25" t="str">
        <f>""</f>
        <v/>
      </c>
      <c r="E6" s="25" t="str">
        <f>""</f>
        <v/>
      </c>
      <c r="F6" s="35" t="str">
        <f>""</f>
        <v/>
      </c>
      <c r="G6" s="35" t="str">
        <f>""</f>
        <v/>
      </c>
      <c r="H6" s="35" t="str">
        <f>""</f>
        <v/>
      </c>
      <c r="I6" s="35" t="str">
        <f>""</f>
        <v/>
      </c>
      <c r="J6" s="35" t="str">
        <f>""</f>
        <v/>
      </c>
      <c r="K6" s="35" t="str">
        <f>""</f>
        <v/>
      </c>
      <c r="L6" s="35" t="str">
        <f>""</f>
        <v/>
      </c>
    </row>
    <row xmlns:x14ac="http://schemas.microsoft.com/office/spreadsheetml/2009/9/ac" r="7" x14ac:dyDescent="0.2">
      <c r="B7" s="3" t="s">
        <v>70</v>
      </c>
      <c r="C7" s="25" t="str">
        <f>"0.036**"</f>
        <v>0.036**</v>
      </c>
      <c r="D7" s="25" t="str">
        <f>""</f>
        <v/>
      </c>
      <c r="E7" s="25" t="str">
        <f>""</f>
        <v/>
      </c>
      <c r="F7" s="35" t="str">
        <f>""</f>
        <v/>
      </c>
      <c r="G7" s="35" t="str">
        <f>""</f>
        <v/>
      </c>
      <c r="H7" s="35" t="str">
        <f>""</f>
        <v/>
      </c>
      <c r="I7" s="35" t="str">
        <f>""</f>
        <v/>
      </c>
      <c r="J7" s="35" t="str">
        <f>""</f>
        <v/>
      </c>
      <c r="K7" s="35" t="str">
        <f>""</f>
        <v/>
      </c>
      <c r="L7" s="35" t="str">
        <f>""</f>
        <v/>
      </c>
    </row>
    <row xmlns:x14ac="http://schemas.microsoft.com/office/spreadsheetml/2009/9/ac" r="8" x14ac:dyDescent="0.2">
      <c r="B8" s="3"/>
      <c r="C8" s="25" t="str">
        <f>"[0.015]"</f>
        <v>[0.015]</v>
      </c>
      <c r="D8" s="25" t="str">
        <f>""</f>
        <v/>
      </c>
      <c r="E8" s="25" t="str">
        <f>""</f>
        <v/>
      </c>
      <c r="F8" s="35" t="str">
        <f>""</f>
        <v/>
      </c>
      <c r="G8" s="35" t="str">
        <f>""</f>
        <v/>
      </c>
      <c r="H8" s="35" t="str">
        <f>""</f>
        <v/>
      </c>
      <c r="I8" s="35" t="str">
        <f>""</f>
        <v/>
      </c>
      <c r="J8" s="35" t="str">
        <f>""</f>
        <v/>
      </c>
      <c r="K8" s="35" t="str">
        <f>""</f>
        <v/>
      </c>
      <c r="L8" s="35" t="str">
        <f>""</f>
        <v/>
      </c>
    </row>
    <row xmlns:x14ac="http://schemas.microsoft.com/office/spreadsheetml/2009/9/ac" r="9" x14ac:dyDescent="0.2">
      <c r="B9" s="3" t="s">
        <v>48</v>
      </c>
      <c r="C9" s="25" t="str">
        <f>""</f>
        <v/>
      </c>
      <c r="D9" s="23" t="str">
        <f>"0.273**"</f>
        <v>0.273**</v>
      </c>
      <c r="E9" s="25" t="str">
        <f>""</f>
        <v/>
      </c>
      <c r="F9" s="35" t="str">
        <f>""</f>
        <v/>
      </c>
      <c r="G9" s="35" t="str">
        <f>""</f>
        <v/>
      </c>
      <c r="H9" s="35" t="str">
        <f>""</f>
        <v/>
      </c>
      <c r="I9" s="35" t="str">
        <f>""</f>
        <v/>
      </c>
      <c r="J9" s="35" t="str">
        <f>""</f>
        <v/>
      </c>
      <c r="K9" s="35" t="str">
        <f>""</f>
        <v/>
      </c>
      <c r="L9" s="35" t="str">
        <f>""</f>
        <v/>
      </c>
    </row>
    <row xmlns:x14ac="http://schemas.microsoft.com/office/spreadsheetml/2009/9/ac" r="10" x14ac:dyDescent="0.2">
      <c r="B10" s="3" t="str">
        <f>""</f>
        <v/>
      </c>
      <c r="C10" s="25" t="str">
        <f>""</f>
        <v/>
      </c>
      <c r="D10" s="23" t="str">
        <f>"[0.106]"</f>
        <v>[0.106]</v>
      </c>
      <c r="E10" s="25" t="str">
        <f>""</f>
        <v/>
      </c>
      <c r="F10" s="35" t="str">
        <f>""</f>
        <v/>
      </c>
      <c r="G10" s="35" t="str">
        <f>""</f>
        <v/>
      </c>
      <c r="H10" s="35" t="str">
        <f>""</f>
        <v/>
      </c>
      <c r="I10" s="35" t="str">
        <f>""</f>
        <v/>
      </c>
      <c r="J10" s="35" t="str">
        <f>""</f>
        <v/>
      </c>
      <c r="K10" s="35" t="str">
        <f>""</f>
        <v/>
      </c>
      <c r="L10" s="35" t="str">
        <f>""</f>
        <v/>
      </c>
    </row>
    <row xmlns:x14ac="http://schemas.microsoft.com/office/spreadsheetml/2009/9/ac" r="11" x14ac:dyDescent="0.2">
      <c r="B11" s="3" t="s">
        <v>71</v>
      </c>
      <c r="C11" s="25" t="str">
        <f>""</f>
        <v/>
      </c>
      <c r="D11" s="23" t="str">
        <f>"0.340**"</f>
        <v>0.340**</v>
      </c>
      <c r="E11" s="25" t="str">
        <f>""</f>
        <v/>
      </c>
      <c r="F11" s="35" t="str">
        <f>""</f>
        <v/>
      </c>
      <c r="G11" s="35" t="str">
        <f>""</f>
        <v/>
      </c>
      <c r="H11" s="35" t="str">
        <f>""</f>
        <v/>
      </c>
      <c r="I11" s="35" t="str">
        <f>""</f>
        <v/>
      </c>
      <c r="J11" s="35" t="str">
        <f>""</f>
        <v/>
      </c>
      <c r="K11" s="35" t="str">
        <f>""</f>
        <v/>
      </c>
      <c r="L11" s="35" t="str">
        <f>""</f>
        <v/>
      </c>
    </row>
    <row xmlns:x14ac="http://schemas.microsoft.com/office/spreadsheetml/2009/9/ac" r="12" x14ac:dyDescent="0.2">
      <c r="B12" s="5"/>
      <c r="C12" s="37" t="str">
        <f>""</f>
        <v/>
      </c>
      <c r="D12" s="40" t="str">
        <f>"[0.138]"</f>
        <v>[0.138]</v>
      </c>
      <c r="E12" s="37" t="str">
        <f>""</f>
        <v/>
      </c>
      <c r="F12" s="38" t="str">
        <f>""</f>
        <v/>
      </c>
      <c r="G12" s="38" t="str">
        <f>""</f>
        <v/>
      </c>
      <c r="H12" s="38" t="str">
        <f>""</f>
        <v/>
      </c>
      <c r="I12" s="38" t="str">
        <f>""</f>
        <v/>
      </c>
      <c r="J12" s="38" t="str">
        <f>""</f>
        <v/>
      </c>
      <c r="K12" s="38" t="str">
        <f>""</f>
        <v/>
      </c>
      <c r="L12" s="38" t="str">
        <f>""</f>
        <v/>
      </c>
    </row>
    <row xmlns:x14ac="http://schemas.microsoft.com/office/spreadsheetml/2009/9/ac" r="13" x14ac:dyDescent="0.2">
      <c r="B13" s="46" t="s">
        <v>52</v>
      </c>
      <c r="C13" s="25"/>
      <c r="D13" s="25"/>
      <c r="E13" s="25"/>
      <c r="F13" s="33"/>
      <c r="G13" s="33"/>
      <c r="H13" s="33"/>
      <c r="I13" s="33"/>
      <c r="J13" s="33"/>
      <c r="K13" s="33"/>
      <c r="L13" s="33"/>
    </row>
    <row xmlns:x14ac="http://schemas.microsoft.com/office/spreadsheetml/2009/9/ac" r="14" x14ac:dyDescent="0.2">
      <c r="B14" s="8" t="str">
        <f>"Loss of land (yes=1) for a household in a given year"</f>
        <v>Loss of land (yes=1) for a household in a given year</v>
      </c>
      <c r="C14" s="25" t="str">
        <f>""</f>
        <v/>
      </c>
      <c r="D14" s="25" t="str">
        <f>""</f>
        <v/>
      </c>
      <c r="E14" s="25" t="str">
        <f>"0.005"</f>
        <v>0.005</v>
      </c>
      <c r="F14" s="25" t="str">
        <f>""</f>
        <v/>
      </c>
      <c r="G14" s="25" t="str">
        <f>""</f>
        <v/>
      </c>
      <c r="H14" s="25" t="str">
        <f>""</f>
        <v/>
      </c>
      <c r="I14" s="25" t="str">
        <f>""</f>
        <v/>
      </c>
      <c r="J14" s="25" t="str">
        <f>""</f>
        <v/>
      </c>
      <c r="K14" s="25" t="str">
        <f>""</f>
        <v/>
      </c>
      <c r="L14" s="25" t="str">
        <f>""</f>
        <v/>
      </c>
    </row>
    <row xmlns:x14ac="http://schemas.microsoft.com/office/spreadsheetml/2009/9/ac" r="15" x14ac:dyDescent="0.2">
      <c r="B15" s="8"/>
      <c r="C15" s="25" t="str">
        <f>""</f>
        <v/>
      </c>
      <c r="D15" s="25" t="str">
        <f>""</f>
        <v/>
      </c>
      <c r="E15" s="25" t="str">
        <f>"[0.016]"</f>
        <v>[0.016]</v>
      </c>
      <c r="F15" s="25" t="str">
        <f>""</f>
        <v/>
      </c>
      <c r="G15" s="25" t="str">
        <f>""</f>
        <v/>
      </c>
      <c r="H15" s="25" t="str">
        <f>""</f>
        <v/>
      </c>
      <c r="I15" s="25" t="str">
        <f>""</f>
        <v/>
      </c>
      <c r="J15" s="25" t="str">
        <f>""</f>
        <v/>
      </c>
      <c r="K15" s="25" t="str">
        <f>""</f>
        <v/>
      </c>
      <c r="L15" s="25" t="str">
        <f>""</f>
        <v/>
      </c>
    </row>
    <row xmlns:x14ac="http://schemas.microsoft.com/office/spreadsheetml/2009/9/ac" r="16" x14ac:dyDescent="0.2">
      <c r="B16" s="8" t="str">
        <f>"Lag Loss of land (yes=1) for a household in a given year"</f>
        <v>Lag Loss of land (yes=1) for a household in a given year</v>
      </c>
      <c r="C16" s="25" t="str">
        <f>""</f>
        <v/>
      </c>
      <c r="D16" s="25" t="str">
        <f>""</f>
        <v/>
      </c>
      <c r="E16" s="25" t="str">
        <f>"-0.022*"</f>
        <v>-0.022*</v>
      </c>
      <c r="F16" s="25" t="str">
        <f>""</f>
        <v/>
      </c>
      <c r="G16" s="25" t="str">
        <f>""</f>
        <v/>
      </c>
      <c r="H16" s="25" t="str">
        <f>""</f>
        <v/>
      </c>
      <c r="I16" s="25" t="str">
        <f>""</f>
        <v/>
      </c>
      <c r="J16" s="25" t="str">
        <f>""</f>
        <v/>
      </c>
      <c r="K16" s="25" t="str">
        <f>""</f>
        <v/>
      </c>
      <c r="L16" s="25" t="str">
        <f>""</f>
        <v/>
      </c>
    </row>
    <row xmlns:x14ac="http://schemas.microsoft.com/office/spreadsheetml/2009/9/ac" r="17" x14ac:dyDescent="0.2">
      <c r="B17" s="8"/>
      <c r="C17" s="25" t="str">
        <f>""</f>
        <v/>
      </c>
      <c r="D17" s="25" t="str">
        <f>""</f>
        <v/>
      </c>
      <c r="E17" s="25" t="str">
        <f>"[0.012]"</f>
        <v>[0.012]</v>
      </c>
      <c r="F17" s="25" t="str">
        <f>""</f>
        <v/>
      </c>
      <c r="G17" s="25" t="str">
        <f>""</f>
        <v/>
      </c>
      <c r="H17" s="25" t="str">
        <f>""</f>
        <v/>
      </c>
      <c r="I17" s="25" t="str">
        <f>""</f>
        <v/>
      </c>
      <c r="J17" s="25" t="str">
        <f>""</f>
        <v/>
      </c>
      <c r="K17" s="25" t="str">
        <f>""</f>
        <v/>
      </c>
      <c r="L17" s="25" t="str">
        <f>""</f>
        <v/>
      </c>
    </row>
    <row xmlns:x14ac="http://schemas.microsoft.com/office/spreadsheetml/2009/9/ac" r="18" x14ac:dyDescent="0.2">
      <c r="B18" s="8" t="str">
        <f>"Theft of crops (yes=1) for a household in a given year"</f>
        <v>Theft of crops (yes=1) for a household in a given year</v>
      </c>
      <c r="C18" s="25" t="str">
        <f>""</f>
        <v/>
      </c>
      <c r="D18" s="25" t="str">
        <f>""</f>
        <v/>
      </c>
      <c r="E18" s="25" t="str">
        <f>""</f>
        <v/>
      </c>
      <c r="F18" s="25" t="str">
        <f>"0.014*"</f>
        <v>0.014*</v>
      </c>
      <c r="G18" s="25" t="str">
        <f>""</f>
        <v/>
      </c>
      <c r="H18" s="25" t="str">
        <f>""</f>
        <v/>
      </c>
      <c r="I18" s="25" t="str">
        <f>""</f>
        <v/>
      </c>
      <c r="J18" s="25" t="str">
        <f>""</f>
        <v/>
      </c>
      <c r="K18" s="25" t="str">
        <f>""</f>
        <v/>
      </c>
      <c r="L18" s="25" t="str">
        <f>""</f>
        <v/>
      </c>
    </row>
    <row xmlns:x14ac="http://schemas.microsoft.com/office/spreadsheetml/2009/9/ac" r="19" x14ac:dyDescent="0.2">
      <c r="B19" s="8" t="str">
        <f>""</f>
        <v/>
      </c>
      <c r="C19" s="25" t="str">
        <f>""</f>
        <v/>
      </c>
      <c r="D19" s="25" t="str">
        <f>""</f>
        <v/>
      </c>
      <c r="E19" s="25" t="str">
        <f>""</f>
        <v/>
      </c>
      <c r="F19" s="25" t="str">
        <f>"[0.008]"</f>
        <v>[0.008]</v>
      </c>
      <c r="G19" s="25" t="str">
        <f>""</f>
        <v/>
      </c>
      <c r="H19" s="25" t="str">
        <f>""</f>
        <v/>
      </c>
      <c r="I19" s="25" t="str">
        <f>""</f>
        <v/>
      </c>
      <c r="J19" s="25" t="str">
        <f>""</f>
        <v/>
      </c>
      <c r="K19" s="25" t="str">
        <f>""</f>
        <v/>
      </c>
      <c r="L19" s="25" t="str">
        <f>""</f>
        <v/>
      </c>
    </row>
    <row xmlns:x14ac="http://schemas.microsoft.com/office/spreadsheetml/2009/9/ac" r="20" x14ac:dyDescent="0.2">
      <c r="B20" s="8" t="str">
        <f>"Lag Theft of crops (yes=1) for a household in a given year"</f>
        <v>Lag Theft of crops (yes=1) for a household in a given year</v>
      </c>
      <c r="C20" s="25" t="str">
        <f>""</f>
        <v/>
      </c>
      <c r="D20" s="25" t="str">
        <f>""</f>
        <v/>
      </c>
      <c r="E20" s="25" t="str">
        <f>""</f>
        <v/>
      </c>
      <c r="F20" s="25" t="str">
        <f>"-0.002"</f>
        <v>-0.002</v>
      </c>
      <c r="G20" s="25" t="str">
        <f>""</f>
        <v/>
      </c>
      <c r="H20" s="25" t="str">
        <f>""</f>
        <v/>
      </c>
      <c r="I20" s="25" t="str">
        <f>""</f>
        <v/>
      </c>
      <c r="J20" s="25" t="str">
        <f>""</f>
        <v/>
      </c>
      <c r="K20" s="25" t="str">
        <f>""</f>
        <v/>
      </c>
      <c r="L20" s="25" t="str">
        <f>""</f>
        <v/>
      </c>
    </row>
    <row xmlns:x14ac="http://schemas.microsoft.com/office/spreadsheetml/2009/9/ac" r="21" x14ac:dyDescent="0.2">
      <c r="B21" s="8"/>
      <c r="C21" s="25" t="str">
        <f>""</f>
        <v/>
      </c>
      <c r="D21" s="25" t="str">
        <f>""</f>
        <v/>
      </c>
      <c r="E21" s="25" t="str">
        <f>""</f>
        <v/>
      </c>
      <c r="F21" s="25" t="str">
        <f>"[0.005]"</f>
        <v>[0.005]</v>
      </c>
      <c r="G21" s="25" t="str">
        <f>""</f>
        <v/>
      </c>
      <c r="H21" s="25" t="str">
        <f>""</f>
        <v/>
      </c>
      <c r="I21" s="25" t="str">
        <f>""</f>
        <v/>
      </c>
      <c r="J21" s="25" t="str">
        <f>""</f>
        <v/>
      </c>
      <c r="K21" s="25" t="str">
        <f>""</f>
        <v/>
      </c>
      <c r="L21" s="25" t="str">
        <f>""</f>
        <v/>
      </c>
    </row>
    <row xmlns:x14ac="http://schemas.microsoft.com/office/spreadsheetml/2009/9/ac" r="22" x14ac:dyDescent="0.2">
      <c r="B22" s="10" t="str">
        <f>"Theft of money (yes=1) for a household in a given year"</f>
        <v>Theft of money (yes=1) for a household in a given year</v>
      </c>
      <c r="C22" s="25" t="str">
        <f>""</f>
        <v/>
      </c>
      <c r="D22" s="25" t="str">
        <f>""</f>
        <v/>
      </c>
      <c r="E22" s="25" t="str">
        <f>""</f>
        <v/>
      </c>
      <c r="F22" s="25" t="str">
        <f>""</f>
        <v/>
      </c>
      <c r="G22" s="25" t="str">
        <f>"0.050***"</f>
        <v>0.050***</v>
      </c>
      <c r="H22" s="25" t="str">
        <f>""</f>
        <v/>
      </c>
      <c r="I22" s="25" t="str">
        <f>""</f>
        <v/>
      </c>
      <c r="J22" s="25" t="str">
        <f>""</f>
        <v/>
      </c>
      <c r="K22" s="25" t="str">
        <f>""</f>
        <v/>
      </c>
      <c r="L22" s="25" t="str">
        <f>""</f>
        <v/>
      </c>
    </row>
    <row xmlns:x14ac="http://schemas.microsoft.com/office/spreadsheetml/2009/9/ac" r="23" x14ac:dyDescent="0.2">
      <c r="B23" s="8" t="str">
        <f>""</f>
        <v/>
      </c>
      <c r="C23" s="25" t="str">
        <f>""</f>
        <v/>
      </c>
      <c r="D23" s="25" t="str">
        <f>""</f>
        <v/>
      </c>
      <c r="E23" s="25" t="str">
        <f>""</f>
        <v/>
      </c>
      <c r="F23" s="25" t="str">
        <f>""</f>
        <v/>
      </c>
      <c r="G23" s="25" t="str">
        <f>"[0.015]"</f>
        <v>[0.015]</v>
      </c>
      <c r="H23" s="25" t="str">
        <f>""</f>
        <v/>
      </c>
      <c r="I23" s="25" t="str">
        <f>""</f>
        <v/>
      </c>
      <c r="J23" s="25" t="str">
        <f>""</f>
        <v/>
      </c>
      <c r="K23" s="25" t="str">
        <f>""</f>
        <v/>
      </c>
      <c r="L23" s="25" t="str">
        <f>""</f>
        <v/>
      </c>
    </row>
    <row xmlns:x14ac="http://schemas.microsoft.com/office/spreadsheetml/2009/9/ac" r="24" x14ac:dyDescent="0.2">
      <c r="B24" s="10" t="str">
        <f>"Lag Theft of money (yes=1) for a household in a given year"</f>
        <v>Lag Theft of money (yes=1) for a household in a given year</v>
      </c>
      <c r="C24" s="25" t="str">
        <f>""</f>
        <v/>
      </c>
      <c r="D24" s="25" t="str">
        <f>""</f>
        <v/>
      </c>
      <c r="E24" s="25" t="str">
        <f>""</f>
        <v/>
      </c>
      <c r="F24" s="25" t="str">
        <f>""</f>
        <v/>
      </c>
      <c r="G24" s="25" t="str">
        <f>"-0.005"</f>
        <v>-0.005</v>
      </c>
      <c r="H24" s="25" t="str">
        <f>""</f>
        <v/>
      </c>
      <c r="I24" s="25" t="str">
        <f>""</f>
        <v/>
      </c>
      <c r="J24" s="25" t="str">
        <f>""</f>
        <v/>
      </c>
      <c r="K24" s="25" t="str">
        <f>""</f>
        <v/>
      </c>
      <c r="L24" s="25" t="str">
        <f>""</f>
        <v/>
      </c>
    </row>
    <row xmlns:x14ac="http://schemas.microsoft.com/office/spreadsheetml/2009/9/ac" r="25" x14ac:dyDescent="0.2">
      <c r="B25" s="8"/>
      <c r="C25" s="25" t="str">
        <f>""</f>
        <v/>
      </c>
      <c r="D25" s="25" t="str">
        <f>""</f>
        <v/>
      </c>
      <c r="E25" s="25" t="str">
        <f>""</f>
        <v/>
      </c>
      <c r="F25" s="25" t="str">
        <f>""</f>
        <v/>
      </c>
      <c r="G25" s="25" t="str">
        <f>"[0.009]"</f>
        <v>[0.009]</v>
      </c>
      <c r="H25" s="25" t="str">
        <f>""</f>
        <v/>
      </c>
      <c r="I25" s="25" t="str">
        <f>""</f>
        <v/>
      </c>
      <c r="J25" s="25" t="str">
        <f>""</f>
        <v/>
      </c>
      <c r="K25" s="25" t="str">
        <f>""</f>
        <v/>
      </c>
      <c r="L25" s="25" t="str">
        <f>""</f>
        <v/>
      </c>
    </row>
    <row xmlns:x14ac="http://schemas.microsoft.com/office/spreadsheetml/2009/9/ac" r="26" x14ac:dyDescent="0.2">
      <c r="B26" s="8" t="str">
        <f>"Theft or destruction of goods (yes=1) for a household in a given year"</f>
        <v>Theft or destruction of goods (yes=1) for a household in a given year</v>
      </c>
      <c r="C26" s="25" t="str">
        <f>""</f>
        <v/>
      </c>
      <c r="D26" s="25" t="str">
        <f>""</f>
        <v/>
      </c>
      <c r="E26" s="25" t="str">
        <f>""</f>
        <v/>
      </c>
      <c r="F26" s="25" t="str">
        <f>""</f>
        <v/>
      </c>
      <c r="G26" s="25" t="str">
        <f>""</f>
        <v/>
      </c>
      <c r="H26" s="25" t="str">
        <f>"0.042***"</f>
        <v>0.042***</v>
      </c>
      <c r="I26" s="25" t="str">
        <f>""</f>
        <v/>
      </c>
      <c r="J26" s="25" t="str">
        <f>""</f>
        <v/>
      </c>
      <c r="K26" s="25" t="str">
        <f>""</f>
        <v/>
      </c>
      <c r="L26" s="25" t="str">
        <f>""</f>
        <v/>
      </c>
    </row>
    <row xmlns:x14ac="http://schemas.microsoft.com/office/spreadsheetml/2009/9/ac" r="27" x14ac:dyDescent="0.2">
      <c r="B27" s="8"/>
      <c r="C27" s="25" t="str">
        <f>""</f>
        <v/>
      </c>
      <c r="D27" s="25" t="str">
        <f>""</f>
        <v/>
      </c>
      <c r="E27" s="25" t="str">
        <f>""</f>
        <v/>
      </c>
      <c r="F27" s="25" t="str">
        <f>""</f>
        <v/>
      </c>
      <c r="G27" s="25" t="str">
        <f>""</f>
        <v/>
      </c>
      <c r="H27" s="25" t="str">
        <f>"[0.014]"</f>
        <v>[0.014]</v>
      </c>
      <c r="I27" s="25" t="str">
        <f>""</f>
        <v/>
      </c>
      <c r="J27" s="25" t="str">
        <f>""</f>
        <v/>
      </c>
      <c r="K27" s="25" t="str">
        <f>""</f>
        <v/>
      </c>
      <c r="L27" s="25" t="str">
        <f>""</f>
        <v/>
      </c>
    </row>
    <row xmlns:x14ac="http://schemas.microsoft.com/office/spreadsheetml/2009/9/ac" r="28" x14ac:dyDescent="0.2">
      <c r="B28" s="8" t="str">
        <f>"Lag Theft or destruction of goods (yes=1) for a household in a given year"</f>
        <v>Lag Theft or destruction of goods (yes=1) for a household in a given year</v>
      </c>
      <c r="C28" s="25" t="str">
        <f>""</f>
        <v/>
      </c>
      <c r="D28" s="25" t="str">
        <f>""</f>
        <v/>
      </c>
      <c r="E28" s="25" t="str">
        <f>""</f>
        <v/>
      </c>
      <c r="F28" s="25" t="str">
        <f>""</f>
        <v/>
      </c>
      <c r="G28" s="25" t="str">
        <f>""</f>
        <v/>
      </c>
      <c r="H28" s="25" t="str">
        <f>"0.010"</f>
        <v>0.010</v>
      </c>
      <c r="I28" s="25" t="str">
        <f>""</f>
        <v/>
      </c>
      <c r="J28" s="25" t="str">
        <f>""</f>
        <v/>
      </c>
      <c r="K28" s="25" t="str">
        <f>""</f>
        <v/>
      </c>
      <c r="L28" s="25" t="str">
        <f>""</f>
        <v/>
      </c>
    </row>
    <row xmlns:x14ac="http://schemas.microsoft.com/office/spreadsheetml/2009/9/ac" r="29" x14ac:dyDescent="0.2">
      <c r="B29" s="8"/>
      <c r="C29" s="25" t="str">
        <f>""</f>
        <v/>
      </c>
      <c r="D29" s="25" t="str">
        <f>""</f>
        <v/>
      </c>
      <c r="E29" s="25" t="str">
        <f>""</f>
        <v/>
      </c>
      <c r="F29" s="25" t="str">
        <f>""</f>
        <v/>
      </c>
      <c r="G29" s="25" t="str">
        <f>""</f>
        <v/>
      </c>
      <c r="H29" s="25" t="str">
        <f>"[0.012]"</f>
        <v>[0.012]</v>
      </c>
      <c r="I29" s="25" t="str">
        <f>""</f>
        <v/>
      </c>
      <c r="J29" s="25" t="str">
        <f>""</f>
        <v/>
      </c>
      <c r="K29" s="25" t="str">
        <f>""</f>
        <v/>
      </c>
      <c r="L29" s="25" t="str">
        <f>""</f>
        <v/>
      </c>
    </row>
    <row xmlns:x14ac="http://schemas.microsoft.com/office/spreadsheetml/2009/9/ac" r="30" x14ac:dyDescent="0.2">
      <c r="B30" s="8" t="str">
        <f>"Destruction of house (yes=1) for a household in a given year"</f>
        <v>Destruction of house (yes=1) for a household in a given year</v>
      </c>
      <c r="C30" s="25" t="str">
        <f>""</f>
        <v/>
      </c>
      <c r="D30" s="25" t="str">
        <f>""</f>
        <v/>
      </c>
      <c r="E30" s="25" t="str">
        <f>""</f>
        <v/>
      </c>
      <c r="F30" s="25" t="str">
        <f>""</f>
        <v/>
      </c>
      <c r="G30" s="25" t="str">
        <f>""</f>
        <v/>
      </c>
      <c r="H30" s="25" t="str">
        <f>""</f>
        <v/>
      </c>
      <c r="I30" s="25" t="str">
        <f>"0.063***"</f>
        <v>0.063***</v>
      </c>
      <c r="J30" s="25" t="str">
        <f>""</f>
        <v/>
      </c>
      <c r="K30" s="25" t="str">
        <f>""</f>
        <v/>
      </c>
      <c r="L30" s="25" t="str">
        <f>""</f>
        <v/>
      </c>
    </row>
    <row xmlns:x14ac="http://schemas.microsoft.com/office/spreadsheetml/2009/9/ac" r="31" x14ac:dyDescent="0.2">
      <c r="B31" s="8"/>
      <c r="C31" s="25" t="str">
        <f>""</f>
        <v/>
      </c>
      <c r="D31" s="25" t="str">
        <f>""</f>
        <v/>
      </c>
      <c r="E31" s="25" t="str">
        <f>""</f>
        <v/>
      </c>
      <c r="F31" s="25" t="str">
        <f>""</f>
        <v/>
      </c>
      <c r="G31" s="25" t="str">
        <f>""</f>
        <v/>
      </c>
      <c r="H31" s="25" t="str">
        <f>""</f>
        <v/>
      </c>
      <c r="I31" s="25" t="str">
        <f>"[0.023]"</f>
        <v>[0.023]</v>
      </c>
      <c r="J31" s="25" t="str">
        <f>""</f>
        <v/>
      </c>
      <c r="K31" s="25" t="str">
        <f>""</f>
        <v/>
      </c>
      <c r="L31" s="25" t="str">
        <f>""</f>
        <v/>
      </c>
    </row>
    <row xmlns:x14ac="http://schemas.microsoft.com/office/spreadsheetml/2009/9/ac" r="32" ht="23" customHeight="true" x14ac:dyDescent="0.2">
      <c r="B32" s="8" t="str">
        <f>"Lag Destruction of house (yes=1) for a household in a given year"</f>
        <v>Lag Destruction of house (yes=1) for a household in a given year</v>
      </c>
      <c r="C32" s="25" t="str">
        <f>""</f>
        <v/>
      </c>
      <c r="D32" s="25" t="str">
        <f>""</f>
        <v/>
      </c>
      <c r="E32" s="25" t="str">
        <f>""</f>
        <v/>
      </c>
      <c r="F32" s="25" t="str">
        <f>""</f>
        <v/>
      </c>
      <c r="G32" s="25" t="str">
        <f>""</f>
        <v/>
      </c>
      <c r="H32" s="25" t="str">
        <f>""</f>
        <v/>
      </c>
      <c r="I32" s="25" t="str">
        <f>"-0.012"</f>
        <v>-0.012</v>
      </c>
      <c r="J32" s="25" t="str">
        <f>""</f>
        <v/>
      </c>
      <c r="K32" s="25" t="str">
        <f>""</f>
        <v/>
      </c>
      <c r="L32" s="25" t="str">
        <f>""</f>
        <v/>
      </c>
    </row>
    <row xmlns:x14ac="http://schemas.microsoft.com/office/spreadsheetml/2009/9/ac" r="33" x14ac:dyDescent="0.2">
      <c r="B33" s="8"/>
      <c r="C33" s="25" t="str">
        <f>""</f>
        <v/>
      </c>
      <c r="D33" s="25" t="str">
        <f>""</f>
        <v/>
      </c>
      <c r="E33" s="25" t="str">
        <f>""</f>
        <v/>
      </c>
      <c r="F33" s="25" t="str">
        <f>""</f>
        <v/>
      </c>
      <c r="G33" s="25" t="str">
        <f>""</f>
        <v/>
      </c>
      <c r="H33" s="25" t="str">
        <f>""</f>
        <v/>
      </c>
      <c r="I33" s="25" t="str">
        <f>"[0.008]"</f>
        <v>[0.008]</v>
      </c>
      <c r="J33" s="25" t="str">
        <f>""</f>
        <v/>
      </c>
      <c r="K33" s="25" t="str">
        <f>""</f>
        <v/>
      </c>
      <c r="L33" s="25" t="str">
        <f>""</f>
        <v/>
      </c>
    </row>
    <row xmlns:x14ac="http://schemas.microsoft.com/office/spreadsheetml/2009/9/ac" r="34" x14ac:dyDescent="0.2">
      <c r="B34" s="11" t="s">
        <v>54</v>
      </c>
      <c r="C34" s="25" t="str">
        <f>""</f>
        <v/>
      </c>
      <c r="D34" s="25" t="str">
        <f>""</f>
        <v/>
      </c>
      <c r="E34" s="25" t="str">
        <f>""</f>
        <v/>
      </c>
      <c r="F34" s="25" t="str">
        <f>""</f>
        <v/>
      </c>
      <c r="G34" s="25" t="str">
        <f>""</f>
        <v/>
      </c>
      <c r="H34" s="25" t="str">
        <f>""</f>
        <v/>
      </c>
      <c r="I34" s="25" t="str">
        <f>""</f>
        <v/>
      </c>
      <c r="J34" s="25" t="str">
        <f>"0.003"</f>
        <v>0.003</v>
      </c>
      <c r="K34" s="25" t="str">
        <f>""</f>
        <v/>
      </c>
      <c r="L34" s="25" t="str">
        <f>""</f>
        <v/>
      </c>
    </row>
    <row xmlns:x14ac="http://schemas.microsoft.com/office/spreadsheetml/2009/9/ac" r="35" x14ac:dyDescent="0.2">
      <c r="C35" s="25" t="str">
        <f>""</f>
        <v/>
      </c>
      <c r="D35" s="25" t="str">
        <f>""</f>
        <v/>
      </c>
      <c r="E35" s="25" t="str">
        <f>""</f>
        <v/>
      </c>
      <c r="F35" s="25" t="str">
        <f>""</f>
        <v/>
      </c>
      <c r="G35" s="25" t="str">
        <f>""</f>
        <v/>
      </c>
      <c r="H35" s="25" t="str">
        <f>""</f>
        <v/>
      </c>
      <c r="I35" s="25" t="str">
        <f>""</f>
        <v/>
      </c>
      <c r="J35" s="25" t="str">
        <f>"[0.002]"</f>
        <v>[0.002]</v>
      </c>
      <c r="K35" s="25" t="str">
        <f>""</f>
        <v/>
      </c>
      <c r="L35" s="25" t="str">
        <f>""</f>
        <v/>
      </c>
    </row>
    <row xmlns:x14ac="http://schemas.microsoft.com/office/spreadsheetml/2009/9/ac" r="36" x14ac:dyDescent="0.2">
      <c r="B36" s="11" t="s">
        <v>72</v>
      </c>
      <c r="C36" s="25" t="str">
        <f>""</f>
        <v/>
      </c>
      <c r="D36" s="25" t="str">
        <f>""</f>
        <v/>
      </c>
      <c r="E36" s="25" t="str">
        <f>""</f>
        <v/>
      </c>
      <c r="F36" s="25" t="str">
        <f>""</f>
        <v/>
      </c>
      <c r="G36" s="25" t="str">
        <f>""</f>
        <v/>
      </c>
      <c r="H36" s="25" t="str">
        <f>""</f>
        <v/>
      </c>
      <c r="I36" s="25" t="str">
        <f>""</f>
        <v/>
      </c>
      <c r="J36" s="25" t="str">
        <f>"-0.002*"</f>
        <v>-0.002*</v>
      </c>
      <c r="K36" s="25" t="str">
        <f>""</f>
        <v/>
      </c>
      <c r="L36" s="25" t="str">
        <f>""</f>
        <v/>
      </c>
    </row>
    <row xmlns:x14ac="http://schemas.microsoft.com/office/spreadsheetml/2009/9/ac" r="37" x14ac:dyDescent="0.2">
      <c r="C37" s="25" t="str">
        <f>""</f>
        <v/>
      </c>
      <c r="D37" s="25" t="str">
        <f>""</f>
        <v/>
      </c>
      <c r="E37" s="25" t="str">
        <f>""</f>
        <v/>
      </c>
      <c r="F37" s="25" t="str">
        <f>""</f>
        <v/>
      </c>
      <c r="G37" s="25" t="str">
        <f>""</f>
        <v/>
      </c>
      <c r="H37" s="25" t="str">
        <f>""</f>
        <v/>
      </c>
      <c r="I37" s="25" t="str">
        <f>""</f>
        <v/>
      </c>
      <c r="J37" s="25" t="str">
        <f>"[0.001]"</f>
        <v>[0.001]</v>
      </c>
      <c r="K37" s="25" t="str">
        <f>""</f>
        <v/>
      </c>
      <c r="L37" s="25" t="str">
        <f>""</f>
        <v/>
      </c>
    </row>
    <row xmlns:x14ac="http://schemas.microsoft.com/office/spreadsheetml/2009/9/ac" r="38" x14ac:dyDescent="0.2">
      <c r="B38" s="11" t="s">
        <v>55</v>
      </c>
      <c r="C38" s="25" t="str">
        <f>""</f>
        <v/>
      </c>
      <c r="D38" s="25" t="str">
        <f>""</f>
        <v/>
      </c>
      <c r="E38" s="25" t="str">
        <f>""</f>
        <v/>
      </c>
      <c r="F38" s="25" t="str">
        <f>""</f>
        <v/>
      </c>
      <c r="G38" s="25" t="str">
        <f>""</f>
        <v/>
      </c>
      <c r="H38" s="25" t="str">
        <f>""</f>
        <v/>
      </c>
      <c r="I38" s="25" t="str">
        <f>""</f>
        <v/>
      </c>
      <c r="J38" s="25" t="str">
        <f>""</f>
        <v/>
      </c>
      <c r="K38" s="25" t="str">
        <f>"0.009***"</f>
        <v>0.009***</v>
      </c>
      <c r="L38" s="25" t="str">
        <f>""</f>
        <v/>
      </c>
    </row>
    <row xmlns:x14ac="http://schemas.microsoft.com/office/spreadsheetml/2009/9/ac" r="39" x14ac:dyDescent="0.2">
      <c r="B39" s="11"/>
      <c r="C39" s="25" t="str">
        <f>""</f>
        <v/>
      </c>
      <c r="D39" s="25" t="str">
        <f>""</f>
        <v/>
      </c>
      <c r="E39" s="25" t="str">
        <f>""</f>
        <v/>
      </c>
      <c r="F39" s="25" t="str">
        <f>""</f>
        <v/>
      </c>
      <c r="G39" s="25" t="str">
        <f>""</f>
        <v/>
      </c>
      <c r="H39" s="25" t="str">
        <f>""</f>
        <v/>
      </c>
      <c r="I39" s="25" t="str">
        <f>""</f>
        <v/>
      </c>
      <c r="J39" s="25" t="str">
        <f>""</f>
        <v/>
      </c>
      <c r="K39" s="25" t="str">
        <f>"[0.002]"</f>
        <v>[0.002]</v>
      </c>
      <c r="L39" s="25" t="str">
        <f>""</f>
        <v/>
      </c>
    </row>
    <row xmlns:x14ac="http://schemas.microsoft.com/office/spreadsheetml/2009/9/ac" r="40" x14ac:dyDescent="0.2">
      <c r="B40" s="11" t="s">
        <v>73</v>
      </c>
      <c r="C40" s="25" t="str">
        <f>""</f>
        <v/>
      </c>
      <c r="D40" s="25" t="str">
        <f>""</f>
        <v/>
      </c>
      <c r="E40" s="25" t="str">
        <f>""</f>
        <v/>
      </c>
      <c r="F40" s="25" t="str">
        <f>""</f>
        <v/>
      </c>
      <c r="G40" s="25" t="str">
        <f>""</f>
        <v/>
      </c>
      <c r="H40" s="25" t="str">
        <f>""</f>
        <v/>
      </c>
      <c r="I40" s="25" t="str">
        <f>""</f>
        <v/>
      </c>
      <c r="J40" s="25" t="str">
        <f>""</f>
        <v/>
      </c>
      <c r="K40" s="25" t="str">
        <f>"-0.000"</f>
        <v>-0.000</v>
      </c>
      <c r="L40" s="25" t="str">
        <f>""</f>
        <v/>
      </c>
    </row>
    <row xmlns:x14ac="http://schemas.microsoft.com/office/spreadsheetml/2009/9/ac" r="41" x14ac:dyDescent="0.2">
      <c r="B41" s="11"/>
      <c r="C41" s="25" t="str">
        <f>""</f>
        <v/>
      </c>
      <c r="D41" s="25" t="str">
        <f>""</f>
        <v/>
      </c>
      <c r="E41" s="25" t="str">
        <f>""</f>
        <v/>
      </c>
      <c r="F41" s="25" t="str">
        <f>""</f>
        <v/>
      </c>
      <c r="G41" s="25" t="str">
        <f>""</f>
        <v/>
      </c>
      <c r="H41" s="25" t="str">
        <f>""</f>
        <v/>
      </c>
      <c r="I41" s="25" t="str">
        <f>""</f>
        <v/>
      </c>
      <c r="J41" s="25" t="str">
        <f>""</f>
        <v/>
      </c>
      <c r="K41" s="25" t="str">
        <f>"[0.001]"</f>
        <v>[0.001]</v>
      </c>
      <c r="L41" s="25" t="str">
        <f>""</f>
        <v/>
      </c>
    </row>
    <row xmlns:x14ac="http://schemas.microsoft.com/office/spreadsheetml/2009/9/ac" r="42" x14ac:dyDescent="0.2">
      <c r="B42" s="11" t="s">
        <v>56</v>
      </c>
      <c r="C42" s="25" t="str">
        <f>""</f>
        <v/>
      </c>
      <c r="D42" s="25" t="str">
        <f>""</f>
        <v/>
      </c>
      <c r="E42" s="25" t="str">
        <f>""</f>
        <v/>
      </c>
      <c r="F42" s="25" t="str">
        <f>""</f>
        <v/>
      </c>
      <c r="G42" s="25" t="str">
        <f>""</f>
        <v/>
      </c>
      <c r="H42" s="25" t="str">
        <f>""</f>
        <v/>
      </c>
      <c r="I42" s="25" t="str">
        <f>""</f>
        <v/>
      </c>
      <c r="J42" s="25" t="str">
        <f>""</f>
        <v/>
      </c>
      <c r="K42" s="25" t="str">
        <f>""</f>
        <v/>
      </c>
      <c r="L42" s="25" t="str">
        <f>"0.007***"</f>
        <v>0.007***</v>
      </c>
    </row>
    <row xmlns:x14ac="http://schemas.microsoft.com/office/spreadsheetml/2009/9/ac" r="43" x14ac:dyDescent="0.2">
      <c r="B43" s="11"/>
      <c r="C43" s="25" t="str">
        <f>""</f>
        <v/>
      </c>
      <c r="D43" s="25" t="str">
        <f>""</f>
        <v/>
      </c>
      <c r="E43" s="25" t="str">
        <f>""</f>
        <v/>
      </c>
      <c r="F43" s="25" t="str">
        <f>""</f>
        <v/>
      </c>
      <c r="G43" s="25" t="str">
        <f>""</f>
        <v/>
      </c>
      <c r="H43" s="25" t="str">
        <f>""</f>
        <v/>
      </c>
      <c r="I43" s="25" t="str">
        <f>""</f>
        <v/>
      </c>
      <c r="J43" s="25" t="str">
        <f>""</f>
        <v/>
      </c>
      <c r="K43" s="25" t="str">
        <f>""</f>
        <v/>
      </c>
      <c r="L43" s="25" t="str">
        <f>"[0.002]"</f>
        <v>[0.002]</v>
      </c>
    </row>
    <row xmlns:x14ac="http://schemas.microsoft.com/office/spreadsheetml/2009/9/ac" r="44" x14ac:dyDescent="0.2">
      <c r="B44" s="11" t="s">
        <v>74</v>
      </c>
      <c r="C44" s="25" t="str">
        <f>""</f>
        <v/>
      </c>
      <c r="D44" s="25" t="str">
        <f>""</f>
        <v/>
      </c>
      <c r="E44" s="25" t="str">
        <f>""</f>
        <v/>
      </c>
      <c r="F44" s="25" t="str">
        <f>""</f>
        <v/>
      </c>
      <c r="G44" s="25" t="str">
        <f>""</f>
        <v/>
      </c>
      <c r="H44" s="25" t="str">
        <f>""</f>
        <v/>
      </c>
      <c r="I44" s="25" t="str">
        <f>""</f>
        <v/>
      </c>
      <c r="J44" s="25" t="str">
        <f>""</f>
        <v/>
      </c>
      <c r="K44" s="25" t="str">
        <f>""</f>
        <v/>
      </c>
      <c r="L44" s="25" t="str">
        <f>"-0.001"</f>
        <v>-0.001</v>
      </c>
    </row>
    <row xmlns:x14ac="http://schemas.microsoft.com/office/spreadsheetml/2009/9/ac" r="45" x14ac:dyDescent="0.2">
      <c r="C45" s="25" t="str">
        <f>""</f>
        <v/>
      </c>
      <c r="D45" s="25" t="str">
        <f>""</f>
        <v/>
      </c>
      <c r="E45" s="25" t="str">
        <f>""</f>
        <v/>
      </c>
      <c r="F45" s="25" t="str">
        <f>""</f>
        <v/>
      </c>
      <c r="G45" s="25" t="str">
        <f>""</f>
        <v/>
      </c>
      <c r="H45" s="25" t="str">
        <f>""</f>
        <v/>
      </c>
      <c r="I45" s="25" t="str">
        <f>""</f>
        <v/>
      </c>
      <c r="J45" s="25" t="str">
        <f>""</f>
        <v/>
      </c>
      <c r="K45" s="25" t="str">
        <f>""</f>
        <v/>
      </c>
      <c r="L45" s="25" t="str">
        <f>"[0.001]"</f>
        <v>[0.001]</v>
      </c>
    </row>
    <row xmlns:x14ac="http://schemas.microsoft.com/office/spreadsheetml/2009/9/ac" r="46" x14ac:dyDescent="0.2">
      <c r="B46" s="18" t="s">
        <v>27</v>
      </c>
      <c r="C46" s="36" t="str">
        <f t="shared" ref="C46:L46" si="0">"31320"</f>
        <v>31320</v>
      </c>
      <c r="D46" s="36" t="str">
        <f t="shared" si="0"/>
        <v>31320</v>
      </c>
      <c r="E46" s="36" t="str">
        <f t="shared" si="0"/>
        <v>31320</v>
      </c>
      <c r="F46" s="36" t="str">
        <f t="shared" si="0"/>
        <v>31320</v>
      </c>
      <c r="G46" s="36" t="str">
        <f t="shared" si="0"/>
        <v>31320</v>
      </c>
      <c r="H46" s="36" t="str">
        <f t="shared" si="0"/>
        <v>31320</v>
      </c>
      <c r="I46" s="36" t="str">
        <f t="shared" si="0"/>
        <v>31320</v>
      </c>
      <c r="J46" s="36" t="str">
        <f t="shared" si="0"/>
        <v>31320</v>
      </c>
      <c r="K46" s="36" t="str">
        <f t="shared" si="0"/>
        <v>31320</v>
      </c>
      <c r="L46" s="36" t="str">
        <f t="shared" si="0"/>
        <v>31320</v>
      </c>
    </row>
    <row xmlns:x14ac="http://schemas.microsoft.com/office/spreadsheetml/2009/9/ac" r="47" x14ac:dyDescent="0.2">
      <c r="B47" s="15" t="s">
        <v>49</v>
      </c>
      <c r="C47" s="19" t="str">
        <f t="shared" ref="C47:L47" si="1">"0.045"</f>
        <v>0.045</v>
      </c>
      <c r="D47" s="19" t="str">
        <f t="shared" si="1"/>
        <v>0.045</v>
      </c>
      <c r="E47" s="19" t="str">
        <f t="shared" si="1"/>
        <v>0.045</v>
      </c>
      <c r="F47" s="19" t="str">
        <f t="shared" si="1"/>
        <v>0.045</v>
      </c>
      <c r="G47" s="19" t="str">
        <f t="shared" si="1"/>
        <v>0.045</v>
      </c>
      <c r="H47" s="19" t="str">
        <f t="shared" si="1"/>
        <v>0.045</v>
      </c>
      <c r="I47" s="19" t="str">
        <f t="shared" si="1"/>
        <v>0.045</v>
      </c>
      <c r="J47" s="19" t="str">
        <f t="shared" si="1"/>
        <v>0.045</v>
      </c>
      <c r="K47" s="19" t="str">
        <f t="shared" si="1"/>
        <v>0.045</v>
      </c>
      <c r="L47" s="19" t="str">
        <f t="shared" si="1"/>
        <v>0.045</v>
      </c>
    </row>
    <row xmlns:x14ac="http://schemas.microsoft.com/office/spreadsheetml/2009/9/ac" r="48" x14ac:dyDescent="0.2">
      <c r="B48" s="15" t="s">
        <v>26</v>
      </c>
      <c r="C48" s="19" t="s">
        <v>25</v>
      </c>
      <c r="D48" s="19" t="s">
        <v>25</v>
      </c>
      <c r="E48" s="19" t="s">
        <v>25</v>
      </c>
      <c r="F48" s="19" t="s">
        <v>25</v>
      </c>
      <c r="G48" s="19" t="s">
        <v>25</v>
      </c>
      <c r="H48" s="19" t="s">
        <v>25</v>
      </c>
      <c r="I48" s="19" t="s">
        <v>25</v>
      </c>
      <c r="J48" s="19" t="s">
        <v>25</v>
      </c>
      <c r="K48" s="19" t="s">
        <v>25</v>
      </c>
      <c r="L48" s="19" t="s">
        <v>25</v>
      </c>
    </row>
    <row xmlns:x14ac="http://schemas.microsoft.com/office/spreadsheetml/2009/9/ac" r="49" x14ac:dyDescent="0.2">
      <c r="B49" s="15" t="s">
        <v>24</v>
      </c>
      <c r="C49" s="19" t="s">
        <v>25</v>
      </c>
      <c r="D49" s="19" t="s">
        <v>25</v>
      </c>
      <c r="E49" s="19" t="s">
        <v>25</v>
      </c>
      <c r="F49" s="19" t="s">
        <v>25</v>
      </c>
      <c r="G49" s="19" t="s">
        <v>25</v>
      </c>
      <c r="H49" s="19" t="s">
        <v>25</v>
      </c>
      <c r="I49" s="19" t="s">
        <v>25</v>
      </c>
      <c r="J49" s="19" t="s">
        <v>25</v>
      </c>
      <c r="K49" s="19" t="s">
        <v>25</v>
      </c>
      <c r="L49" s="19" t="s">
        <v>25</v>
      </c>
    </row>
    <row xmlns:x14ac="http://schemas.microsoft.com/office/spreadsheetml/2009/9/ac" r="50" x14ac:dyDescent="0.2">
      <c r="B50" s="20" t="s">
        <v>38</v>
      </c>
      <c r="C50" s="21" t="s">
        <v>25</v>
      </c>
      <c r="D50" s="21" t="s">
        <v>25</v>
      </c>
      <c r="E50" s="21" t="s">
        <v>25</v>
      </c>
      <c r="F50" s="21" t="s">
        <v>25</v>
      </c>
      <c r="G50" s="21" t="s">
        <v>25</v>
      </c>
      <c r="H50" s="21" t="s">
        <v>25</v>
      </c>
      <c r="I50" s="21" t="s">
        <v>25</v>
      </c>
      <c r="J50" s="21" t="s">
        <v>25</v>
      </c>
      <c r="K50" s="21" t="s">
        <v>25</v>
      </c>
      <c r="L50" s="21" t="s">
        <v>25</v>
      </c>
    </row>
    <row xmlns:x14ac="http://schemas.microsoft.com/office/spreadsheetml/2009/9/ac" r="51" ht="91" customHeight="true" x14ac:dyDescent="0.2">
      <c r="B51" s="92" t="s">
        <v>75</v>
      </c>
      <c r="C51" s="92"/>
      <c r="D51" s="92"/>
      <c r="E51" s="92"/>
      <c r="F51" s="92"/>
      <c r="G51" s="92"/>
      <c r="H51" s="92"/>
      <c r="I51" s="92"/>
      <c r="J51" s="92"/>
      <c r="K51" s="92"/>
      <c r="L51" s="92"/>
    </row>
  </sheetData>
  <mergeCells count="2">
    <mergeCell ref="B2:L2"/>
    <mergeCell ref="B51:L51"/>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A443A-5F7D-D242-8C2B-BAFC34525E6B}">
  <dimension ref="B1:K35"/>
  <sheetViews>
    <sheetView showGridLines="false" workbookViewId="0">
      <selection activeCell="B3" sqref="B3:B4"/>
    </sheetView>
  </sheetViews>
  <sheetFormatPr xmlns:x14ac="http://schemas.microsoft.com/office/spreadsheetml/2009/9/ac" baseColWidth="10" defaultColWidth="11" defaultRowHeight="16" x14ac:dyDescent="0.2"/>
  <cols>
    <col min="2" max="2" width="48.33203125" customWidth="true"/>
  </cols>
  <sheetData>
    <row xmlns:x14ac="http://schemas.microsoft.com/office/spreadsheetml/2009/9/ac" r="1" x14ac:dyDescent="0.2">
      <c r="D1" s="88"/>
      <c r="E1" s="88"/>
      <c r="F1" s="88"/>
      <c r="G1" s="88"/>
      <c r="H1" s="88"/>
      <c r="I1" s="88"/>
      <c r="J1" s="88"/>
      <c r="K1" s="88"/>
    </row>
    <row xmlns:x14ac="http://schemas.microsoft.com/office/spreadsheetml/2009/9/ac" r="2" x14ac:dyDescent="0.2">
      <c r="B2" s="88" t="s">
        <v>83</v>
      </c>
      <c r="C2" s="88"/>
      <c r="D2" s="88"/>
      <c r="E2" s="88"/>
      <c r="F2" s="88"/>
      <c r="G2" s="88"/>
      <c r="H2" s="88"/>
    </row>
    <row xmlns:x14ac="http://schemas.microsoft.com/office/spreadsheetml/2009/9/ac" r="3" ht="68" x14ac:dyDescent="0.2">
      <c r="B3" s="84" t="s">
        <v>46</v>
      </c>
      <c r="C3" s="39" t="s">
        <v>47</v>
      </c>
      <c r="D3" s="39" t="s">
        <v>64</v>
      </c>
      <c r="E3" s="39" t="s">
        <v>35</v>
      </c>
      <c r="F3" s="39" t="s">
        <v>51</v>
      </c>
      <c r="G3" s="39" t="s">
        <v>36</v>
      </c>
      <c r="H3" s="39" t="s">
        <v>37</v>
      </c>
    </row>
    <row xmlns:x14ac="http://schemas.microsoft.com/office/spreadsheetml/2009/9/ac" r="4" ht="17" thickBot="true" x14ac:dyDescent="0.25">
      <c r="B4" s="89"/>
      <c r="C4" s="7" t="s">
        <v>28</v>
      </c>
      <c r="D4" s="7" t="s">
        <v>29</v>
      </c>
      <c r="E4" s="7" t="s">
        <v>30</v>
      </c>
      <c r="F4" s="7" t="s">
        <v>31</v>
      </c>
      <c r="G4" s="7" t="s">
        <v>32</v>
      </c>
      <c r="H4" s="7" t="s">
        <v>33</v>
      </c>
    </row>
    <row xmlns:x14ac="http://schemas.microsoft.com/office/spreadsheetml/2009/9/ac" r="5" ht="17" thickTop="true" x14ac:dyDescent="0.2">
      <c r="B5" s="22" t="s">
        <v>65</v>
      </c>
      <c r="C5" s="41"/>
      <c r="D5" s="41"/>
      <c r="E5" s="41"/>
      <c r="F5" s="41"/>
      <c r="G5" s="41"/>
      <c r="H5" s="41"/>
    </row>
    <row xmlns:x14ac="http://schemas.microsoft.com/office/spreadsheetml/2009/9/ac" r="6" ht="17" x14ac:dyDescent="0.2">
      <c r="B6" s="47" t="s">
        <v>50</v>
      </c>
      <c r="C6" s="23" t="str">
        <f>"0.026*"</f>
        <v>0.026*</v>
      </c>
      <c r="D6" s="23" t="str">
        <f>"0.039**"</f>
        <v>0.039**</v>
      </c>
      <c r="E6" s="23" t="str">
        <f>"0.030**"</f>
        <v>0.030**</v>
      </c>
      <c r="F6" s="25" t="str">
        <f>"0.026"</f>
        <v>0.026</v>
      </c>
      <c r="G6" s="25" t="str">
        <f>"0.036**"</f>
        <v>0.036**</v>
      </c>
      <c r="H6" s="25" t="str">
        <f>"0.008"</f>
        <v>0.008</v>
      </c>
    </row>
    <row xmlns:x14ac="http://schemas.microsoft.com/office/spreadsheetml/2009/9/ac" r="7" x14ac:dyDescent="0.2">
      <c r="B7" s="46"/>
      <c r="C7" s="23" t="str">
        <f>"[0.013]"</f>
        <v>[0.013]</v>
      </c>
      <c r="D7" s="23" t="str">
        <f>"[0.017]"</f>
        <v>[0.017]</v>
      </c>
      <c r="E7" s="23" t="str">
        <f>"[0.014]"</f>
        <v>[0.014]</v>
      </c>
      <c r="F7" s="25" t="str">
        <f>"[0.016]"</f>
        <v>[0.016]</v>
      </c>
      <c r="G7" s="25" t="str">
        <f>"[0.017]"</f>
        <v>[0.017]</v>
      </c>
      <c r="H7" s="25" t="str">
        <f>"[0.006]"</f>
        <v>[0.006]</v>
      </c>
    </row>
    <row xmlns:x14ac="http://schemas.microsoft.com/office/spreadsheetml/2009/9/ac" r="8" x14ac:dyDescent="0.2">
      <c r="B8" s="3" t="s">
        <v>70</v>
      </c>
      <c r="C8" s="23" t="str">
        <f>"0.022*"</f>
        <v>0.022*</v>
      </c>
      <c r="D8" s="23" t="str">
        <f>"0.034**"</f>
        <v>0.034**</v>
      </c>
      <c r="E8" s="23" t="str">
        <f>"0.029**"</f>
        <v>0.029**</v>
      </c>
      <c r="F8" s="25" t="str">
        <f>"0.025**"</f>
        <v>0.025**</v>
      </c>
      <c r="G8" s="25" t="str">
        <f>"0.034**"</f>
        <v>0.034**</v>
      </c>
      <c r="H8" s="25" t="str">
        <f>"-0.000"</f>
        <v>-0.000</v>
      </c>
    </row>
    <row xmlns:x14ac="http://schemas.microsoft.com/office/spreadsheetml/2009/9/ac" r="9" x14ac:dyDescent="0.2">
      <c r="B9" s="3"/>
      <c r="C9" s="23" t="str">
        <f>"[0.012]"</f>
        <v>[0.012]</v>
      </c>
      <c r="D9" s="23" t="str">
        <f>"[0.014]"</f>
        <v>[0.014]</v>
      </c>
      <c r="E9" s="23" t="str">
        <f>"[0.013]"</f>
        <v>[0.013]</v>
      </c>
      <c r="F9" s="25" t="str">
        <f>"[0.012]"</f>
        <v>[0.012]</v>
      </c>
      <c r="G9" s="25" t="str">
        <f>"[0.015]"</f>
        <v>[0.015]</v>
      </c>
      <c r="H9" s="25" t="str">
        <f>"[0.008]"</f>
        <v>[0.008]</v>
      </c>
    </row>
    <row xmlns:x14ac="http://schemas.microsoft.com/office/spreadsheetml/2009/9/ac" r="10" x14ac:dyDescent="0.2">
      <c r="B10" s="42" t="s">
        <v>66</v>
      </c>
      <c r="C10" s="43"/>
      <c r="D10" s="43"/>
      <c r="E10" s="43"/>
      <c r="F10" s="43"/>
      <c r="G10" s="43"/>
      <c r="H10" s="43"/>
    </row>
    <row xmlns:x14ac="http://schemas.microsoft.com/office/spreadsheetml/2009/9/ac" r="11" ht="17" x14ac:dyDescent="0.2">
      <c r="B11" s="47" t="s">
        <v>48</v>
      </c>
      <c r="C11" s="25" t="str">
        <f>"0.267***"</f>
        <v>0.267***</v>
      </c>
      <c r="D11" s="23" t="str">
        <f>"0.206***"</f>
        <v>0.206***</v>
      </c>
      <c r="E11" s="23" t="str">
        <f>"0.195**"</f>
        <v>0.195**</v>
      </c>
      <c r="F11" s="25" t="str">
        <f>"0.268***"</f>
        <v>0.268***</v>
      </c>
      <c r="G11" s="25" t="str">
        <f>"0.238***"</f>
        <v>0.238***</v>
      </c>
      <c r="H11" s="25" t="str">
        <f>"0.104**"</f>
        <v>0.104**</v>
      </c>
    </row>
    <row xmlns:x14ac="http://schemas.microsoft.com/office/spreadsheetml/2009/9/ac" r="12" x14ac:dyDescent="0.2">
      <c r="B12" s="46"/>
      <c r="C12" s="25" t="str">
        <f>"[0.097]"</f>
        <v>[0.097]</v>
      </c>
      <c r="D12" s="23" t="str">
        <f>"[0.075]"</f>
        <v>[0.075]</v>
      </c>
      <c r="E12" s="23" t="str">
        <f>"[0.084]"</f>
        <v>[0.084]</v>
      </c>
      <c r="F12" s="25" t="str">
        <f>"[0.096]"</f>
        <v>[0.096]</v>
      </c>
      <c r="G12" s="25" t="str">
        <f>"[0.088]"</f>
        <v>[0.088]</v>
      </c>
      <c r="H12" s="25" t="str">
        <f>"[0.051]"</f>
        <v>[0.051]</v>
      </c>
    </row>
    <row xmlns:x14ac="http://schemas.microsoft.com/office/spreadsheetml/2009/9/ac" r="13" x14ac:dyDescent="0.2">
      <c r="B13" s="3" t="s">
        <v>71</v>
      </c>
      <c r="C13" s="25" t="str">
        <f>"0.061"</f>
        <v>0.061</v>
      </c>
      <c r="D13" s="23" t="str">
        <f>"0.110"</f>
        <v>0.110</v>
      </c>
      <c r="E13" s="23" t="str">
        <f>"0.112"</f>
        <v>0.112</v>
      </c>
      <c r="F13" s="25" t="str">
        <f>"0.055"</f>
        <v>0.055</v>
      </c>
      <c r="G13" s="25" t="str">
        <f>"0.092"</f>
        <v>0.092</v>
      </c>
      <c r="H13" s="25" t="str">
        <f>"0.024"</f>
        <v>0.024</v>
      </c>
    </row>
    <row xmlns:x14ac="http://schemas.microsoft.com/office/spreadsheetml/2009/9/ac" r="14" x14ac:dyDescent="0.2">
      <c r="B14" s="3"/>
      <c r="C14" s="25" t="str">
        <f>"[0.084]"</f>
        <v>[0.084]</v>
      </c>
      <c r="D14" s="40" t="str">
        <f>"[0.120]"</f>
        <v>[0.120]</v>
      </c>
      <c r="E14" s="40" t="str">
        <f>"[0.096]"</f>
        <v>[0.096]</v>
      </c>
      <c r="F14" s="25" t="str">
        <f>"[0.106]"</f>
        <v>[0.106]</v>
      </c>
      <c r="G14" s="25" t="str">
        <f>"[0.113]"</f>
        <v>[0.113]</v>
      </c>
      <c r="H14" s="25" t="str">
        <f>"[0.020]"</f>
        <v>[0.020]</v>
      </c>
    </row>
    <row xmlns:x14ac="http://schemas.microsoft.com/office/spreadsheetml/2009/9/ac" r="15" x14ac:dyDescent="0.2">
      <c r="B15" s="42" t="s">
        <v>67</v>
      </c>
      <c r="C15" s="43"/>
      <c r="D15" s="43"/>
      <c r="E15" s="43"/>
      <c r="F15" s="43"/>
      <c r="G15" s="43"/>
      <c r="H15" s="43"/>
    </row>
    <row xmlns:x14ac="http://schemas.microsoft.com/office/spreadsheetml/2009/9/ac" r="16" ht="31" x14ac:dyDescent="0.2">
      <c r="B16" s="48" t="s">
        <v>54</v>
      </c>
      <c r="C16" s="25" t="str">
        <f>"0.002"</f>
        <v>0.002</v>
      </c>
      <c r="D16" s="25" t="str">
        <f>"0.006*"</f>
        <v>0.006*</v>
      </c>
      <c r="E16" s="25" t="str">
        <f>"0.003"</f>
        <v>0.003</v>
      </c>
      <c r="F16" s="25" t="str">
        <f>"0.005"</f>
        <v>0.005</v>
      </c>
      <c r="G16" s="25" t="str">
        <f>"0.007**"</f>
        <v>0.007**</v>
      </c>
      <c r="H16" s="25" t="str">
        <f>"-0.003"</f>
        <v>-0.003</v>
      </c>
    </row>
    <row xmlns:x14ac="http://schemas.microsoft.com/office/spreadsheetml/2009/9/ac" r="17" x14ac:dyDescent="0.2">
      <c r="B17" s="46"/>
      <c r="C17" s="25" t="str">
        <f>"[0.002]"</f>
        <v>[0.002]</v>
      </c>
      <c r="D17" s="25" t="str">
        <f>"[0.004]"</f>
        <v>[0.004]</v>
      </c>
      <c r="E17" s="25" t="str">
        <f>"[0.003]"</f>
        <v>[0.003]</v>
      </c>
      <c r="F17" s="25" t="str">
        <f>"[0.004]"</f>
        <v>[0.004]</v>
      </c>
      <c r="G17" s="25" t="str">
        <f>"[0.003]"</f>
        <v>[0.003]</v>
      </c>
      <c r="H17" s="25" t="str">
        <f>"[0.002]"</f>
        <v>[0.002]</v>
      </c>
    </row>
    <row xmlns:x14ac="http://schemas.microsoft.com/office/spreadsheetml/2009/9/ac" r="18" ht="31" x14ac:dyDescent="0.2">
      <c r="B18" s="50" t="s">
        <v>72</v>
      </c>
      <c r="C18" s="25" t="str">
        <f>"-0.001"</f>
        <v>-0.001</v>
      </c>
      <c r="D18" s="25" t="str">
        <f>"-0.004"</f>
        <v>-0.004</v>
      </c>
      <c r="E18" s="25" t="str">
        <f>"-0.003"</f>
        <v>-0.003</v>
      </c>
      <c r="F18" s="25" t="str">
        <f>"-0.002"</f>
        <v>-0.002</v>
      </c>
      <c r="G18" s="25" t="str">
        <f>"-0.004*"</f>
        <v>-0.004*</v>
      </c>
      <c r="H18" s="25" t="str">
        <f>"0.001"</f>
        <v>0.001</v>
      </c>
    </row>
    <row xmlns:x14ac="http://schemas.microsoft.com/office/spreadsheetml/2009/9/ac" r="19" x14ac:dyDescent="0.2">
      <c r="B19" s="3"/>
      <c r="C19" s="25" t="str">
        <f>"[0.002]"</f>
        <v>[0.002]</v>
      </c>
      <c r="D19" s="25" t="str">
        <f>"[0.003]"</f>
        <v>[0.003]</v>
      </c>
      <c r="E19" s="25" t="str">
        <f>"[0.002]"</f>
        <v>[0.002]</v>
      </c>
      <c r="F19" s="25" t="str">
        <f>"[0.003]"</f>
        <v>[0.003]</v>
      </c>
      <c r="G19" s="25" t="str">
        <f>"[0.002]"</f>
        <v>[0.002]</v>
      </c>
      <c r="H19" s="25" t="str">
        <f>"[0.002]"</f>
        <v>[0.002]</v>
      </c>
    </row>
    <row xmlns:x14ac="http://schemas.microsoft.com/office/spreadsheetml/2009/9/ac" r="20" x14ac:dyDescent="0.2">
      <c r="B20" s="42" t="s">
        <v>68</v>
      </c>
      <c r="C20" s="43"/>
      <c r="D20" s="43"/>
      <c r="E20" s="43"/>
      <c r="F20" s="43"/>
      <c r="G20" s="43"/>
      <c r="H20" s="43"/>
    </row>
    <row xmlns:x14ac="http://schemas.microsoft.com/office/spreadsheetml/2009/9/ac" r="21" ht="31" x14ac:dyDescent="0.2">
      <c r="B21" s="48" t="s">
        <v>55</v>
      </c>
      <c r="C21" s="25" t="str">
        <f>"0.009***"</f>
        <v>0.009***</v>
      </c>
      <c r="D21" s="25" t="str">
        <f>"0.013***"</f>
        <v>0.013***</v>
      </c>
      <c r="E21" s="25" t="str">
        <f>"0.014***"</f>
        <v>0.014***</v>
      </c>
      <c r="F21" s="25" t="str">
        <f>"0.005**"</f>
        <v>0.005**</v>
      </c>
      <c r="G21" s="25" t="str">
        <f>"0.011***"</f>
        <v>0.011***</v>
      </c>
      <c r="H21" s="25" t="str">
        <f>"0.009***"</f>
        <v>0.009***</v>
      </c>
    </row>
    <row xmlns:x14ac="http://schemas.microsoft.com/office/spreadsheetml/2009/9/ac" r="22" x14ac:dyDescent="0.2">
      <c r="B22" s="46"/>
      <c r="C22" s="25" t="str">
        <f>"[0.003]"</f>
        <v>[0.003]</v>
      </c>
      <c r="D22" s="25" t="str">
        <f>"[0.003]"</f>
        <v>[0.003]</v>
      </c>
      <c r="E22" s="25" t="str">
        <f>"[0.003]"</f>
        <v>[0.003]</v>
      </c>
      <c r="F22" s="25" t="str">
        <f>"[0.002]"</f>
        <v>[0.002]</v>
      </c>
      <c r="G22" s="25" t="str">
        <f>"[0.003]"</f>
        <v>[0.003]</v>
      </c>
      <c r="H22" s="25" t="str">
        <f>"[0.003]"</f>
        <v>[0.003]</v>
      </c>
    </row>
    <row xmlns:x14ac="http://schemas.microsoft.com/office/spreadsheetml/2009/9/ac" r="23" ht="31" x14ac:dyDescent="0.2">
      <c r="B23" s="48" t="s">
        <v>73</v>
      </c>
      <c r="C23" s="25" t="str">
        <f>"-0.001"</f>
        <v>-0.001</v>
      </c>
      <c r="D23" s="25" t="str">
        <f>"-0.006*"</f>
        <v>-0.006*</v>
      </c>
      <c r="E23" s="25" t="str">
        <f>"-0.007***"</f>
        <v>-0.007***</v>
      </c>
      <c r="F23" s="25" t="str">
        <f>"0.003"</f>
        <v>0.003</v>
      </c>
      <c r="G23" s="25" t="str">
        <f>"-0.002"</f>
        <v>-0.002</v>
      </c>
      <c r="H23" s="25" t="str">
        <f>"-0.006**"</f>
        <v>-0.006**</v>
      </c>
    </row>
    <row xmlns:x14ac="http://schemas.microsoft.com/office/spreadsheetml/2009/9/ac" r="24" x14ac:dyDescent="0.2">
      <c r="B24" s="3"/>
      <c r="C24" s="25" t="str">
        <f>"[0.002]"</f>
        <v>[0.002]</v>
      </c>
      <c r="D24" s="25" t="str">
        <f>"[0.003]"</f>
        <v>[0.003]</v>
      </c>
      <c r="E24" s="25" t="str">
        <f>"[0.002]"</f>
        <v>[0.002]</v>
      </c>
      <c r="F24" s="25" t="str">
        <f>"[0.002]"</f>
        <v>[0.002]</v>
      </c>
      <c r="G24" s="25" t="str">
        <f>"[0.002]"</f>
        <v>[0.002]</v>
      </c>
      <c r="H24" s="25" t="str">
        <f>"[0.002]"</f>
        <v>[0.002]</v>
      </c>
    </row>
    <row xmlns:x14ac="http://schemas.microsoft.com/office/spreadsheetml/2009/9/ac" r="25" x14ac:dyDescent="0.2">
      <c r="B25" s="42" t="s">
        <v>69</v>
      </c>
      <c r="C25" s="43"/>
      <c r="D25" s="43"/>
      <c r="E25" s="43"/>
      <c r="F25" s="43"/>
      <c r="G25" s="43"/>
      <c r="H25" s="43"/>
    </row>
    <row xmlns:x14ac="http://schemas.microsoft.com/office/spreadsheetml/2009/9/ac" r="26" x14ac:dyDescent="0.2">
      <c r="B26" s="48" t="s">
        <v>56</v>
      </c>
      <c r="C26" s="25" t="str">
        <f>"0.008***"</f>
        <v>0.008***</v>
      </c>
      <c r="D26" s="25" t="str">
        <f>"0.011***"</f>
        <v>0.011***</v>
      </c>
      <c r="E26" s="25" t="str">
        <f>"0.011***"</f>
        <v>0.011***</v>
      </c>
      <c r="F26" s="25" t="str">
        <f>"0.005*"</f>
        <v>0.005*</v>
      </c>
      <c r="G26" s="25" t="str">
        <f>"0.010***"</f>
        <v>0.010***</v>
      </c>
      <c r="H26" s="25" t="str">
        <f>"0.007**"</f>
        <v>0.007**</v>
      </c>
    </row>
    <row xmlns:x14ac="http://schemas.microsoft.com/office/spreadsheetml/2009/9/ac" r="27" x14ac:dyDescent="0.2">
      <c r="B27" s="46"/>
      <c r="C27" s="25" t="str">
        <f>"[0.002]"</f>
        <v>[0.002]</v>
      </c>
      <c r="D27" s="25" t="str">
        <f>"[0.003]"</f>
        <v>[0.003]</v>
      </c>
      <c r="E27" s="25" t="str">
        <f>"[0.003]"</f>
        <v>[0.003]</v>
      </c>
      <c r="F27" s="25" t="str">
        <f>"[0.002]"</f>
        <v>[0.002]</v>
      </c>
      <c r="G27" s="25" t="str">
        <f>"[0.003]"</f>
        <v>[0.003]</v>
      </c>
      <c r="H27" s="25" t="str">
        <f>"[0.003]"</f>
        <v>[0.003]</v>
      </c>
    </row>
    <row xmlns:x14ac="http://schemas.microsoft.com/office/spreadsheetml/2009/9/ac" r="28" x14ac:dyDescent="0.2">
      <c r="B28" s="11" t="s">
        <v>74</v>
      </c>
      <c r="C28" s="25" t="str">
        <f>"-0.001"</f>
        <v>-0.001</v>
      </c>
      <c r="D28" s="25" t="str">
        <f>"-0.005"</f>
        <v>-0.005</v>
      </c>
      <c r="E28" s="25" t="str">
        <f>"-0.006***"</f>
        <v>-0.006***</v>
      </c>
      <c r="F28" s="25" t="str">
        <f>"0.003"</f>
        <v>0.003</v>
      </c>
      <c r="G28" s="25" t="str">
        <f>"-0.002"</f>
        <v>-0.002</v>
      </c>
      <c r="H28" s="25" t="str">
        <f>"-0.005**"</f>
        <v>-0.005**</v>
      </c>
    </row>
    <row xmlns:x14ac="http://schemas.microsoft.com/office/spreadsheetml/2009/9/ac" r="29" x14ac:dyDescent="0.2">
      <c r="B29" s="3"/>
      <c r="C29" s="25" t="str">
        <f>"[0.002]"</f>
        <v>[0.002]</v>
      </c>
      <c r="D29" s="25" t="str">
        <f>"[0.003]"</f>
        <v>[0.003]</v>
      </c>
      <c r="E29" s="25" t="str">
        <f>"[0.002]"</f>
        <v>[0.002]</v>
      </c>
      <c r="F29" s="25" t="str">
        <f>"[0.002]"</f>
        <v>[0.002]</v>
      </c>
      <c r="G29" s="25" t="str">
        <f>"[0.002]"</f>
        <v>[0.002]</v>
      </c>
      <c r="H29" s="25" t="str">
        <f>"[0.002]"</f>
        <v>[0.002]</v>
      </c>
    </row>
    <row xmlns:x14ac="http://schemas.microsoft.com/office/spreadsheetml/2009/9/ac" r="30" x14ac:dyDescent="0.2">
      <c r="B30" s="44" t="s">
        <v>27</v>
      </c>
      <c r="C30" s="45" t="str">
        <f>"17401"</f>
        <v>17401</v>
      </c>
      <c r="D30" s="45" t="str">
        <f>"16527"</f>
        <v>16527</v>
      </c>
      <c r="E30" s="45" t="str">
        <f>"17369"</f>
        <v>17369</v>
      </c>
      <c r="F30" s="45" t="str">
        <f>"16559"</f>
        <v>16559</v>
      </c>
      <c r="G30" s="45" t="str">
        <f>"24313"</f>
        <v>24313</v>
      </c>
      <c r="H30" s="45" t="str">
        <f>"9588"</f>
        <v>9588</v>
      </c>
    </row>
    <row xmlns:x14ac="http://schemas.microsoft.com/office/spreadsheetml/2009/9/ac" r="31" x14ac:dyDescent="0.2">
      <c r="B31" s="15" t="s">
        <v>49</v>
      </c>
      <c r="C31" s="19" t="str">
        <f>"0.041"</f>
        <v>0.041</v>
      </c>
      <c r="D31" s="19" t="str">
        <f>"0.049"</f>
        <v>0.049</v>
      </c>
      <c r="E31" s="19" t="str">
        <f>"0.052"</f>
        <v>0.052</v>
      </c>
      <c r="F31" s="19" t="str">
        <f>"0.037"</f>
        <v>0.037</v>
      </c>
      <c r="G31" s="19" t="str">
        <f>"0.048"</f>
        <v>0.048</v>
      </c>
      <c r="H31" s="19" t="str">
        <f>"0.038"</f>
        <v>0.038</v>
      </c>
    </row>
    <row xmlns:x14ac="http://schemas.microsoft.com/office/spreadsheetml/2009/9/ac" r="32" x14ac:dyDescent="0.2">
      <c r="B32" s="15" t="s">
        <v>26</v>
      </c>
      <c r="C32" s="19" t="s">
        <v>25</v>
      </c>
      <c r="D32" s="19" t="s">
        <v>25</v>
      </c>
      <c r="E32" s="19" t="s">
        <v>25</v>
      </c>
      <c r="F32" s="19" t="s">
        <v>25</v>
      </c>
      <c r="G32" s="19" t="s">
        <v>25</v>
      </c>
      <c r="H32" s="19" t="s">
        <v>25</v>
      </c>
    </row>
    <row xmlns:x14ac="http://schemas.microsoft.com/office/spreadsheetml/2009/9/ac" r="33" x14ac:dyDescent="0.2">
      <c r="B33" s="15" t="s">
        <v>24</v>
      </c>
      <c r="C33" s="19" t="s">
        <v>25</v>
      </c>
      <c r="D33" s="19" t="s">
        <v>25</v>
      </c>
      <c r="E33" s="19" t="s">
        <v>25</v>
      </c>
      <c r="F33" s="19" t="s">
        <v>25</v>
      </c>
      <c r="G33" s="19" t="s">
        <v>25</v>
      </c>
      <c r="H33" s="19" t="s">
        <v>25</v>
      </c>
    </row>
    <row xmlns:x14ac="http://schemas.microsoft.com/office/spreadsheetml/2009/9/ac" r="34" x14ac:dyDescent="0.2">
      <c r="B34" s="15" t="s">
        <v>38</v>
      </c>
      <c r="C34" s="21" t="s">
        <v>25</v>
      </c>
      <c r="D34" s="21" t="s">
        <v>25</v>
      </c>
      <c r="E34" s="21" t="s">
        <v>25</v>
      </c>
      <c r="F34" s="21" t="s">
        <v>25</v>
      </c>
      <c r="G34" s="21" t="s">
        <v>25</v>
      </c>
      <c r="H34" s="21" t="s">
        <v>25</v>
      </c>
    </row>
    <row xmlns:x14ac="http://schemas.microsoft.com/office/spreadsheetml/2009/9/ac" r="35" ht="106" customHeight="true" x14ac:dyDescent="0.2">
      <c r="B35" s="86" t="s">
        <v>76</v>
      </c>
      <c r="C35" s="86"/>
      <c r="D35" s="86"/>
      <c r="E35" s="86"/>
      <c r="F35" s="86"/>
      <c r="G35" s="86"/>
      <c r="H35" s="86"/>
    </row>
  </sheetData>
  <mergeCells count="4">
    <mergeCell ref="D1:K1"/>
    <mergeCell ref="B2:H2"/>
    <mergeCell ref="B3:B4"/>
    <mergeCell ref="B35:H35"/>
  </mergeCell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B947C-AA02-7C47-A12A-E760857D5F58}">
  <dimension ref="B2:F20"/>
  <sheetViews>
    <sheetView showGridLines="false" workbookViewId="0">
      <selection activeCell="C3" sqref="C3:F3"/>
    </sheetView>
  </sheetViews>
  <sheetFormatPr xmlns:x14ac="http://schemas.microsoft.com/office/spreadsheetml/2009/9/ac" baseColWidth="10" defaultColWidth="11" defaultRowHeight="16" x14ac:dyDescent="0.2"/>
  <cols>
    <col min="2" max="2" width="56.1640625" customWidth="true"/>
  </cols>
  <sheetData>
    <row xmlns:x14ac="http://schemas.microsoft.com/office/spreadsheetml/2009/9/ac" r="2" x14ac:dyDescent="0.2">
      <c r="B2" s="87" t="s">
        <v>96</v>
      </c>
      <c r="C2" s="87"/>
      <c r="D2" s="87"/>
      <c r="E2" s="87"/>
      <c r="F2" s="87"/>
    </row>
    <row xmlns:x14ac="http://schemas.microsoft.com/office/spreadsheetml/2009/9/ac" r="3" ht="37" customHeight="true" thickBot="true" x14ac:dyDescent="0.25">
      <c r="B3" s="24" t="s">
        <v>46</v>
      </c>
      <c r="C3" s="9" t="s">
        <v>28</v>
      </c>
      <c r="D3" s="9" t="s">
        <v>29</v>
      </c>
      <c r="E3" s="9" t="s">
        <v>30</v>
      </c>
      <c r="F3" s="9" t="s">
        <v>31</v>
      </c>
    </row>
    <row xmlns:x14ac="http://schemas.microsoft.com/office/spreadsheetml/2009/9/ac" r="4" ht="17" thickTop="true" x14ac:dyDescent="0.2">
      <c r="B4" s="22" t="s">
        <v>53</v>
      </c>
      <c r="C4" s="17"/>
      <c r="E4" s="17"/>
    </row>
    <row xmlns:x14ac="http://schemas.microsoft.com/office/spreadsheetml/2009/9/ac" r="5" x14ac:dyDescent="0.2">
      <c r="B5" s="3" t="s">
        <v>50</v>
      </c>
      <c r="C5" s="23" t="str">
        <f t="shared" ref="C5:D5" si="0">"0.031**"</f>
        <v>0.031**</v>
      </c>
      <c r="D5" t="str">
        <f t="shared" si="0"/>
        <v>0.031**</v>
      </c>
      <c r="E5" s="23" t="str">
        <f>""</f>
        <v/>
      </c>
      <c r="F5" t="str">
        <f>""</f>
        <v/>
      </c>
    </row>
    <row xmlns:x14ac="http://schemas.microsoft.com/office/spreadsheetml/2009/9/ac" r="6" x14ac:dyDescent="0.2">
      <c r="B6" s="3"/>
      <c r="C6" s="23" t="str">
        <f t="shared" ref="C6:D6" si="1">"[0.014]"</f>
        <v>[0.014]</v>
      </c>
      <c r="D6" t="str">
        <f t="shared" si="1"/>
        <v>[0.014]</v>
      </c>
      <c r="E6" s="23" t="str">
        <f>""</f>
        <v/>
      </c>
      <c r="F6" t="str">
        <f>""</f>
        <v/>
      </c>
    </row>
    <row xmlns:x14ac="http://schemas.microsoft.com/office/spreadsheetml/2009/9/ac" r="7" x14ac:dyDescent="0.2">
      <c r="B7" s="3" t="s">
        <v>48</v>
      </c>
      <c r="C7" s="23" t="str">
        <f>""</f>
        <v/>
      </c>
      <c r="D7" t="str">
        <f>""</f>
        <v/>
      </c>
      <c r="E7" s="23" t="str">
        <f>"0.246***"</f>
        <v>0.246***</v>
      </c>
      <c r="F7" t="str">
        <f>"0.246***"</f>
        <v>0.246***</v>
      </c>
    </row>
    <row xmlns:x14ac="http://schemas.microsoft.com/office/spreadsheetml/2009/9/ac" r="8" x14ac:dyDescent="0.2">
      <c r="B8" s="3" t="str">
        <f>""</f>
        <v/>
      </c>
      <c r="C8" s="23" t="str">
        <f>""</f>
        <v/>
      </c>
      <c r="D8" t="str">
        <f>""</f>
        <v/>
      </c>
      <c r="E8" s="23" t="str">
        <f>"[0.087]"</f>
        <v>[0.087]</v>
      </c>
      <c r="F8" t="str">
        <f>"[0.087]"</f>
        <v>[0.087]</v>
      </c>
    </row>
    <row xmlns:x14ac="http://schemas.microsoft.com/office/spreadsheetml/2009/9/ac" r="9" x14ac:dyDescent="0.2">
      <c r="B9" s="3"/>
      <c r="C9" s="23"/>
      <c r="E9" s="23"/>
    </row>
    <row xmlns:x14ac="http://schemas.microsoft.com/office/spreadsheetml/2009/9/ac" r="10" x14ac:dyDescent="0.2">
      <c r="B10" s="34" t="s">
        <v>52</v>
      </c>
      <c r="C10" s="27"/>
      <c r="D10" s="27"/>
      <c r="E10" s="27"/>
      <c r="F10" s="27"/>
    </row>
    <row xmlns:x14ac="http://schemas.microsoft.com/office/spreadsheetml/2009/9/ac" r="11" x14ac:dyDescent="0.2">
      <c r="B11" s="11" t="s">
        <v>55</v>
      </c>
      <c r="C11" t="str">
        <f>"0.008***"</f>
        <v>0.008***</v>
      </c>
      <c r="D11" t="str">
        <f>""</f>
        <v/>
      </c>
      <c r="E11" t="str">
        <f>"0.008***"</f>
        <v>0.008***</v>
      </c>
      <c r="F11" t="str">
        <f>""</f>
        <v/>
      </c>
    </row>
    <row xmlns:x14ac="http://schemas.microsoft.com/office/spreadsheetml/2009/9/ac" r="12" x14ac:dyDescent="0.2">
      <c r="C12" t="str">
        <f>"[0.002]"</f>
        <v>[0.002]</v>
      </c>
      <c r="D12" t="str">
        <f>""</f>
        <v/>
      </c>
      <c r="E12" t="str">
        <f>"[0.002]"</f>
        <v>[0.002]</v>
      </c>
      <c r="F12" t="str">
        <f>""</f>
        <v/>
      </c>
    </row>
    <row xmlns:x14ac="http://schemas.microsoft.com/office/spreadsheetml/2009/9/ac" r="13" x14ac:dyDescent="0.2">
      <c r="B13" s="11" t="s">
        <v>56</v>
      </c>
      <c r="C13" t="str">
        <f>""</f>
        <v/>
      </c>
      <c r="D13" t="str">
        <f>"0.007***"</f>
        <v>0.007***</v>
      </c>
      <c r="E13" t="str">
        <f>""</f>
        <v/>
      </c>
      <c r="F13" t="str">
        <f>"0.007***"</f>
        <v>0.007***</v>
      </c>
    </row>
    <row xmlns:x14ac="http://schemas.microsoft.com/office/spreadsheetml/2009/9/ac" r="14" x14ac:dyDescent="0.2">
      <c r="B14" s="11"/>
      <c r="C14" t="str">
        <f>""</f>
        <v/>
      </c>
      <c r="D14" t="str">
        <f>"[0.002]"</f>
        <v>[0.002]</v>
      </c>
      <c r="E14" t="str">
        <f>""</f>
        <v/>
      </c>
      <c r="F14" t="str">
        <f>"[0.002]"</f>
        <v>[0.002]</v>
      </c>
    </row>
    <row xmlns:x14ac="http://schemas.microsoft.com/office/spreadsheetml/2009/9/ac" r="15" x14ac:dyDescent="0.2">
      <c r="B15" s="18" t="s">
        <v>27</v>
      </c>
      <c r="C15" s="29" t="str">
        <f t="shared" ref="C15:F15" si="2">"34800"</f>
        <v>34800</v>
      </c>
      <c r="D15" s="29" t="str">
        <f t="shared" si="2"/>
        <v>34800</v>
      </c>
      <c r="E15" s="29" t="str">
        <f t="shared" si="2"/>
        <v>34800</v>
      </c>
      <c r="F15" s="29" t="str">
        <f t="shared" si="2"/>
        <v>34800</v>
      </c>
    </row>
    <row xmlns:x14ac="http://schemas.microsoft.com/office/spreadsheetml/2009/9/ac" r="16" x14ac:dyDescent="0.2">
      <c r="B16" s="15" t="s">
        <v>49</v>
      </c>
      <c r="C16" s="16" t="str">
        <f t="shared" ref="C16:F16" si="3">"0.045"</f>
        <v>0.045</v>
      </c>
      <c r="D16" s="16" t="str">
        <f t="shared" si="3"/>
        <v>0.045</v>
      </c>
      <c r="E16" s="16" t="str">
        <f t="shared" si="3"/>
        <v>0.045</v>
      </c>
      <c r="F16" s="16" t="str">
        <f t="shared" si="3"/>
        <v>0.045</v>
      </c>
    </row>
    <row xmlns:x14ac="http://schemas.microsoft.com/office/spreadsheetml/2009/9/ac" r="17" x14ac:dyDescent="0.2">
      <c r="B17" s="15" t="s">
        <v>26</v>
      </c>
      <c r="C17" s="19" t="s">
        <v>25</v>
      </c>
      <c r="D17" s="19" t="s">
        <v>25</v>
      </c>
      <c r="E17" s="19" t="s">
        <v>25</v>
      </c>
      <c r="F17" s="19" t="s">
        <v>25</v>
      </c>
    </row>
    <row xmlns:x14ac="http://schemas.microsoft.com/office/spreadsheetml/2009/9/ac" r="18" x14ac:dyDescent="0.2">
      <c r="B18" s="15" t="s">
        <v>24</v>
      </c>
      <c r="C18" s="19" t="s">
        <v>25</v>
      </c>
      <c r="D18" s="19" t="s">
        <v>25</v>
      </c>
      <c r="E18" s="19" t="s">
        <v>25</v>
      </c>
      <c r="F18" s="19" t="s">
        <v>25</v>
      </c>
    </row>
    <row xmlns:x14ac="http://schemas.microsoft.com/office/spreadsheetml/2009/9/ac" r="19" x14ac:dyDescent="0.2">
      <c r="B19" s="20" t="s">
        <v>38</v>
      </c>
      <c r="C19" s="21" t="s">
        <v>25</v>
      </c>
      <c r="D19" s="21" t="s">
        <v>25</v>
      </c>
      <c r="E19" s="21" t="s">
        <v>25</v>
      </c>
      <c r="F19" s="21" t="s">
        <v>25</v>
      </c>
    </row>
    <row xmlns:x14ac="http://schemas.microsoft.com/office/spreadsheetml/2009/9/ac" r="20" ht="84" customHeight="true" x14ac:dyDescent="0.2">
      <c r="B20" s="93" t="s">
        <v>75</v>
      </c>
      <c r="C20" s="93"/>
      <c r="D20" s="93"/>
      <c r="E20" s="93"/>
      <c r="F20" s="93"/>
    </row>
  </sheetData>
  <mergeCells count="2">
    <mergeCell ref="B2:F2"/>
    <mergeCell ref="B20:F20"/>
  </mergeCell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99006-1EEA-9A40-86A6-EDD6D69B53B7}">
  <dimension ref="B2:H35"/>
  <sheetViews>
    <sheetView showGridLines="false" topLeftCell="E2" workbookViewId="0">
      <selection activeCell="C3" sqref="C3:H3"/>
    </sheetView>
  </sheetViews>
  <sheetFormatPr xmlns:x14ac="http://schemas.microsoft.com/office/spreadsheetml/2009/9/ac" baseColWidth="10" defaultColWidth="11" defaultRowHeight="16" x14ac:dyDescent="0.2"/>
  <cols>
    <col min="2" max="2" width="68.83203125" customWidth="true"/>
  </cols>
  <sheetData>
    <row xmlns:x14ac="http://schemas.microsoft.com/office/spreadsheetml/2009/9/ac" r="2" x14ac:dyDescent="0.2">
      <c r="B2" s="87" t="s">
        <v>97</v>
      </c>
      <c r="C2" s="87"/>
      <c r="D2" s="87"/>
      <c r="E2" s="87"/>
      <c r="F2" s="87"/>
      <c r="G2" s="87"/>
      <c r="H2" s="87"/>
    </row>
    <row xmlns:x14ac="http://schemas.microsoft.com/office/spreadsheetml/2009/9/ac" r="3" ht="37" customHeight="true" thickBot="true" x14ac:dyDescent="0.25">
      <c r="B3" s="24" t="s">
        <v>46</v>
      </c>
      <c r="C3" s="9" t="s">
        <v>28</v>
      </c>
      <c r="D3" s="9" t="s">
        <v>29</v>
      </c>
      <c r="E3" s="55" t="s">
        <v>30</v>
      </c>
      <c r="F3" s="9" t="s">
        <v>31</v>
      </c>
      <c r="G3" s="9" t="s">
        <v>32</v>
      </c>
      <c r="H3" s="9" t="s">
        <v>33</v>
      </c>
    </row>
    <row xmlns:x14ac="http://schemas.microsoft.com/office/spreadsheetml/2009/9/ac" r="4" ht="17" thickTop="true" x14ac:dyDescent="0.2">
      <c r="B4" s="17" t="s">
        <v>53</v>
      </c>
      <c r="C4" s="17"/>
      <c r="D4" s="17"/>
      <c r="E4" s="17"/>
      <c r="F4" s="17"/>
      <c r="H4" s="17"/>
    </row>
    <row xmlns:x14ac="http://schemas.microsoft.com/office/spreadsheetml/2009/9/ac" r="5" x14ac:dyDescent="0.2">
      <c r="B5" s="3" t="s">
        <v>50</v>
      </c>
      <c r="C5" s="60" t="str">
        <f>"0.026*"</f>
        <v>0.026*</v>
      </c>
      <c r="D5" s="60" t="str">
        <f>"0.030**"</f>
        <v>0.030**</v>
      </c>
      <c r="E5" s="60" t="str">
        <f>""</f>
        <v/>
      </c>
      <c r="F5" s="60" t="str">
        <f>""</f>
        <v/>
      </c>
      <c r="G5" s="60" t="str">
        <f>""</f>
        <v/>
      </c>
      <c r="H5" s="60" t="str">
        <f>""</f>
        <v/>
      </c>
    </row>
    <row xmlns:x14ac="http://schemas.microsoft.com/office/spreadsheetml/2009/9/ac" r="6" x14ac:dyDescent="0.2">
      <c r="B6" s="3"/>
      <c r="C6" s="60" t="str">
        <f>"[0.014]"</f>
        <v>[0.014]</v>
      </c>
      <c r="D6" s="60" t="str">
        <f>"[0.014]"</f>
        <v>[0.014]</v>
      </c>
      <c r="E6" s="60" t="str">
        <f>""</f>
        <v/>
      </c>
      <c r="F6" s="60" t="str">
        <f>""</f>
        <v/>
      </c>
      <c r="G6" s="60" t="str">
        <f>""</f>
        <v/>
      </c>
      <c r="H6" s="60" t="str">
        <f>""</f>
        <v/>
      </c>
    </row>
    <row xmlns:x14ac="http://schemas.microsoft.com/office/spreadsheetml/2009/9/ac" r="7" x14ac:dyDescent="0.2">
      <c r="B7" s="3" t="s">
        <v>48</v>
      </c>
      <c r="C7" s="60" t="str">
        <f>""</f>
        <v/>
      </c>
      <c r="D7" s="60" t="str">
        <f>""</f>
        <v/>
      </c>
      <c r="E7" s="60" t="str">
        <f>"0.255***"</f>
        <v>0.255***</v>
      </c>
      <c r="F7" s="60" t="str">
        <f>"0.223**"</f>
        <v>0.223**</v>
      </c>
      <c r="G7" s="60" t="str">
        <f>""</f>
        <v/>
      </c>
      <c r="H7" s="60" t="str">
        <f>""</f>
        <v/>
      </c>
    </row>
    <row xmlns:x14ac="http://schemas.microsoft.com/office/spreadsheetml/2009/9/ac" r="8" x14ac:dyDescent="0.2">
      <c r="B8" s="3"/>
      <c r="C8" s="60" t="str">
        <f>""</f>
        <v/>
      </c>
      <c r="D8" s="60" t="str">
        <f>""</f>
        <v/>
      </c>
      <c r="E8" s="60" t="str">
        <f>"[0.082]"</f>
        <v>[0.082]</v>
      </c>
      <c r="F8" s="60" t="str">
        <f>"[0.092]"</f>
        <v>[0.092]</v>
      </c>
      <c r="G8" s="60" t="str">
        <f>""</f>
        <v/>
      </c>
      <c r="H8" s="60" t="str">
        <f>""</f>
        <v/>
      </c>
    </row>
    <row xmlns:x14ac="http://schemas.microsoft.com/office/spreadsheetml/2009/9/ac" r="9" x14ac:dyDescent="0.2">
      <c r="B9" s="3" t="s">
        <v>82</v>
      </c>
      <c r="C9" s="60" t="str">
        <f>""</f>
        <v/>
      </c>
      <c r="D9" s="60" t="str">
        <f>""</f>
        <v/>
      </c>
      <c r="E9" s="60" t="str">
        <f>""</f>
        <v/>
      </c>
      <c r="F9" s="60" t="str">
        <f>""</f>
        <v/>
      </c>
      <c r="G9" s="60" t="str">
        <f>"0.020"</f>
        <v>0.020</v>
      </c>
      <c r="H9" s="60" t="str">
        <f>"0.024"</f>
        <v>0.024</v>
      </c>
    </row>
    <row xmlns:x14ac="http://schemas.microsoft.com/office/spreadsheetml/2009/9/ac" r="10" x14ac:dyDescent="0.2">
      <c r="B10" s="3" t="str">
        <f>""</f>
        <v/>
      </c>
      <c r="C10" s="60" t="str">
        <f>""</f>
        <v/>
      </c>
      <c r="D10" s="60" t="str">
        <f>""</f>
        <v/>
      </c>
      <c r="E10" s="60" t="str">
        <f>""</f>
        <v/>
      </c>
      <c r="F10" s="60" t="str">
        <f>""</f>
        <v/>
      </c>
      <c r="G10" s="60" t="str">
        <f>"[0.014]"</f>
        <v>[0.014]</v>
      </c>
      <c r="H10" s="60" t="str">
        <f>"[0.015]"</f>
        <v>[0.015]</v>
      </c>
    </row>
    <row xmlns:x14ac="http://schemas.microsoft.com/office/spreadsheetml/2009/9/ac" r="11" x14ac:dyDescent="0.2">
      <c r="B11" s="3"/>
      <c r="C11" s="23"/>
      <c r="D11" s="23"/>
      <c r="E11" s="23"/>
      <c r="F11" s="23"/>
      <c r="H11" s="23"/>
    </row>
    <row xmlns:x14ac="http://schemas.microsoft.com/office/spreadsheetml/2009/9/ac" r="12" x14ac:dyDescent="0.2">
      <c r="B12" s="61" t="s">
        <v>52</v>
      </c>
      <c r="C12" s="27"/>
      <c r="D12" s="27"/>
      <c r="E12" s="27"/>
      <c r="F12" s="27"/>
      <c r="G12" s="27"/>
      <c r="H12" s="27"/>
    </row>
    <row xmlns:x14ac="http://schemas.microsoft.com/office/spreadsheetml/2009/9/ac" r="13" x14ac:dyDescent="0.2">
      <c r="B13" s="8" t="str">
        <f>"Index of  household Losss (all) - PCA - above the mean (yes=1)"</f>
        <v>Index of  household Losss (all) - PCA - above the mean (yes=1)</v>
      </c>
      <c r="C13" t="str">
        <f>"0.018***"</f>
        <v>0.018***</v>
      </c>
      <c r="D13" t="str">
        <f>""</f>
        <v/>
      </c>
      <c r="E13" t="str">
        <f>"0.021***"</f>
        <v>0.021***</v>
      </c>
      <c r="F13" t="str">
        <f>""</f>
        <v/>
      </c>
      <c r="G13" t="str">
        <f>"0.020***"</f>
        <v>0.020***</v>
      </c>
      <c r="H13" t="str">
        <f>""</f>
        <v/>
      </c>
    </row>
    <row xmlns:x14ac="http://schemas.microsoft.com/office/spreadsheetml/2009/9/ac" r="14" x14ac:dyDescent="0.2">
      <c r="B14" s="8" t="str">
        <f>""</f>
        <v/>
      </c>
      <c r="C14" t="str">
        <f>"[0.006]"</f>
        <v>[0.006]</v>
      </c>
      <c r="D14" t="str">
        <f>""</f>
        <v/>
      </c>
      <c r="E14" t="str">
        <f>"[0.008]"</f>
        <v>[0.008]</v>
      </c>
      <c r="F14" t="str">
        <f>""</f>
        <v/>
      </c>
      <c r="G14" t="str">
        <f>"[0.007]"</f>
        <v>[0.007]</v>
      </c>
      <c r="H14" t="str">
        <f>""</f>
        <v/>
      </c>
    </row>
    <row xmlns:x14ac="http://schemas.microsoft.com/office/spreadsheetml/2009/9/ac" r="15" x14ac:dyDescent="0.2">
      <c r="B15" s="10" t="str">
        <f>"Index of  household Losss (all) - PCA"</f>
        <v>Index of  household Losss (all) - PCA</v>
      </c>
      <c r="C15" t="str">
        <f>""</f>
        <v/>
      </c>
      <c r="D15" t="str">
        <f>"0.006***"</f>
        <v>0.006***</v>
      </c>
      <c r="E15" t="str">
        <f>""</f>
        <v/>
      </c>
      <c r="F15" t="str">
        <f>"0.007***"</f>
        <v>0.007***</v>
      </c>
      <c r="G15" t="str">
        <f>""</f>
        <v/>
      </c>
      <c r="H15" t="str">
        <f>"0.007***"</f>
        <v>0.007***</v>
      </c>
    </row>
    <row xmlns:x14ac="http://schemas.microsoft.com/office/spreadsheetml/2009/9/ac" r="16" x14ac:dyDescent="0.2">
      <c r="B16" s="8" t="str">
        <f>""</f>
        <v/>
      </c>
      <c r="C16" t="str">
        <f>""</f>
        <v/>
      </c>
      <c r="D16" t="str">
        <f>"[0.002]"</f>
        <v>[0.002]</v>
      </c>
      <c r="E16" t="str">
        <f>""</f>
        <v/>
      </c>
      <c r="F16" t="str">
        <f>"[0.002]"</f>
        <v>[0.002]</v>
      </c>
      <c r="G16" t="str">
        <f>""</f>
        <v/>
      </c>
      <c r="H16" t="str">
        <f>"[0.002]"</f>
        <v>[0.002]</v>
      </c>
    </row>
    <row xmlns:x14ac="http://schemas.microsoft.com/office/spreadsheetml/2009/9/ac" r="17" x14ac:dyDescent="0.2">
      <c r="B17" s="61" t="s">
        <v>81</v>
      </c>
      <c r="C17" s="27"/>
      <c r="D17" s="27"/>
      <c r="E17" s="27"/>
      <c r="F17" s="27"/>
      <c r="G17" s="27"/>
      <c r="H17" s="27"/>
    </row>
    <row xmlns:x14ac="http://schemas.microsoft.com/office/spreadsheetml/2009/9/ac" r="18" ht="34" x14ac:dyDescent="0.2">
      <c r="B18" s="58" t="str">
        <f>"Violence in a given year (yes=1)*Index of  household Losss (all) - PCA - above the mean"</f>
        <v>Violence in a given year (yes=1)*Index of  household Losss (all) - PCA - above the mean</v>
      </c>
      <c r="C18" t="str">
        <f>"0.051"</f>
        <v>0.051</v>
      </c>
      <c r="D18" t="str">
        <f>""</f>
        <v/>
      </c>
      <c r="E18" t="str">
        <f>""</f>
        <v/>
      </c>
      <c r="F18" t="str">
        <f>""</f>
        <v/>
      </c>
      <c r="G18" t="str">
        <f>""</f>
        <v/>
      </c>
      <c r="H18" t="str">
        <f>""</f>
        <v/>
      </c>
    </row>
    <row xmlns:x14ac="http://schemas.microsoft.com/office/spreadsheetml/2009/9/ac" r="19" x14ac:dyDescent="0.2">
      <c r="B19" s="58"/>
      <c r="C19" t="str">
        <f>"[0.044]"</f>
        <v>[0.044]</v>
      </c>
      <c r="D19" t="str">
        <f>""</f>
        <v/>
      </c>
      <c r="E19" t="str">
        <f>""</f>
        <v/>
      </c>
      <c r="F19" t="str">
        <f>""</f>
        <v/>
      </c>
      <c r="G19" t="str">
        <f>""</f>
        <v/>
      </c>
      <c r="H19" t="str">
        <f>""</f>
        <v/>
      </c>
    </row>
    <row xmlns:x14ac="http://schemas.microsoft.com/office/spreadsheetml/2009/9/ac" r="20" ht="17" x14ac:dyDescent="0.2">
      <c r="B20" s="58" t="str">
        <f>"Violence in a given year (yes=1)*Index of  household Losss (all) - PCA"</f>
        <v>Violence in a given year (yes=1)*Index of  household Losss (all) - PCA</v>
      </c>
      <c r="C20" t="str">
        <f>""</f>
        <v/>
      </c>
      <c r="D20" t="str">
        <f>"0.009"</f>
        <v>0.009</v>
      </c>
      <c r="E20" t="str">
        <f>""</f>
        <v/>
      </c>
      <c r="F20" t="str">
        <f>""</f>
        <v/>
      </c>
      <c r="G20" t="str">
        <f>""</f>
        <v/>
      </c>
      <c r="H20" t="str">
        <f>""</f>
        <v/>
      </c>
    </row>
    <row xmlns:x14ac="http://schemas.microsoft.com/office/spreadsheetml/2009/9/ac" r="21" x14ac:dyDescent="0.2">
      <c r="B21" s="58"/>
      <c r="C21" t="str">
        <f>""</f>
        <v/>
      </c>
      <c r="D21" t="str">
        <f>"[0.009]"</f>
        <v>[0.009]</v>
      </c>
      <c r="E21" t="str">
        <f>""</f>
        <v/>
      </c>
      <c r="F21" t="str">
        <f>""</f>
        <v/>
      </c>
      <c r="G21" t="str">
        <f>""</f>
        <v/>
      </c>
      <c r="H21" t="str">
        <f>""</f>
        <v/>
      </c>
    </row>
    <row xmlns:x14ac="http://schemas.microsoft.com/office/spreadsheetml/2009/9/ac" r="22" ht="34" x14ac:dyDescent="0.2">
      <c r="B22" s="58" t="str">
        <f>"Number of casualties in a given year*Index of  household Losss (all) - PCA - above the mean"</f>
        <v>Number of casualties in a given year*Index of  household Losss (all) - PCA - above the mean</v>
      </c>
      <c r="C22" t="str">
        <f>""</f>
        <v/>
      </c>
      <c r="D22" t="str">
        <f>""</f>
        <v/>
      </c>
      <c r="E22" t="str">
        <f>"0.084***"</f>
        <v>0.084***</v>
      </c>
      <c r="F22" t="str">
        <f>""</f>
        <v/>
      </c>
      <c r="G22" t="str">
        <f>""</f>
        <v/>
      </c>
      <c r="H22" t="str">
        <f>""</f>
        <v/>
      </c>
    </row>
    <row xmlns:x14ac="http://schemas.microsoft.com/office/spreadsheetml/2009/9/ac" r="23" x14ac:dyDescent="0.2">
      <c r="B23" s="58"/>
      <c r="C23" t="str">
        <f>""</f>
        <v/>
      </c>
      <c r="D23" t="str">
        <f>""</f>
        <v/>
      </c>
      <c r="E23" t="str">
        <f>"[0.027]"</f>
        <v>[0.027]</v>
      </c>
      <c r="F23" t="str">
        <f>""</f>
        <v/>
      </c>
      <c r="G23" t="str">
        <f>""</f>
        <v/>
      </c>
      <c r="H23" t="str">
        <f>""</f>
        <v/>
      </c>
    </row>
    <row xmlns:x14ac="http://schemas.microsoft.com/office/spreadsheetml/2009/9/ac" r="24" ht="17" x14ac:dyDescent="0.2">
      <c r="B24" s="58" t="str">
        <f>"Number of casualties in a given year*Index of  household Losss (all) - PCA"</f>
        <v>Number of casualties in a given year*Index of  household Losss (all) - PCA</v>
      </c>
      <c r="C24" t="str">
        <f>""</f>
        <v/>
      </c>
      <c r="D24" t="str">
        <f>""</f>
        <v/>
      </c>
      <c r="E24" t="str">
        <f>""</f>
        <v/>
      </c>
      <c r="F24" t="str">
        <f>"0.343*"</f>
        <v>0.343*</v>
      </c>
      <c r="G24" t="str">
        <f>""</f>
        <v/>
      </c>
      <c r="H24" t="str">
        <f>""</f>
        <v/>
      </c>
    </row>
    <row xmlns:x14ac="http://schemas.microsoft.com/office/spreadsheetml/2009/9/ac" r="25" x14ac:dyDescent="0.2">
      <c r="B25" s="59"/>
      <c r="C25" t="str">
        <f>""</f>
        <v/>
      </c>
      <c r="D25" t="str">
        <f>""</f>
        <v/>
      </c>
      <c r="E25" t="str">
        <f>""</f>
        <v/>
      </c>
      <c r="F25" t="str">
        <f>"[0.185]"</f>
        <v>[0.185]</v>
      </c>
      <c r="G25" t="str">
        <f>""</f>
        <v/>
      </c>
      <c r="H25" t="str">
        <f>""</f>
        <v/>
      </c>
    </row>
    <row xmlns:x14ac="http://schemas.microsoft.com/office/spreadsheetml/2009/9/ac" r="26" ht="34" x14ac:dyDescent="0.2">
      <c r="B26" s="58" t="str">
        <f>"Number of casualties in a given year above mean (yes=1)*Index of  household Losss (all) - PCA - above the mean"</f>
        <v>Number of casualties in a given year above mean (yes=1)*Index of  household Losss (all) - PCA - above the mean</v>
      </c>
      <c r="C26" t="str">
        <f>""</f>
        <v/>
      </c>
      <c r="D26" t="str">
        <f>""</f>
        <v/>
      </c>
      <c r="E26" t="str">
        <f>""</f>
        <v/>
      </c>
      <c r="F26" t="str">
        <f>""</f>
        <v/>
      </c>
      <c r="G26" t="str">
        <f>"0.534***"</f>
        <v>0.534***</v>
      </c>
      <c r="H26" t="str">
        <f>""</f>
        <v/>
      </c>
    </row>
    <row xmlns:x14ac="http://schemas.microsoft.com/office/spreadsheetml/2009/9/ac" r="27" x14ac:dyDescent="0.2">
      <c r="B27" s="59"/>
      <c r="C27" t="str">
        <f>""</f>
        <v/>
      </c>
      <c r="D27" t="str">
        <f>""</f>
        <v/>
      </c>
      <c r="E27" t="str">
        <f>""</f>
        <v/>
      </c>
      <c r="F27" t="str">
        <f>""</f>
        <v/>
      </c>
      <c r="G27" t="str">
        <f>"[0.126]"</f>
        <v>[0.126]</v>
      </c>
      <c r="H27" t="str">
        <f>""</f>
        <v/>
      </c>
    </row>
    <row xmlns:x14ac="http://schemas.microsoft.com/office/spreadsheetml/2009/9/ac" r="28" ht="34" x14ac:dyDescent="0.2">
      <c r="B28" s="58" t="str">
        <f>"Number of casualties in a given year above mean (yes=1)*Index of  household Losss (all) - PCA"</f>
        <v>Number of casualties in a given year above mean (yes=1)*Index of  household Losss (all) - PCA</v>
      </c>
      <c r="C28" t="str">
        <f>""</f>
        <v/>
      </c>
      <c r="D28" t="str">
        <f>""</f>
        <v/>
      </c>
      <c r="E28" t="str">
        <f>""</f>
        <v/>
      </c>
      <c r="F28" t="str">
        <f>""</f>
        <v/>
      </c>
      <c r="G28" t="str">
        <f>""</f>
        <v/>
      </c>
      <c r="H28" t="str">
        <f>"0.010"</f>
        <v>0.010</v>
      </c>
    </row>
    <row xmlns:x14ac="http://schemas.microsoft.com/office/spreadsheetml/2009/9/ac" r="29" x14ac:dyDescent="0.2">
      <c r="B29" s="48"/>
      <c r="C29" t="str">
        <f>""</f>
        <v/>
      </c>
      <c r="D29" t="str">
        <f>""</f>
        <v/>
      </c>
      <c r="E29" t="str">
        <f>""</f>
        <v/>
      </c>
      <c r="F29" t="str">
        <f>""</f>
        <v/>
      </c>
      <c r="G29" t="str">
        <f>""</f>
        <v/>
      </c>
      <c r="H29" t="str">
        <f>"[0.009]"</f>
        <v>[0.009]</v>
      </c>
    </row>
    <row xmlns:x14ac="http://schemas.microsoft.com/office/spreadsheetml/2009/9/ac" r="30" x14ac:dyDescent="0.2">
      <c r="B30" s="18" t="s">
        <v>27</v>
      </c>
      <c r="C30" s="29" t="str">
        <f t="shared" ref="C30:H30" si="0">"34800"</f>
        <v>34800</v>
      </c>
      <c r="D30" s="29" t="str">
        <f t="shared" si="0"/>
        <v>34800</v>
      </c>
      <c r="E30" s="29" t="str">
        <f t="shared" si="0"/>
        <v>34800</v>
      </c>
      <c r="F30" s="29" t="str">
        <f t="shared" si="0"/>
        <v>34800</v>
      </c>
      <c r="G30" s="29" t="str">
        <f t="shared" si="0"/>
        <v>34800</v>
      </c>
      <c r="H30" s="29" t="str">
        <f t="shared" si="0"/>
        <v>34800</v>
      </c>
    </row>
    <row xmlns:x14ac="http://schemas.microsoft.com/office/spreadsheetml/2009/9/ac" r="31" x14ac:dyDescent="0.2">
      <c r="B31" s="15" t="s">
        <v>49</v>
      </c>
      <c r="C31" s="16" t="str">
        <f t="shared" ref="C31:H31" si="1">"0.045"</f>
        <v>0.045</v>
      </c>
      <c r="D31" s="16" t="str">
        <f t="shared" si="1"/>
        <v>0.045</v>
      </c>
      <c r="E31" s="16" t="str">
        <f t="shared" si="1"/>
        <v>0.045</v>
      </c>
      <c r="F31" s="16" t="str">
        <f t="shared" si="1"/>
        <v>0.045</v>
      </c>
      <c r="G31" s="16" t="str">
        <f t="shared" si="1"/>
        <v>0.045</v>
      </c>
      <c r="H31" s="16" t="str">
        <f t="shared" si="1"/>
        <v>0.045</v>
      </c>
    </row>
    <row xmlns:x14ac="http://schemas.microsoft.com/office/spreadsheetml/2009/9/ac" r="32" x14ac:dyDescent="0.2">
      <c r="B32" s="15" t="s">
        <v>26</v>
      </c>
      <c r="C32" s="19" t="s">
        <v>25</v>
      </c>
      <c r="D32" s="19" t="s">
        <v>25</v>
      </c>
      <c r="E32" s="19" t="s">
        <v>25</v>
      </c>
      <c r="F32" s="19" t="s">
        <v>25</v>
      </c>
      <c r="G32" s="19" t="s">
        <v>25</v>
      </c>
      <c r="H32" s="19" t="s">
        <v>25</v>
      </c>
    </row>
    <row xmlns:x14ac="http://schemas.microsoft.com/office/spreadsheetml/2009/9/ac" r="33" x14ac:dyDescent="0.2">
      <c r="B33" s="15" t="s">
        <v>24</v>
      </c>
      <c r="C33" s="19" t="s">
        <v>25</v>
      </c>
      <c r="D33" s="19" t="s">
        <v>25</v>
      </c>
      <c r="E33" s="19" t="s">
        <v>25</v>
      </c>
      <c r="F33" s="19" t="s">
        <v>25</v>
      </c>
      <c r="G33" s="19" t="s">
        <v>25</v>
      </c>
      <c r="H33" s="19" t="s">
        <v>25</v>
      </c>
    </row>
    <row xmlns:x14ac="http://schemas.microsoft.com/office/spreadsheetml/2009/9/ac" r="34" x14ac:dyDescent="0.2">
      <c r="B34" s="20" t="s">
        <v>38</v>
      </c>
      <c r="C34" s="21" t="s">
        <v>25</v>
      </c>
      <c r="D34" s="21" t="s">
        <v>25</v>
      </c>
      <c r="E34" s="21" t="s">
        <v>25</v>
      </c>
      <c r="F34" s="21" t="s">
        <v>25</v>
      </c>
      <c r="G34" s="21" t="s">
        <v>25</v>
      </c>
      <c r="H34" s="21" t="s">
        <v>25</v>
      </c>
    </row>
    <row xmlns:x14ac="http://schemas.microsoft.com/office/spreadsheetml/2009/9/ac" r="35" ht="84" customHeight="true" x14ac:dyDescent="0.2">
      <c r="B35" s="93" t="s">
        <v>75</v>
      </c>
      <c r="C35" s="93"/>
      <c r="D35" s="93"/>
      <c r="E35" s="93"/>
      <c r="F35" s="93"/>
      <c r="G35" s="93"/>
      <c r="H35" s="93"/>
    </row>
  </sheetData>
  <mergeCells count="2">
    <mergeCell ref="B2:H2"/>
    <mergeCell ref="B35:H35"/>
  </mergeCells>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1821B-AD5D-384B-A124-47C1EFE7882C}">
  <dimension ref="B1:K22"/>
  <sheetViews>
    <sheetView showGridLines="false" workbookViewId="0">
      <selection activeCell="B3" sqref="B3:B4"/>
    </sheetView>
  </sheetViews>
  <sheetFormatPr xmlns:x14ac="http://schemas.microsoft.com/office/spreadsheetml/2009/9/ac" baseColWidth="10" defaultColWidth="11" defaultRowHeight="16" x14ac:dyDescent="0.2"/>
  <cols>
    <col min="2" max="2" width="61.83203125" customWidth="true"/>
  </cols>
  <sheetData>
    <row xmlns:x14ac="http://schemas.microsoft.com/office/spreadsheetml/2009/9/ac" r="1" x14ac:dyDescent="0.2">
      <c r="D1" s="88"/>
      <c r="E1" s="88"/>
      <c r="F1" s="88"/>
      <c r="G1" s="88"/>
      <c r="H1" s="88"/>
      <c r="I1" s="88"/>
      <c r="J1" s="88"/>
      <c r="K1" s="88"/>
    </row>
    <row xmlns:x14ac="http://schemas.microsoft.com/office/spreadsheetml/2009/9/ac" r="2" x14ac:dyDescent="0.2">
      <c r="B2" s="88" t="s">
        <v>98</v>
      </c>
      <c r="C2" s="88"/>
      <c r="D2" s="88"/>
      <c r="E2" s="88"/>
      <c r="F2" s="88"/>
      <c r="G2" s="88"/>
      <c r="H2" s="88"/>
    </row>
    <row xmlns:x14ac="http://schemas.microsoft.com/office/spreadsheetml/2009/9/ac" r="3" ht="68" x14ac:dyDescent="0.2">
      <c r="B3" s="84" t="s">
        <v>46</v>
      </c>
      <c r="C3" s="39" t="s">
        <v>47</v>
      </c>
      <c r="D3" s="39" t="s">
        <v>64</v>
      </c>
      <c r="E3" s="39" t="s">
        <v>35</v>
      </c>
      <c r="F3" s="39" t="s">
        <v>51</v>
      </c>
      <c r="G3" s="39" t="s">
        <v>36</v>
      </c>
      <c r="H3" s="39" t="s">
        <v>37</v>
      </c>
    </row>
    <row xmlns:x14ac="http://schemas.microsoft.com/office/spreadsheetml/2009/9/ac" r="4" ht="17" thickBot="true" x14ac:dyDescent="0.25">
      <c r="B4" s="89"/>
      <c r="C4" s="7" t="s">
        <v>28</v>
      </c>
      <c r="D4" s="7" t="s">
        <v>29</v>
      </c>
      <c r="E4" s="7" t="s">
        <v>30</v>
      </c>
      <c r="F4" s="7" t="s">
        <v>31</v>
      </c>
      <c r="G4" s="7" t="s">
        <v>32</v>
      </c>
      <c r="H4" s="7" t="s">
        <v>33</v>
      </c>
    </row>
    <row xmlns:x14ac="http://schemas.microsoft.com/office/spreadsheetml/2009/9/ac" r="5" ht="21" customHeight="true" thickTop="true" x14ac:dyDescent="0.2">
      <c r="B5" s="90" t="s">
        <v>53</v>
      </c>
      <c r="C5" s="90"/>
      <c r="D5" s="90"/>
      <c r="E5" s="90"/>
      <c r="F5" s="90"/>
      <c r="G5" s="90"/>
      <c r="H5" s="90"/>
    </row>
    <row xmlns:x14ac="http://schemas.microsoft.com/office/spreadsheetml/2009/9/ac" r="6" ht="17" x14ac:dyDescent="0.2">
      <c r="B6" s="47" t="s">
        <v>82</v>
      </c>
      <c r="C6" s="25" t="str">
        <f>"0.559*"</f>
        <v>0.559*</v>
      </c>
      <c r="D6" s="25" t="str">
        <f>"0.521***"</f>
        <v>0.521***</v>
      </c>
      <c r="E6" s="25" t="str">
        <f>"0.564***"</f>
        <v>0.564***</v>
      </c>
      <c r="F6" s="25" t="str">
        <f>"0.426*"</f>
        <v>0.426*</v>
      </c>
      <c r="G6" s="25" t="str">
        <f>"0.574***"</f>
        <v>0.574***</v>
      </c>
      <c r="H6" s="25" t="str">
        <f>"-0.172"</f>
        <v>-0.172</v>
      </c>
    </row>
    <row xmlns:x14ac="http://schemas.microsoft.com/office/spreadsheetml/2009/9/ac" r="7" x14ac:dyDescent="0.2">
      <c r="B7" s="3"/>
      <c r="C7" s="25" t="str">
        <f>"[0.317]"</f>
        <v>[0.317]</v>
      </c>
      <c r="D7" s="25" t="str">
        <f>"[0.048]"</f>
        <v>[0.048]</v>
      </c>
      <c r="E7" s="25" t="str">
        <f>"[0.060]"</f>
        <v>[0.060]</v>
      </c>
      <c r="F7" s="25" t="str">
        <f>"[0.220]"</f>
        <v>[0.220]</v>
      </c>
      <c r="G7" s="25" t="str">
        <f>"[0.182]"</f>
        <v>[0.182]</v>
      </c>
      <c r="H7" s="25" t="str">
        <f>"[0.238]"</f>
        <v>[0.238]</v>
      </c>
    </row>
    <row xmlns:x14ac="http://schemas.microsoft.com/office/spreadsheetml/2009/9/ac" r="8" x14ac:dyDescent="0.2">
      <c r="B8" s="91" t="s">
        <v>52</v>
      </c>
      <c r="C8" s="91"/>
      <c r="D8" s="91"/>
      <c r="E8" s="91"/>
      <c r="F8" s="91"/>
      <c r="G8" s="91"/>
      <c r="H8" s="91"/>
    </row>
    <row xmlns:x14ac="http://schemas.microsoft.com/office/spreadsheetml/2009/9/ac" r="9" x14ac:dyDescent="0.2">
      <c r="B9" s="48" t="s">
        <v>84</v>
      </c>
      <c r="C9" s="25" t="str">
        <f>"0.020**"</f>
        <v>0.020**</v>
      </c>
      <c r="D9" s="25" t="str">
        <f>"0.020**"</f>
        <v>0.020**</v>
      </c>
      <c r="E9" s="25" t="str">
        <f>"0.014*"</f>
        <v>0.014*</v>
      </c>
      <c r="F9" s="25" t="str">
        <f>"0.023***"</f>
        <v>0.023***</v>
      </c>
      <c r="G9" s="25" t="str">
        <f>"0.029***"</f>
        <v>0.029***</v>
      </c>
      <c r="H9" s="25" t="str">
        <f>"0.002"</f>
        <v>0.002</v>
      </c>
    </row>
    <row xmlns:x14ac="http://schemas.microsoft.com/office/spreadsheetml/2009/9/ac" r="10" x14ac:dyDescent="0.2">
      <c r="B10" s="3"/>
      <c r="C10" s="25" t="str">
        <f>"[0.008]"</f>
        <v>[0.008]</v>
      </c>
      <c r="D10" s="25" t="str">
        <f>"[0.009]"</f>
        <v>[0.009]</v>
      </c>
      <c r="E10" s="25" t="str">
        <f>"[0.007]"</f>
        <v>[0.007]</v>
      </c>
      <c r="F10" s="25" t="str">
        <f>"[0.008]"</f>
        <v>[0.008]</v>
      </c>
      <c r="G10" s="25" t="str">
        <f>"[0.010]"</f>
        <v>[0.010]</v>
      </c>
      <c r="H10" s="25" t="str">
        <f>"[0.006]"</f>
        <v>[0.006]</v>
      </c>
    </row>
    <row xmlns:x14ac="http://schemas.microsoft.com/office/spreadsheetml/2009/9/ac" r="11" x14ac:dyDescent="0.2">
      <c r="B11" s="43" t="s">
        <v>85</v>
      </c>
      <c r="C11" s="43"/>
      <c r="D11" s="43"/>
      <c r="E11" s="43"/>
      <c r="F11" s="43"/>
      <c r="G11" s="43"/>
      <c r="H11" s="43"/>
    </row>
    <row xmlns:x14ac="http://schemas.microsoft.com/office/spreadsheetml/2009/9/ac" r="12" ht="31" x14ac:dyDescent="0.2">
      <c r="B12" s="48" t="s">
        <v>86</v>
      </c>
      <c r="C12" s="25" t="str">
        <f>"0.559*"</f>
        <v>0.559*</v>
      </c>
      <c r="D12" s="25" t="str">
        <f>"0.521***"</f>
        <v>0.521***</v>
      </c>
      <c r="E12" s="25" t="str">
        <f>"0.564***"</f>
        <v>0.564***</v>
      </c>
      <c r="F12" s="25" t="str">
        <f>"0.426*"</f>
        <v>0.426*</v>
      </c>
      <c r="G12" s="25" t="str">
        <f>"0.574***"</f>
        <v>0.574***</v>
      </c>
      <c r="H12" s="25" t="str">
        <f>"-0.172"</f>
        <v>-0.172</v>
      </c>
    </row>
    <row xmlns:x14ac="http://schemas.microsoft.com/office/spreadsheetml/2009/9/ac" r="13" x14ac:dyDescent="0.2">
      <c r="B13" s="3"/>
      <c r="C13" s="25" t="str">
        <f>"[0.317]"</f>
        <v>[0.317]</v>
      </c>
      <c r="D13" s="25" t="str">
        <f>"[0.048]"</f>
        <v>[0.048]</v>
      </c>
      <c r="E13" s="25" t="str">
        <f>"[0.060]"</f>
        <v>[0.060]</v>
      </c>
      <c r="F13" s="25" t="str">
        <f>"[0.220]"</f>
        <v>[0.220]</v>
      </c>
      <c r="G13" s="25" t="str">
        <f>"[0.182]"</f>
        <v>[0.182]</v>
      </c>
      <c r="H13" s="25" t="str">
        <f>"[0.238]"</f>
        <v>[0.238]</v>
      </c>
    </row>
    <row xmlns:x14ac="http://schemas.microsoft.com/office/spreadsheetml/2009/9/ac" r="14" x14ac:dyDescent="0.2">
      <c r="B14" s="44" t="s">
        <v>27</v>
      </c>
      <c r="C14" s="45" t="str">
        <f>"17880"</f>
        <v>17880</v>
      </c>
      <c r="D14" s="45" t="str">
        <f>"16920"</f>
        <v>16920</v>
      </c>
      <c r="E14" s="45" t="str">
        <f>"17828"</f>
        <v>17828</v>
      </c>
      <c r="F14" s="45" t="str">
        <f>"16972"</f>
        <v>16972</v>
      </c>
      <c r="G14" s="45" t="str">
        <f>"24910"</f>
        <v>24910</v>
      </c>
      <c r="H14" s="45" t="str">
        <f>"9860"</f>
        <v>9860</v>
      </c>
    </row>
    <row xmlns:x14ac="http://schemas.microsoft.com/office/spreadsheetml/2009/9/ac" r="15" x14ac:dyDescent="0.2">
      <c r="B15" s="15" t="s">
        <v>49</v>
      </c>
      <c r="C15" s="19" t="str">
        <f>"0.041"</f>
        <v>0.041</v>
      </c>
      <c r="D15" s="19" t="str">
        <f>"0.049"</f>
        <v>0.049</v>
      </c>
      <c r="E15" s="19" t="str">
        <f>"0.052"</f>
        <v>0.052</v>
      </c>
      <c r="F15" s="19" t="str">
        <f>"0.037"</f>
        <v>0.037</v>
      </c>
      <c r="G15" s="19" t="str">
        <f>"0.048"</f>
        <v>0.048</v>
      </c>
      <c r="H15" s="19" t="str">
        <f>"0.038"</f>
        <v>0.038</v>
      </c>
    </row>
    <row xmlns:x14ac="http://schemas.microsoft.com/office/spreadsheetml/2009/9/ac" r="16" x14ac:dyDescent="0.2">
      <c r="B16" s="15" t="s">
        <v>26</v>
      </c>
      <c r="C16" s="19" t="s">
        <v>25</v>
      </c>
      <c r="D16" s="19" t="s">
        <v>25</v>
      </c>
      <c r="E16" s="19" t="s">
        <v>25</v>
      </c>
      <c r="F16" s="19" t="s">
        <v>25</v>
      </c>
      <c r="G16" s="19" t="s">
        <v>25</v>
      </c>
      <c r="H16" s="19" t="s">
        <v>25</v>
      </c>
    </row>
    <row xmlns:x14ac="http://schemas.microsoft.com/office/spreadsheetml/2009/9/ac" r="17" x14ac:dyDescent="0.2">
      <c r="B17" s="15" t="s">
        <v>24</v>
      </c>
      <c r="C17" s="19" t="s">
        <v>25</v>
      </c>
      <c r="D17" s="19" t="s">
        <v>25</v>
      </c>
      <c r="E17" s="19" t="s">
        <v>25</v>
      </c>
      <c r="F17" s="19" t="s">
        <v>25</v>
      </c>
      <c r="G17" s="19" t="s">
        <v>25</v>
      </c>
      <c r="H17" s="19" t="s">
        <v>25</v>
      </c>
    </row>
    <row xmlns:x14ac="http://schemas.microsoft.com/office/spreadsheetml/2009/9/ac" r="18" x14ac:dyDescent="0.2">
      <c r="B18" s="15" t="s">
        <v>38</v>
      </c>
      <c r="C18" s="21" t="s">
        <v>25</v>
      </c>
      <c r="D18" s="21" t="s">
        <v>25</v>
      </c>
      <c r="E18" s="21" t="s">
        <v>25</v>
      </c>
      <c r="F18" s="21" t="s">
        <v>25</v>
      </c>
      <c r="G18" s="21" t="s">
        <v>25</v>
      </c>
      <c r="H18" s="21" t="s">
        <v>25</v>
      </c>
    </row>
    <row xmlns:x14ac="http://schemas.microsoft.com/office/spreadsheetml/2009/9/ac" r="19" ht="122" customHeight="true" x14ac:dyDescent="0.2">
      <c r="B19" s="86" t="s">
        <v>76</v>
      </c>
      <c r="C19" s="86"/>
      <c r="D19" s="86"/>
      <c r="E19" s="86"/>
      <c r="F19" s="86"/>
      <c r="G19" s="86"/>
      <c r="H19" s="86"/>
    </row>
    <row xmlns:x14ac="http://schemas.microsoft.com/office/spreadsheetml/2009/9/ac" r="22" ht="129" customHeight="true" x14ac:dyDescent="0.2"/>
  </sheetData>
  <mergeCells count="6">
    <mergeCell ref="B19:H19"/>
    <mergeCell ref="D1:K1"/>
    <mergeCell ref="B2:H2"/>
    <mergeCell ref="B3:B4"/>
    <mergeCell ref="B5:H5"/>
    <mergeCell ref="B8:H8"/>
  </mergeCells>
  <pageMargins left="0.75" right="0.75" top="1" bottom="1" header="0.5" footer="0.5"/>
  <pageSetup paperSize="9" orientation="portrait" horizontalDpi="4294967292" verticalDpi="429496729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AB170F55A8EC74185BD611F05A04793" ma:contentTypeVersion="15" ma:contentTypeDescription="Create a new document." ma:contentTypeScope="" ma:versionID="9a7766076c5b4407dfa4a29cb2dc7926">
  <xsd:schema xmlns:xsd="http://www.w3.org/2001/XMLSchema" xmlns:xs="http://www.w3.org/2001/XMLSchema" xmlns:p="http://schemas.microsoft.com/office/2006/metadata/properties" xmlns:ns1="http://schemas.microsoft.com/sharepoint/v3" xmlns:ns2="53729c01-e331-46af-8f84-09bea977ed00" xmlns:ns3="0b6a0b30-4523-4899-95a0-946babcdb6cb" targetNamespace="http://schemas.microsoft.com/office/2006/metadata/properties" ma:root="true" ma:fieldsID="fd836aff7d432d14d0dd9befd298821c" ns1:_="" ns2:_="" ns3:_="">
    <xsd:import namespace="http://schemas.microsoft.com/sharepoint/v3"/>
    <xsd:import namespace="53729c01-e331-46af-8f84-09bea977ed00"/>
    <xsd:import namespace="0b6a0b30-4523-4899-95a0-946babcdb6c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1:_ip_UnifiedCompliancePolicyProperties" minOccurs="0"/>
                <xsd:element ref="ns1:_ip_UnifiedCompliancePolicyUIActio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3729c01-e331-46af-8f84-09bea977ed0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0aef40d5-b715-412d-bec7-270c58122046"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2"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6a0b30-4523-4899-95a0-946babcdb6cb"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00baf980-de20-41f9-84cd-56410328c1cb}" ma:internalName="TaxCatchAll" ma:showField="CatchAllData" ma:web="0b6a0b30-4523-4899-95a0-946babcdb6c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3729c01-e331-46af-8f84-09bea977ed00">
      <Terms xmlns="http://schemas.microsoft.com/office/infopath/2007/PartnerControls"/>
    </lcf76f155ced4ddcb4097134ff3c332f>
    <_ip_UnifiedCompliancePolicyUIAction xmlns="http://schemas.microsoft.com/sharepoint/v3" xsi:nil="true"/>
    <TaxCatchAll xmlns="0b6a0b30-4523-4899-95a0-946babcdb6cb"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23B3D505-6EA2-4A8D-A144-3E656AC2B4BC}"/>
</file>

<file path=customXml/itemProps2.xml><?xml version="1.0" encoding="utf-8"?>
<ds:datastoreItem xmlns:ds="http://schemas.openxmlformats.org/officeDocument/2006/customXml" ds:itemID="{7C8BDD41-158B-4039-BBF3-B2756DB20759}"/>
</file>

<file path=customXml/itemProps3.xml><?xml version="1.0" encoding="utf-8"?>
<ds:datastoreItem xmlns:ds="http://schemas.openxmlformats.org/officeDocument/2006/customXml" ds:itemID="{2BDA81FF-31C6-42B1-B9A6-F5730772F6B4}"/>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Table 1</vt:lpstr>
      <vt:lpstr>Table 2</vt:lpstr>
      <vt:lpstr>Table 3</vt:lpstr>
      <vt:lpstr>Table 4</vt:lpstr>
      <vt:lpstr>Table 5</vt:lpstr>
      <vt:lpstr>Table 6</vt:lpstr>
      <vt:lpstr>Table 7</vt:lpstr>
      <vt:lpstr>Table 8</vt:lpstr>
      <vt:lpstr>Table 9</vt:lpstr>
      <vt:lpstr>Table 10</vt:lpstr>
      <vt:lpstr>Table 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Carlos Muñoz Mora</dc:creator>
  <cp:lastModifiedBy>Juan Carlos Muñoz Mora</cp:lastModifiedBy>
  <cp:lastPrinted>2015-07-27T04:43:22Z</cp:lastPrinted>
  <dcterms:created xsi:type="dcterms:W3CDTF">2012-01-15T19:29:59Z</dcterms:created>
  <dcterms:modified xsi:type="dcterms:W3CDTF">2025-07-08T15:17:23Z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0x010100EAB170F55A8EC74185BD611F05A04793</vt:lpwstr>
  </property>
</Properties>
</file>