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showInkAnnotation="0" autoCompressPictures="0"/>
  <mc:AlternateContent xmlns:mc="http://schemas.openxmlformats.org/markup-compatibility/2006">
    <mc:Choice Requires="x15">
      <x15ac:absPath xmlns:x15ac="http://schemas.microsoft.com/office/spreadsheetml/2010/11/ac" url="https://eafit.sharepoint.com/sites/territorios/Projects/2025_Paper_Burundi/household_structure_burundi/out/old/"/>
    </mc:Choice>
  </mc:AlternateContent>
  <xr:revisionPtr revIDLastSave="2" documentId="10_ncr:8100000_{363314D1-E608-C64C-8EDC-987FBB8C59E7}" xr6:coauthVersionLast="47" xr6:coauthVersionMax="47" xr10:uidLastSave="{1B82CB14-3391-6543-9608-8E111045B81D}"/>
  <bookViews>
    <workbookView xWindow="0" yWindow="500" windowWidth="43580" windowHeight="27620" tabRatio="967" xr2:uid="{00000000-000D-0000-FFFF-FFFF00000000}"/>
  </bookViews>
  <sheets>
    <sheet name="Table 1" sheetId="1" r:id="rId1"/>
    <sheet name="Table 2" sheetId="72" r:id="rId2"/>
    <sheet name="Table 3" sheetId="61" r:id="rId3"/>
    <sheet name="Table 4" sheetId="54" r:id="rId4"/>
    <sheet name="Table 5" sheetId="65" r:id="rId5"/>
    <sheet name="Table 6" sheetId="68" r:id="rId6"/>
    <sheet name="Table 7" sheetId="69" r:id="rId7"/>
    <sheet name="Table 8" sheetId="73" r:id="rId8"/>
    <sheet name="Table 9" sheetId="76" r:id="rId9"/>
    <sheet name="Table 10" sheetId="80" r:id="rId10"/>
    <sheet name="Table 11" sheetId="81" r:id="rId11"/>
  </sheets>
  <definedNames>
    <definedName name="_xlnm._FilterDatabase" localSheetId="10" hidden="1">'Table 11'!#REF!</definedName>
    <definedName name="_xlnm._FilterDatabase" localSheetId="3" hidden="1">'Table 4'!#REF!</definedName>
    <definedName name="_xlnm._FilterDatabase" localSheetId="5" hidden="1">'Table 6'!#REF!</definedName>
    <definedName name="_xlnm._FilterDatabase" localSheetId="8" hidden="1">'Table 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72" l="1"/>
  <c r="C8" i="72"/>
  <c r="E13" i="72"/>
  <c r="C13" i="72"/>
  <c r="L47" i="65" l="1"/>
  <c r="K47" i="65"/>
  <c r="J47" i="65"/>
  <c r="I47" i="65"/>
  <c r="H47" i="65"/>
  <c r="G47" i="65"/>
  <c r="F47" i="65"/>
  <c r="E47" i="65"/>
  <c r="D47" i="65"/>
  <c r="C47" i="65"/>
  <c r="L46" i="65"/>
  <c r="K46" i="65"/>
  <c r="J46" i="65"/>
  <c r="I46" i="65"/>
  <c r="H46" i="65"/>
  <c r="G46" i="65"/>
  <c r="F46" i="65"/>
  <c r="E46" i="65"/>
  <c r="D46" i="65"/>
  <c r="C46" i="65"/>
  <c r="L45" i="65"/>
  <c r="K45" i="65"/>
  <c r="J45" i="65"/>
  <c r="I45" i="65"/>
  <c r="H45" i="65"/>
  <c r="G45" i="65"/>
  <c r="F45" i="65"/>
  <c r="E45" i="65"/>
  <c r="L44" i="65"/>
  <c r="K44" i="65"/>
  <c r="J44" i="65"/>
  <c r="I44" i="65"/>
  <c r="H44" i="65"/>
  <c r="G44" i="65"/>
  <c r="F44" i="65"/>
  <c r="E44" i="65"/>
  <c r="L43" i="65"/>
  <c r="K43" i="65"/>
  <c r="J43" i="65"/>
  <c r="I43" i="65"/>
  <c r="H43" i="65"/>
  <c r="G43" i="65"/>
  <c r="F43" i="65"/>
  <c r="E43" i="65"/>
  <c r="L42" i="65"/>
  <c r="K42" i="65"/>
  <c r="J42" i="65"/>
  <c r="I42" i="65"/>
  <c r="H42" i="65"/>
  <c r="G42" i="65"/>
  <c r="F42" i="65"/>
  <c r="E42" i="65"/>
  <c r="L41" i="65"/>
  <c r="K41" i="65"/>
  <c r="J41" i="65"/>
  <c r="I41" i="65"/>
  <c r="H41" i="65"/>
  <c r="G41" i="65"/>
  <c r="F41" i="65"/>
  <c r="E41" i="65"/>
  <c r="L40" i="65"/>
  <c r="K40" i="65"/>
  <c r="J40" i="65"/>
  <c r="I40" i="65"/>
  <c r="H40" i="65"/>
  <c r="G40" i="65"/>
  <c r="F40" i="65"/>
  <c r="E40" i="65"/>
  <c r="L39" i="65"/>
  <c r="K39" i="65"/>
  <c r="J39" i="65"/>
  <c r="I39" i="65"/>
  <c r="H39" i="65"/>
  <c r="G39" i="65"/>
  <c r="F39" i="65"/>
  <c r="E39" i="65"/>
  <c r="L38" i="65"/>
  <c r="K38" i="65"/>
  <c r="J38" i="65"/>
  <c r="I38" i="65"/>
  <c r="H38" i="65"/>
  <c r="G38" i="65"/>
  <c r="F38" i="65"/>
  <c r="E38" i="65"/>
  <c r="L37" i="65"/>
  <c r="K37" i="65"/>
  <c r="J37" i="65"/>
  <c r="I37" i="65"/>
  <c r="H37" i="65"/>
  <c r="G37" i="65"/>
  <c r="F37" i="65"/>
  <c r="E37" i="65"/>
  <c r="L36" i="65"/>
  <c r="K36" i="65"/>
  <c r="J36" i="65"/>
  <c r="I36" i="65"/>
  <c r="H36" i="65"/>
  <c r="G36" i="65"/>
  <c r="F36" i="65"/>
  <c r="E36" i="65"/>
  <c r="L35" i="65"/>
  <c r="K35" i="65"/>
  <c r="J35" i="65"/>
  <c r="I35" i="65"/>
  <c r="H35" i="65"/>
  <c r="G35" i="65"/>
  <c r="F35" i="65"/>
  <c r="E35" i="65"/>
  <c r="L34" i="65"/>
  <c r="K34" i="65"/>
  <c r="J34" i="65"/>
  <c r="I34" i="65"/>
  <c r="H34" i="65"/>
  <c r="G34" i="65"/>
  <c r="F34" i="65"/>
  <c r="E34" i="65"/>
  <c r="L33" i="65"/>
  <c r="K33" i="65"/>
  <c r="J33" i="65"/>
  <c r="I33" i="65"/>
  <c r="H33" i="65"/>
  <c r="G33" i="65"/>
  <c r="F33" i="65"/>
  <c r="E33" i="65"/>
  <c r="L32" i="65"/>
  <c r="K32" i="65"/>
  <c r="J32" i="65"/>
  <c r="I32" i="65"/>
  <c r="H32" i="65"/>
  <c r="G32" i="65"/>
  <c r="F32" i="65"/>
  <c r="E32" i="65"/>
  <c r="L31" i="65"/>
  <c r="K31" i="65"/>
  <c r="J31" i="65"/>
  <c r="I31" i="65"/>
  <c r="H31" i="65"/>
  <c r="G31" i="65"/>
  <c r="F31" i="65"/>
  <c r="E31" i="65"/>
  <c r="L30" i="65"/>
  <c r="K30" i="65"/>
  <c r="J30" i="65"/>
  <c r="I30" i="65"/>
  <c r="H30" i="65"/>
  <c r="G30" i="65"/>
  <c r="F30" i="65"/>
  <c r="E30" i="65"/>
  <c r="L29" i="65"/>
  <c r="K29" i="65"/>
  <c r="J29" i="65"/>
  <c r="I29" i="65"/>
  <c r="H29" i="65"/>
  <c r="G29" i="65"/>
  <c r="F29" i="65"/>
  <c r="E29" i="65"/>
  <c r="L28" i="65"/>
  <c r="K28" i="65"/>
  <c r="J28" i="65"/>
  <c r="I28" i="65"/>
  <c r="H28" i="65"/>
  <c r="G28" i="65"/>
  <c r="F28" i="65"/>
  <c r="E28" i="65"/>
  <c r="L27" i="65"/>
  <c r="K27" i="65"/>
  <c r="J27" i="65"/>
  <c r="I27" i="65"/>
  <c r="H27" i="65"/>
  <c r="G27" i="65"/>
  <c r="F27" i="65"/>
  <c r="E27" i="65"/>
  <c r="L26" i="65"/>
  <c r="K26" i="65"/>
  <c r="J26" i="65"/>
  <c r="I26" i="65"/>
  <c r="H26" i="65"/>
  <c r="G26" i="65"/>
  <c r="F26" i="65"/>
  <c r="E26" i="65"/>
  <c r="L25" i="65"/>
  <c r="K25" i="65"/>
  <c r="J25" i="65"/>
  <c r="I25" i="65"/>
  <c r="H25" i="65"/>
  <c r="G25" i="65"/>
  <c r="F25" i="65"/>
  <c r="E25" i="65"/>
  <c r="L24" i="65"/>
  <c r="K24" i="65"/>
  <c r="J24" i="65"/>
  <c r="I24" i="65"/>
  <c r="H24" i="65"/>
  <c r="G24" i="65"/>
  <c r="F24" i="65"/>
  <c r="E24" i="65"/>
  <c r="L23" i="65"/>
  <c r="K23" i="65"/>
  <c r="J23" i="65"/>
  <c r="I23" i="65"/>
  <c r="H23" i="65"/>
  <c r="G23" i="65"/>
  <c r="F23" i="65"/>
  <c r="E23" i="65"/>
  <c r="L22" i="65"/>
  <c r="K22" i="65"/>
  <c r="J22" i="65"/>
  <c r="I22" i="65"/>
  <c r="H22" i="65"/>
  <c r="G22" i="65"/>
  <c r="F22" i="65"/>
  <c r="E22" i="65"/>
  <c r="L21" i="65"/>
  <c r="K21" i="65"/>
  <c r="J21" i="65"/>
  <c r="I21" i="65"/>
  <c r="H21" i="65"/>
  <c r="G21" i="65"/>
  <c r="F21" i="65"/>
  <c r="E21" i="65"/>
  <c r="L20" i="65"/>
  <c r="K20" i="65"/>
  <c r="J20" i="65"/>
  <c r="I20" i="65"/>
  <c r="H20" i="65"/>
  <c r="G20" i="65"/>
  <c r="F20" i="65"/>
  <c r="E20" i="65"/>
  <c r="L19" i="65"/>
  <c r="K19" i="65"/>
  <c r="J19" i="65"/>
  <c r="I19" i="65"/>
  <c r="H19" i="65"/>
  <c r="G19" i="65"/>
  <c r="F19" i="65"/>
  <c r="E19" i="65"/>
  <c r="L18" i="65"/>
  <c r="K18" i="65"/>
  <c r="J18" i="65"/>
  <c r="I18" i="65"/>
  <c r="H18" i="65"/>
  <c r="G18" i="65"/>
  <c r="F18" i="65"/>
  <c r="E18" i="65"/>
  <c r="L17" i="65"/>
  <c r="K17" i="65"/>
  <c r="J17" i="65"/>
  <c r="I17" i="65"/>
  <c r="H17" i="65"/>
  <c r="G17" i="65"/>
  <c r="F17" i="65"/>
  <c r="E17" i="65"/>
  <c r="L16" i="65"/>
  <c r="K16" i="65"/>
  <c r="J16" i="65"/>
  <c r="I16" i="65"/>
  <c r="H16" i="65"/>
  <c r="G16" i="65"/>
  <c r="F16" i="65"/>
  <c r="E16" i="65"/>
  <c r="L15" i="65"/>
  <c r="K15" i="65"/>
  <c r="J15" i="65"/>
  <c r="I15" i="65"/>
  <c r="H15" i="65"/>
  <c r="G15" i="65"/>
  <c r="F15" i="65"/>
  <c r="E15" i="65"/>
  <c r="L14" i="65"/>
  <c r="K14" i="65"/>
  <c r="J14" i="65"/>
  <c r="I14" i="65"/>
  <c r="H14" i="65"/>
  <c r="G14" i="65"/>
  <c r="F14" i="65"/>
  <c r="E14" i="65"/>
  <c r="D12" i="65"/>
  <c r="C12" i="65"/>
  <c r="D11" i="65"/>
  <c r="C11" i="65"/>
  <c r="D10" i="65"/>
  <c r="C10" i="65"/>
  <c r="D9" i="65"/>
  <c r="C9" i="65"/>
  <c r="D8" i="65"/>
  <c r="C8" i="65"/>
  <c r="D7" i="65"/>
  <c r="C7" i="65"/>
  <c r="D6" i="65"/>
  <c r="C6" i="65"/>
  <c r="D5" i="65"/>
  <c r="C5" i="65"/>
  <c r="H21" i="81"/>
  <c r="G21" i="81"/>
  <c r="F21" i="81"/>
  <c r="E21" i="81"/>
  <c r="D21" i="81"/>
  <c r="C21" i="81"/>
  <c r="H20" i="81"/>
  <c r="G20" i="81"/>
  <c r="F20" i="81"/>
  <c r="E20" i="81"/>
  <c r="D20" i="81"/>
  <c r="C20" i="81"/>
  <c r="H19" i="81"/>
  <c r="G19" i="81"/>
  <c r="F19" i="81"/>
  <c r="E19" i="81"/>
  <c r="D19" i="81"/>
  <c r="C19" i="81"/>
  <c r="H18" i="81"/>
  <c r="G18" i="81"/>
  <c r="F18" i="81"/>
  <c r="E18" i="81"/>
  <c r="D18" i="81"/>
  <c r="C18" i="81"/>
  <c r="H17" i="81"/>
  <c r="G17" i="81"/>
  <c r="F17" i="81"/>
  <c r="E17" i="81"/>
  <c r="D17" i="81"/>
  <c r="C17" i="81"/>
  <c r="H16" i="81"/>
  <c r="G16" i="81"/>
  <c r="F16" i="81"/>
  <c r="E16" i="81"/>
  <c r="D16" i="81"/>
  <c r="C16" i="81"/>
  <c r="H14" i="81"/>
  <c r="G14" i="81"/>
  <c r="F14" i="81"/>
  <c r="E14" i="81"/>
  <c r="D14" i="81"/>
  <c r="C14" i="81"/>
  <c r="H13" i="81"/>
  <c r="G13" i="81"/>
  <c r="F13" i="81"/>
  <c r="E13" i="81"/>
  <c r="D13" i="81"/>
  <c r="C13" i="81"/>
  <c r="H12" i="81"/>
  <c r="G12" i="81"/>
  <c r="F12" i="81"/>
  <c r="E12" i="81"/>
  <c r="D12" i="81"/>
  <c r="C12" i="81"/>
  <c r="H11" i="81"/>
  <c r="G11" i="81"/>
  <c r="F11" i="81"/>
  <c r="E11" i="81"/>
  <c r="D11" i="81"/>
  <c r="C11" i="81"/>
  <c r="H9" i="81"/>
  <c r="G9" i="81"/>
  <c r="F9" i="81"/>
  <c r="E9" i="81"/>
  <c r="D9" i="81"/>
  <c r="C9" i="81"/>
  <c r="H8" i="81"/>
  <c r="G8" i="81"/>
  <c r="F8" i="81"/>
  <c r="E8" i="81"/>
  <c r="D8" i="81"/>
  <c r="C8" i="81"/>
  <c r="H7" i="81"/>
  <c r="G7" i="81"/>
  <c r="F7" i="81"/>
  <c r="E7" i="81"/>
  <c r="D7" i="81"/>
  <c r="C7" i="81"/>
  <c r="H6" i="81"/>
  <c r="G6" i="81"/>
  <c r="F6" i="81"/>
  <c r="E6" i="81"/>
  <c r="D6" i="81"/>
  <c r="C6" i="81"/>
  <c r="H54" i="80"/>
  <c r="G54" i="80"/>
  <c r="F54" i="80"/>
  <c r="E54" i="80"/>
  <c r="D54" i="80"/>
  <c r="C54" i="80"/>
  <c r="H53" i="80"/>
  <c r="G53" i="80"/>
  <c r="F53" i="80"/>
  <c r="E53" i="80"/>
  <c r="D53" i="80"/>
  <c r="C53" i="80"/>
  <c r="H52" i="80"/>
  <c r="G52" i="80"/>
  <c r="F52" i="80"/>
  <c r="E52" i="80"/>
  <c r="D52" i="80"/>
  <c r="C52" i="80"/>
  <c r="H51" i="80"/>
  <c r="G51" i="80"/>
  <c r="F51" i="80"/>
  <c r="E51" i="80"/>
  <c r="D51" i="80"/>
  <c r="C51" i="80"/>
  <c r="B51" i="80"/>
  <c r="H50" i="80"/>
  <c r="G50" i="80"/>
  <c r="F50" i="80"/>
  <c r="E50" i="80"/>
  <c r="D50" i="80"/>
  <c r="C50" i="80"/>
  <c r="H49" i="80"/>
  <c r="G49" i="80"/>
  <c r="F49" i="80"/>
  <c r="E49" i="80"/>
  <c r="D49" i="80"/>
  <c r="C49" i="80"/>
  <c r="B49" i="80"/>
  <c r="H48" i="80"/>
  <c r="G48" i="80"/>
  <c r="F48" i="80"/>
  <c r="E48" i="80"/>
  <c r="D48" i="80"/>
  <c r="C48" i="80"/>
  <c r="H47" i="80"/>
  <c r="G47" i="80"/>
  <c r="F47" i="80"/>
  <c r="E47" i="80"/>
  <c r="D47" i="80"/>
  <c r="C47" i="80"/>
  <c r="B47" i="80"/>
  <c r="H46" i="80"/>
  <c r="G46" i="80"/>
  <c r="F46" i="80"/>
  <c r="E46" i="80"/>
  <c r="D46" i="80"/>
  <c r="C46" i="80"/>
  <c r="H45" i="80"/>
  <c r="G45" i="80"/>
  <c r="F45" i="80"/>
  <c r="E45" i="80"/>
  <c r="D45" i="80"/>
  <c r="C45" i="80"/>
  <c r="B45" i="80"/>
  <c r="H44" i="80"/>
  <c r="G44" i="80"/>
  <c r="F44" i="80"/>
  <c r="E44" i="80"/>
  <c r="D44" i="80"/>
  <c r="C44" i="80"/>
  <c r="H43" i="80"/>
  <c r="G43" i="80"/>
  <c r="F43" i="80"/>
  <c r="E43" i="80"/>
  <c r="D43" i="80"/>
  <c r="C43" i="80"/>
  <c r="B43" i="80"/>
  <c r="H42" i="80"/>
  <c r="G42" i="80"/>
  <c r="F42" i="80"/>
  <c r="E42" i="80"/>
  <c r="D42" i="80"/>
  <c r="C42" i="80"/>
  <c r="H41" i="80"/>
  <c r="G41" i="80"/>
  <c r="F41" i="80"/>
  <c r="E41" i="80"/>
  <c r="D41" i="80"/>
  <c r="C41" i="80"/>
  <c r="B41" i="80"/>
  <c r="H40" i="80"/>
  <c r="G40" i="80"/>
  <c r="F40" i="80"/>
  <c r="E40" i="80"/>
  <c r="D40" i="80"/>
  <c r="C40" i="80"/>
  <c r="H39" i="80"/>
  <c r="G39" i="80"/>
  <c r="F39" i="80"/>
  <c r="E39" i="80"/>
  <c r="D39" i="80"/>
  <c r="C39" i="80"/>
  <c r="B39" i="80"/>
  <c r="H38" i="80"/>
  <c r="G38" i="80"/>
  <c r="F38" i="80"/>
  <c r="E38" i="80"/>
  <c r="D38" i="80"/>
  <c r="C38" i="80"/>
  <c r="H37" i="80"/>
  <c r="G37" i="80"/>
  <c r="F37" i="80"/>
  <c r="E37" i="80"/>
  <c r="D37" i="80"/>
  <c r="C37" i="80"/>
  <c r="B37" i="80"/>
  <c r="H36" i="80"/>
  <c r="G36" i="80"/>
  <c r="F36" i="80"/>
  <c r="E36" i="80"/>
  <c r="D36" i="80"/>
  <c r="C36" i="80"/>
  <c r="H35" i="80"/>
  <c r="G35" i="80"/>
  <c r="F35" i="80"/>
  <c r="E35" i="80"/>
  <c r="D35" i="80"/>
  <c r="C35" i="80"/>
  <c r="B35" i="80"/>
  <c r="H34" i="80"/>
  <c r="G34" i="80"/>
  <c r="F34" i="80"/>
  <c r="E34" i="80"/>
  <c r="D34" i="80"/>
  <c r="C34" i="80"/>
  <c r="H33" i="80"/>
  <c r="G33" i="80"/>
  <c r="F33" i="80"/>
  <c r="E33" i="80"/>
  <c r="D33" i="80"/>
  <c r="C33" i="80"/>
  <c r="B33" i="80"/>
  <c r="H32" i="80"/>
  <c r="G32" i="80"/>
  <c r="F32" i="80"/>
  <c r="E32" i="80"/>
  <c r="D32" i="80"/>
  <c r="C32" i="80"/>
  <c r="H31" i="80"/>
  <c r="G31" i="80"/>
  <c r="F31" i="80"/>
  <c r="E31" i="80"/>
  <c r="D31" i="80"/>
  <c r="C31" i="80"/>
  <c r="B31" i="80"/>
  <c r="H30" i="80"/>
  <c r="G30" i="80"/>
  <c r="F30" i="80"/>
  <c r="E30" i="80"/>
  <c r="D30" i="80"/>
  <c r="C30" i="80"/>
  <c r="H29" i="80"/>
  <c r="G29" i="80"/>
  <c r="F29" i="80"/>
  <c r="E29" i="80"/>
  <c r="D29" i="80"/>
  <c r="C29" i="80"/>
  <c r="B29" i="80"/>
  <c r="G27" i="80"/>
  <c r="E27" i="80"/>
  <c r="C27" i="80"/>
  <c r="B27" i="80"/>
  <c r="H26" i="80"/>
  <c r="G26" i="80"/>
  <c r="F26" i="80"/>
  <c r="E26" i="80"/>
  <c r="D26" i="80"/>
  <c r="H25" i="80"/>
  <c r="G25" i="80"/>
  <c r="F25" i="80"/>
  <c r="E25" i="80"/>
  <c r="D25" i="80"/>
  <c r="C25" i="80"/>
  <c r="B25" i="80"/>
  <c r="H24" i="80"/>
  <c r="G24" i="80"/>
  <c r="F24" i="80"/>
  <c r="E24" i="80"/>
  <c r="D24" i="80"/>
  <c r="C24" i="80"/>
  <c r="H23" i="80"/>
  <c r="G23" i="80"/>
  <c r="F23" i="80"/>
  <c r="E23" i="80"/>
  <c r="D23" i="80"/>
  <c r="C23" i="80"/>
  <c r="B23" i="80"/>
  <c r="H22" i="80"/>
  <c r="G22" i="80"/>
  <c r="F22" i="80"/>
  <c r="E22" i="80"/>
  <c r="D22" i="80"/>
  <c r="C22" i="80"/>
  <c r="H21" i="80"/>
  <c r="G21" i="80"/>
  <c r="F21" i="80"/>
  <c r="E21" i="80"/>
  <c r="D21" i="80"/>
  <c r="C21" i="80"/>
  <c r="H20" i="80"/>
  <c r="G20" i="80"/>
  <c r="F20" i="80"/>
  <c r="E20" i="80"/>
  <c r="D20" i="80"/>
  <c r="C20" i="80"/>
  <c r="B20" i="80"/>
  <c r="H19" i="80"/>
  <c r="G19" i="80"/>
  <c r="F19" i="80"/>
  <c r="E19" i="80"/>
  <c r="D19" i="80"/>
  <c r="C19" i="80"/>
  <c r="B19" i="80"/>
  <c r="H16" i="80"/>
  <c r="G16" i="80"/>
  <c r="F16" i="80"/>
  <c r="E16" i="80"/>
  <c r="D16" i="80"/>
  <c r="C16" i="80"/>
  <c r="H15" i="80"/>
  <c r="G15" i="80"/>
  <c r="F15" i="80"/>
  <c r="E15" i="80"/>
  <c r="D15" i="80"/>
  <c r="C15" i="80"/>
  <c r="H14" i="80"/>
  <c r="G14" i="80"/>
  <c r="F14" i="80"/>
  <c r="E14" i="80"/>
  <c r="D14" i="80"/>
  <c r="C14" i="80"/>
  <c r="B14" i="80"/>
  <c r="H13" i="80"/>
  <c r="G13" i="80"/>
  <c r="F13" i="80"/>
  <c r="E13" i="80"/>
  <c r="D13" i="80"/>
  <c r="C13" i="80"/>
  <c r="H12" i="80"/>
  <c r="G12" i="80"/>
  <c r="F12" i="80"/>
  <c r="E12" i="80"/>
  <c r="D12" i="80"/>
  <c r="C12" i="80"/>
  <c r="H11" i="80"/>
  <c r="G11" i="80"/>
  <c r="F11" i="80"/>
  <c r="E11" i="80"/>
  <c r="D11" i="80"/>
  <c r="C11" i="80"/>
  <c r="H10" i="80"/>
  <c r="G10" i="80"/>
  <c r="F10" i="80"/>
  <c r="E10" i="80"/>
  <c r="D10" i="80"/>
  <c r="C10" i="80"/>
  <c r="H9" i="80"/>
  <c r="G9" i="80"/>
  <c r="F9" i="80"/>
  <c r="E9" i="80"/>
  <c r="D9" i="80"/>
  <c r="C9" i="80"/>
  <c r="H8" i="80"/>
  <c r="G8" i="80"/>
  <c r="F8" i="80"/>
  <c r="E8" i="80"/>
  <c r="D8" i="80"/>
  <c r="C8" i="80"/>
  <c r="H7" i="80"/>
  <c r="G7" i="80"/>
  <c r="F7" i="80"/>
  <c r="E7" i="80"/>
  <c r="D7" i="80"/>
  <c r="C7" i="80"/>
  <c r="H6" i="80"/>
  <c r="G6" i="80"/>
  <c r="F6" i="80"/>
  <c r="E6" i="80"/>
  <c r="D6" i="80"/>
  <c r="C6" i="80"/>
  <c r="H5" i="80"/>
  <c r="G5" i="80"/>
  <c r="F5" i="80"/>
  <c r="E5" i="80"/>
  <c r="D5" i="80"/>
  <c r="C5" i="80"/>
  <c r="H7" i="76"/>
  <c r="G7" i="76"/>
  <c r="F7" i="76"/>
  <c r="E7" i="76"/>
  <c r="D7" i="76"/>
  <c r="C7" i="76"/>
  <c r="H6" i="76"/>
  <c r="G6" i="76"/>
  <c r="F6" i="76"/>
  <c r="E6" i="76"/>
  <c r="D6" i="76"/>
  <c r="C6" i="76"/>
  <c r="H10" i="76"/>
  <c r="G10" i="76"/>
  <c r="F10" i="76"/>
  <c r="E10" i="76"/>
  <c r="D10" i="76"/>
  <c r="C10" i="76"/>
  <c r="H9" i="76"/>
  <c r="G9" i="76"/>
  <c r="F9" i="76"/>
  <c r="E9" i="76"/>
  <c r="D9" i="76"/>
  <c r="C9" i="76"/>
  <c r="H13" i="76"/>
  <c r="G13" i="76"/>
  <c r="F13" i="76"/>
  <c r="E13" i="76"/>
  <c r="D13" i="76"/>
  <c r="C13" i="76"/>
  <c r="H12" i="76"/>
  <c r="G12" i="76"/>
  <c r="F12" i="76"/>
  <c r="E12" i="76"/>
  <c r="D12" i="76"/>
  <c r="C12" i="76"/>
  <c r="H15" i="76"/>
  <c r="G15" i="76"/>
  <c r="F15" i="76"/>
  <c r="E15" i="76"/>
  <c r="D15" i="76"/>
  <c r="C15" i="76"/>
  <c r="H14" i="76"/>
  <c r="G14" i="76"/>
  <c r="F14" i="76"/>
  <c r="E14" i="76"/>
  <c r="D14" i="76"/>
  <c r="C14" i="76"/>
  <c r="B13" i="73"/>
  <c r="H29" i="73" l="1"/>
  <c r="G29" i="73"/>
  <c r="F29" i="73"/>
  <c r="E29" i="73"/>
  <c r="D29" i="73"/>
  <c r="C29" i="73"/>
  <c r="H28" i="73"/>
  <c r="G28" i="73"/>
  <c r="F28" i="73"/>
  <c r="E28" i="73"/>
  <c r="D28" i="73"/>
  <c r="C28" i="73"/>
  <c r="H27" i="73"/>
  <c r="G27" i="73"/>
  <c r="F27" i="73"/>
  <c r="E27" i="73"/>
  <c r="D27" i="73"/>
  <c r="C27" i="73"/>
  <c r="H26" i="73"/>
  <c r="G26" i="73"/>
  <c r="F26" i="73"/>
  <c r="E26" i="73"/>
  <c r="D26" i="73"/>
  <c r="C26" i="73"/>
  <c r="H25" i="73"/>
  <c r="G25" i="73"/>
  <c r="F25" i="73"/>
  <c r="E25" i="73"/>
  <c r="D25" i="73"/>
  <c r="C25" i="73"/>
  <c r="H24" i="73"/>
  <c r="G24" i="73"/>
  <c r="F24" i="73"/>
  <c r="E24" i="73"/>
  <c r="D24" i="73"/>
  <c r="C24" i="73"/>
  <c r="H23" i="73"/>
  <c r="G23" i="73"/>
  <c r="F23" i="73"/>
  <c r="E23" i="73"/>
  <c r="D23" i="73"/>
  <c r="C23" i="73"/>
  <c r="H22" i="73"/>
  <c r="G22" i="73"/>
  <c r="F22" i="73"/>
  <c r="E22" i="73"/>
  <c r="D22" i="73"/>
  <c r="C22" i="73"/>
  <c r="H21" i="73"/>
  <c r="G21" i="73"/>
  <c r="F21" i="73"/>
  <c r="E21" i="73"/>
  <c r="D21" i="73"/>
  <c r="C21" i="73"/>
  <c r="H20" i="73"/>
  <c r="G20" i="73"/>
  <c r="F20" i="73"/>
  <c r="E20" i="73"/>
  <c r="D20" i="73"/>
  <c r="C20" i="73"/>
  <c r="H19" i="73"/>
  <c r="G19" i="73"/>
  <c r="F19" i="73"/>
  <c r="E19" i="73"/>
  <c r="D19" i="73"/>
  <c r="C19" i="73"/>
  <c r="H18" i="73"/>
  <c r="G18" i="73"/>
  <c r="F18" i="73"/>
  <c r="E18" i="73"/>
  <c r="D18" i="73"/>
  <c r="C18" i="73"/>
  <c r="H16" i="73"/>
  <c r="G16" i="73"/>
  <c r="F16" i="73"/>
  <c r="E16" i="73"/>
  <c r="D16" i="73"/>
  <c r="C16" i="73"/>
  <c r="H15" i="73"/>
  <c r="G15" i="73"/>
  <c r="F15" i="73"/>
  <c r="E15" i="73"/>
  <c r="D15" i="73"/>
  <c r="C15" i="73"/>
  <c r="H14" i="73"/>
  <c r="G14" i="73"/>
  <c r="F14" i="73"/>
  <c r="E14" i="73"/>
  <c r="D14" i="73"/>
  <c r="C14" i="73"/>
  <c r="H13" i="73"/>
  <c r="G13" i="73"/>
  <c r="F13" i="73"/>
  <c r="E13" i="73"/>
  <c r="D13" i="73"/>
  <c r="C13" i="73"/>
  <c r="H10" i="73"/>
  <c r="G10" i="73"/>
  <c r="F10" i="73"/>
  <c r="E10" i="73"/>
  <c r="D10" i="73"/>
  <c r="C10" i="73"/>
  <c r="H9" i="73"/>
  <c r="G9" i="73"/>
  <c r="F9" i="73"/>
  <c r="E9" i="73"/>
  <c r="D9" i="73"/>
  <c r="C9" i="73"/>
  <c r="H8" i="73"/>
  <c r="G8" i="73"/>
  <c r="F8" i="73"/>
  <c r="E8" i="73"/>
  <c r="D8" i="73"/>
  <c r="C8" i="73"/>
  <c r="H7" i="73"/>
  <c r="G7" i="73"/>
  <c r="F7" i="73"/>
  <c r="E7" i="73"/>
  <c r="D7" i="73"/>
  <c r="C7" i="73"/>
  <c r="H6" i="73"/>
  <c r="G6" i="73"/>
  <c r="F6" i="73"/>
  <c r="E6" i="73"/>
  <c r="D6" i="73"/>
  <c r="C6" i="73"/>
  <c r="H5" i="73"/>
  <c r="G5" i="73"/>
  <c r="F5" i="73"/>
  <c r="E5" i="73"/>
  <c r="D5" i="73"/>
  <c r="C5" i="73"/>
  <c r="B28" i="73"/>
  <c r="B26" i="73"/>
  <c r="B10" i="73"/>
  <c r="B24" i="73"/>
  <c r="B22" i="73"/>
  <c r="B20" i="73"/>
  <c r="B15" i="73"/>
  <c r="B18" i="73"/>
  <c r="H31" i="73"/>
  <c r="G31" i="73"/>
  <c r="F31" i="73"/>
  <c r="E31" i="73"/>
  <c r="D31" i="73"/>
  <c r="C31" i="73"/>
  <c r="H30" i="73"/>
  <c r="G30" i="73"/>
  <c r="F30" i="73"/>
  <c r="E30" i="73"/>
  <c r="D30" i="73"/>
  <c r="C30" i="73"/>
  <c r="B16" i="73"/>
  <c r="B14" i="73"/>
  <c r="F16" i="69" l="1"/>
  <c r="E16" i="69"/>
  <c r="D16" i="69"/>
  <c r="C16" i="69"/>
  <c r="F15" i="69"/>
  <c r="E15" i="69"/>
  <c r="D15" i="69"/>
  <c r="C15" i="69"/>
  <c r="F14" i="69"/>
  <c r="E14" i="69"/>
  <c r="D14" i="69"/>
  <c r="C14" i="69"/>
  <c r="F13" i="69"/>
  <c r="E13" i="69"/>
  <c r="D13" i="69"/>
  <c r="C13" i="69"/>
  <c r="F12" i="69"/>
  <c r="E12" i="69"/>
  <c r="D12" i="69"/>
  <c r="C12" i="69"/>
  <c r="F11" i="69"/>
  <c r="E11" i="69"/>
  <c r="D11" i="69"/>
  <c r="C11" i="69"/>
  <c r="F8" i="69"/>
  <c r="E8" i="69"/>
  <c r="D8" i="69"/>
  <c r="C8" i="69"/>
  <c r="B8" i="69"/>
  <c r="F7" i="69"/>
  <c r="E7" i="69"/>
  <c r="D7" i="69"/>
  <c r="C7" i="69"/>
  <c r="F6" i="69"/>
  <c r="E6" i="69"/>
  <c r="D6" i="69"/>
  <c r="C6" i="69"/>
  <c r="F5" i="69"/>
  <c r="E5" i="69"/>
  <c r="D5" i="69"/>
  <c r="C5" i="69"/>
  <c r="C6" i="68" l="1"/>
  <c r="D6" i="68"/>
  <c r="E6" i="68"/>
  <c r="F6" i="68"/>
  <c r="G6" i="68"/>
  <c r="H6" i="68"/>
  <c r="C7" i="68"/>
  <c r="D7" i="68"/>
  <c r="E7" i="68"/>
  <c r="F7" i="68"/>
  <c r="G7" i="68"/>
  <c r="H7" i="68"/>
  <c r="C8" i="68"/>
  <c r="D8" i="68"/>
  <c r="E8" i="68"/>
  <c r="F8" i="68"/>
  <c r="G8" i="68"/>
  <c r="H8" i="68"/>
  <c r="C9" i="68"/>
  <c r="D9" i="68"/>
  <c r="E9" i="68"/>
  <c r="F9" i="68"/>
  <c r="G9" i="68"/>
  <c r="H9" i="68"/>
  <c r="C11" i="68"/>
  <c r="D11" i="68"/>
  <c r="E11" i="68"/>
  <c r="F11" i="68"/>
  <c r="G11" i="68"/>
  <c r="H11" i="68"/>
  <c r="C12" i="68"/>
  <c r="D12" i="68"/>
  <c r="E12" i="68"/>
  <c r="F12" i="68"/>
  <c r="G12" i="68"/>
  <c r="H12" i="68"/>
  <c r="C13" i="68"/>
  <c r="D13" i="68"/>
  <c r="E13" i="68"/>
  <c r="F13" i="68"/>
  <c r="G13" i="68"/>
  <c r="H13" i="68"/>
  <c r="C14" i="68"/>
  <c r="D14" i="68"/>
  <c r="E14" i="68"/>
  <c r="F14" i="68"/>
  <c r="G14" i="68"/>
  <c r="H14" i="68"/>
  <c r="C16" i="68"/>
  <c r="D16" i="68"/>
  <c r="E16" i="68"/>
  <c r="F16" i="68"/>
  <c r="G16" i="68"/>
  <c r="H16" i="68"/>
  <c r="C17" i="68"/>
  <c r="D17" i="68"/>
  <c r="E17" i="68"/>
  <c r="F17" i="68"/>
  <c r="G17" i="68"/>
  <c r="H17" i="68"/>
  <c r="C18" i="68"/>
  <c r="D18" i="68"/>
  <c r="E18" i="68"/>
  <c r="F18" i="68"/>
  <c r="G18" i="68"/>
  <c r="H18" i="68"/>
  <c r="C19" i="68"/>
  <c r="D19" i="68"/>
  <c r="E19" i="68"/>
  <c r="F19" i="68"/>
  <c r="G19" i="68"/>
  <c r="H19" i="68"/>
  <c r="C21" i="68"/>
  <c r="D21" i="68"/>
  <c r="E21" i="68"/>
  <c r="F21" i="68"/>
  <c r="G21" i="68"/>
  <c r="H21" i="68"/>
  <c r="C22" i="68"/>
  <c r="D22" i="68"/>
  <c r="E22" i="68"/>
  <c r="F22" i="68"/>
  <c r="G22" i="68"/>
  <c r="H22" i="68"/>
  <c r="C23" i="68"/>
  <c r="D23" i="68"/>
  <c r="E23" i="68"/>
  <c r="F23" i="68"/>
  <c r="G23" i="68"/>
  <c r="H23" i="68"/>
  <c r="C24" i="68"/>
  <c r="D24" i="68"/>
  <c r="E24" i="68"/>
  <c r="F24" i="68"/>
  <c r="G24" i="68"/>
  <c r="H24" i="68"/>
  <c r="C26" i="68"/>
  <c r="D26" i="68"/>
  <c r="E26" i="68"/>
  <c r="F26" i="68"/>
  <c r="G26" i="68"/>
  <c r="H26" i="68"/>
  <c r="C27" i="68"/>
  <c r="D27" i="68"/>
  <c r="E27" i="68"/>
  <c r="F27" i="68"/>
  <c r="G27" i="68"/>
  <c r="H27" i="68"/>
  <c r="C28" i="68"/>
  <c r="D28" i="68"/>
  <c r="E28" i="68"/>
  <c r="F28" i="68"/>
  <c r="G28" i="68"/>
  <c r="H28" i="68"/>
  <c r="C29" i="68"/>
  <c r="D29" i="68"/>
  <c r="E29" i="68"/>
  <c r="F29" i="68"/>
  <c r="G29" i="68"/>
  <c r="H29" i="68"/>
  <c r="C30" i="68"/>
  <c r="D30" i="68"/>
  <c r="E30" i="68"/>
  <c r="F30" i="68"/>
  <c r="G30" i="68"/>
  <c r="H30" i="68"/>
  <c r="C31" i="68"/>
  <c r="D31" i="68"/>
  <c r="E31" i="68"/>
  <c r="F31" i="68"/>
  <c r="G31" i="68"/>
  <c r="H31" i="68"/>
  <c r="F17" i="54" l="1"/>
  <c r="D45" i="65" l="1"/>
  <c r="C45" i="65"/>
  <c r="D44" i="65"/>
  <c r="C44" i="65"/>
  <c r="D43" i="65"/>
  <c r="C43" i="65"/>
  <c r="D42" i="65"/>
  <c r="C42" i="65"/>
  <c r="D41" i="65"/>
  <c r="C41" i="65"/>
  <c r="D40" i="65"/>
  <c r="C40" i="65"/>
  <c r="D39" i="65"/>
  <c r="C39" i="65"/>
  <c r="D38" i="65"/>
  <c r="C38" i="65"/>
  <c r="D37" i="65"/>
  <c r="C37" i="65"/>
  <c r="D36" i="65"/>
  <c r="C36" i="65"/>
  <c r="D35" i="65"/>
  <c r="C35" i="65"/>
  <c r="D34" i="65"/>
  <c r="C34" i="65"/>
  <c r="D33" i="65"/>
  <c r="C33" i="65"/>
  <c r="D32" i="65"/>
  <c r="C32" i="65"/>
  <c r="D31" i="65"/>
  <c r="C31" i="65"/>
  <c r="D30" i="65"/>
  <c r="C30" i="65"/>
  <c r="D29" i="65"/>
  <c r="C29" i="65"/>
  <c r="D28" i="65"/>
  <c r="C28" i="65"/>
  <c r="D27" i="65"/>
  <c r="C27" i="65"/>
  <c r="D26" i="65"/>
  <c r="C26" i="65"/>
  <c r="D25" i="65"/>
  <c r="C25" i="65"/>
  <c r="D24" i="65"/>
  <c r="C24" i="65"/>
  <c r="D23" i="65"/>
  <c r="C23" i="65"/>
  <c r="D22" i="65"/>
  <c r="C22" i="65"/>
  <c r="D21" i="65"/>
  <c r="C21" i="65"/>
  <c r="D20" i="65"/>
  <c r="C20" i="65"/>
  <c r="D19" i="65"/>
  <c r="C19" i="65"/>
  <c r="D18" i="65"/>
  <c r="C18" i="65"/>
  <c r="D17" i="65"/>
  <c r="C17" i="65"/>
  <c r="D16" i="65"/>
  <c r="C16" i="65"/>
  <c r="D15" i="65"/>
  <c r="C15" i="65"/>
  <c r="D14" i="65"/>
  <c r="C14" i="65"/>
  <c r="L12" i="65"/>
  <c r="K12" i="65"/>
  <c r="J12" i="65"/>
  <c r="I12" i="65"/>
  <c r="H12" i="65"/>
  <c r="G12" i="65"/>
  <c r="F12" i="65"/>
  <c r="E12" i="65"/>
  <c r="L11" i="65"/>
  <c r="K11" i="65"/>
  <c r="J11" i="65"/>
  <c r="I11" i="65"/>
  <c r="H11" i="65"/>
  <c r="G11" i="65"/>
  <c r="F11" i="65"/>
  <c r="E11" i="65"/>
  <c r="L10" i="65"/>
  <c r="K10" i="65"/>
  <c r="J10" i="65"/>
  <c r="I10" i="65"/>
  <c r="H10" i="65"/>
  <c r="G10" i="65"/>
  <c r="F10" i="65"/>
  <c r="E10" i="65"/>
  <c r="L9" i="65"/>
  <c r="K9" i="65"/>
  <c r="J9" i="65"/>
  <c r="I9" i="65"/>
  <c r="H9" i="65"/>
  <c r="G9" i="65"/>
  <c r="F9" i="65"/>
  <c r="E9" i="65"/>
  <c r="L8" i="65"/>
  <c r="K8" i="65"/>
  <c r="J8" i="65"/>
  <c r="I8" i="65"/>
  <c r="H8" i="65"/>
  <c r="G8" i="65"/>
  <c r="F8" i="65"/>
  <c r="E8" i="65"/>
  <c r="L7" i="65"/>
  <c r="K7" i="65"/>
  <c r="J7" i="65"/>
  <c r="I7" i="65"/>
  <c r="H7" i="65"/>
  <c r="G7" i="65"/>
  <c r="F7" i="65"/>
  <c r="E7" i="65"/>
  <c r="L6" i="65"/>
  <c r="K6" i="65"/>
  <c r="J6" i="65"/>
  <c r="I6" i="65"/>
  <c r="H6" i="65"/>
  <c r="G6" i="65"/>
  <c r="F6" i="65"/>
  <c r="E6" i="65"/>
  <c r="L5" i="65"/>
  <c r="K5" i="65"/>
  <c r="J5" i="65"/>
  <c r="I5" i="65"/>
  <c r="H5" i="65"/>
  <c r="G5" i="65"/>
  <c r="F5" i="65"/>
  <c r="E5" i="65"/>
  <c r="B32" i="65" l="1"/>
  <c r="B30" i="65"/>
  <c r="B28" i="65"/>
  <c r="B26" i="65"/>
  <c r="B24" i="65"/>
  <c r="B23" i="65"/>
  <c r="B22" i="65"/>
  <c r="B20" i="65"/>
  <c r="B19" i="65"/>
  <c r="B18" i="65"/>
  <c r="B16" i="65"/>
  <c r="B14" i="65"/>
  <c r="B10" i="65"/>
  <c r="H20" i="54" l="1"/>
  <c r="G20" i="54"/>
  <c r="F20" i="54"/>
  <c r="E20" i="54"/>
  <c r="D20" i="54"/>
  <c r="C20" i="54"/>
  <c r="H19" i="54"/>
  <c r="G19" i="54"/>
  <c r="F19" i="54"/>
  <c r="E19" i="54"/>
  <c r="D19" i="54"/>
  <c r="C19" i="54"/>
  <c r="H18" i="54"/>
  <c r="G18" i="54"/>
  <c r="F18" i="54"/>
  <c r="E18" i="54"/>
  <c r="D18" i="54"/>
  <c r="C18" i="54"/>
  <c r="H17" i="54"/>
  <c r="G17" i="54"/>
  <c r="E17" i="54"/>
  <c r="D17" i="54"/>
  <c r="C17" i="54"/>
  <c r="H15" i="54"/>
  <c r="G15" i="54"/>
  <c r="F15" i="54"/>
  <c r="E15" i="54"/>
  <c r="D15" i="54"/>
  <c r="C15" i="54"/>
  <c r="H14" i="54"/>
  <c r="G14" i="54"/>
  <c r="F14" i="54"/>
  <c r="E14" i="54"/>
  <c r="D14" i="54"/>
  <c r="C14" i="54"/>
  <c r="H11" i="54"/>
  <c r="G11" i="54"/>
  <c r="F11" i="54"/>
  <c r="E11" i="54"/>
  <c r="D11" i="54"/>
  <c r="C11" i="54"/>
  <c r="H10" i="54"/>
  <c r="G10" i="54"/>
  <c r="F10" i="54"/>
  <c r="E10" i="54"/>
  <c r="D10" i="54"/>
  <c r="C10" i="54"/>
  <c r="H8" i="54"/>
  <c r="G8" i="54"/>
  <c r="F8" i="54"/>
  <c r="E8" i="54"/>
  <c r="D8" i="54"/>
  <c r="C8" i="54"/>
  <c r="H7" i="54"/>
  <c r="G7" i="54"/>
  <c r="F7" i="54"/>
  <c r="E7" i="54"/>
  <c r="D7" i="54"/>
  <c r="C7" i="54"/>
  <c r="L26" i="61" l="1"/>
  <c r="L25" i="61"/>
  <c r="K24" i="61"/>
  <c r="K23" i="61"/>
  <c r="J22" i="61"/>
  <c r="J21" i="61"/>
  <c r="C5" i="61"/>
  <c r="D5" i="61"/>
  <c r="C6" i="61"/>
  <c r="D6" i="61"/>
  <c r="C7" i="61"/>
  <c r="D7" i="61"/>
  <c r="B8" i="61"/>
  <c r="C8" i="61"/>
  <c r="D8" i="61"/>
  <c r="B11" i="61"/>
  <c r="E11" i="61"/>
  <c r="F11" i="61"/>
  <c r="G11" i="61"/>
  <c r="H11" i="61"/>
  <c r="I11" i="61"/>
  <c r="J11" i="61"/>
  <c r="K11" i="61"/>
  <c r="L11" i="61"/>
  <c r="B12" i="61"/>
  <c r="E12" i="61"/>
  <c r="F12" i="61"/>
  <c r="G12" i="61"/>
  <c r="H12" i="61"/>
  <c r="I12" i="61"/>
  <c r="J12" i="61"/>
  <c r="K12" i="61"/>
  <c r="L12" i="61"/>
  <c r="B13" i="61"/>
  <c r="E13" i="61"/>
  <c r="F13" i="61"/>
  <c r="G13" i="61"/>
  <c r="H13" i="61"/>
  <c r="I13" i="61"/>
  <c r="J13" i="61"/>
  <c r="K13" i="61"/>
  <c r="L13" i="61"/>
  <c r="B14" i="61"/>
  <c r="E14" i="61"/>
  <c r="F14" i="61"/>
  <c r="G14" i="61"/>
  <c r="H14" i="61"/>
  <c r="I14" i="61"/>
  <c r="J14" i="61"/>
  <c r="K14" i="61"/>
  <c r="L14" i="61"/>
  <c r="B15" i="61"/>
  <c r="E15" i="61"/>
  <c r="F15" i="61"/>
  <c r="G15" i="61"/>
  <c r="H15" i="61"/>
  <c r="I15" i="61"/>
  <c r="J15" i="61"/>
  <c r="K15" i="61"/>
  <c r="L15" i="61"/>
  <c r="B16" i="61"/>
  <c r="E16" i="61"/>
  <c r="F16" i="61"/>
  <c r="G16" i="61"/>
  <c r="H16" i="61"/>
  <c r="I16" i="61"/>
  <c r="J16" i="61"/>
  <c r="K16" i="61"/>
  <c r="L16" i="61"/>
  <c r="B17" i="61"/>
  <c r="E17" i="61"/>
  <c r="F17" i="61"/>
  <c r="G17" i="61"/>
  <c r="H17" i="61"/>
  <c r="I17" i="61"/>
  <c r="J17" i="61"/>
  <c r="K17" i="61"/>
  <c r="L17" i="61"/>
  <c r="E18" i="61"/>
  <c r="F18" i="61"/>
  <c r="G18" i="61"/>
  <c r="H18" i="61"/>
  <c r="I18" i="61"/>
  <c r="J18" i="61"/>
  <c r="K18" i="61"/>
  <c r="L18" i="61"/>
  <c r="B19" i="61"/>
  <c r="E19" i="61"/>
  <c r="F19" i="61"/>
  <c r="G19" i="61"/>
  <c r="H19" i="61"/>
  <c r="I19" i="61"/>
  <c r="J19" i="61"/>
  <c r="K19" i="61"/>
  <c r="L19" i="61"/>
  <c r="E20" i="61"/>
  <c r="F20" i="61"/>
  <c r="G20" i="61"/>
  <c r="H20" i="61"/>
  <c r="I20" i="61"/>
  <c r="J20" i="61"/>
  <c r="K20" i="61"/>
  <c r="L20" i="61"/>
  <c r="E21" i="61"/>
  <c r="F21" i="61"/>
  <c r="G21" i="61"/>
  <c r="H21" i="61"/>
  <c r="I21" i="61"/>
  <c r="K21" i="61"/>
  <c r="L21" i="61"/>
  <c r="E22" i="61"/>
  <c r="F22" i="61"/>
  <c r="G22" i="61"/>
  <c r="H22" i="61"/>
  <c r="I22" i="61"/>
  <c r="K22" i="61"/>
  <c r="L22" i="61"/>
  <c r="E23" i="61"/>
  <c r="F23" i="61"/>
  <c r="G23" i="61"/>
  <c r="H23" i="61"/>
  <c r="I23" i="61"/>
  <c r="J23" i="61"/>
  <c r="L23" i="61"/>
  <c r="E24" i="61"/>
  <c r="F24" i="61"/>
  <c r="G24" i="61"/>
  <c r="H24" i="61"/>
  <c r="I24" i="61"/>
  <c r="J24" i="61"/>
  <c r="L24" i="61"/>
  <c r="E25" i="61"/>
  <c r="F25" i="61"/>
  <c r="G25" i="61"/>
  <c r="H25" i="61"/>
  <c r="I25" i="61"/>
  <c r="J25" i="61"/>
  <c r="K25" i="61"/>
  <c r="E26" i="61"/>
  <c r="F26" i="61"/>
  <c r="G26" i="61"/>
  <c r="H26" i="61"/>
  <c r="I26" i="61"/>
  <c r="J26" i="61"/>
  <c r="K26" i="61"/>
  <c r="C27" i="61"/>
  <c r="D27" i="61"/>
  <c r="E27" i="61"/>
  <c r="F27" i="61"/>
  <c r="G27" i="61"/>
  <c r="H27" i="61"/>
  <c r="I27" i="61"/>
  <c r="J27" i="61"/>
  <c r="K27" i="61"/>
  <c r="L27" i="61"/>
  <c r="C28" i="61"/>
  <c r="D28" i="61"/>
  <c r="E28" i="61"/>
  <c r="F28" i="61"/>
  <c r="G28" i="61"/>
  <c r="H28" i="61"/>
  <c r="I28" i="61"/>
  <c r="J28" i="61"/>
  <c r="K28" i="61"/>
  <c r="L28" i="61"/>
</calcChain>
</file>

<file path=xl/sharedStrings.xml><?xml version="1.0" encoding="utf-8"?>
<sst xmlns="http://schemas.openxmlformats.org/spreadsheetml/2006/main" count="477" uniqueCount="103">
  <si>
    <t>Variable</t>
  </si>
  <si>
    <t>Obs</t>
  </si>
  <si>
    <t>Mean</t>
  </si>
  <si>
    <t>Std. Dev.</t>
  </si>
  <si>
    <t>Individual-year level</t>
  </si>
  <si>
    <t>Fraction of years when individual left the household</t>
  </si>
  <si>
    <t xml:space="preserve">Individual level </t>
  </si>
  <si>
    <t>Fraction of individuals that ever left the household</t>
  </si>
  <si>
    <t>Household-year level</t>
  </si>
  <si>
    <t>At least 1 person left the household in a given year (yes=1)</t>
  </si>
  <si>
    <t>Average number of people leaving the household in a given year</t>
  </si>
  <si>
    <t>Theft of money (yes=1) for a household in a given year</t>
  </si>
  <si>
    <t>Theft of crops (yes=1) for a household in a given year</t>
  </si>
  <si>
    <t>Theft or destruction of goods (yes=1) for a household in a given year</t>
  </si>
  <si>
    <t>Destruction of house (yes=1) for a household in a given year</t>
  </si>
  <si>
    <t>Loss of land (yes=1) for a household in a given year</t>
  </si>
  <si>
    <t xml:space="preserve">Household ever experienced theft of money </t>
  </si>
  <si>
    <t>Household ever experienced theft of crops</t>
  </si>
  <si>
    <t>Household ever experienced theft or destruction of good</t>
  </si>
  <si>
    <t>Household ever experienced destruction of house</t>
  </si>
  <si>
    <t>Household ever experienced loss of land</t>
  </si>
  <si>
    <t>Village-year level</t>
  </si>
  <si>
    <t>Fraction of years when village experienced violence</t>
  </si>
  <si>
    <t>Villages that experienced violence in at least 1 year during 1998-2007</t>
  </si>
  <si>
    <t>Year Fixed Effect</t>
  </si>
  <si>
    <t>Yes</t>
  </si>
  <si>
    <t>Individual Fixed Effect</t>
  </si>
  <si>
    <t>Observations</t>
  </si>
  <si>
    <t>(1)</t>
  </si>
  <si>
    <t>(2)</t>
  </si>
  <si>
    <t>(3)</t>
  </si>
  <si>
    <t>(4)</t>
  </si>
  <si>
    <t>(5)</t>
  </si>
  <si>
    <t>(6)</t>
  </si>
  <si>
    <t>(7)</t>
  </si>
  <si>
    <t>Adults (older than 18 years old)</t>
  </si>
  <si>
    <t>Poor Households (1998)</t>
  </si>
  <si>
    <t xml:space="preserve">Non-Poor Households (1998) </t>
  </si>
  <si>
    <t>Province time-trend</t>
  </si>
  <si>
    <t>(8)</t>
  </si>
  <si>
    <t>(9)</t>
  </si>
  <si>
    <t>Household level</t>
  </si>
  <si>
    <t>Village level</t>
  </si>
  <si>
    <t>Number of causalties in a given year</t>
  </si>
  <si>
    <t xml:space="preserve">Number of member of household that migrated outside household </t>
  </si>
  <si>
    <t>Fraction of villages that ever experienced violence at least one year during 1998-2007</t>
  </si>
  <si>
    <t>Dependent Variable: Migration outside household in a given year (yes=1)</t>
  </si>
  <si>
    <t>Only women</t>
  </si>
  <si>
    <t>Number of casualties in a given year</t>
  </si>
  <si>
    <t>Mean Dependent Variable</t>
  </si>
  <si>
    <t>Violence in a given year (yes=1)</t>
  </si>
  <si>
    <t>Children (younger than 18 years old)</t>
  </si>
  <si>
    <t>Conflict Exposure, Household level</t>
  </si>
  <si>
    <t>Conflict exposure, Village level</t>
  </si>
  <si>
    <t>Index of  Agricultural Related Losses (land and/or crops) - PCA</t>
  </si>
  <si>
    <t>Index of Asset Related Losses (money, goods and/or house) - PCA</t>
  </si>
  <si>
    <t>Index of  household Losss (all) - PCA</t>
  </si>
  <si>
    <r>
      <rPr>
        <b/>
        <sz val="10"/>
        <rFont val="Times New Roman"/>
        <family val="1"/>
      </rPr>
      <t>Notes -</t>
    </r>
    <r>
      <rPr>
        <sz val="10"/>
        <rFont val="Times New Roman"/>
        <family val="1"/>
      </rPr>
      <t xml:space="preserve"> * p&lt;0.10  ** p&lt;0.05 *** p&lt;0.01. Standard Deviation in brackets, Standard errors in paranthesis. Two-sided mean test reported. We only consider non-marital migration sample. Data Source: 2007 Burundi Priority Panel Survey.</t>
    </r>
  </si>
  <si>
    <t>(10)</t>
  </si>
  <si>
    <t>Table 1: Summary statistics</t>
  </si>
  <si>
    <t>Whithout marital migration</t>
  </si>
  <si>
    <r>
      <t>Notes -</t>
    </r>
    <r>
      <rPr>
        <sz val="10"/>
        <rFont val="Times New Roman"/>
        <family val="1"/>
      </rPr>
      <t xml:space="preserve"> This table presents the main descriptive statistics at different observation levels. </t>
    </r>
    <r>
      <rPr>
        <i/>
        <sz val="10"/>
        <rFont val="Times New Roman"/>
        <family val="1"/>
      </rPr>
      <t xml:space="preserve">Violence in a given year (yes=1) </t>
    </r>
    <r>
      <rPr>
        <sz val="10"/>
        <rFont val="Times New Roman"/>
        <family val="1"/>
      </rPr>
      <t xml:space="preserve"> takes the value one if the number of casualties in a given year is positive, 0 otherwise.</t>
    </r>
    <r>
      <rPr>
        <i/>
        <sz val="10"/>
        <rFont val="Times New Roman"/>
        <family val="1"/>
      </rPr>
      <t xml:space="preserve"> Number of causalties in a given year</t>
    </r>
    <r>
      <rPr>
        <sz val="10"/>
        <rFont val="Times New Roman"/>
        <family val="1"/>
      </rPr>
      <t xml:space="preserve"> measures the number of individuals killed or wounded in a given year (divided by 100).</t>
    </r>
    <r>
      <rPr>
        <i/>
        <sz val="10"/>
        <rFont val="Times New Roman"/>
        <family val="1"/>
      </rPr>
      <t xml:space="preserve"> </t>
    </r>
    <r>
      <rPr>
        <sz val="10"/>
        <rFont val="Times New Roman"/>
        <family val="1"/>
      </rPr>
      <t xml:space="preserve"> Index of household Losses (all) - PCA -  referes to the first component from a Principal Component Analysis for the five different type of losses at household level (i.e. money, crops, destruction of goods, destrution of house and loss of land). Index of Agricultural Related Losses - PCA -  refers to the first component from a Principal Component Analysis for the Loss of land (yes=1) and Theft of crops (yes=1) for a household in a given year. Index of Asset Related Losses refers - PCA -  refers to the first component from a Principal Component Analysis for Theft of money (yes=1), Theft or destruction of goods (yes=1), and Destruction of house (yes=1)  for a household in a given year. Data Source: 2007 Burundi Priority Panel Survey.</t>
    </r>
  </si>
  <si>
    <t>Table 3. Baseline results. Armed Conflict and Non-Marital Migration, Individual-level Analysis</t>
  </si>
  <si>
    <t>Index of  household Losses (all) - PCA</t>
  </si>
  <si>
    <t>Only men</t>
  </si>
  <si>
    <t>Panel A</t>
  </si>
  <si>
    <t>Panel B</t>
  </si>
  <si>
    <t>Panel C</t>
  </si>
  <si>
    <t>Panel D</t>
  </si>
  <si>
    <t>Panel E</t>
  </si>
  <si>
    <t>Lag Violence in a given year (yes=1)</t>
  </si>
  <si>
    <t>Lag Number of casualties in a given year</t>
  </si>
  <si>
    <t>Lag Index of  Agricultural Related Losses (land and/or crops) - PCA</t>
  </si>
  <si>
    <t>Lag Index of Asset Related Losses (money, goods and/or house) - PCA</t>
  </si>
  <si>
    <t>Lag Index of  household Losss (all) - PCA</t>
  </si>
  <si>
    <t>Notes - This table presents our baseline regression for non-marital migration at individual level.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 for non-marital reasons during 1998-2007. 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</si>
  <si>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Notes - This table presents our heterogeneity analysis for non-marital migration at individual level. Robust standard errors, clustered at VIllage level. * p&lt;0.10  ** p&lt;0.05 *** p&lt;0.01. The dependent variable, Migration outside of the household in a given year (yes=1) takes value one when a person migrates in a given year. Columns (1) to (4) restricts the baseline sample to only women, only men, only adults (older than 18 years old) or only young (younger than 18 years old), respectively. Columns (5) and (6) split the baseline sample defining poverty based on the 1997 national Burundi poverty line.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</si>
  <si>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Villages that never experienced violence during 1998-2007</t>
  </si>
  <si>
    <t>Share of migration</t>
  </si>
  <si>
    <t>Number of casualties during 1998-2007 below the mean</t>
  </si>
  <si>
    <t>Number of casualties during 1998-2007 above the mean</t>
  </si>
  <si>
    <t>Interactions</t>
  </si>
  <si>
    <t>Number of casualties in a given year above mean (yes=1)</t>
  </si>
  <si>
    <t>Table 6. Armed Conflict and Non-Marital Migration using lags, Individual-level Analysis</t>
  </si>
  <si>
    <t>Index of  household Losss (all) - PCA - above the mean (yes=1)</t>
  </si>
  <si>
    <t xml:space="preserve">Interaction effect						</t>
  </si>
  <si>
    <t>Number of casualties in a given year above mean (yes=1)*Index of  household Losss (all) - PCA - above the mean (yes=1)</t>
  </si>
  <si>
    <t>Lag. Violence in a given year (yes=1)</t>
  </si>
  <si>
    <t>Lag. Number of casualties in a given year</t>
  </si>
  <si>
    <t>Lag. Number of casualties in a given year above mean (yes=1)</t>
  </si>
  <si>
    <t>Lag. Index of  household Losss (all) - PCA - above the mean (yes=1)</t>
  </si>
  <si>
    <t>Lag. Number of casualties in a given year above mean (yes=1)*Index of  household Losss (all) - PCA - above the mean (yes=1)</t>
  </si>
  <si>
    <t>Index of  household Losss (all) - PCA below mean</t>
  </si>
  <si>
    <t>Index of  household Losss (all) - PCA above mean</t>
  </si>
  <si>
    <t>Table 4. Baseline results. Armed Conflict and Migration, Individual-level Analysis</t>
  </si>
  <si>
    <t>Table 5. Armed Conflict and Non-Marital Migration using lags, Individual-level Analysis</t>
  </si>
  <si>
    <t>Table 7. Baseline results. Armed Conflict and Non-Marital Migration, Individual-level Analysis</t>
  </si>
  <si>
    <t>Table 8. Baseline results. Armed Conflict and Non-Marital Migration, Individual-level Analysis</t>
  </si>
  <si>
    <t>Table 9. Baseline results. Armed Conflict and Migration, Individual-level Analysis</t>
  </si>
  <si>
    <t>Table 10. Armed Conflict and Non-Marital Migration using lags, Individual-level Analysis</t>
  </si>
  <si>
    <t>Table 11. Armed Conflict and Non-Marital Migration using lags, Individual-level Analysis</t>
  </si>
  <si>
    <t>Total Observations</t>
  </si>
  <si>
    <t>Table 2: Cross-tabulation of individual migration over different violence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</si>
</sst>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quot;€&quot;"/>
  </numFmts>
  <fonts count="23" x14ac:knownFonts="1">
    <font>
      <sz val="12"/>
      <color theme="1"/>
      <name val="Calibri"/>
      <family val="2"/>
      <scheme val="minor"/>
    </font>
    <font>
      <sz val="11"/>
      <name val="Times New Roman"/>
      <family val="1"/>
    </font>
    <font>
      <sz val="10"/>
      <name val="Times New Roman"/>
      <family val="1"/>
    </font>
    <font>
      <sz val="12"/>
      <name val="Times New Roman"/>
      <family val="1"/>
    </font>
    <font>
      <sz val="12"/>
      <color theme="1"/>
      <name val="Times New Roman"/>
      <family val="1"/>
    </font>
    <font>
      <sz val="12"/>
      <color rgb="FF000000"/>
      <name val="Times New Roman"/>
      <family val="1"/>
    </font>
    <font>
      <u/>
      <sz val="12"/>
      <color theme="10"/>
      <name val="Calibri"/>
      <family val="2"/>
      <scheme val="minor"/>
    </font>
    <font>
      <u/>
      <sz val="12"/>
      <color theme="11"/>
      <name val="Calibri"/>
      <family val="2"/>
      <scheme val="minor"/>
    </font>
    <font>
      <b/>
      <i/>
      <u/>
      <sz val="11"/>
      <name val="Times New Roman"/>
      <family val="1"/>
    </font>
    <font>
      <b/>
      <sz val="10"/>
      <name val="Times New Roman"/>
      <family val="1"/>
    </font>
    <font>
      <b/>
      <i/>
      <u/>
      <sz val="12"/>
      <name val="Times New Roman"/>
      <family val="1"/>
    </font>
    <font>
      <i/>
      <u/>
      <sz val="11"/>
      <name val="Times New Roman"/>
      <family val="1"/>
    </font>
    <font>
      <i/>
      <sz val="12"/>
      <name val="Times New Roman"/>
      <family val="1"/>
    </font>
    <font>
      <i/>
      <u/>
      <sz val="12"/>
      <name val="Times New Roman"/>
      <family val="1"/>
    </font>
    <font>
      <i/>
      <sz val="10"/>
      <name val="Times New Roman"/>
      <family val="1"/>
    </font>
    <font>
      <i/>
      <sz val="12"/>
      <color theme="1"/>
      <name val="Times New Roman"/>
      <family val="1"/>
    </font>
    <font>
      <sz val="12"/>
      <color theme="1"/>
      <name val="Times New Roman"/>
      <family val="1"/>
    </font>
    <font>
      <b/>
      <sz val="12"/>
      <color theme="1"/>
      <name val="Times New Roman"/>
      <family val="1"/>
    </font>
    <font>
      <sz val="12"/>
      <color theme="1"/>
      <name val="Calibri"/>
      <family val="2"/>
    </font>
    <font>
      <u/>
      <sz val="12"/>
      <name val="Times New Roman"/>
      <family val="1"/>
    </font>
    <font>
      <sz val="10"/>
      <color theme="1"/>
      <name val="Calibri"/>
      <family val="2"/>
      <scheme val="minor"/>
    </font>
    <font>
      <b/>
      <sz val="12"/>
      <name val="Times New Roman"/>
      <family val="1"/>
    </font>
    <font>
      <b/>
      <u/>
      <sz val="12"/>
      <name val="Times New Roman"/>
      <family val="1"/>
    </font>
  </fonts>
  <fills count="2">
    <fill>
      <patternFill patternType="none"/>
    </fill>
    <fill>
      <patternFill patternType="gray125"/>
    </fill>
  </fills>
  <borders count="11">
    <border>
      <left/>
      <right/>
      <top/>
      <bottom/>
      <diagonal/>
    </border>
    <border>
      <left/>
      <right/>
      <top style="thin">
        <color auto="1"/>
      </top>
      <bottom style="double">
        <color auto="1"/>
      </bottom>
      <diagonal/>
    </border>
    <border>
      <left/>
      <right/>
      <top style="double">
        <color auto="1"/>
      </top>
      <bottom/>
      <diagonal/>
    </border>
    <border>
      <left/>
      <right/>
      <top style="dotted">
        <color auto="1"/>
      </top>
      <bottom/>
      <diagonal/>
    </border>
    <border>
      <left/>
      <right/>
      <top/>
      <bottom style="dotted">
        <color auto="1"/>
      </bottom>
      <diagonal/>
    </border>
    <border>
      <left/>
      <right/>
      <top style="thin">
        <color auto="1"/>
      </top>
      <bottom/>
      <diagonal/>
    </border>
    <border>
      <left/>
      <right/>
      <top/>
      <bottom style="double">
        <color auto="1"/>
      </bottom>
      <diagonal/>
    </border>
    <border>
      <left/>
      <right/>
      <top/>
      <bottom style="thin">
        <color auto="1"/>
      </bottom>
      <diagonal/>
    </border>
    <border>
      <left/>
      <right/>
      <top/>
      <bottom style="medium">
        <color auto="1"/>
      </bottom>
      <diagonal/>
    </border>
    <border>
      <left/>
      <right/>
      <top style="medium">
        <color auto="1"/>
      </top>
      <bottom/>
      <diagonal/>
    </border>
    <border>
      <left/>
      <right/>
      <top style="hair">
        <color auto="1"/>
      </top>
      <bottom/>
      <diagonal/>
    </border>
  </borders>
  <cellStyleXfs count="56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1" fillId="0" borderId="0" xfId="0" applyFont="1" applyAlignment="1">
      <alignment horizontal="center" vertical="center"/>
    </xf>
    <xf numFmtId="164" fontId="1" fillId="0" borderId="0" xfId="0" applyNumberFormat="1" applyFont="1" applyAlignment="1">
      <alignment horizontal="center" vertical="center"/>
    </xf>
    <xf numFmtId="164" fontId="1" fillId="0" borderId="4" xfId="0" applyNumberFormat="1" applyFont="1" applyBorder="1" applyAlignment="1">
      <alignment horizontal="center" vertical="center"/>
    </xf>
    <xf numFmtId="0" fontId="3" fillId="0" borderId="5" xfId="0" applyFont="1" applyBorder="1"/>
    <xf numFmtId="0" fontId="3" fillId="0" borderId="6" xfId="0" applyFont="1" applyBorder="1"/>
    <xf numFmtId="0" fontId="3" fillId="0" borderId="0" xfId="0" applyFont="1"/>
    <xf numFmtId="1" fontId="3" fillId="0" borderId="0" xfId="0" applyNumberFormat="1" applyFont="1" applyAlignment="1">
      <alignment horizontal="center" vertical="center"/>
    </xf>
    <xf numFmtId="0" fontId="3" fillId="0" borderId="7" xfId="0" applyFont="1" applyBorder="1"/>
    <xf numFmtId="0" fontId="5" fillId="0" borderId="0" xfId="0" applyFont="1"/>
    <xf numFmtId="49" fontId="3" fillId="0" borderId="6" xfId="0" applyNumberFormat="1" applyFont="1" applyBorder="1" applyAlignment="1">
      <alignment horizontal="center" vertical="center"/>
    </xf>
    <xf numFmtId="0" fontId="4" fillId="0" borderId="0" xfId="0" applyFont="1"/>
    <xf numFmtId="49" fontId="3" fillId="0" borderId="1" xfId="0" applyNumberFormat="1" applyFont="1" applyBorder="1" applyAlignment="1">
      <alignment horizontal="center" vertical="center"/>
    </xf>
    <xf numFmtId="165" fontId="4" fillId="0" borderId="0" xfId="0" applyNumberFormat="1" applyFont="1"/>
    <xf numFmtId="0" fontId="1" fillId="0" borderId="4" xfId="0" applyFont="1" applyBorder="1" applyAlignment="1">
      <alignment horizontal="center" vertical="center"/>
    </xf>
    <xf numFmtId="0" fontId="1" fillId="0" borderId="0" xfId="0" applyFont="1" applyAlignment="1">
      <alignment horizontal="left"/>
    </xf>
    <xf numFmtId="0" fontId="1" fillId="0" borderId="4" xfId="0" applyFont="1" applyBorder="1" applyAlignment="1">
      <alignment horizontal="left"/>
    </xf>
    <xf numFmtId="0" fontId="1" fillId="0" borderId="8" xfId="0" applyFont="1" applyBorder="1" applyAlignment="1">
      <alignment horizontal="center" vertical="center"/>
    </xf>
    <xf numFmtId="164" fontId="1" fillId="0" borderId="8" xfId="0" applyNumberFormat="1" applyFont="1" applyBorder="1" applyAlignment="1">
      <alignment horizontal="center" vertical="center"/>
    </xf>
    <xf numFmtId="0" fontId="11" fillId="0" borderId="3" xfId="0" applyFont="1" applyBorder="1" applyAlignment="1">
      <alignment vertical="center"/>
    </xf>
    <xf numFmtId="0" fontId="8" fillId="0" borderId="3" xfId="0" applyFont="1" applyBorder="1" applyAlignment="1">
      <alignment vertical="center"/>
    </xf>
    <xf numFmtId="0" fontId="12" fillId="0" borderId="0" xfId="0" applyFont="1"/>
    <xf numFmtId="164" fontId="12" fillId="0" borderId="0" xfId="0" applyNumberFormat="1" applyFont="1" applyAlignment="1">
      <alignment horizontal="center" vertical="center"/>
    </xf>
    <xf numFmtId="0" fontId="10" fillId="0" borderId="2" xfId="0" applyFont="1" applyBorder="1" applyAlignment="1">
      <alignment vertical="center"/>
    </xf>
    <xf numFmtId="0" fontId="4" fillId="0" borderId="5" xfId="0" applyFont="1" applyBorder="1" applyAlignment="1">
      <alignment horizontal="left"/>
    </xf>
    <xf numFmtId="0" fontId="12" fillId="0" borderId="0" xfId="0" applyFont="1" applyAlignment="1">
      <alignment horizontal="center" vertical="center"/>
    </xf>
    <xf numFmtId="0" fontId="12" fillId="0" borderId="7" xfId="0" applyFont="1" applyBorder="1"/>
    <xf numFmtId="0" fontId="12" fillId="0" borderId="7" xfId="0" applyFont="1" applyBorder="1" applyAlignment="1">
      <alignment horizontal="center" vertical="center"/>
    </xf>
    <xf numFmtId="0" fontId="13" fillId="0" borderId="2" xfId="0" applyFont="1" applyBorder="1" applyAlignment="1">
      <alignment vertical="center"/>
    </xf>
    <xf numFmtId="0" fontId="4" fillId="0" borderId="0" xfId="0" applyFont="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8" xfId="0" applyFont="1" applyBorder="1" applyAlignment="1">
      <alignment wrapText="1"/>
    </xf>
    <xf numFmtId="0" fontId="10" fillId="0" borderId="5" xfId="0" applyFont="1" applyBorder="1" applyAlignment="1">
      <alignment horizontal="center" vertical="center"/>
    </xf>
    <xf numFmtId="165" fontId="4" fillId="0" borderId="0" xfId="0" applyNumberFormat="1" applyFont="1" applyAlignment="1">
      <alignment horizontal="center" vertical="center"/>
    </xf>
    <xf numFmtId="0" fontId="15" fillId="0" borderId="5" xfId="0" applyFont="1" applyBorder="1" applyAlignment="1">
      <alignment horizontal="center"/>
    </xf>
    <xf numFmtId="0" fontId="11" fillId="0" borderId="0" xfId="0" applyFont="1" applyAlignment="1">
      <alignment vertical="center"/>
    </xf>
    <xf numFmtId="0" fontId="16" fillId="0" borderId="5" xfId="0" applyFont="1" applyBorder="1" applyAlignment="1">
      <alignment horizontal="center"/>
    </xf>
    <xf numFmtId="0" fontId="1" fillId="0" borderId="6" xfId="0" applyFont="1" applyBorder="1" applyAlignment="1">
      <alignment horizontal="center"/>
    </xf>
    <xf numFmtId="0" fontId="1" fillId="0" borderId="6" xfId="0" applyFont="1" applyBorder="1" applyAlignment="1">
      <alignment horizontal="center" vertical="center"/>
    </xf>
    <xf numFmtId="0" fontId="0" fillId="0" borderId="0" xfId="0" applyAlignment="1">
      <alignment horizontal="center" vertical="center"/>
    </xf>
    <xf numFmtId="0" fontId="13" fillId="0" borderId="5" xfId="0" applyFont="1" applyBorder="1" applyAlignment="1">
      <alignment vertical="center"/>
    </xf>
    <xf numFmtId="0" fontId="18" fillId="0" borderId="0" xfId="0" applyFont="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18" fillId="0" borderId="7" xfId="0" applyFont="1" applyBorder="1" applyAlignment="1">
      <alignment horizontal="center" vertical="center"/>
    </xf>
    <xf numFmtId="0" fontId="3" fillId="0" borderId="5" xfId="0" applyFont="1" applyBorder="1" applyAlignment="1">
      <alignment horizontal="center" vertical="center" wrapText="1"/>
    </xf>
    <xf numFmtId="0" fontId="4" fillId="0" borderId="7" xfId="0" applyFont="1" applyBorder="1" applyAlignment="1">
      <alignment horizontal="center" vertical="center"/>
    </xf>
    <xf numFmtId="0" fontId="19" fillId="0" borderId="2" xfId="0" applyFont="1" applyBorder="1" applyAlignment="1">
      <alignment vertical="center"/>
    </xf>
    <xf numFmtId="0" fontId="13" fillId="0" borderId="10" xfId="0" applyFont="1" applyBorder="1" applyAlignment="1">
      <alignment vertical="center"/>
    </xf>
    <xf numFmtId="0" fontId="10" fillId="0" borderId="10" xfId="0" applyFont="1" applyBorder="1" applyAlignment="1">
      <alignment vertical="center"/>
    </xf>
    <xf numFmtId="0" fontId="12" fillId="0" borderId="5" xfId="0" applyFont="1" applyBorder="1"/>
    <xf numFmtId="164" fontId="12" fillId="0" borderId="5" xfId="0" applyNumberFormat="1" applyFont="1" applyBorder="1" applyAlignment="1">
      <alignment horizontal="center" vertical="center"/>
    </xf>
    <xf numFmtId="0" fontId="13" fillId="0" borderId="0" xfId="0" applyFont="1" applyAlignment="1">
      <alignment vertical="center"/>
    </xf>
    <xf numFmtId="0" fontId="3" fillId="0" borderId="0" xfId="0" applyFont="1" applyAlignment="1">
      <alignment wrapText="1"/>
    </xf>
    <xf numFmtId="0" fontId="1" fillId="0" borderId="0" xfId="0" applyFont="1" applyAlignment="1">
      <alignment horizontal="left" wrapText="1"/>
    </xf>
    <xf numFmtId="0" fontId="2" fillId="0" borderId="0" xfId="0" applyFont="1" applyAlignment="1">
      <alignment horizontal="center" vertical="top" wrapText="1"/>
    </xf>
    <xf numFmtId="0" fontId="1" fillId="0" borderId="0" xfId="0" applyFont="1" applyAlignment="1">
      <alignment horizontal="center" wrapText="1"/>
    </xf>
    <xf numFmtId="0" fontId="19" fillId="0" borderId="0" xfId="0" applyFont="1" applyAlignment="1">
      <alignment vertical="center"/>
    </xf>
    <xf numFmtId="0" fontId="10" fillId="0" borderId="0" xfId="0" applyFont="1" applyAlignment="1">
      <alignment vertical="center"/>
    </xf>
    <xf numFmtId="164" fontId="3" fillId="0" borderId="0" xfId="0" applyNumberFormat="1" applyFont="1" applyAlignment="1">
      <alignment horizontal="center" vertical="center"/>
    </xf>
    <xf numFmtId="0" fontId="3" fillId="0" borderId="6" xfId="0" applyFont="1" applyBorder="1" applyAlignment="1">
      <alignment horizontal="center" vertical="center" wrapText="1"/>
    </xf>
    <xf numFmtId="49" fontId="21" fillId="0" borderId="1" xfId="0" applyNumberFormat="1" applyFont="1" applyBorder="1" applyAlignment="1">
      <alignment horizontal="center" vertical="center"/>
    </xf>
    <xf numFmtId="0" fontId="3" fillId="0" borderId="0" xfId="0" applyFont="1" applyAlignment="1">
      <alignment vertical="center" wrapText="1"/>
    </xf>
    <xf numFmtId="1" fontId="0" fillId="0" borderId="0" xfId="0" applyNumberFormat="1"/>
    <xf numFmtId="0" fontId="4" fillId="0" borderId="0" xfId="0" applyFont="1" applyAlignment="1">
      <alignment wrapText="1"/>
    </xf>
    <xf numFmtId="0" fontId="0" fillId="0" borderId="0" xfId="0" applyAlignment="1">
      <alignment wrapText="1"/>
    </xf>
    <xf numFmtId="0" fontId="18" fillId="0" borderId="0" xfId="0" applyFont="1"/>
    <xf numFmtId="0" fontId="10" fillId="0" borderId="5" xfId="0" applyFont="1" applyBorder="1" applyAlignment="1">
      <alignment vertical="center"/>
    </xf>
    <xf numFmtId="0" fontId="10" fillId="0" borderId="0" xfId="0" applyFont="1" applyAlignment="1">
      <alignment horizontal="left" vertical="center" wrapText="1"/>
    </xf>
    <xf numFmtId="0" fontId="10" fillId="0" borderId="0" xfId="0" applyFont="1" applyAlignment="1">
      <alignment horizontal="left"/>
    </xf>
    <xf numFmtId="0" fontId="2" fillId="0" borderId="0" xfId="0" applyFont="1" applyAlignment="1">
      <alignment horizontal="left" vertical="top" wrapText="1"/>
    </xf>
    <xf numFmtId="0" fontId="3" fillId="0" borderId="2" xfId="0" applyFont="1" applyBorder="1" applyAlignment="1">
      <alignment horizontal="center" vertical="center" wrapText="1"/>
    </xf>
    <xf numFmtId="0" fontId="22" fillId="0" borderId="2" xfId="0" applyFont="1" applyBorder="1" applyAlignment="1">
      <alignment horizontal="left" vertical="center"/>
    </xf>
    <xf numFmtId="0" fontId="22" fillId="0" borderId="0" xfId="0" applyFont="1" applyAlignment="1">
      <alignment horizontal="left" vertical="center"/>
    </xf>
    <xf numFmtId="164" fontId="21" fillId="0" borderId="0" xfId="0" applyNumberFormat="1" applyFont="1" applyAlignment="1">
      <alignment horizontal="center" vertical="center"/>
    </xf>
    <xf numFmtId="0" fontId="12" fillId="0" borderId="0" xfId="0" applyFont="1" applyAlignment="1">
      <alignment vertical="center" wrapText="1"/>
    </xf>
    <xf numFmtId="1" fontId="12" fillId="0" borderId="0" xfId="0" applyNumberFormat="1" applyFont="1" applyAlignment="1">
      <alignment horizontal="center" vertical="center"/>
    </xf>
    <xf numFmtId="0" fontId="9" fillId="0" borderId="9" xfId="0" applyFont="1" applyBorder="1" applyAlignment="1">
      <alignment horizontal="left" vertical="top" wrapText="1"/>
    </xf>
    <xf numFmtId="0" fontId="17" fillId="0" borderId="5" xfId="0" applyFont="1" applyBorder="1" applyAlignment="1">
      <alignment horizontal="center" vertical="center"/>
    </xf>
    <xf numFmtId="0" fontId="4" fillId="0" borderId="7" xfId="0" applyFont="1" applyBorder="1" applyAlignment="1">
      <alignment horizontal="center"/>
    </xf>
    <xf numFmtId="0" fontId="3" fillId="0" borderId="5" xfId="0" applyFont="1" applyBorder="1" applyAlignment="1">
      <alignment horizontal="center" vertical="center" wrapText="1"/>
    </xf>
    <xf numFmtId="0" fontId="2" fillId="0" borderId="10" xfId="0" applyFont="1" applyBorder="1" applyAlignment="1">
      <alignment horizontal="center" vertical="top" wrapText="1"/>
    </xf>
    <xf numFmtId="0" fontId="2" fillId="0" borderId="5" xfId="0" applyFont="1" applyBorder="1" applyAlignment="1">
      <alignment horizontal="left" vertical="top" wrapText="1"/>
    </xf>
    <xf numFmtId="0" fontId="0" fillId="0" borderId="7" xfId="0" applyBorder="1" applyAlignment="1">
      <alignment horizontal="center"/>
    </xf>
    <xf numFmtId="0" fontId="3" fillId="0" borderId="0" xfId="0" applyFont="1" applyAlignment="1">
      <alignment horizontal="center" vertical="center"/>
    </xf>
    <xf numFmtId="0" fontId="3" fillId="0" borderId="6" xfId="0" applyFont="1" applyBorder="1" applyAlignment="1">
      <alignment horizontal="center" vertical="center" wrapText="1"/>
    </xf>
    <xf numFmtId="0" fontId="10" fillId="0" borderId="2" xfId="0" applyFont="1" applyBorder="1" applyAlignment="1">
      <alignment horizontal="left" vertical="center" wrapText="1"/>
    </xf>
    <xf numFmtId="0" fontId="10" fillId="0" borderId="10" xfId="0" applyFont="1" applyBorder="1" applyAlignment="1">
      <alignment horizontal="left"/>
    </xf>
    <xf numFmtId="0" fontId="20" fillId="0" borderId="5" xfId="0" applyFont="1" applyBorder="1" applyAlignment="1">
      <alignment horizontal="center" vertical="top" wrapText="1"/>
    </xf>
    <xf numFmtId="0" fontId="2" fillId="0" borderId="5" xfId="0" applyFont="1" applyBorder="1" applyAlignment="1">
      <alignment horizontal="center" vertical="top" wrapText="1"/>
    </xf>
  </cellXfs>
  <cellStyles count="5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41"/>
  <sheetViews>
    <sheetView showGridLines="0" tabSelected="1" workbookViewId="0">
      <selection activeCell="B41" sqref="B41:E41"/>
    </sheetView>
  </sheetViews>
  <sheetFormatPr baseColWidth="10" defaultColWidth="11" defaultRowHeight="16" x14ac:dyDescent="0.2"/>
  <cols>
    <col min="1" max="1" width="14.33203125" customWidth="1"/>
    <col min="2" max="2" width="54.1640625" customWidth="1"/>
  </cols>
  <sheetData>
    <row r="1" spans="2:5" x14ac:dyDescent="0.2">
      <c r="B1" s="80" t="s">
        <v>59</v>
      </c>
      <c r="C1" s="80"/>
      <c r="D1" s="80"/>
      <c r="E1" s="80"/>
    </row>
    <row r="2" spans="2:5" ht="41" customHeight="1" x14ac:dyDescent="0.2">
      <c r="B2" s="37"/>
      <c r="C2" s="79" t="s">
        <v>60</v>
      </c>
      <c r="D2" s="79"/>
      <c r="E2" s="79"/>
    </row>
    <row r="3" spans="2:5" ht="15" customHeight="1" thickBot="1" x14ac:dyDescent="0.25">
      <c r="B3" s="38" t="s">
        <v>0</v>
      </c>
      <c r="C3" s="39" t="s">
        <v>1</v>
      </c>
      <c r="D3" s="39" t="s">
        <v>2</v>
      </c>
      <c r="E3" s="39" t="s">
        <v>3</v>
      </c>
    </row>
    <row r="4" spans="2:5" ht="22" customHeight="1" thickTop="1" x14ac:dyDescent="0.2">
      <c r="B4" s="36" t="s">
        <v>4</v>
      </c>
    </row>
    <row r="5" spans="2:5" x14ac:dyDescent="0.2">
      <c r="B5" s="15" t="s">
        <v>50</v>
      </c>
      <c r="C5" s="1">
        <v>34800</v>
      </c>
      <c r="D5" s="2">
        <v>7.7155172413793105E-2</v>
      </c>
      <c r="E5" s="2">
        <v>0.26684133466182647</v>
      </c>
    </row>
    <row r="6" spans="2:5" x14ac:dyDescent="0.2">
      <c r="B6" s="15" t="s">
        <v>43</v>
      </c>
      <c r="C6" s="1">
        <v>34800</v>
      </c>
      <c r="D6" s="2">
        <v>4.5594828095736686E-3</v>
      </c>
      <c r="E6" s="2">
        <v>3.7793402653613577E-2</v>
      </c>
    </row>
    <row r="7" spans="2:5" x14ac:dyDescent="0.2">
      <c r="B7" s="15" t="s">
        <v>5</v>
      </c>
      <c r="C7" s="1">
        <v>34800</v>
      </c>
      <c r="D7" s="2">
        <v>4.4913793103448278E-2</v>
      </c>
      <c r="E7" s="2">
        <v>0.20711778529921068</v>
      </c>
    </row>
    <row r="8" spans="2:5" ht="20" customHeight="1" x14ac:dyDescent="0.2">
      <c r="B8" s="19" t="s">
        <v>6</v>
      </c>
      <c r="C8" s="19"/>
      <c r="D8" s="19"/>
      <c r="E8" s="19"/>
    </row>
    <row r="9" spans="2:5" x14ac:dyDescent="0.2">
      <c r="B9" s="16" t="s">
        <v>7</v>
      </c>
      <c r="C9" s="14">
        <v>3480</v>
      </c>
      <c r="D9" s="3">
        <v>0.13800000000000001</v>
      </c>
      <c r="E9" s="3">
        <v>0.34517865702667655</v>
      </c>
    </row>
    <row r="10" spans="2:5" ht="20" customHeight="1" x14ac:dyDescent="0.2">
      <c r="B10" s="19" t="s">
        <v>8</v>
      </c>
      <c r="C10" s="20"/>
      <c r="D10" s="20"/>
      <c r="E10" s="20"/>
    </row>
    <row r="11" spans="2:5" x14ac:dyDescent="0.2">
      <c r="B11" s="15" t="s">
        <v>50</v>
      </c>
      <c r="C11" s="1">
        <v>8720</v>
      </c>
      <c r="D11" s="2">
        <v>7.7866972477064214E-2</v>
      </c>
      <c r="E11" s="2">
        <v>0.26797750351254201</v>
      </c>
    </row>
    <row r="12" spans="2:5" x14ac:dyDescent="0.2">
      <c r="B12" s="15" t="s">
        <v>43</v>
      </c>
      <c r="C12" s="1">
        <v>8720</v>
      </c>
      <c r="D12" s="2">
        <v>4.4667431633970741E-3</v>
      </c>
      <c r="E12" s="2">
        <v>3.6619888723642594E-2</v>
      </c>
    </row>
    <row r="13" spans="2:5" x14ac:dyDescent="0.2">
      <c r="B13" s="15" t="s">
        <v>9</v>
      </c>
      <c r="C13" s="1">
        <v>8720</v>
      </c>
      <c r="D13" s="2">
        <v>9.9082568807339455E-2</v>
      </c>
      <c r="E13" s="2">
        <v>0.29878997870805041</v>
      </c>
    </row>
    <row r="14" spans="2:5" x14ac:dyDescent="0.2">
      <c r="B14" s="15" t="s">
        <v>10</v>
      </c>
      <c r="C14" s="1">
        <v>8720</v>
      </c>
      <c r="D14" s="2">
        <v>0.17924311926605505</v>
      </c>
      <c r="E14" s="2">
        <v>0.71831854709854459</v>
      </c>
    </row>
    <row r="15" spans="2:5" x14ac:dyDescent="0.2">
      <c r="B15" s="15" t="s">
        <v>11</v>
      </c>
      <c r="C15" s="1">
        <v>8720</v>
      </c>
      <c r="D15" s="2">
        <v>2.9587155963302754E-2</v>
      </c>
      <c r="E15" s="2">
        <v>0.16945515387716156</v>
      </c>
    </row>
    <row r="16" spans="2:5" x14ac:dyDescent="0.2">
      <c r="B16" s="15" t="s">
        <v>12</v>
      </c>
      <c r="C16" s="1">
        <v>8720</v>
      </c>
      <c r="D16" s="2">
        <v>6.9266055045871563E-2</v>
      </c>
      <c r="E16" s="2">
        <v>0.25392058337650686</v>
      </c>
    </row>
    <row r="17" spans="2:5" x14ac:dyDescent="0.2">
      <c r="B17" s="15" t="s">
        <v>13</v>
      </c>
      <c r="C17" s="1">
        <v>8720</v>
      </c>
      <c r="D17" s="2">
        <v>3.4059633027522934E-2</v>
      </c>
      <c r="E17" s="2">
        <v>0.1813927995959293</v>
      </c>
    </row>
    <row r="18" spans="2:5" x14ac:dyDescent="0.2">
      <c r="B18" s="15" t="s">
        <v>14</v>
      </c>
      <c r="C18" s="1">
        <v>8720</v>
      </c>
      <c r="D18" s="2">
        <v>1.3876146788990826E-2</v>
      </c>
      <c r="E18" s="2">
        <v>0.11698362594553989</v>
      </c>
    </row>
    <row r="19" spans="2:5" x14ac:dyDescent="0.2">
      <c r="B19" s="15" t="s">
        <v>15</v>
      </c>
      <c r="C19" s="1">
        <v>8720</v>
      </c>
      <c r="D19" s="2">
        <v>1.4908256880733946E-2</v>
      </c>
      <c r="E19" s="2">
        <v>0.12119276020073233</v>
      </c>
    </row>
    <row r="20" spans="2:5" x14ac:dyDescent="0.2">
      <c r="B20" s="15" t="s">
        <v>54</v>
      </c>
      <c r="C20" s="1">
        <v>8720</v>
      </c>
      <c r="D20" s="2">
        <v>7.9061968815982882E-3</v>
      </c>
      <c r="E20" s="2">
        <v>1.0459650646064702</v>
      </c>
    </row>
    <row r="21" spans="2:5" x14ac:dyDescent="0.2">
      <c r="B21" s="15" t="s">
        <v>55</v>
      </c>
      <c r="C21" s="1">
        <v>8720</v>
      </c>
      <c r="D21" s="2">
        <v>1.6024022997109168E-2</v>
      </c>
      <c r="E21" s="2">
        <v>1.2980737973907785</v>
      </c>
    </row>
    <row r="22" spans="2:5" x14ac:dyDescent="0.2">
      <c r="B22" s="15" t="s">
        <v>63</v>
      </c>
      <c r="C22" s="1">
        <v>8720</v>
      </c>
      <c r="D22" s="2">
        <v>1.6545245775935847E-2</v>
      </c>
      <c r="E22" s="2">
        <v>1.4005868385429148</v>
      </c>
    </row>
    <row r="23" spans="2:5" ht="21" customHeight="1" x14ac:dyDescent="0.2">
      <c r="B23" s="19" t="s">
        <v>41</v>
      </c>
      <c r="C23" s="19"/>
      <c r="D23" s="19"/>
      <c r="E23" s="19"/>
    </row>
    <row r="24" spans="2:5" x14ac:dyDescent="0.2">
      <c r="B24" s="15" t="s">
        <v>50</v>
      </c>
      <c r="C24" s="1">
        <v>872</v>
      </c>
      <c r="D24" s="2">
        <v>0.27522935779816515</v>
      </c>
      <c r="E24" s="2">
        <v>0.44688609331690593</v>
      </c>
    </row>
    <row r="25" spans="2:5" x14ac:dyDescent="0.2">
      <c r="B25" s="15" t="s">
        <v>43</v>
      </c>
      <c r="C25" s="1">
        <v>872</v>
      </c>
      <c r="D25" s="2">
        <v>1.5665137881857402E-2</v>
      </c>
      <c r="E25" s="2">
        <v>5.4387460204926207E-2</v>
      </c>
    </row>
    <row r="26" spans="2:5" x14ac:dyDescent="0.2">
      <c r="B26" s="15" t="s">
        <v>44</v>
      </c>
      <c r="C26" s="1">
        <v>872</v>
      </c>
      <c r="D26" s="2">
        <v>1.7924311926605505</v>
      </c>
      <c r="E26" s="2">
        <v>5.3208674445670896</v>
      </c>
    </row>
    <row r="27" spans="2:5" x14ac:dyDescent="0.2">
      <c r="B27" s="15" t="s">
        <v>7</v>
      </c>
      <c r="C27" s="1">
        <v>872</v>
      </c>
      <c r="D27" s="2">
        <v>0.27866972477064222</v>
      </c>
      <c r="E27" s="2">
        <v>0.44860193191611192</v>
      </c>
    </row>
    <row r="28" spans="2:5" x14ac:dyDescent="0.2">
      <c r="B28" s="15" t="s">
        <v>16</v>
      </c>
      <c r="C28" s="1">
        <v>872</v>
      </c>
      <c r="D28" s="2">
        <v>0.20871559633027523</v>
      </c>
      <c r="E28" s="2">
        <v>0.40662391681015519</v>
      </c>
    </row>
    <row r="29" spans="2:5" x14ac:dyDescent="0.2">
      <c r="B29" s="15" t="s">
        <v>17</v>
      </c>
      <c r="C29" s="1">
        <v>872</v>
      </c>
      <c r="D29" s="2">
        <v>0.41055045871559631</v>
      </c>
      <c r="E29" s="2">
        <v>0.49221602952793397</v>
      </c>
    </row>
    <row r="30" spans="2:5" x14ac:dyDescent="0.2">
      <c r="B30" s="15" t="s">
        <v>18</v>
      </c>
      <c r="C30" s="1">
        <v>872</v>
      </c>
      <c r="D30" s="2">
        <v>0.23967889908256881</v>
      </c>
      <c r="E30" s="2">
        <v>0.42713247015750383</v>
      </c>
    </row>
    <row r="31" spans="2:5" x14ac:dyDescent="0.2">
      <c r="B31" s="15" t="s">
        <v>19</v>
      </c>
      <c r="C31" s="1">
        <v>872</v>
      </c>
      <c r="D31" s="2">
        <v>0.10321100917431193</v>
      </c>
      <c r="E31" s="2">
        <v>0.30440887584032367</v>
      </c>
    </row>
    <row r="32" spans="2:5" x14ac:dyDescent="0.2">
      <c r="B32" s="15" t="s">
        <v>20</v>
      </c>
      <c r="C32" s="1">
        <v>872</v>
      </c>
      <c r="D32" s="2">
        <v>0.10665137614678899</v>
      </c>
      <c r="E32" s="2">
        <v>0.30884664157455444</v>
      </c>
    </row>
    <row r="33" spans="2:5" x14ac:dyDescent="0.2">
      <c r="B33" s="15" t="s">
        <v>54</v>
      </c>
      <c r="C33" s="1">
        <v>872</v>
      </c>
      <c r="D33" s="2">
        <v>1.7772027111928398E-9</v>
      </c>
      <c r="E33" s="2">
        <v>1.0068447351824807</v>
      </c>
    </row>
    <row r="34" spans="2:5" x14ac:dyDescent="0.2">
      <c r="B34" s="15" t="s">
        <v>55</v>
      </c>
      <c r="C34" s="1">
        <v>872</v>
      </c>
      <c r="D34" s="2">
        <v>1.0594862316726544E-8</v>
      </c>
      <c r="E34" s="2">
        <v>1.274246988423765</v>
      </c>
    </row>
    <row r="35" spans="2:5" x14ac:dyDescent="0.2">
      <c r="B35" s="15" t="s">
        <v>63</v>
      </c>
      <c r="C35" s="1">
        <v>872</v>
      </c>
      <c r="D35" s="2">
        <v>1.5883749231286004E-8</v>
      </c>
      <c r="E35" s="2">
        <v>1.3768102205744854</v>
      </c>
    </row>
    <row r="36" spans="2:5" ht="20" customHeight="1" x14ac:dyDescent="0.2">
      <c r="B36" s="19" t="s">
        <v>21</v>
      </c>
      <c r="C36" s="19"/>
      <c r="D36" s="19"/>
      <c r="E36" s="19"/>
    </row>
    <row r="37" spans="2:5" x14ac:dyDescent="0.2">
      <c r="B37" s="15" t="s">
        <v>22</v>
      </c>
      <c r="C37" s="1">
        <v>1000</v>
      </c>
      <c r="D37" s="2">
        <v>4.5400000493973497E-3</v>
      </c>
      <c r="E37" s="2">
        <v>3.7831463902810197E-2</v>
      </c>
    </row>
    <row r="38" spans="2:5" ht="14" customHeight="1" x14ac:dyDescent="0.2">
      <c r="B38" s="15" t="s">
        <v>43</v>
      </c>
      <c r="C38" s="14">
        <v>1000</v>
      </c>
      <c r="D38" s="3">
        <v>7.5999999999999998E-2</v>
      </c>
      <c r="E38" s="3">
        <v>0.2651307117146075</v>
      </c>
    </row>
    <row r="39" spans="2:5" ht="19" customHeight="1" x14ac:dyDescent="0.2">
      <c r="B39" s="19" t="s">
        <v>42</v>
      </c>
      <c r="C39" s="19"/>
      <c r="D39" s="19"/>
      <c r="E39" s="19"/>
    </row>
    <row r="40" spans="2:5" ht="38" customHeight="1" thickBot="1" x14ac:dyDescent="0.25">
      <c r="B40" s="32" t="s">
        <v>45</v>
      </c>
      <c r="C40" s="17">
        <v>100</v>
      </c>
      <c r="D40" s="18">
        <v>0.27</v>
      </c>
      <c r="E40" s="18">
        <v>0.44619604333847368</v>
      </c>
    </row>
    <row r="41" spans="2:5" ht="160" customHeight="1" x14ac:dyDescent="0.2">
      <c r="B41" s="78" t="s">
        <v>61</v>
      </c>
      <c r="C41" s="78"/>
      <c r="D41" s="78"/>
      <c r="E41" s="78"/>
    </row>
  </sheetData>
  <mergeCells count="3">
    <mergeCell ref="B41:E41"/>
    <mergeCell ref="C2:E2"/>
    <mergeCell ref="B1:E1"/>
  </mergeCell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6A8C8-F5BB-C748-8821-C0CDD7D7F307}">
  <dimension ref="B2:H58"/>
  <sheetViews>
    <sheetView showGridLines="0" workbookViewId="0">
      <selection activeCell="G53" sqref="G53"/>
    </sheetView>
  </sheetViews>
  <sheetFormatPr baseColWidth="10" defaultColWidth="11" defaultRowHeight="16" x14ac:dyDescent="0.2"/>
  <cols>
    <col min="2" max="2" width="68.83203125" customWidth="1"/>
  </cols>
  <sheetData>
    <row r="2" spans="2:8" x14ac:dyDescent="0.2">
      <c r="B2" s="84" t="s">
        <v>99</v>
      </c>
      <c r="C2" s="84"/>
      <c r="D2" s="84"/>
      <c r="E2" s="84"/>
      <c r="F2" s="84"/>
      <c r="G2" s="84"/>
      <c r="H2" s="84"/>
    </row>
    <row r="3" spans="2:8" ht="37" customHeight="1" thickBot="1" x14ac:dyDescent="0.25">
      <c r="B3" s="30" t="s">
        <v>46</v>
      </c>
      <c r="C3" s="12" t="s">
        <v>28</v>
      </c>
      <c r="D3" s="12" t="s">
        <v>29</v>
      </c>
      <c r="E3" s="62" t="s">
        <v>30</v>
      </c>
      <c r="F3" s="12" t="s">
        <v>31</v>
      </c>
      <c r="G3" s="12" t="s">
        <v>32</v>
      </c>
      <c r="H3" s="12" t="s">
        <v>33</v>
      </c>
    </row>
    <row r="4" spans="2:8" ht="17" thickTop="1" x14ac:dyDescent="0.2">
      <c r="B4" s="23" t="s">
        <v>53</v>
      </c>
      <c r="C4" s="23"/>
      <c r="D4" s="23"/>
      <c r="E4" s="23"/>
      <c r="F4" s="23"/>
      <c r="H4" s="23"/>
    </row>
    <row r="5" spans="2:8" x14ac:dyDescent="0.2">
      <c r="B5" s="6" t="s">
        <v>50</v>
      </c>
      <c r="C5" t="str">
        <f>"0.017"</f>
        <v>0.017</v>
      </c>
      <c r="D5" t="str">
        <f>"0.023*"</f>
        <v>0.023*</v>
      </c>
      <c r="E5" t="str">
        <f>""</f>
        <v/>
      </c>
      <c r="F5" t="str">
        <f>""</f>
        <v/>
      </c>
      <c r="G5" t="str">
        <f>""</f>
        <v/>
      </c>
      <c r="H5" t="str">
        <f>""</f>
        <v/>
      </c>
    </row>
    <row r="6" spans="2:8" x14ac:dyDescent="0.2">
      <c r="B6" s="6"/>
      <c r="C6" t="str">
        <f>"[0.014]"</f>
        <v>[0.014]</v>
      </c>
      <c r="D6" t="str">
        <f>"[0.013]"</f>
        <v>[0.013]</v>
      </c>
      <c r="E6" t="str">
        <f>""</f>
        <v/>
      </c>
      <c r="F6" t="str">
        <f>""</f>
        <v/>
      </c>
      <c r="G6" t="str">
        <f>""</f>
        <v/>
      </c>
      <c r="H6" t="str">
        <f>""</f>
        <v/>
      </c>
    </row>
    <row r="7" spans="2:8" x14ac:dyDescent="0.2">
      <c r="B7" s="6" t="s">
        <v>87</v>
      </c>
      <c r="C7" t="str">
        <f>"0.033**"</f>
        <v>0.033**</v>
      </c>
      <c r="D7" t="str">
        <f>"0.036**"</f>
        <v>0.036**</v>
      </c>
      <c r="E7" t="str">
        <f>""</f>
        <v/>
      </c>
      <c r="F7" t="str">
        <f>""</f>
        <v/>
      </c>
      <c r="G7" t="str">
        <f>""</f>
        <v/>
      </c>
      <c r="H7" t="str">
        <f>""</f>
        <v/>
      </c>
    </row>
    <row r="8" spans="2:8" x14ac:dyDescent="0.2">
      <c r="B8" s="6"/>
      <c r="C8" t="str">
        <f>"[0.015]"</f>
        <v>[0.015]</v>
      </c>
      <c r="D8" t="str">
        <f>"[0.015]"</f>
        <v>[0.015]</v>
      </c>
      <c r="E8" t="str">
        <f>""</f>
        <v/>
      </c>
      <c r="F8" t="str">
        <f>""</f>
        <v/>
      </c>
      <c r="G8" t="str">
        <f>""</f>
        <v/>
      </c>
      <c r="H8" t="str">
        <f>""</f>
        <v/>
      </c>
    </row>
    <row r="9" spans="2:8" x14ac:dyDescent="0.2">
      <c r="B9" s="6" t="s">
        <v>48</v>
      </c>
      <c r="C9" t="str">
        <f>""</f>
        <v/>
      </c>
      <c r="D9" t="str">
        <f>""</f>
        <v/>
      </c>
      <c r="E9" t="str">
        <f>"0.280***"</f>
        <v>0.280***</v>
      </c>
      <c r="F9" t="str">
        <f>"0.250**"</f>
        <v>0.250**</v>
      </c>
      <c r="G9" t="str">
        <f>""</f>
        <v/>
      </c>
      <c r="H9" t="str">
        <f>""</f>
        <v/>
      </c>
    </row>
    <row r="10" spans="2:8" x14ac:dyDescent="0.2">
      <c r="B10" s="6"/>
      <c r="C10" t="str">
        <f>""</f>
        <v/>
      </c>
      <c r="D10" t="str">
        <f>""</f>
        <v/>
      </c>
      <c r="E10" t="str">
        <f>"[0.101]"</f>
        <v>[0.101]</v>
      </c>
      <c r="F10" t="str">
        <f>"[0.116]"</f>
        <v>[0.116]</v>
      </c>
      <c r="G10" t="str">
        <f>""</f>
        <v/>
      </c>
      <c r="H10" t="str">
        <f>""</f>
        <v/>
      </c>
    </row>
    <row r="11" spans="2:8" x14ac:dyDescent="0.2">
      <c r="B11" s="6" t="s">
        <v>88</v>
      </c>
      <c r="C11" t="str">
        <f>""</f>
        <v/>
      </c>
      <c r="D11" t="str">
        <f>""</f>
        <v/>
      </c>
      <c r="E11" t="str">
        <f>"0.340**"</f>
        <v>0.340**</v>
      </c>
      <c r="F11" t="str">
        <f>"0.325**"</f>
        <v>0.325**</v>
      </c>
      <c r="G11" t="str">
        <f>""</f>
        <v/>
      </c>
      <c r="H11" t="str">
        <f>""</f>
        <v/>
      </c>
    </row>
    <row r="12" spans="2:8" x14ac:dyDescent="0.2">
      <c r="B12" s="6"/>
      <c r="C12" t="str">
        <f>""</f>
        <v/>
      </c>
      <c r="D12" t="str">
        <f>""</f>
        <v/>
      </c>
      <c r="E12" t="str">
        <f>"[0.145]"</f>
        <v>[0.145]</v>
      </c>
      <c r="F12" t="str">
        <f>"[0.145]"</f>
        <v>[0.145]</v>
      </c>
      <c r="G12" t="str">
        <f>""</f>
        <v/>
      </c>
      <c r="H12" t="str">
        <f>""</f>
        <v/>
      </c>
    </row>
    <row r="13" spans="2:8" x14ac:dyDescent="0.2">
      <c r="B13" s="6" t="s">
        <v>82</v>
      </c>
      <c r="C13" t="str">
        <f>""</f>
        <v/>
      </c>
      <c r="D13" t="str">
        <f>""</f>
        <v/>
      </c>
      <c r="E13" t="str">
        <f>""</f>
        <v/>
      </c>
      <c r="F13" t="str">
        <f>""</f>
        <v/>
      </c>
      <c r="G13" t="str">
        <f>"0.007"</f>
        <v>0.007</v>
      </c>
      <c r="H13" t="str">
        <f>"0.012"</f>
        <v>0.012</v>
      </c>
    </row>
    <row r="14" spans="2:8" x14ac:dyDescent="0.2">
      <c r="B14" s="6" t="str">
        <f>""</f>
        <v/>
      </c>
      <c r="C14" t="str">
        <f>""</f>
        <v/>
      </c>
      <c r="D14" t="str">
        <f>""</f>
        <v/>
      </c>
      <c r="E14" t="str">
        <f>""</f>
        <v/>
      </c>
      <c r="F14" t="str">
        <f>""</f>
        <v/>
      </c>
      <c r="G14" t="str">
        <f>"[0.012]"</f>
        <v>[0.012]</v>
      </c>
      <c r="H14" t="str">
        <f>"[0.012]"</f>
        <v>[0.012]</v>
      </c>
    </row>
    <row r="15" spans="2:8" x14ac:dyDescent="0.2">
      <c r="B15" s="6" t="s">
        <v>89</v>
      </c>
      <c r="C15" t="str">
        <f>""</f>
        <v/>
      </c>
      <c r="D15" t="str">
        <f>""</f>
        <v/>
      </c>
      <c r="E15" t="str">
        <f>""</f>
        <v/>
      </c>
      <c r="F15" t="str">
        <f>""</f>
        <v/>
      </c>
      <c r="G15" t="str">
        <f>"0.024*"</f>
        <v>0.024*</v>
      </c>
      <c r="H15" t="str">
        <f>"0.026*"</f>
        <v>0.026*</v>
      </c>
    </row>
    <row r="16" spans="2:8" x14ac:dyDescent="0.2">
      <c r="B16" s="6"/>
      <c r="C16" t="str">
        <f>""</f>
        <v/>
      </c>
      <c r="D16" t="str">
        <f>""</f>
        <v/>
      </c>
      <c r="E16" t="str">
        <f>""</f>
        <v/>
      </c>
      <c r="F16" t="str">
        <f>""</f>
        <v/>
      </c>
      <c r="G16" t="str">
        <f>"[0.014]"</f>
        <v>[0.014]</v>
      </c>
      <c r="H16" t="str">
        <f>"[0.014]"</f>
        <v>[0.014]</v>
      </c>
    </row>
    <row r="17" spans="2:8" x14ac:dyDescent="0.2">
      <c r="B17" s="6"/>
      <c r="C17" s="29"/>
      <c r="D17" s="29"/>
      <c r="E17" s="29"/>
      <c r="F17" s="29"/>
      <c r="H17" s="29"/>
    </row>
    <row r="18" spans="2:8" x14ac:dyDescent="0.2">
      <c r="B18" s="68" t="s">
        <v>52</v>
      </c>
      <c r="C18" s="33"/>
      <c r="D18" s="33"/>
      <c r="E18" s="33"/>
      <c r="F18" s="33"/>
      <c r="G18" s="33"/>
      <c r="H18" s="33"/>
    </row>
    <row r="19" spans="2:8" x14ac:dyDescent="0.2">
      <c r="B19" s="11" t="str">
        <f>"Index of  household Losss (all) - PCA - above the mean (yes=1)"</f>
        <v>Index of  household Losss (all) - PCA - above the mean (yes=1)</v>
      </c>
      <c r="C19" t="str">
        <f>"0.019***"</f>
        <v>0.019***</v>
      </c>
      <c r="D19" t="str">
        <f>""</f>
        <v/>
      </c>
      <c r="E19" t="str">
        <f>"0.023***"</f>
        <v>0.023***</v>
      </c>
      <c r="F19" t="str">
        <f>""</f>
        <v/>
      </c>
      <c r="G19" t="str">
        <f>"0.023***"</f>
        <v>0.023***</v>
      </c>
      <c r="H19" t="str">
        <f>""</f>
        <v/>
      </c>
    </row>
    <row r="20" spans="2:8" x14ac:dyDescent="0.2">
      <c r="B20" s="11" t="str">
        <f>""</f>
        <v/>
      </c>
      <c r="C20" t="str">
        <f>"[0.006]"</f>
        <v>[0.006]</v>
      </c>
      <c r="D20" t="str">
        <f>""</f>
        <v/>
      </c>
      <c r="E20" t="str">
        <f>"[0.008]"</f>
        <v>[0.008]</v>
      </c>
      <c r="F20" t="str">
        <f>""</f>
        <v/>
      </c>
      <c r="G20" t="str">
        <f>"[0.008]"</f>
        <v>[0.008]</v>
      </c>
      <c r="H20" t="str">
        <f>""</f>
        <v/>
      </c>
    </row>
    <row r="21" spans="2:8" x14ac:dyDescent="0.2">
      <c r="B21" s="11" t="s">
        <v>90</v>
      </c>
      <c r="C21" t="str">
        <f>"-0.007"</f>
        <v>-0.007</v>
      </c>
      <c r="D21" t="str">
        <f>""</f>
        <v/>
      </c>
      <c r="E21" t="str">
        <f>"-0.004"</f>
        <v>-0.004</v>
      </c>
      <c r="F21" t="str">
        <f>""</f>
        <v/>
      </c>
      <c r="G21" t="str">
        <f>"-0.006"</f>
        <v>-0.006</v>
      </c>
      <c r="H21" t="str">
        <f>""</f>
        <v/>
      </c>
    </row>
    <row r="22" spans="2:8" x14ac:dyDescent="0.2">
      <c r="B22" s="11"/>
      <c r="C22" t="str">
        <f>"[0.005]"</f>
        <v>[0.005]</v>
      </c>
      <c r="D22" t="str">
        <f>""</f>
        <v/>
      </c>
      <c r="E22" t="str">
        <f>"[0.005]"</f>
        <v>[0.005]</v>
      </c>
      <c r="F22" t="str">
        <f>""</f>
        <v/>
      </c>
      <c r="G22" t="str">
        <f>"[0.005]"</f>
        <v>[0.005]</v>
      </c>
      <c r="H22" t="str">
        <f>""</f>
        <v/>
      </c>
    </row>
    <row r="23" spans="2:8" x14ac:dyDescent="0.2">
      <c r="B23" s="13" t="str">
        <f>"Index of  household Losss (all) - PCA"</f>
        <v>Index of  household Losss (all) - PCA</v>
      </c>
      <c r="C23" t="str">
        <f>""</f>
        <v/>
      </c>
      <c r="D23" t="str">
        <f>"0.008***"</f>
        <v>0.008***</v>
      </c>
      <c r="E23" t="str">
        <f>""</f>
        <v/>
      </c>
      <c r="F23" t="str">
        <f>"0.009***"</f>
        <v>0.009***</v>
      </c>
      <c r="G23" t="str">
        <f>""</f>
        <v/>
      </c>
      <c r="H23" t="str">
        <f>"0.008***"</f>
        <v>0.008***</v>
      </c>
    </row>
    <row r="24" spans="2:8" x14ac:dyDescent="0.2">
      <c r="B24" s="13"/>
      <c r="C24" t="str">
        <f>""</f>
        <v/>
      </c>
      <c r="D24" t="str">
        <f>"[0.002]"</f>
        <v>[0.002]</v>
      </c>
      <c r="E24" t="str">
        <f>""</f>
        <v/>
      </c>
      <c r="F24" t="str">
        <f>"[0.002]"</f>
        <v>[0.002]</v>
      </c>
      <c r="G24" t="str">
        <f>""</f>
        <v/>
      </c>
      <c r="H24" t="str">
        <f>"[0.002]"</f>
        <v>[0.002]</v>
      </c>
    </row>
    <row r="25" spans="2:8" x14ac:dyDescent="0.2">
      <c r="B25" s="13" t="str">
        <f>"Lag. Index of  household Losss (all) - PCA"</f>
        <v>Lag. Index of  household Losss (all) - PCA</v>
      </c>
      <c r="C25" t="str">
        <f>""</f>
        <v/>
      </c>
      <c r="D25" t="str">
        <f>"-0.002"</f>
        <v>-0.002</v>
      </c>
      <c r="E25" t="str">
        <f>""</f>
        <v/>
      </c>
      <c r="F25" t="str">
        <f>"-0.002"</f>
        <v>-0.002</v>
      </c>
      <c r="G25" t="str">
        <f>""</f>
        <v/>
      </c>
      <c r="H25" t="str">
        <f>"-0.002"</f>
        <v>-0.002</v>
      </c>
    </row>
    <row r="26" spans="2:8" x14ac:dyDescent="0.2">
      <c r="B26" s="13"/>
      <c r="D26" t="str">
        <f>"[0.002]"</f>
        <v>[0.002]</v>
      </c>
      <c r="E26" t="str">
        <f>""</f>
        <v/>
      </c>
      <c r="F26" t="str">
        <f>"[0.001]"</f>
        <v>[0.001]</v>
      </c>
      <c r="G26" t="str">
        <f>""</f>
        <v/>
      </c>
      <c r="H26" t="str">
        <f>"[0.002]"</f>
        <v>[0.002]</v>
      </c>
    </row>
    <row r="27" spans="2:8" x14ac:dyDescent="0.2">
      <c r="B27" s="11" t="str">
        <f>""</f>
        <v/>
      </c>
      <c r="C27" t="str">
        <f>""</f>
        <v/>
      </c>
      <c r="E27" t="str">
        <f>""</f>
        <v/>
      </c>
      <c r="G27" t="str">
        <f>""</f>
        <v/>
      </c>
    </row>
    <row r="28" spans="2:8" x14ac:dyDescent="0.2">
      <c r="B28" s="68" t="s">
        <v>81</v>
      </c>
      <c r="C28" s="33"/>
      <c r="D28" s="33"/>
      <c r="E28" s="33"/>
      <c r="F28" s="33"/>
      <c r="G28" s="33"/>
      <c r="H28" s="33"/>
    </row>
    <row r="29" spans="2:8" ht="32" x14ac:dyDescent="0.2">
      <c r="B29" s="65" t="str">
        <f>"Violence in a given year (yes=1)*Index of  household Losss (all) - PCA - above the mean"</f>
        <v>Violence in a given year (yes=1)*Index of  household Losss (all) - PCA - above the mean</v>
      </c>
      <c r="C29" t="str">
        <f>"0.063"</f>
        <v>0.063</v>
      </c>
      <c r="D29" t="str">
        <f>""</f>
        <v/>
      </c>
      <c r="E29" t="str">
        <f>""</f>
        <v/>
      </c>
      <c r="F29" t="str">
        <f>""</f>
        <v/>
      </c>
      <c r="G29" t="str">
        <f>""</f>
        <v/>
      </c>
      <c r="H29" t="str">
        <f>""</f>
        <v/>
      </c>
    </row>
    <row r="30" spans="2:8" x14ac:dyDescent="0.2">
      <c r="B30" s="65"/>
      <c r="C30" t="str">
        <f>"[0.049]"</f>
        <v>[0.049]</v>
      </c>
      <c r="D30" t="str">
        <f>""</f>
        <v/>
      </c>
      <c r="E30" t="str">
        <f>""</f>
        <v/>
      </c>
      <c r="F30" t="str">
        <f>""</f>
        <v/>
      </c>
      <c r="G30" t="str">
        <f>""</f>
        <v/>
      </c>
      <c r="H30" t="str">
        <f>""</f>
        <v/>
      </c>
    </row>
    <row r="31" spans="2:8" ht="32" x14ac:dyDescent="0.2">
      <c r="B31" s="65" t="str">
        <f>"Lag. Violence in a given year (yes=1)*Index of  household Losss (all) - PCA - above the mean"</f>
        <v>Lag. Violence in a given year (yes=1)*Index of  household Losss (all) - PCA - above the mean</v>
      </c>
      <c r="C31" t="str">
        <f>"0.042"</f>
        <v>0.042</v>
      </c>
      <c r="D31" t="str">
        <f>""</f>
        <v/>
      </c>
      <c r="E31" t="str">
        <f>""</f>
        <v/>
      </c>
      <c r="F31" t="str">
        <f>""</f>
        <v/>
      </c>
      <c r="G31" t="str">
        <f>""</f>
        <v/>
      </c>
      <c r="H31" t="str">
        <f>""</f>
        <v/>
      </c>
    </row>
    <row r="32" spans="2:8" x14ac:dyDescent="0.2">
      <c r="B32" s="65"/>
      <c r="C32" t="str">
        <f>"[0.030]"</f>
        <v>[0.030]</v>
      </c>
      <c r="D32" t="str">
        <f>""</f>
        <v/>
      </c>
      <c r="E32" t="str">
        <f>""</f>
        <v/>
      </c>
      <c r="F32" t="str">
        <f>""</f>
        <v/>
      </c>
      <c r="G32" t="str">
        <f>""</f>
        <v/>
      </c>
      <c r="H32" t="str">
        <f>""</f>
        <v/>
      </c>
    </row>
    <row r="33" spans="2:8" x14ac:dyDescent="0.2">
      <c r="B33" s="65" t="str">
        <f>"Violence in a given year (yes=1)*Index of  household Losss (all) - PCA"</f>
        <v>Violence in a given year (yes=1)*Index of  household Losss (all) - PCA</v>
      </c>
      <c r="C33" t="str">
        <f>""</f>
        <v/>
      </c>
      <c r="D33" t="str">
        <f>"0.009"</f>
        <v>0.009</v>
      </c>
      <c r="E33" t="str">
        <f>""</f>
        <v/>
      </c>
      <c r="F33" t="str">
        <f>""</f>
        <v/>
      </c>
      <c r="G33" t="str">
        <f>""</f>
        <v/>
      </c>
      <c r="H33" t="str">
        <f>""</f>
        <v/>
      </c>
    </row>
    <row r="34" spans="2:8" x14ac:dyDescent="0.2">
      <c r="B34" s="65"/>
      <c r="C34" t="str">
        <f>""</f>
        <v/>
      </c>
      <c r="D34" t="str">
        <f>"[0.008]"</f>
        <v>[0.008]</v>
      </c>
      <c r="E34" t="str">
        <f>""</f>
        <v/>
      </c>
      <c r="F34" t="str">
        <f>""</f>
        <v/>
      </c>
      <c r="G34" t="str">
        <f>""</f>
        <v/>
      </c>
      <c r="H34" t="str">
        <f>""</f>
        <v/>
      </c>
    </row>
    <row r="35" spans="2:8" x14ac:dyDescent="0.2">
      <c r="B35" s="65" t="str">
        <f>"Lag. Violence in a given year (yes=1)*Index of  household Losss (all) - PCA"</f>
        <v>Lag. Violence in a given year (yes=1)*Index of  household Losss (all) - PCA</v>
      </c>
      <c r="C35" t="str">
        <f>""</f>
        <v/>
      </c>
      <c r="D35" t="str">
        <f>"0.006"</f>
        <v>0.006</v>
      </c>
      <c r="E35" t="str">
        <f>""</f>
        <v/>
      </c>
      <c r="F35" t="str">
        <f>""</f>
        <v/>
      </c>
      <c r="G35" t="str">
        <f>""</f>
        <v/>
      </c>
      <c r="H35" t="str">
        <f>""</f>
        <v/>
      </c>
    </row>
    <row r="36" spans="2:8" x14ac:dyDescent="0.2">
      <c r="B36" s="65"/>
      <c r="C36" t="str">
        <f>""</f>
        <v/>
      </c>
      <c r="D36" t="str">
        <f>"[0.008]"</f>
        <v>[0.008]</v>
      </c>
      <c r="E36" t="str">
        <f>""</f>
        <v/>
      </c>
      <c r="F36" t="str">
        <f>""</f>
        <v/>
      </c>
      <c r="G36" t="str">
        <f>""</f>
        <v/>
      </c>
      <c r="H36" t="str">
        <f>""</f>
        <v/>
      </c>
    </row>
    <row r="37" spans="2:8" ht="32" x14ac:dyDescent="0.2">
      <c r="B37" s="65" t="str">
        <f>"Number of casualties in a given year*Index of  household Losss (all) - PCA - above the mean (yes=1)"</f>
        <v>Number of casualties in a given year*Index of  household Losss (all) - PCA - above the mean (yes=1)</v>
      </c>
      <c r="C37" t="str">
        <f>""</f>
        <v/>
      </c>
      <c r="D37" t="str">
        <f>""</f>
        <v/>
      </c>
      <c r="E37" t="str">
        <f>"0.069***"</f>
        <v>0.069***</v>
      </c>
      <c r="F37" t="str">
        <f>""</f>
        <v/>
      </c>
      <c r="G37" t="str">
        <f>""</f>
        <v/>
      </c>
      <c r="H37" t="str">
        <f>""</f>
        <v/>
      </c>
    </row>
    <row r="38" spans="2:8" x14ac:dyDescent="0.2">
      <c r="B38" s="65"/>
      <c r="C38" t="str">
        <f>""</f>
        <v/>
      </c>
      <c r="D38" t="str">
        <f>""</f>
        <v/>
      </c>
      <c r="E38" t="str">
        <f>"[0.026]"</f>
        <v>[0.026]</v>
      </c>
      <c r="F38" t="str">
        <f>""</f>
        <v/>
      </c>
      <c r="G38" t="str">
        <f>""</f>
        <v/>
      </c>
      <c r="H38" t="str">
        <f>""</f>
        <v/>
      </c>
    </row>
    <row r="39" spans="2:8" ht="32" x14ac:dyDescent="0.2">
      <c r="B39" s="65" t="str">
        <f>"Lag. Number of casualties in a given year*Index of  household Losss (all) - PCA - above the mean (yes=1)"</f>
        <v>Lag. Number of casualties in a given year*Index of  household Losss (all) - PCA - above the mean (yes=1)</v>
      </c>
      <c r="C39" t="str">
        <f>""</f>
        <v/>
      </c>
      <c r="D39" t="str">
        <f>""</f>
        <v/>
      </c>
      <c r="E39" t="str">
        <f>"0.008"</f>
        <v>0.008</v>
      </c>
      <c r="F39" t="str">
        <f>""</f>
        <v/>
      </c>
      <c r="G39" t="str">
        <f>""</f>
        <v/>
      </c>
      <c r="H39" t="str">
        <f>""</f>
        <v/>
      </c>
    </row>
    <row r="40" spans="2:8" x14ac:dyDescent="0.2">
      <c r="B40" s="65"/>
      <c r="C40" t="str">
        <f>""</f>
        <v/>
      </c>
      <c r="D40" t="str">
        <f>""</f>
        <v/>
      </c>
      <c r="E40" t="str">
        <f>"[0.055]"</f>
        <v>[0.055]</v>
      </c>
      <c r="F40" t="str">
        <f>""</f>
        <v/>
      </c>
      <c r="G40" t="str">
        <f>""</f>
        <v/>
      </c>
      <c r="H40" t="str">
        <f>""</f>
        <v/>
      </c>
    </row>
    <row r="41" spans="2:8" x14ac:dyDescent="0.2">
      <c r="B41" s="65" t="str">
        <f>"Number of casualties in a given year*Index of  household Losss (all) - PCA"</f>
        <v>Number of casualties in a given year*Index of  household Losss (all) - PCA</v>
      </c>
      <c r="C41" t="str">
        <f>""</f>
        <v/>
      </c>
      <c r="D41" t="str">
        <f>""</f>
        <v/>
      </c>
      <c r="E41" t="str">
        <f>""</f>
        <v/>
      </c>
      <c r="F41" t="str">
        <f>"0.312"</f>
        <v>0.312</v>
      </c>
      <c r="G41" t="str">
        <f>""</f>
        <v/>
      </c>
      <c r="H41" t="str">
        <f>""</f>
        <v/>
      </c>
    </row>
    <row r="42" spans="2:8" x14ac:dyDescent="0.2">
      <c r="B42" s="66"/>
      <c r="C42" t="str">
        <f>""</f>
        <v/>
      </c>
      <c r="D42" t="str">
        <f>""</f>
        <v/>
      </c>
      <c r="E42" t="str">
        <f>""</f>
        <v/>
      </c>
      <c r="F42" t="str">
        <f>"[0.206]"</f>
        <v>[0.206]</v>
      </c>
      <c r="G42" t="str">
        <f>""</f>
        <v/>
      </c>
      <c r="H42" t="str">
        <f>""</f>
        <v/>
      </c>
    </row>
    <row r="43" spans="2:8" x14ac:dyDescent="0.2">
      <c r="B43" s="65" t="str">
        <f>"Lag. Number of casualties in a given year*Index of  household Losss (all) - PCA"</f>
        <v>Lag. Number of casualties in a given year*Index of  household Losss (all) - PCA</v>
      </c>
      <c r="C43" t="str">
        <f>""</f>
        <v/>
      </c>
      <c r="D43" t="str">
        <f>""</f>
        <v/>
      </c>
      <c r="E43" t="str">
        <f>""</f>
        <v/>
      </c>
      <c r="F43" t="str">
        <f>"0.237"</f>
        <v>0.237</v>
      </c>
      <c r="G43" t="str">
        <f>""</f>
        <v/>
      </c>
      <c r="H43" t="str">
        <f>""</f>
        <v/>
      </c>
    </row>
    <row r="44" spans="2:8" x14ac:dyDescent="0.2">
      <c r="B44" s="66"/>
      <c r="C44" t="str">
        <f>""</f>
        <v/>
      </c>
      <c r="D44" t="str">
        <f>""</f>
        <v/>
      </c>
      <c r="E44" t="str">
        <f>""</f>
        <v/>
      </c>
      <c r="F44" t="str">
        <f>"[0.227]"</f>
        <v>[0.227]</v>
      </c>
      <c r="G44" t="str">
        <f>""</f>
        <v/>
      </c>
      <c r="H44" t="str">
        <f>""</f>
        <v/>
      </c>
    </row>
    <row r="45" spans="2:8" ht="34" x14ac:dyDescent="0.2">
      <c r="B45" s="65" t="str">
        <f>"Number of casualties in a given year above mean (yes=1)*Index of  household Losss (all) - PCA - above the mean (yes=1)"</f>
        <v>Number of casualties in a given year above mean (yes=1)*Index of  household Losss (all) - PCA - above the mean (yes=1)</v>
      </c>
      <c r="C45" t="str">
        <f>""</f>
        <v/>
      </c>
      <c r="D45" t="str">
        <f>""</f>
        <v/>
      </c>
      <c r="E45" t="str">
        <f>""</f>
        <v/>
      </c>
      <c r="F45" t="str">
        <f>""</f>
        <v/>
      </c>
      <c r="G45" t="str">
        <f>"0.557***"</f>
        <v>0.557***</v>
      </c>
      <c r="H45" t="str">
        <f>""</f>
        <v/>
      </c>
    </row>
    <row r="46" spans="2:8" x14ac:dyDescent="0.2">
      <c r="B46" s="66"/>
      <c r="C46" t="str">
        <f>""</f>
        <v/>
      </c>
      <c r="D46" t="str">
        <f>""</f>
        <v/>
      </c>
      <c r="E46" t="str">
        <f>""</f>
        <v/>
      </c>
      <c r="F46" t="str">
        <f>""</f>
        <v/>
      </c>
      <c r="G46" t="str">
        <f>"[0.136]"</f>
        <v>[0.136]</v>
      </c>
      <c r="H46" t="str">
        <f>""</f>
        <v/>
      </c>
    </row>
    <row r="47" spans="2:8" ht="34" x14ac:dyDescent="0.2">
      <c r="B47" s="65" t="str">
        <f>"Lag Number of casualties in a given year above mean (yes=1)*Index of  household Losss (all) - PCA - above the mean (yes=1)"</f>
        <v>Lag Number of casualties in a given year above mean (yes=1)*Index of  household Losss (all) - PCA - above the mean (yes=1)</v>
      </c>
      <c r="C47" t="str">
        <f>""</f>
        <v/>
      </c>
      <c r="D47" t="str">
        <f>""</f>
        <v/>
      </c>
      <c r="E47" t="str">
        <f>""</f>
        <v/>
      </c>
      <c r="F47" t="str">
        <f>""</f>
        <v/>
      </c>
      <c r="G47" t="str">
        <f>"0.510***"</f>
        <v>0.510***</v>
      </c>
      <c r="H47" t="str">
        <f>""</f>
        <v/>
      </c>
    </row>
    <row r="48" spans="2:8" x14ac:dyDescent="0.2">
      <c r="B48" s="66"/>
      <c r="C48" t="str">
        <f>""</f>
        <v/>
      </c>
      <c r="D48" t="str">
        <f>""</f>
        <v/>
      </c>
      <c r="E48" t="str">
        <f>""</f>
        <v/>
      </c>
      <c r="F48" t="str">
        <f>""</f>
        <v/>
      </c>
      <c r="G48" t="str">
        <f>"[0.116]"</f>
        <v>[0.116]</v>
      </c>
      <c r="H48" t="str">
        <f>""</f>
        <v/>
      </c>
    </row>
    <row r="49" spans="2:8" ht="34" x14ac:dyDescent="0.2">
      <c r="B49" s="65" t="str">
        <f>"Number of casualties in a given year above mean (yes=1)*Index of  household Losss (all) - PCA"</f>
        <v>Number of casualties in a given year above mean (yes=1)*Index of  household Losss (all) - PCA</v>
      </c>
      <c r="C49" t="str">
        <f>""</f>
        <v/>
      </c>
      <c r="D49" t="str">
        <f>""</f>
        <v/>
      </c>
      <c r="E49" t="str">
        <f>""</f>
        <v/>
      </c>
      <c r="F49" t="str">
        <f>""</f>
        <v/>
      </c>
      <c r="G49" t="str">
        <f>""</f>
        <v/>
      </c>
      <c r="H49" t="str">
        <f>"0.008"</f>
        <v>0.008</v>
      </c>
    </row>
    <row r="50" spans="2:8" x14ac:dyDescent="0.2">
      <c r="B50" s="65"/>
      <c r="C50" t="str">
        <f>""</f>
        <v/>
      </c>
      <c r="D50" t="str">
        <f>""</f>
        <v/>
      </c>
      <c r="E50" t="str">
        <f>""</f>
        <v/>
      </c>
      <c r="F50" t="str">
        <f>""</f>
        <v/>
      </c>
      <c r="G50" t="str">
        <f>""</f>
        <v/>
      </c>
      <c r="H50" t="str">
        <f>"[0.007]"</f>
        <v>[0.007]</v>
      </c>
    </row>
    <row r="51" spans="2:8" ht="34" x14ac:dyDescent="0.2">
      <c r="B51" s="65" t="str">
        <f>"Lag. Number of casualties in a given year above mean (yes=1)*Index of  household Losss (all) - PCA"</f>
        <v>Lag. Number of casualties in a given year above mean (yes=1)*Index of  household Losss (all) - PCA</v>
      </c>
      <c r="C51" t="str">
        <f>""</f>
        <v/>
      </c>
      <c r="D51" t="str">
        <f>""</f>
        <v/>
      </c>
      <c r="E51" t="str">
        <f>""</f>
        <v/>
      </c>
      <c r="F51" t="str">
        <f>""</f>
        <v/>
      </c>
      <c r="G51" t="str">
        <f>""</f>
        <v/>
      </c>
      <c r="H51" t="str">
        <f>"0.010"</f>
        <v>0.010</v>
      </c>
    </row>
    <row r="52" spans="2:8" x14ac:dyDescent="0.2">
      <c r="B52" s="55"/>
      <c r="C52" t="str">
        <f>""</f>
        <v/>
      </c>
      <c r="D52" t="str">
        <f>""</f>
        <v/>
      </c>
      <c r="E52" t="str">
        <f>""</f>
        <v/>
      </c>
      <c r="F52" t="str">
        <f>""</f>
        <v/>
      </c>
      <c r="G52" t="str">
        <f>""</f>
        <v/>
      </c>
      <c r="H52" t="str">
        <f>"[0.010]"</f>
        <v>[0.010]</v>
      </c>
    </row>
    <row r="53" spans="2:8" x14ac:dyDescent="0.2">
      <c r="B53" s="24" t="s">
        <v>27</v>
      </c>
      <c r="C53" s="35" t="str">
        <f t="shared" ref="C53:H53" si="0">"31320"</f>
        <v>31320</v>
      </c>
      <c r="D53" s="35" t="str">
        <f t="shared" si="0"/>
        <v>31320</v>
      </c>
      <c r="E53" s="35" t="str">
        <f t="shared" si="0"/>
        <v>31320</v>
      </c>
      <c r="F53" s="35" t="str">
        <f t="shared" si="0"/>
        <v>31320</v>
      </c>
      <c r="G53" s="35" t="str">
        <f t="shared" si="0"/>
        <v>31320</v>
      </c>
      <c r="H53" s="35" t="str">
        <f t="shared" si="0"/>
        <v>31320</v>
      </c>
    </row>
    <row r="54" spans="2:8" x14ac:dyDescent="0.2">
      <c r="B54" s="21" t="s">
        <v>49</v>
      </c>
      <c r="C54" s="22" t="str">
        <f t="shared" ref="C54:H54" si="1">"0.045"</f>
        <v>0.045</v>
      </c>
      <c r="D54" s="22" t="str">
        <f t="shared" si="1"/>
        <v>0.045</v>
      </c>
      <c r="E54" s="22" t="str">
        <f t="shared" si="1"/>
        <v>0.045</v>
      </c>
      <c r="F54" s="22" t="str">
        <f t="shared" si="1"/>
        <v>0.045</v>
      </c>
      <c r="G54" s="22" t="str">
        <f t="shared" si="1"/>
        <v>0.045</v>
      </c>
      <c r="H54" s="22" t="str">
        <f t="shared" si="1"/>
        <v>0.045</v>
      </c>
    </row>
    <row r="55" spans="2:8" x14ac:dyDescent="0.2">
      <c r="B55" s="21" t="s">
        <v>26</v>
      </c>
      <c r="C55" s="25" t="s">
        <v>25</v>
      </c>
      <c r="D55" s="25" t="s">
        <v>25</v>
      </c>
      <c r="E55" s="25" t="s">
        <v>25</v>
      </c>
      <c r="F55" s="25" t="s">
        <v>25</v>
      </c>
      <c r="G55" s="25" t="s">
        <v>25</v>
      </c>
      <c r="H55" s="25" t="s">
        <v>25</v>
      </c>
    </row>
    <row r="56" spans="2:8" x14ac:dyDescent="0.2">
      <c r="B56" s="21" t="s">
        <v>24</v>
      </c>
      <c r="C56" s="25" t="s">
        <v>25</v>
      </c>
      <c r="D56" s="25" t="s">
        <v>25</v>
      </c>
      <c r="E56" s="25" t="s">
        <v>25</v>
      </c>
      <c r="F56" s="25" t="s">
        <v>25</v>
      </c>
      <c r="G56" s="25" t="s">
        <v>25</v>
      </c>
      <c r="H56" s="25" t="s">
        <v>25</v>
      </c>
    </row>
    <row r="57" spans="2:8" x14ac:dyDescent="0.2">
      <c r="B57" s="26" t="s">
        <v>38</v>
      </c>
      <c r="C57" s="27" t="s">
        <v>25</v>
      </c>
      <c r="D57" s="27" t="s">
        <v>25</v>
      </c>
      <c r="E57" s="27" t="s">
        <v>25</v>
      </c>
      <c r="F57" s="27" t="s">
        <v>25</v>
      </c>
      <c r="G57" s="27" t="s">
        <v>25</v>
      </c>
      <c r="H57" s="27" t="s">
        <v>25</v>
      </c>
    </row>
    <row r="58" spans="2:8" ht="84" customHeight="1" x14ac:dyDescent="0.2">
      <c r="B58" s="90" t="s">
        <v>75</v>
      </c>
      <c r="C58" s="90"/>
      <c r="D58" s="90"/>
      <c r="E58" s="90"/>
      <c r="F58" s="90"/>
      <c r="G58" s="90"/>
      <c r="H58" s="90"/>
    </row>
  </sheetData>
  <mergeCells count="2">
    <mergeCell ref="B2:H2"/>
    <mergeCell ref="B58:H58"/>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B019-079D-7F48-A8D7-852E8885C4FC}">
  <dimension ref="B1:K28"/>
  <sheetViews>
    <sheetView showGridLines="0" workbookViewId="0">
      <selection activeCell="B8" sqref="B8"/>
    </sheetView>
  </sheetViews>
  <sheetFormatPr baseColWidth="10" defaultColWidth="11" defaultRowHeight="16" x14ac:dyDescent="0.2"/>
  <cols>
    <col min="2" max="2" width="61.83203125" customWidth="1"/>
  </cols>
  <sheetData>
    <row r="1" spans="2:11" x14ac:dyDescent="0.2">
      <c r="D1" s="85"/>
      <c r="E1" s="85"/>
      <c r="F1" s="85"/>
      <c r="G1" s="85"/>
      <c r="H1" s="85"/>
      <c r="I1" s="85"/>
      <c r="J1" s="85"/>
      <c r="K1" s="85"/>
    </row>
    <row r="2" spans="2:11" x14ac:dyDescent="0.2">
      <c r="B2" s="85" t="s">
        <v>100</v>
      </c>
      <c r="C2" s="85"/>
      <c r="D2" s="85"/>
      <c r="E2" s="85"/>
      <c r="F2" s="85"/>
      <c r="G2" s="85"/>
      <c r="H2" s="85"/>
    </row>
    <row r="3" spans="2:11" ht="68" x14ac:dyDescent="0.2">
      <c r="B3" s="81" t="s">
        <v>46</v>
      </c>
      <c r="C3" s="46" t="s">
        <v>47</v>
      </c>
      <c r="D3" s="46" t="s">
        <v>64</v>
      </c>
      <c r="E3" s="46" t="s">
        <v>35</v>
      </c>
      <c r="F3" s="46" t="s">
        <v>51</v>
      </c>
      <c r="G3" s="46" t="s">
        <v>36</v>
      </c>
      <c r="H3" s="46" t="s">
        <v>37</v>
      </c>
    </row>
    <row r="4" spans="2:11" ht="17" thickBot="1" x14ac:dyDescent="0.25">
      <c r="B4" s="86"/>
      <c r="C4" s="10" t="s">
        <v>28</v>
      </c>
      <c r="D4" s="10" t="s">
        <v>29</v>
      </c>
      <c r="E4" s="10" t="s">
        <v>30</v>
      </c>
      <c r="F4" s="10" t="s">
        <v>31</v>
      </c>
      <c r="G4" s="10" t="s">
        <v>32</v>
      </c>
      <c r="H4" s="10" t="s">
        <v>33</v>
      </c>
    </row>
    <row r="5" spans="2:11" ht="21" customHeight="1" thickTop="1" x14ac:dyDescent="0.2">
      <c r="B5" s="87" t="s">
        <v>53</v>
      </c>
      <c r="C5" s="87"/>
      <c r="D5" s="87"/>
      <c r="E5" s="87"/>
      <c r="F5" s="87"/>
      <c r="G5" s="87"/>
      <c r="H5" s="87"/>
    </row>
    <row r="6" spans="2:11" ht="21" customHeight="1" x14ac:dyDescent="0.2">
      <c r="B6" s="54" t="s">
        <v>82</v>
      </c>
      <c r="C6" s="31" t="str">
        <f>"0.008"</f>
        <v>0.008</v>
      </c>
      <c r="D6" s="31" t="str">
        <f>"0.005"</f>
        <v>0.005</v>
      </c>
      <c r="E6" s="31" t="str">
        <f>"0.002"</f>
        <v>0.002</v>
      </c>
      <c r="F6" s="31" t="str">
        <f>"0.005"</f>
        <v>0.005</v>
      </c>
      <c r="G6" s="31" t="str">
        <f>"0.007"</f>
        <v>0.007</v>
      </c>
      <c r="H6" s="31" t="str">
        <f>"0.003"</f>
        <v>0.003</v>
      </c>
    </row>
    <row r="7" spans="2:11" ht="21" customHeight="1" x14ac:dyDescent="0.2">
      <c r="B7" s="69"/>
      <c r="C7" s="31" t="str">
        <f>"[0.015]"</f>
        <v>[0.015]</v>
      </c>
      <c r="D7" s="31" t="str">
        <f>"[0.010]"</f>
        <v>[0.010]</v>
      </c>
      <c r="E7" s="31" t="str">
        <f>"[0.011]"</f>
        <v>[0.011]</v>
      </c>
      <c r="F7" s="31" t="str">
        <f>"[0.014]"</f>
        <v>[0.014]</v>
      </c>
      <c r="G7" s="31" t="str">
        <f>"[0.016]"</f>
        <v>[0.016]</v>
      </c>
      <c r="H7" s="31" t="str">
        <f>"[0.005]"</f>
        <v>[0.005]</v>
      </c>
    </row>
    <row r="8" spans="2:11" x14ac:dyDescent="0.2">
      <c r="B8" s="54" t="s">
        <v>89</v>
      </c>
      <c r="C8" s="31" t="str">
        <f>"0.019"</f>
        <v>0.019</v>
      </c>
      <c r="D8" s="31" t="str">
        <f>"0.030*"</f>
        <v>0.030*</v>
      </c>
      <c r="E8" s="31" t="str">
        <f>"0.018"</f>
        <v>0.018</v>
      </c>
      <c r="F8" s="31" t="str">
        <f>"0.026*"</f>
        <v>0.026*</v>
      </c>
      <c r="G8" s="31" t="str">
        <f>"0.032*"</f>
        <v>0.032*</v>
      </c>
      <c r="H8" s="31" t="str">
        <f>"0.003"</f>
        <v>0.003</v>
      </c>
    </row>
    <row r="9" spans="2:11" x14ac:dyDescent="0.2">
      <c r="B9" s="6"/>
      <c r="C9" s="31" t="str">
        <f>"[0.013]"</f>
        <v>[0.013]</v>
      </c>
      <c r="D9" s="31" t="str">
        <f>"[0.015]"</f>
        <v>[0.015]</v>
      </c>
      <c r="E9" s="31" t="str">
        <f>"[0.015]"</f>
        <v>[0.015]</v>
      </c>
      <c r="F9" s="31" t="str">
        <f>"[0.014]"</f>
        <v>[0.014]</v>
      </c>
      <c r="G9" s="31" t="str">
        <f>"[0.017]"</f>
        <v>[0.017]</v>
      </c>
      <c r="H9" s="31" t="str">
        <f>"[0.005]"</f>
        <v>[0.005]</v>
      </c>
    </row>
    <row r="10" spans="2:11" x14ac:dyDescent="0.2">
      <c r="B10" s="88" t="s">
        <v>52</v>
      </c>
      <c r="C10" s="88"/>
      <c r="D10" s="88"/>
      <c r="E10" s="88"/>
      <c r="F10" s="88"/>
      <c r="G10" s="88"/>
      <c r="H10" s="88"/>
    </row>
    <row r="11" spans="2:11" x14ac:dyDescent="0.2">
      <c r="B11" s="55" t="s">
        <v>84</v>
      </c>
      <c r="C11" s="31" t="str">
        <f>"0.022**"</f>
        <v>0.022**</v>
      </c>
      <c r="D11" s="31" t="str">
        <f>"0.023**"</f>
        <v>0.023**</v>
      </c>
      <c r="E11" s="31" t="str">
        <f>"0.016**"</f>
        <v>0.016**</v>
      </c>
      <c r="F11" s="31" t="str">
        <f>"0.025***"</f>
        <v>0.025***</v>
      </c>
      <c r="G11" s="31" t="str">
        <f>"0.031***"</f>
        <v>0.031***</v>
      </c>
      <c r="H11" s="31" t="str">
        <f>"0.004"</f>
        <v>0.004</v>
      </c>
    </row>
    <row r="12" spans="2:11" x14ac:dyDescent="0.2">
      <c r="B12" s="70"/>
      <c r="C12" s="31" t="str">
        <f>"[0.008]"</f>
        <v>[0.008]</v>
      </c>
      <c r="D12" s="31" t="str">
        <f>"[0.009]"</f>
        <v>[0.009]</v>
      </c>
      <c r="E12" s="31" t="str">
        <f>"[0.007]"</f>
        <v>[0.007]</v>
      </c>
      <c r="F12" s="31" t="str">
        <f>"[0.008]"</f>
        <v>[0.008]</v>
      </c>
      <c r="G12" s="31" t="str">
        <f>"[0.010]"</f>
        <v>[0.010]</v>
      </c>
      <c r="H12" s="31" t="str">
        <f>"[0.006]"</f>
        <v>[0.006]</v>
      </c>
    </row>
    <row r="13" spans="2:11" x14ac:dyDescent="0.2">
      <c r="B13" s="55" t="s">
        <v>90</v>
      </c>
      <c r="C13" s="31" t="str">
        <f>"-0.002"</f>
        <v>-0.002</v>
      </c>
      <c r="D13" s="31" t="str">
        <f>"-0.009"</f>
        <v>-0.009</v>
      </c>
      <c r="E13" s="31" t="str">
        <f>"-0.007"</f>
        <v>-0.007</v>
      </c>
      <c r="F13" s="31" t="str">
        <f>"-0.006"</f>
        <v>-0.006</v>
      </c>
      <c r="G13" s="31" t="str">
        <f>"-0.007"</f>
        <v>-0.007</v>
      </c>
      <c r="H13" s="31" t="str">
        <f>"-0.004"</f>
        <v>-0.004</v>
      </c>
    </row>
    <row r="14" spans="2:11" x14ac:dyDescent="0.2">
      <c r="B14" s="6"/>
      <c r="C14" s="31" t="str">
        <f>"[0.005]"</f>
        <v>[0.005]</v>
      </c>
      <c r="D14" s="31" t="str">
        <f>"[0.006]"</f>
        <v>[0.006]</v>
      </c>
      <c r="E14" s="31" t="str">
        <f>"[0.005]"</f>
        <v>[0.005]</v>
      </c>
      <c r="F14" s="31" t="str">
        <f>"[0.006]"</f>
        <v>[0.006]</v>
      </c>
      <c r="G14" s="31" t="str">
        <f>"[0.006]"</f>
        <v>[0.006]</v>
      </c>
      <c r="H14" s="31" t="str">
        <f>"[0.006]"</f>
        <v>[0.006]</v>
      </c>
    </row>
    <row r="15" spans="2:11" x14ac:dyDescent="0.2">
      <c r="B15" s="50" t="s">
        <v>85</v>
      </c>
      <c r="C15" s="50"/>
      <c r="D15" s="50"/>
      <c r="E15" s="50"/>
      <c r="F15" s="50"/>
      <c r="G15" s="50"/>
      <c r="H15" s="50"/>
    </row>
    <row r="16" spans="2:11" ht="29" x14ac:dyDescent="0.2">
      <c r="B16" s="55" t="s">
        <v>86</v>
      </c>
      <c r="C16" s="31" t="str">
        <f>"0.544"</f>
        <v>0.544</v>
      </c>
      <c r="D16" s="31" t="str">
        <f>"0.568***"</f>
        <v>0.568***</v>
      </c>
      <c r="E16" s="31" t="str">
        <f>"0.601***"</f>
        <v>0.601***</v>
      </c>
      <c r="F16" s="31" t="str">
        <f>"0.377*"</f>
        <v>0.377*</v>
      </c>
      <c r="G16" s="31" t="str">
        <f>"0.605***"</f>
        <v>0.605***</v>
      </c>
      <c r="H16" s="31" t="str">
        <f>"-0.156"</f>
        <v>-0.156</v>
      </c>
    </row>
    <row r="17" spans="2:8" x14ac:dyDescent="0.2">
      <c r="B17" s="59"/>
      <c r="C17" s="31" t="str">
        <f>"[0.341]"</f>
        <v>[0.341]</v>
      </c>
      <c r="D17" s="31" t="str">
        <f>"[0.049]"</f>
        <v>[0.049]</v>
      </c>
      <c r="E17" s="31" t="str">
        <f>"[0.062]"</f>
        <v>[0.062]</v>
      </c>
      <c r="F17" s="31" t="str">
        <f>"[0.205]"</f>
        <v>[0.205]</v>
      </c>
      <c r="G17" s="31" t="str">
        <f>"[0.195]"</f>
        <v>[0.195]</v>
      </c>
      <c r="H17" s="31" t="str">
        <f>"[0.272]"</f>
        <v>[0.272]</v>
      </c>
    </row>
    <row r="18" spans="2:8" ht="29" x14ac:dyDescent="0.2">
      <c r="B18" s="55" t="s">
        <v>91</v>
      </c>
      <c r="C18" s="31" t="str">
        <f>"0.333**"</f>
        <v>0.333**</v>
      </c>
      <c r="D18" s="31" t="str">
        <f>"0.619***"</f>
        <v>0.619***</v>
      </c>
      <c r="E18" s="31" t="str">
        <f>"0.588***"</f>
        <v>0.588***</v>
      </c>
      <c r="F18" s="31" t="str">
        <f>"0.316**"</f>
        <v>0.316**</v>
      </c>
      <c r="G18" s="31" t="str">
        <f>"0.558***"</f>
        <v>0.558***</v>
      </c>
      <c r="H18" s="31" t="str">
        <f>"-0.186"</f>
        <v>-0.186</v>
      </c>
    </row>
    <row r="19" spans="2:8" x14ac:dyDescent="0.2">
      <c r="B19" s="6"/>
      <c r="C19" s="31" t="str">
        <f>"[0.142]"</f>
        <v>[0.142]</v>
      </c>
      <c r="D19" s="31" t="str">
        <f>"[0.117]"</f>
        <v>[0.117]</v>
      </c>
      <c r="E19" s="31" t="str">
        <f>"[0.108]"</f>
        <v>[0.108]</v>
      </c>
      <c r="F19" s="31" t="str">
        <f>"[0.148]"</f>
        <v>[0.148]</v>
      </c>
      <c r="G19" s="31" t="str">
        <f>"[0.151]"</f>
        <v>[0.151]</v>
      </c>
      <c r="H19" s="31" t="str">
        <f>"[0.309]"</f>
        <v>[0.309]</v>
      </c>
    </row>
    <row r="20" spans="2:8" x14ac:dyDescent="0.2">
      <c r="B20" s="51" t="s">
        <v>27</v>
      </c>
      <c r="C20" s="52" t="str">
        <f>"16092"</f>
        <v>16092</v>
      </c>
      <c r="D20" s="52" t="str">
        <f>"15228"</f>
        <v>15228</v>
      </c>
      <c r="E20" s="52" t="str">
        <f>"16156"</f>
        <v>16156</v>
      </c>
      <c r="F20" s="52" t="str">
        <f>"15164"</f>
        <v>15164</v>
      </c>
      <c r="G20" s="52" t="str">
        <f>"22419"</f>
        <v>22419</v>
      </c>
      <c r="H20" s="52" t="str">
        <f>"8874"</f>
        <v>8874</v>
      </c>
    </row>
    <row r="21" spans="2:8" x14ac:dyDescent="0.2">
      <c r="B21" s="21" t="s">
        <v>49</v>
      </c>
      <c r="C21" s="25" t="str">
        <f>"0.041"</f>
        <v>0.041</v>
      </c>
      <c r="D21" s="25" t="str">
        <f>"0.049"</f>
        <v>0.049</v>
      </c>
      <c r="E21" s="25" t="str">
        <f>"0.052"</f>
        <v>0.052</v>
      </c>
      <c r="F21" s="25" t="str">
        <f>"0.037"</f>
        <v>0.037</v>
      </c>
      <c r="G21" s="25" t="str">
        <f>"0.048"</f>
        <v>0.048</v>
      </c>
      <c r="H21" s="25" t="str">
        <f>"0.038"</f>
        <v>0.038</v>
      </c>
    </row>
    <row r="22" spans="2:8" x14ac:dyDescent="0.2">
      <c r="B22" s="21" t="s">
        <v>26</v>
      </c>
      <c r="C22" s="25" t="s">
        <v>25</v>
      </c>
      <c r="D22" s="25" t="s">
        <v>25</v>
      </c>
      <c r="E22" s="25" t="s">
        <v>25</v>
      </c>
      <c r="F22" s="25" t="s">
        <v>25</v>
      </c>
      <c r="G22" s="25" t="s">
        <v>25</v>
      </c>
      <c r="H22" s="25" t="s">
        <v>25</v>
      </c>
    </row>
    <row r="23" spans="2:8" x14ac:dyDescent="0.2">
      <c r="B23" s="21" t="s">
        <v>24</v>
      </c>
      <c r="C23" s="25" t="s">
        <v>25</v>
      </c>
      <c r="D23" s="25" t="s">
        <v>25</v>
      </c>
      <c r="E23" s="25" t="s">
        <v>25</v>
      </c>
      <c r="F23" s="25" t="s">
        <v>25</v>
      </c>
      <c r="G23" s="25" t="s">
        <v>25</v>
      </c>
      <c r="H23" s="25" t="s">
        <v>25</v>
      </c>
    </row>
    <row r="24" spans="2:8" x14ac:dyDescent="0.2">
      <c r="B24" s="21" t="s">
        <v>38</v>
      </c>
      <c r="C24" s="27" t="s">
        <v>25</v>
      </c>
      <c r="D24" s="27" t="s">
        <v>25</v>
      </c>
      <c r="E24" s="27" t="s">
        <v>25</v>
      </c>
      <c r="F24" s="27" t="s">
        <v>25</v>
      </c>
      <c r="G24" s="27" t="s">
        <v>25</v>
      </c>
      <c r="H24" s="27" t="s">
        <v>25</v>
      </c>
    </row>
    <row r="25" spans="2:8" ht="122" customHeight="1" x14ac:dyDescent="0.2">
      <c r="B25" s="83" t="s">
        <v>76</v>
      </c>
      <c r="C25" s="83"/>
      <c r="D25" s="83"/>
      <c r="E25" s="83"/>
      <c r="F25" s="83"/>
      <c r="G25" s="83"/>
      <c r="H25" s="83"/>
    </row>
    <row r="28" spans="2:8" ht="129" customHeight="1" x14ac:dyDescent="0.2"/>
  </sheetData>
  <mergeCells count="6">
    <mergeCell ref="B25:H25"/>
    <mergeCell ref="D1:K1"/>
    <mergeCell ref="B2:H2"/>
    <mergeCell ref="B3:B4"/>
    <mergeCell ref="B5:H5"/>
    <mergeCell ref="B10:H10"/>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E1A9C-5CC4-2549-922A-14C60939F3F8}">
  <dimension ref="B1:G20"/>
  <sheetViews>
    <sheetView showGridLines="0" workbookViewId="0">
      <selection activeCell="E24" sqref="E24"/>
    </sheetView>
  </sheetViews>
  <sheetFormatPr baseColWidth="10" defaultColWidth="11" defaultRowHeight="16" x14ac:dyDescent="0.2"/>
  <cols>
    <col min="2" max="2" width="38" customWidth="1"/>
    <col min="3" max="3" width="12.33203125" customWidth="1"/>
    <col min="4" max="4" width="15.1640625" customWidth="1"/>
    <col min="5" max="5" width="11.5" customWidth="1"/>
    <col min="6" max="6" width="16.6640625" customWidth="1"/>
    <col min="7" max="7" width="17" customWidth="1"/>
  </cols>
  <sheetData>
    <row r="1" spans="2:7" x14ac:dyDescent="0.2">
      <c r="B1" s="9"/>
      <c r="C1" s="6"/>
      <c r="D1" s="6"/>
      <c r="E1" s="6"/>
      <c r="F1" s="6"/>
    </row>
    <row r="2" spans="2:7" x14ac:dyDescent="0.2">
      <c r="B2" s="80" t="s">
        <v>102</v>
      </c>
      <c r="C2" s="80"/>
      <c r="D2" s="80"/>
      <c r="E2" s="80"/>
      <c r="F2" s="80"/>
    </row>
    <row r="3" spans="2:7" ht="38" customHeight="1" x14ac:dyDescent="0.2">
      <c r="B3" s="4"/>
      <c r="C3" s="81" t="s">
        <v>92</v>
      </c>
      <c r="D3" s="81"/>
      <c r="E3" s="81" t="s">
        <v>93</v>
      </c>
      <c r="F3" s="81"/>
    </row>
    <row r="4" spans="2:7" ht="33" thickBot="1" x14ac:dyDescent="0.25">
      <c r="B4" s="5"/>
      <c r="C4" s="61" t="s">
        <v>27</v>
      </c>
      <c r="D4" s="61" t="s">
        <v>78</v>
      </c>
      <c r="E4" s="61" t="s">
        <v>27</v>
      </c>
      <c r="F4" s="61" t="s">
        <v>78</v>
      </c>
    </row>
    <row r="5" spans="2:7" ht="25" customHeight="1" thickTop="1" x14ac:dyDescent="0.2">
      <c r="B5" s="73" t="s">
        <v>65</v>
      </c>
      <c r="C5" s="72"/>
      <c r="D5" s="72"/>
      <c r="E5" s="72"/>
      <c r="F5" s="72"/>
    </row>
    <row r="6" spans="2:7" ht="32" x14ac:dyDescent="0.2">
      <c r="B6" s="54" t="s">
        <v>77</v>
      </c>
      <c r="C6" s="7">
        <v>1788</v>
      </c>
      <c r="D6" s="60">
        <v>0.113</v>
      </c>
      <c r="E6" s="7">
        <v>752</v>
      </c>
      <c r="F6" s="60">
        <v>0.151</v>
      </c>
      <c r="G6" s="64"/>
    </row>
    <row r="7" spans="2:7" ht="48" x14ac:dyDescent="0.2">
      <c r="B7" s="63" t="s">
        <v>23</v>
      </c>
      <c r="C7" s="7">
        <v>525</v>
      </c>
      <c r="D7" s="60">
        <v>0.152</v>
      </c>
      <c r="E7" s="7">
        <v>415</v>
      </c>
      <c r="F7" s="60">
        <v>0.20200000000000001</v>
      </c>
    </row>
    <row r="8" spans="2:7" ht="12" customHeight="1" x14ac:dyDescent="0.2">
      <c r="B8" s="76" t="s">
        <v>101</v>
      </c>
      <c r="C8" s="77">
        <f>SUM(C6+C7)</f>
        <v>2313</v>
      </c>
      <c r="D8" s="22"/>
      <c r="E8" s="77">
        <f>+E6+E7</f>
        <v>1167</v>
      </c>
      <c r="F8" s="60"/>
      <c r="G8" s="64"/>
    </row>
    <row r="9" spans="2:7" ht="9" customHeight="1" x14ac:dyDescent="0.2">
      <c r="B9" s="82"/>
      <c r="C9" s="82"/>
      <c r="D9" s="82"/>
      <c r="E9" s="82"/>
      <c r="F9" s="82"/>
    </row>
    <row r="10" spans="2:7" ht="19" customHeight="1" x14ac:dyDescent="0.2">
      <c r="B10" s="74" t="s">
        <v>66</v>
      </c>
      <c r="C10" s="56"/>
      <c r="D10" s="56"/>
      <c r="E10" s="56"/>
      <c r="F10" s="56"/>
    </row>
    <row r="11" spans="2:7" ht="32" x14ac:dyDescent="0.2">
      <c r="B11" s="54" t="s">
        <v>79</v>
      </c>
      <c r="C11" s="7">
        <v>1977</v>
      </c>
      <c r="D11" s="60">
        <v>0.114</v>
      </c>
      <c r="E11" s="7">
        <v>908</v>
      </c>
      <c r="F11" s="60">
        <v>0.153</v>
      </c>
    </row>
    <row r="12" spans="2:7" ht="46" customHeight="1" x14ac:dyDescent="0.2">
      <c r="B12" s="63" t="s">
        <v>80</v>
      </c>
      <c r="C12" s="7">
        <v>336</v>
      </c>
      <c r="D12" s="60">
        <v>0.16600000000000001</v>
      </c>
      <c r="E12" s="7">
        <v>259</v>
      </c>
      <c r="F12" s="60">
        <v>0.22700000000000001</v>
      </c>
    </row>
    <row r="13" spans="2:7" ht="14" customHeight="1" x14ac:dyDescent="0.2">
      <c r="B13" s="76" t="s">
        <v>101</v>
      </c>
      <c r="C13" s="77">
        <f>C11+C12</f>
        <v>2313</v>
      </c>
      <c r="D13" s="22"/>
      <c r="E13" s="77">
        <f>E11+E12</f>
        <v>1167</v>
      </c>
      <c r="F13" s="75"/>
    </row>
    <row r="14" spans="2:7" x14ac:dyDescent="0.2">
      <c r="B14" s="83" t="s">
        <v>57</v>
      </c>
      <c r="C14" s="83"/>
      <c r="D14" s="83"/>
      <c r="E14" s="83"/>
      <c r="F14" s="83"/>
    </row>
    <row r="15" spans="2:7" x14ac:dyDescent="0.2">
      <c r="B15" s="71"/>
      <c r="C15" s="71"/>
      <c r="D15" s="71"/>
      <c r="E15" s="71"/>
      <c r="F15" s="71"/>
    </row>
    <row r="16" spans="2:7" x14ac:dyDescent="0.2">
      <c r="B16" s="71"/>
      <c r="C16" s="71"/>
      <c r="D16" s="71"/>
      <c r="E16" s="71"/>
      <c r="F16" s="71"/>
    </row>
    <row r="17" spans="2:6" x14ac:dyDescent="0.2">
      <c r="B17" s="71"/>
      <c r="C17" s="71"/>
      <c r="D17" s="71"/>
      <c r="E17" s="71"/>
      <c r="F17" s="71"/>
    </row>
    <row r="18" spans="2:6" x14ac:dyDescent="0.2">
      <c r="B18" s="71"/>
      <c r="C18" s="71"/>
      <c r="D18" s="71"/>
      <c r="E18" s="71"/>
      <c r="F18" s="71"/>
    </row>
    <row r="19" spans="2:6" x14ac:dyDescent="0.2">
      <c r="B19" s="71"/>
      <c r="C19" s="71"/>
      <c r="D19" s="71"/>
      <c r="E19" s="71"/>
      <c r="F19" s="71"/>
    </row>
    <row r="20" spans="2:6" x14ac:dyDescent="0.2">
      <c r="B20" s="71"/>
      <c r="C20" s="71"/>
      <c r="D20" s="71"/>
      <c r="E20" s="71"/>
      <c r="F20" s="71"/>
    </row>
  </sheetData>
  <mergeCells count="5">
    <mergeCell ref="B2:F2"/>
    <mergeCell ref="C3:D3"/>
    <mergeCell ref="E3:F3"/>
    <mergeCell ref="B9:F9"/>
    <mergeCell ref="B14:F14"/>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4EF6-3B06-AA46-9A8E-8BD1C4290401}">
  <dimension ref="B2:L32"/>
  <sheetViews>
    <sheetView showGridLines="0" workbookViewId="0">
      <selection activeCell="B7" sqref="B7"/>
    </sheetView>
  </sheetViews>
  <sheetFormatPr baseColWidth="10" defaultColWidth="11" defaultRowHeight="16" x14ac:dyDescent="0.2"/>
  <cols>
    <col min="2" max="2" width="56.1640625" customWidth="1"/>
  </cols>
  <sheetData>
    <row r="2" spans="2:12" x14ac:dyDescent="0.2">
      <c r="B2" s="84" t="s">
        <v>62</v>
      </c>
      <c r="C2" s="84"/>
      <c r="D2" s="84"/>
      <c r="E2" s="84"/>
      <c r="F2" s="84"/>
      <c r="G2" s="84"/>
      <c r="H2" s="84"/>
      <c r="I2" s="84"/>
      <c r="J2" s="84"/>
      <c r="K2" s="84"/>
      <c r="L2" s="84"/>
    </row>
    <row r="3" spans="2:12" ht="37" customHeight="1" thickBot="1" x14ac:dyDescent="0.25">
      <c r="B3" s="30" t="s">
        <v>46</v>
      </c>
      <c r="C3" s="12" t="s">
        <v>28</v>
      </c>
      <c r="D3" s="12" t="s">
        <v>29</v>
      </c>
      <c r="E3" s="12" t="s">
        <v>30</v>
      </c>
      <c r="F3" s="12" t="s">
        <v>31</v>
      </c>
      <c r="G3" s="12" t="s">
        <v>32</v>
      </c>
      <c r="H3" s="12" t="s">
        <v>33</v>
      </c>
      <c r="I3" s="12" t="s">
        <v>34</v>
      </c>
      <c r="J3" s="12" t="s">
        <v>39</v>
      </c>
      <c r="K3" s="12" t="s">
        <v>40</v>
      </c>
      <c r="L3" s="12" t="s">
        <v>58</v>
      </c>
    </row>
    <row r="4" spans="2:12" ht="17" thickTop="1" x14ac:dyDescent="0.2">
      <c r="B4" s="28" t="s">
        <v>53</v>
      </c>
      <c r="C4" s="23"/>
      <c r="D4" s="23"/>
      <c r="E4" s="23"/>
      <c r="F4" s="23"/>
      <c r="G4" s="23"/>
      <c r="H4" s="23"/>
      <c r="I4" s="23"/>
      <c r="J4" s="23"/>
      <c r="K4" s="23"/>
    </row>
    <row r="5" spans="2:12" x14ac:dyDescent="0.2">
      <c r="B5" s="6" t="s">
        <v>50</v>
      </c>
      <c r="C5" s="29" t="str">
        <f>"0.031**"</f>
        <v>0.031**</v>
      </c>
      <c r="D5" s="29" t="str">
        <f>""</f>
        <v/>
      </c>
      <c r="E5" s="29"/>
      <c r="F5" s="29"/>
      <c r="G5" s="29"/>
      <c r="H5" s="29"/>
      <c r="I5" s="29"/>
      <c r="J5" s="29"/>
      <c r="K5" s="29"/>
    </row>
    <row r="6" spans="2:12" x14ac:dyDescent="0.2">
      <c r="B6" s="6"/>
      <c r="C6" s="29" t="str">
        <f>"[0.014]"</f>
        <v>[0.014]</v>
      </c>
      <c r="D6" s="29" t="str">
        <f>""</f>
        <v/>
      </c>
      <c r="E6" s="29"/>
      <c r="F6" s="29"/>
      <c r="G6" s="29"/>
      <c r="H6" s="29"/>
      <c r="I6" s="29"/>
      <c r="J6" s="29"/>
      <c r="K6" s="29"/>
    </row>
    <row r="7" spans="2:12" x14ac:dyDescent="0.2">
      <c r="B7" s="6" t="s">
        <v>48</v>
      </c>
      <c r="C7" s="29" t="str">
        <f>""</f>
        <v/>
      </c>
      <c r="D7" s="29" t="str">
        <f>"0.241***"</f>
        <v>0.241***</v>
      </c>
      <c r="E7" s="29"/>
      <c r="F7" s="29"/>
      <c r="G7" s="29"/>
      <c r="H7" s="29"/>
      <c r="I7" s="29"/>
      <c r="J7" s="29"/>
      <c r="K7" s="29"/>
    </row>
    <row r="8" spans="2:12" x14ac:dyDescent="0.2">
      <c r="B8" s="6" t="str">
        <f>""</f>
        <v/>
      </c>
      <c r="C8" s="29" t="str">
        <f>""</f>
        <v/>
      </c>
      <c r="D8" s="29" t="str">
        <f>"[0.090]"</f>
        <v>[0.090]</v>
      </c>
      <c r="E8" s="29"/>
      <c r="F8" s="29"/>
      <c r="G8" s="29"/>
      <c r="H8" s="29"/>
      <c r="I8" s="29"/>
      <c r="J8" s="29"/>
      <c r="K8" s="29"/>
    </row>
    <row r="9" spans="2:12" x14ac:dyDescent="0.2">
      <c r="B9" s="6"/>
      <c r="C9" s="29"/>
      <c r="D9" s="29"/>
      <c r="E9" s="29"/>
      <c r="F9" s="29"/>
      <c r="G9" s="29"/>
      <c r="H9" s="29"/>
      <c r="I9" s="29"/>
      <c r="J9" s="29"/>
      <c r="K9" s="29"/>
    </row>
    <row r="10" spans="2:12" x14ac:dyDescent="0.2">
      <c r="B10" s="41" t="s">
        <v>52</v>
      </c>
      <c r="C10" s="33"/>
      <c r="D10" s="33"/>
      <c r="E10" s="33"/>
      <c r="F10" s="33"/>
      <c r="G10" s="33"/>
      <c r="H10" s="33"/>
      <c r="I10" s="33"/>
      <c r="J10" s="33"/>
      <c r="K10" s="33"/>
      <c r="L10" s="33"/>
    </row>
    <row r="11" spans="2:12" x14ac:dyDescent="0.2">
      <c r="B11" s="11" t="str">
        <f>"Loss of land (yes=1) for a household in a given year"</f>
        <v>Loss of land (yes=1) for a household in a given year</v>
      </c>
      <c r="C11" s="29"/>
      <c r="D11" s="29"/>
      <c r="E11" t="str">
        <f>"-0.003"</f>
        <v>-0.003</v>
      </c>
      <c r="F11" t="str">
        <f>""</f>
        <v/>
      </c>
      <c r="G11" t="str">
        <f>""</f>
        <v/>
      </c>
      <c r="H11" t="str">
        <f>""</f>
        <v/>
      </c>
      <c r="I11" t="str">
        <f>""</f>
        <v/>
      </c>
      <c r="J11" t="str">
        <f>""</f>
        <v/>
      </c>
      <c r="K11" t="str">
        <f>""</f>
        <v/>
      </c>
      <c r="L11" t="str">
        <f>""</f>
        <v/>
      </c>
    </row>
    <row r="12" spans="2:12" x14ac:dyDescent="0.2">
      <c r="B12" s="11" t="str">
        <f>""</f>
        <v/>
      </c>
      <c r="C12" s="29"/>
      <c r="D12" s="29"/>
      <c r="E12" t="str">
        <f>"[0.018]"</f>
        <v>[0.018]</v>
      </c>
      <c r="F12" t="str">
        <f>""</f>
        <v/>
      </c>
      <c r="G12" t="str">
        <f>""</f>
        <v/>
      </c>
      <c r="H12" t="str">
        <f>""</f>
        <v/>
      </c>
      <c r="I12" t="str">
        <f>""</f>
        <v/>
      </c>
      <c r="J12" t="str">
        <f>""</f>
        <v/>
      </c>
      <c r="K12" t="str">
        <f>""</f>
        <v/>
      </c>
      <c r="L12" t="str">
        <f>""</f>
        <v/>
      </c>
    </row>
    <row r="13" spans="2:12" x14ac:dyDescent="0.2">
      <c r="B13" s="11" t="str">
        <f>"Theft of crops (yes=1) for a household in a given year"</f>
        <v>Theft of crops (yes=1) for a household in a given year</v>
      </c>
      <c r="C13" s="29"/>
      <c r="D13" s="29"/>
      <c r="E13" t="str">
        <f>""</f>
        <v/>
      </c>
      <c r="F13" t="str">
        <f>"0.013*"</f>
        <v>0.013*</v>
      </c>
      <c r="G13" t="str">
        <f>""</f>
        <v/>
      </c>
      <c r="H13" t="str">
        <f>""</f>
        <v/>
      </c>
      <c r="I13" t="str">
        <f>""</f>
        <v/>
      </c>
      <c r="J13" t="str">
        <f>""</f>
        <v/>
      </c>
      <c r="K13" t="str">
        <f>""</f>
        <v/>
      </c>
      <c r="L13" t="str">
        <f>""</f>
        <v/>
      </c>
    </row>
    <row r="14" spans="2:12" x14ac:dyDescent="0.2">
      <c r="B14" s="11" t="str">
        <f>""</f>
        <v/>
      </c>
      <c r="C14" s="29"/>
      <c r="D14" s="29"/>
      <c r="E14" t="str">
        <f>""</f>
        <v/>
      </c>
      <c r="F14" t="str">
        <f>"[0.008]"</f>
        <v>[0.008]</v>
      </c>
      <c r="G14" t="str">
        <f>""</f>
        <v/>
      </c>
      <c r="H14" t="str">
        <f>""</f>
        <v/>
      </c>
      <c r="I14" t="str">
        <f>""</f>
        <v/>
      </c>
      <c r="J14" t="str">
        <f>""</f>
        <v/>
      </c>
      <c r="K14" t="str">
        <f>""</f>
        <v/>
      </c>
      <c r="L14" t="str">
        <f>""</f>
        <v/>
      </c>
    </row>
    <row r="15" spans="2:12" x14ac:dyDescent="0.2">
      <c r="B15" s="13" t="str">
        <f>"Theft of money (yes=1) for a household in a given year"</f>
        <v>Theft of money (yes=1) for a household in a given year</v>
      </c>
      <c r="C15" s="34"/>
      <c r="D15" s="34"/>
      <c r="E15" t="str">
        <f>""</f>
        <v/>
      </c>
      <c r="F15" t="str">
        <f>""</f>
        <v/>
      </c>
      <c r="G15" t="str">
        <f>"0.046***"</f>
        <v>0.046***</v>
      </c>
      <c r="H15" t="str">
        <f>""</f>
        <v/>
      </c>
      <c r="I15" t="str">
        <f>""</f>
        <v/>
      </c>
      <c r="J15" t="str">
        <f>""</f>
        <v/>
      </c>
      <c r="K15" t="str">
        <f>""</f>
        <v/>
      </c>
      <c r="L15" t="str">
        <f>""</f>
        <v/>
      </c>
    </row>
    <row r="16" spans="2:12" x14ac:dyDescent="0.2">
      <c r="B16" s="11" t="str">
        <f>""</f>
        <v/>
      </c>
      <c r="C16" s="29"/>
      <c r="D16" s="29"/>
      <c r="E16" t="str">
        <f>""</f>
        <v/>
      </c>
      <c r="F16" t="str">
        <f>""</f>
        <v/>
      </c>
      <c r="G16" t="str">
        <f>"[0.014]"</f>
        <v>[0.014]</v>
      </c>
      <c r="H16" t="str">
        <f>""</f>
        <v/>
      </c>
      <c r="I16" t="str">
        <f>""</f>
        <v/>
      </c>
      <c r="J16" t="str">
        <f>""</f>
        <v/>
      </c>
      <c r="K16" t="str">
        <f>""</f>
        <v/>
      </c>
      <c r="L16" t="str">
        <f>""</f>
        <v/>
      </c>
    </row>
    <row r="17" spans="2:12" x14ac:dyDescent="0.2">
      <c r="B17" s="11" t="str">
        <f>"Theft or destruction of goods (yes=1) for a household in a given year"</f>
        <v>Theft or destruction of goods (yes=1) for a household in a given year</v>
      </c>
      <c r="C17" s="29"/>
      <c r="D17" s="29"/>
      <c r="E17" t="str">
        <f>""</f>
        <v/>
      </c>
      <c r="F17" t="str">
        <f>""</f>
        <v/>
      </c>
      <c r="G17" t="str">
        <f>""</f>
        <v/>
      </c>
      <c r="H17" t="str">
        <f>"0.040***"</f>
        <v>0.040***</v>
      </c>
      <c r="I17" t="str">
        <f>""</f>
        <v/>
      </c>
      <c r="J17" t="str">
        <f>""</f>
        <v/>
      </c>
      <c r="K17" t="str">
        <f>""</f>
        <v/>
      </c>
      <c r="L17" t="str">
        <f>""</f>
        <v/>
      </c>
    </row>
    <row r="18" spans="2:12" x14ac:dyDescent="0.2">
      <c r="B18" s="11"/>
      <c r="C18" s="29"/>
      <c r="D18" s="29"/>
      <c r="E18" t="str">
        <f>""</f>
        <v/>
      </c>
      <c r="F18" t="str">
        <f>""</f>
        <v/>
      </c>
      <c r="G18" t="str">
        <f>""</f>
        <v/>
      </c>
      <c r="H18" t="str">
        <f>"[0.014]"</f>
        <v>[0.014]</v>
      </c>
      <c r="I18" t="str">
        <f>""</f>
        <v/>
      </c>
      <c r="J18" t="str">
        <f>""</f>
        <v/>
      </c>
      <c r="K18" t="str">
        <f>""</f>
        <v/>
      </c>
      <c r="L18" t="str">
        <f>""</f>
        <v/>
      </c>
    </row>
    <row r="19" spans="2:12" x14ac:dyDescent="0.2">
      <c r="B19" s="11" t="str">
        <f>"Destruction of house (yes=1) for a household in a given year"</f>
        <v>Destruction of house (yes=1) for a household in a given year</v>
      </c>
      <c r="C19" s="29"/>
      <c r="D19" s="29"/>
      <c r="E19" t="str">
        <f>""</f>
        <v/>
      </c>
      <c r="F19" t="str">
        <f>""</f>
        <v/>
      </c>
      <c r="G19" t="str">
        <f>""</f>
        <v/>
      </c>
      <c r="H19" t="str">
        <f>""</f>
        <v/>
      </c>
      <c r="I19" t="str">
        <f>"0.059**"</f>
        <v>0.059**</v>
      </c>
      <c r="J19" t="str">
        <f>""</f>
        <v/>
      </c>
      <c r="K19" t="str">
        <f>""</f>
        <v/>
      </c>
      <c r="L19" t="str">
        <f>""</f>
        <v/>
      </c>
    </row>
    <row r="20" spans="2:12" x14ac:dyDescent="0.2">
      <c r="B20" s="11"/>
      <c r="C20" s="29"/>
      <c r="D20" s="29"/>
      <c r="E20" t="str">
        <f>""</f>
        <v/>
      </c>
      <c r="F20" t="str">
        <f>""</f>
        <v/>
      </c>
      <c r="G20" t="str">
        <f>""</f>
        <v/>
      </c>
      <c r="H20" t="str">
        <f>""</f>
        <v/>
      </c>
      <c r="I20" t="str">
        <f>"[0.023]"</f>
        <v>[0.023]</v>
      </c>
      <c r="J20" t="str">
        <f>""</f>
        <v/>
      </c>
      <c r="K20" t="str">
        <f>""</f>
        <v/>
      </c>
      <c r="L20" t="str">
        <f>""</f>
        <v/>
      </c>
    </row>
    <row r="21" spans="2:12" x14ac:dyDescent="0.2">
      <c r="B21" s="15" t="s">
        <v>54</v>
      </c>
      <c r="C21" s="29"/>
      <c r="D21" s="29"/>
      <c r="E21" t="str">
        <f>""</f>
        <v/>
      </c>
      <c r="F21" t="str">
        <f>""</f>
        <v/>
      </c>
      <c r="G21" t="str">
        <f>""</f>
        <v/>
      </c>
      <c r="H21" t="str">
        <f>""</f>
        <v/>
      </c>
      <c r="I21" t="str">
        <f>""</f>
        <v/>
      </c>
      <c r="J21" t="str">
        <f>"0.002"</f>
        <v>0.002</v>
      </c>
      <c r="K21" t="str">
        <f>""</f>
        <v/>
      </c>
      <c r="L21" t="str">
        <f>""</f>
        <v/>
      </c>
    </row>
    <row r="22" spans="2:12" x14ac:dyDescent="0.2">
      <c r="C22" s="29"/>
      <c r="D22" s="29"/>
      <c r="E22" t="str">
        <f>""</f>
        <v/>
      </c>
      <c r="F22" t="str">
        <f>""</f>
        <v/>
      </c>
      <c r="G22" t="str">
        <f>""</f>
        <v/>
      </c>
      <c r="H22" t="str">
        <f>""</f>
        <v/>
      </c>
      <c r="I22" t="str">
        <f>""</f>
        <v/>
      </c>
      <c r="J22" t="str">
        <f>"[0.002]"</f>
        <v>[0.002]</v>
      </c>
      <c r="K22" t="str">
        <f>""</f>
        <v/>
      </c>
      <c r="L22" t="str">
        <f>""</f>
        <v/>
      </c>
    </row>
    <row r="23" spans="2:12" x14ac:dyDescent="0.2">
      <c r="B23" s="15" t="s">
        <v>55</v>
      </c>
      <c r="C23" s="29"/>
      <c r="D23" s="29"/>
      <c r="E23" t="str">
        <f>""</f>
        <v/>
      </c>
      <c r="F23" t="str">
        <f>""</f>
        <v/>
      </c>
      <c r="G23" t="str">
        <f>""</f>
        <v/>
      </c>
      <c r="H23" t="str">
        <f>""</f>
        <v/>
      </c>
      <c r="I23" t="str">
        <f>""</f>
        <v/>
      </c>
      <c r="J23" t="str">
        <f>""</f>
        <v/>
      </c>
      <c r="K23" t="str">
        <f>"0.008***"</f>
        <v>0.008***</v>
      </c>
      <c r="L23" t="str">
        <f>""</f>
        <v/>
      </c>
    </row>
    <row r="24" spans="2:12" x14ac:dyDescent="0.2">
      <c r="C24" s="29"/>
      <c r="D24" s="29"/>
      <c r="E24" t="str">
        <f>""</f>
        <v/>
      </c>
      <c r="F24" t="str">
        <f>""</f>
        <v/>
      </c>
      <c r="G24" t="str">
        <f>""</f>
        <v/>
      </c>
      <c r="H24" t="str">
        <f>""</f>
        <v/>
      </c>
      <c r="I24" t="str">
        <f>""</f>
        <v/>
      </c>
      <c r="J24" t="str">
        <f>""</f>
        <v/>
      </c>
      <c r="K24" t="str">
        <f>"[0.002]"</f>
        <v>[0.002]</v>
      </c>
      <c r="L24" t="str">
        <f>""</f>
        <v/>
      </c>
    </row>
    <row r="25" spans="2:12" x14ac:dyDescent="0.2">
      <c r="B25" s="15" t="s">
        <v>56</v>
      </c>
      <c r="C25" s="29"/>
      <c r="D25" s="29"/>
      <c r="E25" t="str">
        <f>""</f>
        <v/>
      </c>
      <c r="F25" t="str">
        <f>""</f>
        <v/>
      </c>
      <c r="G25" t="str">
        <f>""</f>
        <v/>
      </c>
      <c r="H25" t="str">
        <f>""</f>
        <v/>
      </c>
      <c r="I25" t="str">
        <f>""</f>
        <v/>
      </c>
      <c r="J25" t="str">
        <f>""</f>
        <v/>
      </c>
      <c r="K25" t="str">
        <f>""</f>
        <v/>
      </c>
      <c r="L25" t="str">
        <f>"0.007***"</f>
        <v>0.007***</v>
      </c>
    </row>
    <row r="26" spans="2:12" x14ac:dyDescent="0.2">
      <c r="B26" s="15"/>
      <c r="C26" s="29"/>
      <c r="D26" s="29"/>
      <c r="E26" t="str">
        <f>""</f>
        <v/>
      </c>
      <c r="F26" t="str">
        <f>""</f>
        <v/>
      </c>
      <c r="G26" t="str">
        <f>""</f>
        <v/>
      </c>
      <c r="H26" t="str">
        <f>""</f>
        <v/>
      </c>
      <c r="I26" t="str">
        <f>""</f>
        <v/>
      </c>
      <c r="J26" t="str">
        <f>""</f>
        <v/>
      </c>
      <c r="K26" t="str">
        <f>""</f>
        <v/>
      </c>
      <c r="L26" t="str">
        <f>"[0.002]"</f>
        <v>[0.002]</v>
      </c>
    </row>
    <row r="27" spans="2:12" x14ac:dyDescent="0.2">
      <c r="B27" s="24" t="s">
        <v>27</v>
      </c>
      <c r="C27" s="35" t="str">
        <f t="shared" ref="C27:L27" si="0">"34800"</f>
        <v>34800</v>
      </c>
      <c r="D27" s="35" t="str">
        <f t="shared" si="0"/>
        <v>34800</v>
      </c>
      <c r="E27" s="35" t="str">
        <f t="shared" si="0"/>
        <v>34800</v>
      </c>
      <c r="F27" s="35" t="str">
        <f t="shared" si="0"/>
        <v>34800</v>
      </c>
      <c r="G27" s="35" t="str">
        <f t="shared" si="0"/>
        <v>34800</v>
      </c>
      <c r="H27" s="35" t="str">
        <f t="shared" si="0"/>
        <v>34800</v>
      </c>
      <c r="I27" s="35" t="str">
        <f t="shared" si="0"/>
        <v>34800</v>
      </c>
      <c r="J27" s="35" t="str">
        <f t="shared" si="0"/>
        <v>34800</v>
      </c>
      <c r="K27" s="35" t="str">
        <f t="shared" si="0"/>
        <v>34800</v>
      </c>
      <c r="L27" s="35" t="str">
        <f t="shared" si="0"/>
        <v>34800</v>
      </c>
    </row>
    <row r="28" spans="2:12" x14ac:dyDescent="0.2">
      <c r="B28" s="21" t="s">
        <v>49</v>
      </c>
      <c r="C28" s="22" t="str">
        <f t="shared" ref="C28:L28" si="1">"0.045"</f>
        <v>0.045</v>
      </c>
      <c r="D28" s="22" t="str">
        <f t="shared" si="1"/>
        <v>0.045</v>
      </c>
      <c r="E28" s="22" t="str">
        <f t="shared" si="1"/>
        <v>0.045</v>
      </c>
      <c r="F28" s="22" t="str">
        <f t="shared" si="1"/>
        <v>0.045</v>
      </c>
      <c r="G28" s="22" t="str">
        <f t="shared" si="1"/>
        <v>0.045</v>
      </c>
      <c r="H28" s="22" t="str">
        <f t="shared" si="1"/>
        <v>0.045</v>
      </c>
      <c r="I28" s="22" t="str">
        <f t="shared" si="1"/>
        <v>0.045</v>
      </c>
      <c r="J28" s="22" t="str">
        <f t="shared" si="1"/>
        <v>0.045</v>
      </c>
      <c r="K28" s="22" t="str">
        <f t="shared" si="1"/>
        <v>0.045</v>
      </c>
      <c r="L28" s="22" t="str">
        <f t="shared" si="1"/>
        <v>0.045</v>
      </c>
    </row>
    <row r="29" spans="2:12" x14ac:dyDescent="0.2">
      <c r="B29" s="21" t="s">
        <v>26</v>
      </c>
      <c r="C29" s="25" t="s">
        <v>25</v>
      </c>
      <c r="D29" s="25" t="s">
        <v>25</v>
      </c>
      <c r="E29" s="25" t="s">
        <v>25</v>
      </c>
      <c r="F29" s="25" t="s">
        <v>25</v>
      </c>
      <c r="G29" s="25" t="s">
        <v>25</v>
      </c>
      <c r="H29" s="25" t="s">
        <v>25</v>
      </c>
      <c r="I29" s="25" t="s">
        <v>25</v>
      </c>
      <c r="J29" s="25" t="s">
        <v>25</v>
      </c>
      <c r="K29" s="25" t="s">
        <v>25</v>
      </c>
      <c r="L29" s="25" t="s">
        <v>25</v>
      </c>
    </row>
    <row r="30" spans="2:12" x14ac:dyDescent="0.2">
      <c r="B30" s="21" t="s">
        <v>24</v>
      </c>
      <c r="C30" s="25" t="s">
        <v>25</v>
      </c>
      <c r="D30" s="25" t="s">
        <v>25</v>
      </c>
      <c r="E30" s="25" t="s">
        <v>25</v>
      </c>
      <c r="F30" s="25" t="s">
        <v>25</v>
      </c>
      <c r="G30" s="25" t="s">
        <v>25</v>
      </c>
      <c r="H30" s="25" t="s">
        <v>25</v>
      </c>
      <c r="I30" s="25" t="s">
        <v>25</v>
      </c>
      <c r="J30" s="25" t="s">
        <v>25</v>
      </c>
      <c r="K30" s="25" t="s">
        <v>25</v>
      </c>
      <c r="L30" s="25" t="s">
        <v>25</v>
      </c>
    </row>
    <row r="31" spans="2:12" x14ac:dyDescent="0.2">
      <c r="B31" s="26" t="s">
        <v>38</v>
      </c>
      <c r="C31" s="27" t="s">
        <v>25</v>
      </c>
      <c r="D31" s="27" t="s">
        <v>25</v>
      </c>
      <c r="E31" s="27" t="s">
        <v>25</v>
      </c>
      <c r="F31" s="27" t="s">
        <v>25</v>
      </c>
      <c r="G31" s="27" t="s">
        <v>25</v>
      </c>
      <c r="H31" s="27" t="s">
        <v>25</v>
      </c>
      <c r="I31" s="27" t="s">
        <v>25</v>
      </c>
      <c r="J31" s="27" t="s">
        <v>25</v>
      </c>
      <c r="K31" s="27" t="s">
        <v>25</v>
      </c>
      <c r="L31" s="27" t="s">
        <v>25</v>
      </c>
    </row>
    <row r="32" spans="2:12" ht="84" customHeight="1" x14ac:dyDescent="0.2">
      <c r="B32" s="83" t="s">
        <v>75</v>
      </c>
      <c r="C32" s="83"/>
      <c r="D32" s="83"/>
      <c r="E32" s="83"/>
      <c r="F32" s="83"/>
      <c r="G32" s="83"/>
      <c r="H32" s="83"/>
      <c r="I32" s="83"/>
      <c r="J32" s="83"/>
      <c r="K32" s="83"/>
      <c r="L32" s="83"/>
    </row>
  </sheetData>
  <mergeCells count="2">
    <mergeCell ref="B32:L32"/>
    <mergeCell ref="B2:L2"/>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24"/>
  <sheetViews>
    <sheetView showGridLines="0" workbookViewId="0">
      <selection activeCell="B3" sqref="B3:B4"/>
    </sheetView>
  </sheetViews>
  <sheetFormatPr baseColWidth="10" defaultColWidth="11" defaultRowHeight="16" x14ac:dyDescent="0.2"/>
  <cols>
    <col min="2" max="2" width="33" customWidth="1"/>
  </cols>
  <sheetData>
    <row r="1" spans="2:11" x14ac:dyDescent="0.2">
      <c r="D1" s="85"/>
      <c r="E1" s="85"/>
      <c r="F1" s="85"/>
      <c r="G1" s="85"/>
      <c r="H1" s="85"/>
      <c r="I1" s="85"/>
      <c r="J1" s="85"/>
      <c r="K1" s="85"/>
    </row>
    <row r="2" spans="2:11" x14ac:dyDescent="0.2">
      <c r="B2" s="85" t="s">
        <v>94</v>
      </c>
      <c r="C2" s="85"/>
      <c r="D2" s="85"/>
      <c r="E2" s="85"/>
      <c r="F2" s="85"/>
      <c r="G2" s="85"/>
      <c r="H2" s="85"/>
    </row>
    <row r="3" spans="2:11" ht="68" x14ac:dyDescent="0.2">
      <c r="B3" s="81" t="s">
        <v>46</v>
      </c>
      <c r="C3" s="46" t="s">
        <v>47</v>
      </c>
      <c r="D3" s="46" t="s">
        <v>64</v>
      </c>
      <c r="E3" s="46" t="s">
        <v>35</v>
      </c>
      <c r="F3" s="46" t="s">
        <v>51</v>
      </c>
      <c r="G3" s="46" t="s">
        <v>36</v>
      </c>
      <c r="H3" s="46" t="s">
        <v>37</v>
      </c>
    </row>
    <row r="4" spans="2:11" ht="17" thickBot="1" x14ac:dyDescent="0.25">
      <c r="B4" s="86"/>
      <c r="C4" s="10" t="s">
        <v>28</v>
      </c>
      <c r="D4" s="10" t="s">
        <v>29</v>
      </c>
      <c r="E4" s="10" t="s">
        <v>30</v>
      </c>
      <c r="F4" s="10" t="s">
        <v>31</v>
      </c>
      <c r="G4" s="10" t="s">
        <v>32</v>
      </c>
      <c r="H4" s="10" t="s">
        <v>33</v>
      </c>
    </row>
    <row r="5" spans="2:11" ht="21" customHeight="1" thickTop="1" x14ac:dyDescent="0.2">
      <c r="B5" s="87" t="s">
        <v>53</v>
      </c>
      <c r="C5" s="87"/>
      <c r="D5" s="87"/>
      <c r="E5" s="87"/>
      <c r="F5" s="87"/>
      <c r="G5" s="87"/>
      <c r="H5" s="87"/>
    </row>
    <row r="6" spans="2:11" x14ac:dyDescent="0.2">
      <c r="B6" s="53" t="s">
        <v>65</v>
      </c>
      <c r="C6" s="58"/>
      <c r="D6" s="58"/>
      <c r="E6" s="58"/>
      <c r="F6" s="58"/>
      <c r="G6" s="58"/>
      <c r="H6" s="58"/>
    </row>
    <row r="7" spans="2:11" x14ac:dyDescent="0.2">
      <c r="B7" s="54" t="s">
        <v>50</v>
      </c>
      <c r="C7" s="31" t="str">
        <f>"0.025*"</f>
        <v>0.025*</v>
      </c>
      <c r="D7" s="31" t="str">
        <f>"0.037**"</f>
        <v>0.037**</v>
      </c>
      <c r="E7" s="31" t="str">
        <f>"0.029**"</f>
        <v>0.029**</v>
      </c>
      <c r="F7" s="31" t="str">
        <f>"0.025"</f>
        <v>0.025</v>
      </c>
      <c r="G7" s="31" t="str">
        <f>"0.036**"</f>
        <v>0.036**</v>
      </c>
      <c r="H7" s="31" t="str">
        <f>"0.006"</f>
        <v>0.006</v>
      </c>
    </row>
    <row r="8" spans="2:11" x14ac:dyDescent="0.2">
      <c r="B8" s="6"/>
      <c r="C8" s="31" t="str">
        <f>"[0.013]"</f>
        <v>[0.013]</v>
      </c>
      <c r="D8" s="31" t="str">
        <f>"[0.016]"</f>
        <v>[0.016]</v>
      </c>
      <c r="E8" s="31" t="str">
        <f>"[0.014]"</f>
        <v>[0.014]</v>
      </c>
      <c r="F8" s="31" t="str">
        <f>"[0.015]"</f>
        <v>[0.015]</v>
      </c>
      <c r="G8" s="31" t="str">
        <f>"[0.016]"</f>
        <v>[0.016]</v>
      </c>
      <c r="H8" s="31" t="str">
        <f>"[0.006]"</f>
        <v>[0.006]</v>
      </c>
    </row>
    <row r="9" spans="2:11" x14ac:dyDescent="0.2">
      <c r="B9" s="49" t="s">
        <v>66</v>
      </c>
      <c r="C9" s="50"/>
      <c r="D9" s="50"/>
      <c r="E9" s="50"/>
      <c r="F9" s="50"/>
      <c r="G9" s="50"/>
      <c r="H9" s="50"/>
    </row>
    <row r="10" spans="2:11" x14ac:dyDescent="0.2">
      <c r="B10" s="54" t="s">
        <v>48</v>
      </c>
      <c r="C10" s="31" t="str">
        <f>"0.277***"</f>
        <v>0.277***</v>
      </c>
      <c r="D10" s="31" t="str">
        <f>"0.208**"</f>
        <v>0.208**</v>
      </c>
      <c r="E10" s="31" t="str">
        <f>"0.192**"</f>
        <v>0.192**</v>
      </c>
      <c r="F10" s="31" t="str">
        <f>"0.279**"</f>
        <v>0.279**</v>
      </c>
      <c r="G10" s="31" t="str">
        <f>"0.241**"</f>
        <v>0.241**</v>
      </c>
      <c r="H10" s="31" t="str">
        <f>"0.127***"</f>
        <v>0.127***</v>
      </c>
    </row>
    <row r="11" spans="2:11" x14ac:dyDescent="0.2">
      <c r="B11" s="6"/>
      <c r="C11" s="31" t="str">
        <f>"[0.104]"</f>
        <v>[0.104]</v>
      </c>
      <c r="D11" s="31" t="str">
        <f>"[0.080]"</f>
        <v>[0.080]</v>
      </c>
      <c r="E11" s="31" t="str">
        <f>"[0.088]"</f>
        <v>[0.088]</v>
      </c>
      <c r="F11" s="31" t="str">
        <f>"[0.108]"</f>
        <v>[0.108]</v>
      </c>
      <c r="G11" s="31" t="str">
        <f>"[0.092]"</f>
        <v>[0.092]</v>
      </c>
      <c r="H11" s="31" t="str">
        <f>"[0.048]"</f>
        <v>[0.048]</v>
      </c>
    </row>
    <row r="12" spans="2:11" x14ac:dyDescent="0.2">
      <c r="B12" s="88" t="s">
        <v>52</v>
      </c>
      <c r="C12" s="88"/>
      <c r="D12" s="88"/>
      <c r="E12" s="88"/>
      <c r="F12" s="88"/>
      <c r="G12" s="88"/>
      <c r="H12" s="88"/>
    </row>
    <row r="13" spans="2:11" x14ac:dyDescent="0.2">
      <c r="B13" s="53" t="s">
        <v>67</v>
      </c>
      <c r="C13" s="59"/>
      <c r="D13" s="59"/>
      <c r="E13" s="59"/>
      <c r="F13" s="59"/>
      <c r="G13" s="59"/>
      <c r="H13" s="59"/>
    </row>
    <row r="14" spans="2:11" ht="29" x14ac:dyDescent="0.2">
      <c r="B14" s="55" t="s">
        <v>55</v>
      </c>
      <c r="C14" s="31" t="str">
        <f>"0.008***"</f>
        <v>0.008***</v>
      </c>
      <c r="D14" s="31" t="str">
        <f>"0.008***"</f>
        <v>0.008***</v>
      </c>
      <c r="E14" s="31" t="str">
        <f>"0.008***"</f>
        <v>0.008***</v>
      </c>
      <c r="F14" s="31" t="str">
        <f>"0.007***"</f>
        <v>0.007***</v>
      </c>
      <c r="G14" s="31" t="str">
        <f>"0.010***"</f>
        <v>0.010***</v>
      </c>
      <c r="H14" s="31" t="str">
        <f>"0.004**"</f>
        <v>0.004**</v>
      </c>
    </row>
    <row r="15" spans="2:11" x14ac:dyDescent="0.2">
      <c r="B15" s="6"/>
      <c r="C15" s="31" t="str">
        <f>"[0.003]"</f>
        <v>[0.003]</v>
      </c>
      <c r="D15" s="31" t="str">
        <f>"[0.002]"</f>
        <v>[0.002]</v>
      </c>
      <c r="E15" s="31" t="str">
        <f>"[0.002]"</f>
        <v>[0.002]</v>
      </c>
      <c r="F15" s="31" t="str">
        <f>"[0.002]"</f>
        <v>[0.002]</v>
      </c>
      <c r="G15" s="31" t="str">
        <f>"[0.003]"</f>
        <v>[0.003]</v>
      </c>
      <c r="H15" s="31" t="str">
        <f>"[0.002]"</f>
        <v>[0.002]</v>
      </c>
    </row>
    <row r="16" spans="2:11" x14ac:dyDescent="0.2">
      <c r="B16" s="49" t="s">
        <v>68</v>
      </c>
      <c r="C16" s="50"/>
      <c r="D16" s="50"/>
      <c r="E16" s="50"/>
      <c r="F16" s="50"/>
      <c r="G16" s="50"/>
      <c r="H16" s="50"/>
    </row>
    <row r="17" spans="2:8" x14ac:dyDescent="0.2">
      <c r="B17" s="55" t="s">
        <v>56</v>
      </c>
      <c r="C17" s="31" t="str">
        <f>"0.007***"</f>
        <v>0.007***</v>
      </c>
      <c r="D17" s="31" t="str">
        <f>"0.007***"</f>
        <v>0.007***</v>
      </c>
      <c r="E17" s="31" t="str">
        <f>"0.007***"</f>
        <v>0.007***</v>
      </c>
      <c r="F17" s="31" t="str">
        <f>"0.006***"</f>
        <v>0.006***</v>
      </c>
      <c r="G17" s="31" t="str">
        <f>"0.008***"</f>
        <v>0.008***</v>
      </c>
      <c r="H17" s="31" t="str">
        <f>"0.003"</f>
        <v>0.003</v>
      </c>
    </row>
    <row r="18" spans="2:8" x14ac:dyDescent="0.2">
      <c r="B18" s="6"/>
      <c r="C18" s="31" t="str">
        <f t="shared" ref="C18:H18" si="0">"[0.002]"</f>
        <v>[0.002]</v>
      </c>
      <c r="D18" s="31" t="str">
        <f t="shared" si="0"/>
        <v>[0.002]</v>
      </c>
      <c r="E18" s="31" t="str">
        <f t="shared" si="0"/>
        <v>[0.002]</v>
      </c>
      <c r="F18" s="31" t="str">
        <f t="shared" si="0"/>
        <v>[0.002]</v>
      </c>
      <c r="G18" s="31" t="str">
        <f t="shared" si="0"/>
        <v>[0.002]</v>
      </c>
      <c r="H18" s="31" t="str">
        <f t="shared" si="0"/>
        <v>[0.002]</v>
      </c>
    </row>
    <row r="19" spans="2:8" x14ac:dyDescent="0.2">
      <c r="B19" s="51" t="s">
        <v>27</v>
      </c>
      <c r="C19" s="52" t="str">
        <f>"17880"</f>
        <v>17880</v>
      </c>
      <c r="D19" s="52" t="str">
        <f>"16920"</f>
        <v>16920</v>
      </c>
      <c r="E19" s="52" t="str">
        <f>"17828"</f>
        <v>17828</v>
      </c>
      <c r="F19" s="52" t="str">
        <f>"16972"</f>
        <v>16972</v>
      </c>
      <c r="G19" s="52" t="str">
        <f>"24910"</f>
        <v>24910</v>
      </c>
      <c r="H19" s="52" t="str">
        <f>"9860"</f>
        <v>9860</v>
      </c>
    </row>
    <row r="20" spans="2:8" x14ac:dyDescent="0.2">
      <c r="B20" s="21" t="s">
        <v>49</v>
      </c>
      <c r="C20" s="25" t="str">
        <f>"0.041"</f>
        <v>0.041</v>
      </c>
      <c r="D20" s="25" t="str">
        <f>"0.049"</f>
        <v>0.049</v>
      </c>
      <c r="E20" s="25" t="str">
        <f>"0.052"</f>
        <v>0.052</v>
      </c>
      <c r="F20" s="25" t="str">
        <f>"0.037"</f>
        <v>0.037</v>
      </c>
      <c r="G20" s="25" t="str">
        <f>"0.048"</f>
        <v>0.048</v>
      </c>
      <c r="H20" s="25" t="str">
        <f>"0.038"</f>
        <v>0.038</v>
      </c>
    </row>
    <row r="21" spans="2:8" x14ac:dyDescent="0.2">
      <c r="B21" s="21" t="s">
        <v>26</v>
      </c>
      <c r="C21" s="25" t="s">
        <v>25</v>
      </c>
      <c r="D21" s="25" t="s">
        <v>25</v>
      </c>
      <c r="E21" s="25" t="s">
        <v>25</v>
      </c>
      <c r="F21" s="25" t="s">
        <v>25</v>
      </c>
      <c r="G21" s="25" t="s">
        <v>25</v>
      </c>
      <c r="H21" s="25" t="s">
        <v>25</v>
      </c>
    </row>
    <row r="22" spans="2:8" x14ac:dyDescent="0.2">
      <c r="B22" s="21" t="s">
        <v>24</v>
      </c>
      <c r="C22" s="25" t="s">
        <v>25</v>
      </c>
      <c r="D22" s="25" t="s">
        <v>25</v>
      </c>
      <c r="E22" s="25" t="s">
        <v>25</v>
      </c>
      <c r="F22" s="25" t="s">
        <v>25</v>
      </c>
      <c r="G22" s="25" t="s">
        <v>25</v>
      </c>
      <c r="H22" s="25" t="s">
        <v>25</v>
      </c>
    </row>
    <row r="23" spans="2:8" x14ac:dyDescent="0.2">
      <c r="B23" s="21" t="s">
        <v>38</v>
      </c>
      <c r="C23" s="27" t="s">
        <v>25</v>
      </c>
      <c r="D23" s="27" t="s">
        <v>25</v>
      </c>
      <c r="E23" s="27" t="s">
        <v>25</v>
      </c>
      <c r="F23" s="27" t="s">
        <v>25</v>
      </c>
      <c r="G23" s="27" t="s">
        <v>25</v>
      </c>
      <c r="H23" s="27" t="s">
        <v>25</v>
      </c>
    </row>
    <row r="24" spans="2:8" ht="129" customHeight="1" x14ac:dyDescent="0.2">
      <c r="B24" s="83" t="s">
        <v>76</v>
      </c>
      <c r="C24" s="83"/>
      <c r="D24" s="83"/>
      <c r="E24" s="83"/>
      <c r="F24" s="83"/>
      <c r="G24" s="83"/>
      <c r="H24" s="83"/>
    </row>
  </sheetData>
  <mergeCells count="6">
    <mergeCell ref="D1:K1"/>
    <mergeCell ref="B2:H2"/>
    <mergeCell ref="B3:B4"/>
    <mergeCell ref="B24:H24"/>
    <mergeCell ref="B5:H5"/>
    <mergeCell ref="B12:H1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C833-B2F9-554C-9BCF-EE77651C1782}">
  <dimension ref="B2:L51"/>
  <sheetViews>
    <sheetView showGridLines="0" workbookViewId="0">
      <selection activeCell="B3" sqref="B3"/>
    </sheetView>
  </sheetViews>
  <sheetFormatPr baseColWidth="10" defaultColWidth="11" defaultRowHeight="16" x14ac:dyDescent="0.2"/>
  <cols>
    <col min="2" max="2" width="71.6640625" customWidth="1"/>
  </cols>
  <sheetData>
    <row r="2" spans="2:12" x14ac:dyDescent="0.2">
      <c r="B2" s="84" t="s">
        <v>95</v>
      </c>
      <c r="C2" s="84"/>
      <c r="D2" s="84"/>
      <c r="E2" s="84"/>
      <c r="F2" s="84"/>
      <c r="G2" s="84"/>
      <c r="H2" s="84"/>
      <c r="I2" s="84"/>
      <c r="J2" s="84"/>
      <c r="K2" s="84"/>
      <c r="L2" s="84"/>
    </row>
    <row r="3" spans="2:12" ht="37" customHeight="1" thickBot="1" x14ac:dyDescent="0.25">
      <c r="B3" s="30" t="s">
        <v>46</v>
      </c>
      <c r="C3" s="12" t="s">
        <v>28</v>
      </c>
      <c r="D3" s="12" t="s">
        <v>29</v>
      </c>
      <c r="E3" s="12" t="s">
        <v>30</v>
      </c>
      <c r="F3" s="12" t="s">
        <v>31</v>
      </c>
      <c r="G3" s="12" t="s">
        <v>32</v>
      </c>
      <c r="H3" s="12" t="s">
        <v>33</v>
      </c>
      <c r="I3" s="12" t="s">
        <v>34</v>
      </c>
      <c r="J3" s="12" t="s">
        <v>39</v>
      </c>
      <c r="K3" s="12" t="s">
        <v>40</v>
      </c>
      <c r="L3" s="12" t="s">
        <v>58</v>
      </c>
    </row>
    <row r="4" spans="2:12" ht="17" thickTop="1" x14ac:dyDescent="0.2">
      <c r="B4" s="28" t="s">
        <v>53</v>
      </c>
      <c r="C4" s="23"/>
      <c r="D4" s="23"/>
      <c r="E4" s="23"/>
      <c r="F4" s="23"/>
      <c r="G4" s="23"/>
      <c r="H4" s="23"/>
      <c r="I4" s="23"/>
      <c r="J4" s="23"/>
      <c r="K4" s="23"/>
    </row>
    <row r="5" spans="2:12" x14ac:dyDescent="0.2">
      <c r="B5" s="6" t="s">
        <v>50</v>
      </c>
      <c r="C5" s="31" t="str">
        <f>"0.025*"</f>
        <v>0.025*</v>
      </c>
      <c r="D5" s="31" t="str">
        <f>""</f>
        <v/>
      </c>
      <c r="E5" s="31" t="str">
        <f>""</f>
        <v/>
      </c>
      <c r="F5" s="42" t="str">
        <f>""</f>
        <v/>
      </c>
      <c r="G5" s="42" t="str">
        <f>""</f>
        <v/>
      </c>
      <c r="H5" s="42" t="str">
        <f>""</f>
        <v/>
      </c>
      <c r="I5" s="42" t="str">
        <f>""</f>
        <v/>
      </c>
      <c r="J5" s="42" t="str">
        <f>""</f>
        <v/>
      </c>
      <c r="K5" s="42" t="str">
        <f>""</f>
        <v/>
      </c>
      <c r="L5" s="42" t="str">
        <f>""</f>
        <v/>
      </c>
    </row>
    <row r="6" spans="2:12" x14ac:dyDescent="0.2">
      <c r="B6" s="6"/>
      <c r="C6" s="31" t="str">
        <f>"[0.014]"</f>
        <v>[0.014]</v>
      </c>
      <c r="D6" s="31" t="str">
        <f>""</f>
        <v/>
      </c>
      <c r="E6" s="31" t="str">
        <f>""</f>
        <v/>
      </c>
      <c r="F6" s="42" t="str">
        <f>""</f>
        <v/>
      </c>
      <c r="G6" s="42" t="str">
        <f>""</f>
        <v/>
      </c>
      <c r="H6" s="42" t="str">
        <f>""</f>
        <v/>
      </c>
      <c r="I6" s="42" t="str">
        <f>""</f>
        <v/>
      </c>
      <c r="J6" s="42" t="str">
        <f>""</f>
        <v/>
      </c>
      <c r="K6" s="42" t="str">
        <f>""</f>
        <v/>
      </c>
      <c r="L6" s="42" t="str">
        <f>""</f>
        <v/>
      </c>
    </row>
    <row r="7" spans="2:12" x14ac:dyDescent="0.2">
      <c r="B7" s="6" t="s">
        <v>70</v>
      </c>
      <c r="C7" s="31" t="str">
        <f>"0.036**"</f>
        <v>0.036**</v>
      </c>
      <c r="D7" s="31" t="str">
        <f>""</f>
        <v/>
      </c>
      <c r="E7" s="31" t="str">
        <f>""</f>
        <v/>
      </c>
      <c r="F7" s="42" t="str">
        <f>""</f>
        <v/>
      </c>
      <c r="G7" s="42" t="str">
        <f>""</f>
        <v/>
      </c>
      <c r="H7" s="42" t="str">
        <f>""</f>
        <v/>
      </c>
      <c r="I7" s="42" t="str">
        <f>""</f>
        <v/>
      </c>
      <c r="J7" s="42" t="str">
        <f>""</f>
        <v/>
      </c>
      <c r="K7" s="42" t="str">
        <f>""</f>
        <v/>
      </c>
      <c r="L7" s="42" t="str">
        <f>""</f>
        <v/>
      </c>
    </row>
    <row r="8" spans="2:12" x14ac:dyDescent="0.2">
      <c r="B8" s="6"/>
      <c r="C8" s="31" t="str">
        <f>"[0.015]"</f>
        <v>[0.015]</v>
      </c>
      <c r="D8" s="31" t="str">
        <f>""</f>
        <v/>
      </c>
      <c r="E8" s="31" t="str">
        <f>""</f>
        <v/>
      </c>
      <c r="F8" s="42" t="str">
        <f>""</f>
        <v/>
      </c>
      <c r="G8" s="42" t="str">
        <f>""</f>
        <v/>
      </c>
      <c r="H8" s="42" t="str">
        <f>""</f>
        <v/>
      </c>
      <c r="I8" s="42" t="str">
        <f>""</f>
        <v/>
      </c>
      <c r="J8" s="42" t="str">
        <f>""</f>
        <v/>
      </c>
      <c r="K8" s="42" t="str">
        <f>""</f>
        <v/>
      </c>
      <c r="L8" s="42" t="str">
        <f>""</f>
        <v/>
      </c>
    </row>
    <row r="9" spans="2:12" x14ac:dyDescent="0.2">
      <c r="B9" s="6" t="s">
        <v>48</v>
      </c>
      <c r="C9" s="31" t="str">
        <f>""</f>
        <v/>
      </c>
      <c r="D9" s="29" t="str">
        <f>"0.273**"</f>
        <v>0.273**</v>
      </c>
      <c r="E9" s="31" t="str">
        <f>""</f>
        <v/>
      </c>
      <c r="F9" s="42" t="str">
        <f>""</f>
        <v/>
      </c>
      <c r="G9" s="42" t="str">
        <f>""</f>
        <v/>
      </c>
      <c r="H9" s="42" t="str">
        <f>""</f>
        <v/>
      </c>
      <c r="I9" s="42" t="str">
        <f>""</f>
        <v/>
      </c>
      <c r="J9" s="42" t="str">
        <f>""</f>
        <v/>
      </c>
      <c r="K9" s="42" t="str">
        <f>""</f>
        <v/>
      </c>
      <c r="L9" s="42" t="str">
        <f>""</f>
        <v/>
      </c>
    </row>
    <row r="10" spans="2:12" x14ac:dyDescent="0.2">
      <c r="B10" s="6" t="str">
        <f>""</f>
        <v/>
      </c>
      <c r="C10" s="31" t="str">
        <f>""</f>
        <v/>
      </c>
      <c r="D10" s="29" t="str">
        <f>"[0.106]"</f>
        <v>[0.106]</v>
      </c>
      <c r="E10" s="31" t="str">
        <f>""</f>
        <v/>
      </c>
      <c r="F10" s="42" t="str">
        <f>""</f>
        <v/>
      </c>
      <c r="G10" s="42" t="str">
        <f>""</f>
        <v/>
      </c>
      <c r="H10" s="42" t="str">
        <f>""</f>
        <v/>
      </c>
      <c r="I10" s="42" t="str">
        <f>""</f>
        <v/>
      </c>
      <c r="J10" s="42" t="str">
        <f>""</f>
        <v/>
      </c>
      <c r="K10" s="42" t="str">
        <f>""</f>
        <v/>
      </c>
      <c r="L10" s="42" t="str">
        <f>""</f>
        <v/>
      </c>
    </row>
    <row r="11" spans="2:12" x14ac:dyDescent="0.2">
      <c r="B11" s="6" t="s">
        <v>71</v>
      </c>
      <c r="C11" s="31" t="str">
        <f>""</f>
        <v/>
      </c>
      <c r="D11" s="29" t="str">
        <f>"0.340**"</f>
        <v>0.340**</v>
      </c>
      <c r="E11" s="31" t="str">
        <f>""</f>
        <v/>
      </c>
      <c r="F11" s="42" t="str">
        <f>""</f>
        <v/>
      </c>
      <c r="G11" s="42" t="str">
        <f>""</f>
        <v/>
      </c>
      <c r="H11" s="42" t="str">
        <f>""</f>
        <v/>
      </c>
      <c r="I11" s="42" t="str">
        <f>""</f>
        <v/>
      </c>
      <c r="J11" s="42" t="str">
        <f>""</f>
        <v/>
      </c>
      <c r="K11" s="42" t="str">
        <f>""</f>
        <v/>
      </c>
      <c r="L11" s="42" t="str">
        <f>""</f>
        <v/>
      </c>
    </row>
    <row r="12" spans="2:12" x14ac:dyDescent="0.2">
      <c r="B12" s="8"/>
      <c r="C12" s="44" t="str">
        <f>""</f>
        <v/>
      </c>
      <c r="D12" s="47" t="str">
        <f>"[0.138]"</f>
        <v>[0.138]</v>
      </c>
      <c r="E12" s="44" t="str">
        <f>""</f>
        <v/>
      </c>
      <c r="F12" s="45" t="str">
        <f>""</f>
        <v/>
      </c>
      <c r="G12" s="45" t="str">
        <f>""</f>
        <v/>
      </c>
      <c r="H12" s="45" t="str">
        <f>""</f>
        <v/>
      </c>
      <c r="I12" s="45" t="str">
        <f>""</f>
        <v/>
      </c>
      <c r="J12" s="45" t="str">
        <f>""</f>
        <v/>
      </c>
      <c r="K12" s="45" t="str">
        <f>""</f>
        <v/>
      </c>
      <c r="L12" s="45" t="str">
        <f>""</f>
        <v/>
      </c>
    </row>
    <row r="13" spans="2:12" x14ac:dyDescent="0.2">
      <c r="B13" s="53" t="s">
        <v>52</v>
      </c>
      <c r="C13" s="31"/>
      <c r="D13" s="31"/>
      <c r="E13" s="31"/>
      <c r="F13" s="40"/>
      <c r="G13" s="40"/>
      <c r="H13" s="40"/>
      <c r="I13" s="40"/>
      <c r="J13" s="40"/>
      <c r="K13" s="40"/>
      <c r="L13" s="40"/>
    </row>
    <row r="14" spans="2:12" x14ac:dyDescent="0.2">
      <c r="B14" s="11" t="str">
        <f>"Loss of land (yes=1) for a household in a given year"</f>
        <v>Loss of land (yes=1) for a household in a given year</v>
      </c>
      <c r="C14" s="31" t="str">
        <f>""</f>
        <v/>
      </c>
      <c r="D14" s="31" t="str">
        <f>""</f>
        <v/>
      </c>
      <c r="E14" s="31" t="str">
        <f>"0.005"</f>
        <v>0.005</v>
      </c>
      <c r="F14" s="31" t="str">
        <f>""</f>
        <v/>
      </c>
      <c r="G14" s="31" t="str">
        <f>""</f>
        <v/>
      </c>
      <c r="H14" s="31" t="str">
        <f>""</f>
        <v/>
      </c>
      <c r="I14" s="31" t="str">
        <f>""</f>
        <v/>
      </c>
      <c r="J14" s="31" t="str">
        <f>""</f>
        <v/>
      </c>
      <c r="K14" s="31" t="str">
        <f>""</f>
        <v/>
      </c>
      <c r="L14" s="31" t="str">
        <f>""</f>
        <v/>
      </c>
    </row>
    <row r="15" spans="2:12" x14ac:dyDescent="0.2">
      <c r="B15" s="11"/>
      <c r="C15" s="31" t="str">
        <f>""</f>
        <v/>
      </c>
      <c r="D15" s="31" t="str">
        <f>""</f>
        <v/>
      </c>
      <c r="E15" s="31" t="str">
        <f>"[0.016]"</f>
        <v>[0.016]</v>
      </c>
      <c r="F15" s="31" t="str">
        <f>""</f>
        <v/>
      </c>
      <c r="G15" s="31" t="str">
        <f>""</f>
        <v/>
      </c>
      <c r="H15" s="31" t="str">
        <f>""</f>
        <v/>
      </c>
      <c r="I15" s="31" t="str">
        <f>""</f>
        <v/>
      </c>
      <c r="J15" s="31" t="str">
        <f>""</f>
        <v/>
      </c>
      <c r="K15" s="31" t="str">
        <f>""</f>
        <v/>
      </c>
      <c r="L15" s="31" t="str">
        <f>""</f>
        <v/>
      </c>
    </row>
    <row r="16" spans="2:12" x14ac:dyDescent="0.2">
      <c r="B16" s="11" t="str">
        <f>"Lag Loss of land (yes=1) for a household in a given year"</f>
        <v>Lag Loss of land (yes=1) for a household in a given year</v>
      </c>
      <c r="C16" s="31" t="str">
        <f>""</f>
        <v/>
      </c>
      <c r="D16" s="31" t="str">
        <f>""</f>
        <v/>
      </c>
      <c r="E16" s="31" t="str">
        <f>"-0.022*"</f>
        <v>-0.022*</v>
      </c>
      <c r="F16" s="31" t="str">
        <f>""</f>
        <v/>
      </c>
      <c r="G16" s="31" t="str">
        <f>""</f>
        <v/>
      </c>
      <c r="H16" s="31" t="str">
        <f>""</f>
        <v/>
      </c>
      <c r="I16" s="31" t="str">
        <f>""</f>
        <v/>
      </c>
      <c r="J16" s="31" t="str">
        <f>""</f>
        <v/>
      </c>
      <c r="K16" s="31" t="str">
        <f>""</f>
        <v/>
      </c>
      <c r="L16" s="31" t="str">
        <f>""</f>
        <v/>
      </c>
    </row>
    <row r="17" spans="2:12" x14ac:dyDescent="0.2">
      <c r="B17" s="11"/>
      <c r="C17" s="31" t="str">
        <f>""</f>
        <v/>
      </c>
      <c r="D17" s="31" t="str">
        <f>""</f>
        <v/>
      </c>
      <c r="E17" s="31" t="str">
        <f>"[0.012]"</f>
        <v>[0.012]</v>
      </c>
      <c r="F17" s="31" t="str">
        <f>""</f>
        <v/>
      </c>
      <c r="G17" s="31" t="str">
        <f>""</f>
        <v/>
      </c>
      <c r="H17" s="31" t="str">
        <f>""</f>
        <v/>
      </c>
      <c r="I17" s="31" t="str">
        <f>""</f>
        <v/>
      </c>
      <c r="J17" s="31" t="str">
        <f>""</f>
        <v/>
      </c>
      <c r="K17" s="31" t="str">
        <f>""</f>
        <v/>
      </c>
      <c r="L17" s="31" t="str">
        <f>""</f>
        <v/>
      </c>
    </row>
    <row r="18" spans="2:12" x14ac:dyDescent="0.2">
      <c r="B18" s="11" t="str">
        <f>"Theft of crops (yes=1) for a household in a given year"</f>
        <v>Theft of crops (yes=1) for a household in a given year</v>
      </c>
      <c r="C18" s="31" t="str">
        <f>""</f>
        <v/>
      </c>
      <c r="D18" s="31" t="str">
        <f>""</f>
        <v/>
      </c>
      <c r="E18" s="31" t="str">
        <f>""</f>
        <v/>
      </c>
      <c r="F18" s="31" t="str">
        <f>"0.014*"</f>
        <v>0.014*</v>
      </c>
      <c r="G18" s="31" t="str">
        <f>""</f>
        <v/>
      </c>
      <c r="H18" s="31" t="str">
        <f>""</f>
        <v/>
      </c>
      <c r="I18" s="31" t="str">
        <f>""</f>
        <v/>
      </c>
      <c r="J18" s="31" t="str">
        <f>""</f>
        <v/>
      </c>
      <c r="K18" s="31" t="str">
        <f>""</f>
        <v/>
      </c>
      <c r="L18" s="31" t="str">
        <f>""</f>
        <v/>
      </c>
    </row>
    <row r="19" spans="2:12" x14ac:dyDescent="0.2">
      <c r="B19" s="11" t="str">
        <f>""</f>
        <v/>
      </c>
      <c r="C19" s="31" t="str">
        <f>""</f>
        <v/>
      </c>
      <c r="D19" s="31" t="str">
        <f>""</f>
        <v/>
      </c>
      <c r="E19" s="31" t="str">
        <f>""</f>
        <v/>
      </c>
      <c r="F19" s="31" t="str">
        <f>"[0.008]"</f>
        <v>[0.008]</v>
      </c>
      <c r="G19" s="31" t="str">
        <f>""</f>
        <v/>
      </c>
      <c r="H19" s="31" t="str">
        <f>""</f>
        <v/>
      </c>
      <c r="I19" s="31" t="str">
        <f>""</f>
        <v/>
      </c>
      <c r="J19" s="31" t="str">
        <f>""</f>
        <v/>
      </c>
      <c r="K19" s="31" t="str">
        <f>""</f>
        <v/>
      </c>
      <c r="L19" s="31" t="str">
        <f>""</f>
        <v/>
      </c>
    </row>
    <row r="20" spans="2:12" x14ac:dyDescent="0.2">
      <c r="B20" s="11" t="str">
        <f>"Lag Theft of crops (yes=1) for a household in a given year"</f>
        <v>Lag Theft of crops (yes=1) for a household in a given year</v>
      </c>
      <c r="C20" s="31" t="str">
        <f>""</f>
        <v/>
      </c>
      <c r="D20" s="31" t="str">
        <f>""</f>
        <v/>
      </c>
      <c r="E20" s="31" t="str">
        <f>""</f>
        <v/>
      </c>
      <c r="F20" s="31" t="str">
        <f>"-0.002"</f>
        <v>-0.002</v>
      </c>
      <c r="G20" s="31" t="str">
        <f>""</f>
        <v/>
      </c>
      <c r="H20" s="31" t="str">
        <f>""</f>
        <v/>
      </c>
      <c r="I20" s="31" t="str">
        <f>""</f>
        <v/>
      </c>
      <c r="J20" s="31" t="str">
        <f>""</f>
        <v/>
      </c>
      <c r="K20" s="31" t="str">
        <f>""</f>
        <v/>
      </c>
      <c r="L20" s="31" t="str">
        <f>""</f>
        <v/>
      </c>
    </row>
    <row r="21" spans="2:12" x14ac:dyDescent="0.2">
      <c r="B21" s="11"/>
      <c r="C21" s="31" t="str">
        <f>""</f>
        <v/>
      </c>
      <c r="D21" s="31" t="str">
        <f>""</f>
        <v/>
      </c>
      <c r="E21" s="31" t="str">
        <f>""</f>
        <v/>
      </c>
      <c r="F21" s="31" t="str">
        <f>"[0.005]"</f>
        <v>[0.005]</v>
      </c>
      <c r="G21" s="31" t="str">
        <f>""</f>
        <v/>
      </c>
      <c r="H21" s="31" t="str">
        <f>""</f>
        <v/>
      </c>
      <c r="I21" s="31" t="str">
        <f>""</f>
        <v/>
      </c>
      <c r="J21" s="31" t="str">
        <f>""</f>
        <v/>
      </c>
      <c r="K21" s="31" t="str">
        <f>""</f>
        <v/>
      </c>
      <c r="L21" s="31" t="str">
        <f>""</f>
        <v/>
      </c>
    </row>
    <row r="22" spans="2:12" x14ac:dyDescent="0.2">
      <c r="B22" s="13" t="str">
        <f>"Theft of money (yes=1) for a household in a given year"</f>
        <v>Theft of money (yes=1) for a household in a given year</v>
      </c>
      <c r="C22" s="31" t="str">
        <f>""</f>
        <v/>
      </c>
      <c r="D22" s="31" t="str">
        <f>""</f>
        <v/>
      </c>
      <c r="E22" s="31" t="str">
        <f>""</f>
        <v/>
      </c>
      <c r="F22" s="31" t="str">
        <f>""</f>
        <v/>
      </c>
      <c r="G22" s="31" t="str">
        <f>"0.050***"</f>
        <v>0.050***</v>
      </c>
      <c r="H22" s="31" t="str">
        <f>""</f>
        <v/>
      </c>
      <c r="I22" s="31" t="str">
        <f>""</f>
        <v/>
      </c>
      <c r="J22" s="31" t="str">
        <f>""</f>
        <v/>
      </c>
      <c r="K22" s="31" t="str">
        <f>""</f>
        <v/>
      </c>
      <c r="L22" s="31" t="str">
        <f>""</f>
        <v/>
      </c>
    </row>
    <row r="23" spans="2:12" x14ac:dyDescent="0.2">
      <c r="B23" s="11" t="str">
        <f>""</f>
        <v/>
      </c>
      <c r="C23" s="31" t="str">
        <f>""</f>
        <v/>
      </c>
      <c r="D23" s="31" t="str">
        <f>""</f>
        <v/>
      </c>
      <c r="E23" s="31" t="str">
        <f>""</f>
        <v/>
      </c>
      <c r="F23" s="31" t="str">
        <f>""</f>
        <v/>
      </c>
      <c r="G23" s="31" t="str">
        <f>"[0.015]"</f>
        <v>[0.015]</v>
      </c>
      <c r="H23" s="31" t="str">
        <f>""</f>
        <v/>
      </c>
      <c r="I23" s="31" t="str">
        <f>""</f>
        <v/>
      </c>
      <c r="J23" s="31" t="str">
        <f>""</f>
        <v/>
      </c>
      <c r="K23" s="31" t="str">
        <f>""</f>
        <v/>
      </c>
      <c r="L23" s="31" t="str">
        <f>""</f>
        <v/>
      </c>
    </row>
    <row r="24" spans="2:12" x14ac:dyDescent="0.2">
      <c r="B24" s="13" t="str">
        <f>"Lag Theft of money (yes=1) for a household in a given year"</f>
        <v>Lag Theft of money (yes=1) for a household in a given year</v>
      </c>
      <c r="C24" s="31" t="str">
        <f>""</f>
        <v/>
      </c>
      <c r="D24" s="31" t="str">
        <f>""</f>
        <v/>
      </c>
      <c r="E24" s="31" t="str">
        <f>""</f>
        <v/>
      </c>
      <c r="F24" s="31" t="str">
        <f>""</f>
        <v/>
      </c>
      <c r="G24" s="31" t="str">
        <f>"-0.005"</f>
        <v>-0.005</v>
      </c>
      <c r="H24" s="31" t="str">
        <f>""</f>
        <v/>
      </c>
      <c r="I24" s="31" t="str">
        <f>""</f>
        <v/>
      </c>
      <c r="J24" s="31" t="str">
        <f>""</f>
        <v/>
      </c>
      <c r="K24" s="31" t="str">
        <f>""</f>
        <v/>
      </c>
      <c r="L24" s="31" t="str">
        <f>""</f>
        <v/>
      </c>
    </row>
    <row r="25" spans="2:12" x14ac:dyDescent="0.2">
      <c r="B25" s="11"/>
      <c r="C25" s="31" t="str">
        <f>""</f>
        <v/>
      </c>
      <c r="D25" s="31" t="str">
        <f>""</f>
        <v/>
      </c>
      <c r="E25" s="31" t="str">
        <f>""</f>
        <v/>
      </c>
      <c r="F25" s="31" t="str">
        <f>""</f>
        <v/>
      </c>
      <c r="G25" s="31" t="str">
        <f>"[0.009]"</f>
        <v>[0.009]</v>
      </c>
      <c r="H25" s="31" t="str">
        <f>""</f>
        <v/>
      </c>
      <c r="I25" s="31" t="str">
        <f>""</f>
        <v/>
      </c>
      <c r="J25" s="31" t="str">
        <f>""</f>
        <v/>
      </c>
      <c r="K25" s="31" t="str">
        <f>""</f>
        <v/>
      </c>
      <c r="L25" s="31" t="str">
        <f>""</f>
        <v/>
      </c>
    </row>
    <row r="26" spans="2:12" x14ac:dyDescent="0.2">
      <c r="B26" s="11" t="str">
        <f>"Theft or destruction of goods (yes=1) for a household in a given year"</f>
        <v>Theft or destruction of goods (yes=1) for a household in a given year</v>
      </c>
      <c r="C26" s="31" t="str">
        <f>""</f>
        <v/>
      </c>
      <c r="D26" s="31" t="str">
        <f>""</f>
        <v/>
      </c>
      <c r="E26" s="31" t="str">
        <f>""</f>
        <v/>
      </c>
      <c r="F26" s="31" t="str">
        <f>""</f>
        <v/>
      </c>
      <c r="G26" s="31" t="str">
        <f>""</f>
        <v/>
      </c>
      <c r="H26" s="31" t="str">
        <f>"0.042***"</f>
        <v>0.042***</v>
      </c>
      <c r="I26" s="31" t="str">
        <f>""</f>
        <v/>
      </c>
      <c r="J26" s="31" t="str">
        <f>""</f>
        <v/>
      </c>
      <c r="K26" s="31" t="str">
        <f>""</f>
        <v/>
      </c>
      <c r="L26" s="31" t="str">
        <f>""</f>
        <v/>
      </c>
    </row>
    <row r="27" spans="2:12" x14ac:dyDescent="0.2">
      <c r="B27" s="11"/>
      <c r="C27" s="31" t="str">
        <f>""</f>
        <v/>
      </c>
      <c r="D27" s="31" t="str">
        <f>""</f>
        <v/>
      </c>
      <c r="E27" s="31" t="str">
        <f>""</f>
        <v/>
      </c>
      <c r="F27" s="31" t="str">
        <f>""</f>
        <v/>
      </c>
      <c r="G27" s="31" t="str">
        <f>""</f>
        <v/>
      </c>
      <c r="H27" s="31" t="str">
        <f>"[0.014]"</f>
        <v>[0.014]</v>
      </c>
      <c r="I27" s="31" t="str">
        <f>""</f>
        <v/>
      </c>
      <c r="J27" s="31" t="str">
        <f>""</f>
        <v/>
      </c>
      <c r="K27" s="31" t="str">
        <f>""</f>
        <v/>
      </c>
      <c r="L27" s="31" t="str">
        <f>""</f>
        <v/>
      </c>
    </row>
    <row r="28" spans="2:12" x14ac:dyDescent="0.2">
      <c r="B28" s="11" t="str">
        <f>"Lag Theft or destruction of goods (yes=1) for a household in a given year"</f>
        <v>Lag Theft or destruction of goods (yes=1) for a household in a given year</v>
      </c>
      <c r="C28" s="31" t="str">
        <f>""</f>
        <v/>
      </c>
      <c r="D28" s="31" t="str">
        <f>""</f>
        <v/>
      </c>
      <c r="E28" s="31" t="str">
        <f>""</f>
        <v/>
      </c>
      <c r="F28" s="31" t="str">
        <f>""</f>
        <v/>
      </c>
      <c r="G28" s="31" t="str">
        <f>""</f>
        <v/>
      </c>
      <c r="H28" s="31" t="str">
        <f>"0.010"</f>
        <v>0.010</v>
      </c>
      <c r="I28" s="31" t="str">
        <f>""</f>
        <v/>
      </c>
      <c r="J28" s="31" t="str">
        <f>""</f>
        <v/>
      </c>
      <c r="K28" s="31" t="str">
        <f>""</f>
        <v/>
      </c>
      <c r="L28" s="31" t="str">
        <f>""</f>
        <v/>
      </c>
    </row>
    <row r="29" spans="2:12" x14ac:dyDescent="0.2">
      <c r="B29" s="11"/>
      <c r="C29" s="31" t="str">
        <f>""</f>
        <v/>
      </c>
      <c r="D29" s="31" t="str">
        <f>""</f>
        <v/>
      </c>
      <c r="E29" s="31" t="str">
        <f>""</f>
        <v/>
      </c>
      <c r="F29" s="31" t="str">
        <f>""</f>
        <v/>
      </c>
      <c r="G29" s="31" t="str">
        <f>""</f>
        <v/>
      </c>
      <c r="H29" s="31" t="str">
        <f>"[0.012]"</f>
        <v>[0.012]</v>
      </c>
      <c r="I29" s="31" t="str">
        <f>""</f>
        <v/>
      </c>
      <c r="J29" s="31" t="str">
        <f>""</f>
        <v/>
      </c>
      <c r="K29" s="31" t="str">
        <f>""</f>
        <v/>
      </c>
      <c r="L29" s="31" t="str">
        <f>""</f>
        <v/>
      </c>
    </row>
    <row r="30" spans="2:12" x14ac:dyDescent="0.2">
      <c r="B30" s="11" t="str">
        <f>"Destruction of house (yes=1) for a household in a given year"</f>
        <v>Destruction of house (yes=1) for a household in a given year</v>
      </c>
      <c r="C30" s="31" t="str">
        <f>""</f>
        <v/>
      </c>
      <c r="D30" s="31" t="str">
        <f>""</f>
        <v/>
      </c>
      <c r="E30" s="31" t="str">
        <f>""</f>
        <v/>
      </c>
      <c r="F30" s="31" t="str">
        <f>""</f>
        <v/>
      </c>
      <c r="G30" s="31" t="str">
        <f>""</f>
        <v/>
      </c>
      <c r="H30" s="31" t="str">
        <f>""</f>
        <v/>
      </c>
      <c r="I30" s="31" t="str">
        <f>"0.063***"</f>
        <v>0.063***</v>
      </c>
      <c r="J30" s="31" t="str">
        <f>""</f>
        <v/>
      </c>
      <c r="K30" s="31" t="str">
        <f>""</f>
        <v/>
      </c>
      <c r="L30" s="31" t="str">
        <f>""</f>
        <v/>
      </c>
    </row>
    <row r="31" spans="2:12" x14ac:dyDescent="0.2">
      <c r="B31" s="11"/>
      <c r="C31" s="31" t="str">
        <f>""</f>
        <v/>
      </c>
      <c r="D31" s="31" t="str">
        <f>""</f>
        <v/>
      </c>
      <c r="E31" s="31" t="str">
        <f>""</f>
        <v/>
      </c>
      <c r="F31" s="31" t="str">
        <f>""</f>
        <v/>
      </c>
      <c r="G31" s="31" t="str">
        <f>""</f>
        <v/>
      </c>
      <c r="H31" s="31" t="str">
        <f>""</f>
        <v/>
      </c>
      <c r="I31" s="31" t="str">
        <f>"[0.023]"</f>
        <v>[0.023]</v>
      </c>
      <c r="J31" s="31" t="str">
        <f>""</f>
        <v/>
      </c>
      <c r="K31" s="31" t="str">
        <f>""</f>
        <v/>
      </c>
      <c r="L31" s="31" t="str">
        <f>""</f>
        <v/>
      </c>
    </row>
    <row r="32" spans="2:12" ht="23" customHeight="1" x14ac:dyDescent="0.2">
      <c r="B32" s="11" t="str">
        <f>"Lag Destruction of house (yes=1) for a household in a given year"</f>
        <v>Lag Destruction of house (yes=1) for a household in a given year</v>
      </c>
      <c r="C32" s="31" t="str">
        <f>""</f>
        <v/>
      </c>
      <c r="D32" s="31" t="str">
        <f>""</f>
        <v/>
      </c>
      <c r="E32" s="31" t="str">
        <f>""</f>
        <v/>
      </c>
      <c r="F32" s="31" t="str">
        <f>""</f>
        <v/>
      </c>
      <c r="G32" s="31" t="str">
        <f>""</f>
        <v/>
      </c>
      <c r="H32" s="31" t="str">
        <f>""</f>
        <v/>
      </c>
      <c r="I32" s="31" t="str">
        <f>"-0.012"</f>
        <v>-0.012</v>
      </c>
      <c r="J32" s="31" t="str">
        <f>""</f>
        <v/>
      </c>
      <c r="K32" s="31" t="str">
        <f>""</f>
        <v/>
      </c>
      <c r="L32" s="31" t="str">
        <f>""</f>
        <v/>
      </c>
    </row>
    <row r="33" spans="2:12" x14ac:dyDescent="0.2">
      <c r="B33" s="11"/>
      <c r="C33" s="31" t="str">
        <f>""</f>
        <v/>
      </c>
      <c r="D33" s="31" t="str">
        <f>""</f>
        <v/>
      </c>
      <c r="E33" s="31" t="str">
        <f>""</f>
        <v/>
      </c>
      <c r="F33" s="31" t="str">
        <f>""</f>
        <v/>
      </c>
      <c r="G33" s="31" t="str">
        <f>""</f>
        <v/>
      </c>
      <c r="H33" s="31" t="str">
        <f>""</f>
        <v/>
      </c>
      <c r="I33" s="31" t="str">
        <f>"[0.008]"</f>
        <v>[0.008]</v>
      </c>
      <c r="J33" s="31" t="str">
        <f>""</f>
        <v/>
      </c>
      <c r="K33" s="31" t="str">
        <f>""</f>
        <v/>
      </c>
      <c r="L33" s="31" t="str">
        <f>""</f>
        <v/>
      </c>
    </row>
    <row r="34" spans="2:12" x14ac:dyDescent="0.2">
      <c r="B34" s="15" t="s">
        <v>54</v>
      </c>
      <c r="C34" s="31" t="str">
        <f>""</f>
        <v/>
      </c>
      <c r="D34" s="31" t="str">
        <f>""</f>
        <v/>
      </c>
      <c r="E34" s="31" t="str">
        <f>""</f>
        <v/>
      </c>
      <c r="F34" s="31" t="str">
        <f>""</f>
        <v/>
      </c>
      <c r="G34" s="31" t="str">
        <f>""</f>
        <v/>
      </c>
      <c r="H34" s="31" t="str">
        <f>""</f>
        <v/>
      </c>
      <c r="I34" s="31" t="str">
        <f>""</f>
        <v/>
      </c>
      <c r="J34" s="31" t="str">
        <f>"0.003"</f>
        <v>0.003</v>
      </c>
      <c r="K34" s="31" t="str">
        <f>""</f>
        <v/>
      </c>
      <c r="L34" s="31" t="str">
        <f>""</f>
        <v/>
      </c>
    </row>
    <row r="35" spans="2:12" x14ac:dyDescent="0.2">
      <c r="C35" s="31" t="str">
        <f>""</f>
        <v/>
      </c>
      <c r="D35" s="31" t="str">
        <f>""</f>
        <v/>
      </c>
      <c r="E35" s="31" t="str">
        <f>""</f>
        <v/>
      </c>
      <c r="F35" s="31" t="str">
        <f>""</f>
        <v/>
      </c>
      <c r="G35" s="31" t="str">
        <f>""</f>
        <v/>
      </c>
      <c r="H35" s="31" t="str">
        <f>""</f>
        <v/>
      </c>
      <c r="I35" s="31" t="str">
        <f>""</f>
        <v/>
      </c>
      <c r="J35" s="31" t="str">
        <f>"[0.002]"</f>
        <v>[0.002]</v>
      </c>
      <c r="K35" s="31" t="str">
        <f>""</f>
        <v/>
      </c>
      <c r="L35" s="31" t="str">
        <f>""</f>
        <v/>
      </c>
    </row>
    <row r="36" spans="2:12" x14ac:dyDescent="0.2">
      <c r="B36" s="15" t="s">
        <v>72</v>
      </c>
      <c r="C36" s="31" t="str">
        <f>""</f>
        <v/>
      </c>
      <c r="D36" s="31" t="str">
        <f>""</f>
        <v/>
      </c>
      <c r="E36" s="31" t="str">
        <f>""</f>
        <v/>
      </c>
      <c r="F36" s="31" t="str">
        <f>""</f>
        <v/>
      </c>
      <c r="G36" s="31" t="str">
        <f>""</f>
        <v/>
      </c>
      <c r="H36" s="31" t="str">
        <f>""</f>
        <v/>
      </c>
      <c r="I36" s="31" t="str">
        <f>""</f>
        <v/>
      </c>
      <c r="J36" s="31" t="str">
        <f>"-0.002*"</f>
        <v>-0.002*</v>
      </c>
      <c r="K36" s="31" t="str">
        <f>""</f>
        <v/>
      </c>
      <c r="L36" s="31" t="str">
        <f>""</f>
        <v/>
      </c>
    </row>
    <row r="37" spans="2:12" x14ac:dyDescent="0.2">
      <c r="C37" s="31" t="str">
        <f>""</f>
        <v/>
      </c>
      <c r="D37" s="31" t="str">
        <f>""</f>
        <v/>
      </c>
      <c r="E37" s="31" t="str">
        <f>""</f>
        <v/>
      </c>
      <c r="F37" s="31" t="str">
        <f>""</f>
        <v/>
      </c>
      <c r="G37" s="31" t="str">
        <f>""</f>
        <v/>
      </c>
      <c r="H37" s="31" t="str">
        <f>""</f>
        <v/>
      </c>
      <c r="I37" s="31" t="str">
        <f>""</f>
        <v/>
      </c>
      <c r="J37" s="31" t="str">
        <f>"[0.001]"</f>
        <v>[0.001]</v>
      </c>
      <c r="K37" s="31" t="str">
        <f>""</f>
        <v/>
      </c>
      <c r="L37" s="31" t="str">
        <f>""</f>
        <v/>
      </c>
    </row>
    <row r="38" spans="2:12" x14ac:dyDescent="0.2">
      <c r="B38" s="15" t="s">
        <v>55</v>
      </c>
      <c r="C38" s="31" t="str">
        <f>""</f>
        <v/>
      </c>
      <c r="D38" s="31" t="str">
        <f>""</f>
        <v/>
      </c>
      <c r="E38" s="31" t="str">
        <f>""</f>
        <v/>
      </c>
      <c r="F38" s="31" t="str">
        <f>""</f>
        <v/>
      </c>
      <c r="G38" s="31" t="str">
        <f>""</f>
        <v/>
      </c>
      <c r="H38" s="31" t="str">
        <f>""</f>
        <v/>
      </c>
      <c r="I38" s="31" t="str">
        <f>""</f>
        <v/>
      </c>
      <c r="J38" s="31" t="str">
        <f>""</f>
        <v/>
      </c>
      <c r="K38" s="31" t="str">
        <f>"0.009***"</f>
        <v>0.009***</v>
      </c>
      <c r="L38" s="31" t="str">
        <f>""</f>
        <v/>
      </c>
    </row>
    <row r="39" spans="2:12" x14ac:dyDescent="0.2">
      <c r="B39" s="15"/>
      <c r="C39" s="31" t="str">
        <f>""</f>
        <v/>
      </c>
      <c r="D39" s="31" t="str">
        <f>""</f>
        <v/>
      </c>
      <c r="E39" s="31" t="str">
        <f>""</f>
        <v/>
      </c>
      <c r="F39" s="31" t="str">
        <f>""</f>
        <v/>
      </c>
      <c r="G39" s="31" t="str">
        <f>""</f>
        <v/>
      </c>
      <c r="H39" s="31" t="str">
        <f>""</f>
        <v/>
      </c>
      <c r="I39" s="31" t="str">
        <f>""</f>
        <v/>
      </c>
      <c r="J39" s="31" t="str">
        <f>""</f>
        <v/>
      </c>
      <c r="K39" s="31" t="str">
        <f>"[0.002]"</f>
        <v>[0.002]</v>
      </c>
      <c r="L39" s="31" t="str">
        <f>""</f>
        <v/>
      </c>
    </row>
    <row r="40" spans="2:12" x14ac:dyDescent="0.2">
      <c r="B40" s="15" t="s">
        <v>73</v>
      </c>
      <c r="C40" s="31" t="str">
        <f>""</f>
        <v/>
      </c>
      <c r="D40" s="31" t="str">
        <f>""</f>
        <v/>
      </c>
      <c r="E40" s="31" t="str">
        <f>""</f>
        <v/>
      </c>
      <c r="F40" s="31" t="str">
        <f>""</f>
        <v/>
      </c>
      <c r="G40" s="31" t="str">
        <f>""</f>
        <v/>
      </c>
      <c r="H40" s="31" t="str">
        <f>""</f>
        <v/>
      </c>
      <c r="I40" s="31" t="str">
        <f>""</f>
        <v/>
      </c>
      <c r="J40" s="31" t="str">
        <f>""</f>
        <v/>
      </c>
      <c r="K40" s="31" t="str">
        <f>"-0.000"</f>
        <v>-0.000</v>
      </c>
      <c r="L40" s="31" t="str">
        <f>""</f>
        <v/>
      </c>
    </row>
    <row r="41" spans="2:12" x14ac:dyDescent="0.2">
      <c r="B41" s="15"/>
      <c r="C41" s="31" t="str">
        <f>""</f>
        <v/>
      </c>
      <c r="D41" s="31" t="str">
        <f>""</f>
        <v/>
      </c>
      <c r="E41" s="31" t="str">
        <f>""</f>
        <v/>
      </c>
      <c r="F41" s="31" t="str">
        <f>""</f>
        <v/>
      </c>
      <c r="G41" s="31" t="str">
        <f>""</f>
        <v/>
      </c>
      <c r="H41" s="31" t="str">
        <f>""</f>
        <v/>
      </c>
      <c r="I41" s="31" t="str">
        <f>""</f>
        <v/>
      </c>
      <c r="J41" s="31" t="str">
        <f>""</f>
        <v/>
      </c>
      <c r="K41" s="31" t="str">
        <f>"[0.001]"</f>
        <v>[0.001]</v>
      </c>
      <c r="L41" s="31" t="str">
        <f>""</f>
        <v/>
      </c>
    </row>
    <row r="42" spans="2:12" x14ac:dyDescent="0.2">
      <c r="B42" s="15" t="s">
        <v>56</v>
      </c>
      <c r="C42" s="31" t="str">
        <f>""</f>
        <v/>
      </c>
      <c r="D42" s="31" t="str">
        <f>""</f>
        <v/>
      </c>
      <c r="E42" s="31" t="str">
        <f>""</f>
        <v/>
      </c>
      <c r="F42" s="31" t="str">
        <f>""</f>
        <v/>
      </c>
      <c r="G42" s="31" t="str">
        <f>""</f>
        <v/>
      </c>
      <c r="H42" s="31" t="str">
        <f>""</f>
        <v/>
      </c>
      <c r="I42" s="31" t="str">
        <f>""</f>
        <v/>
      </c>
      <c r="J42" s="31" t="str">
        <f>""</f>
        <v/>
      </c>
      <c r="K42" s="31" t="str">
        <f>""</f>
        <v/>
      </c>
      <c r="L42" s="31" t="str">
        <f>"0.007***"</f>
        <v>0.007***</v>
      </c>
    </row>
    <row r="43" spans="2:12" x14ac:dyDescent="0.2">
      <c r="B43" s="15"/>
      <c r="C43" s="31" t="str">
        <f>""</f>
        <v/>
      </c>
      <c r="D43" s="31" t="str">
        <f>""</f>
        <v/>
      </c>
      <c r="E43" s="31" t="str">
        <f>""</f>
        <v/>
      </c>
      <c r="F43" s="31" t="str">
        <f>""</f>
        <v/>
      </c>
      <c r="G43" s="31" t="str">
        <f>""</f>
        <v/>
      </c>
      <c r="H43" s="31" t="str">
        <f>""</f>
        <v/>
      </c>
      <c r="I43" s="31" t="str">
        <f>""</f>
        <v/>
      </c>
      <c r="J43" s="31" t="str">
        <f>""</f>
        <v/>
      </c>
      <c r="K43" s="31" t="str">
        <f>""</f>
        <v/>
      </c>
      <c r="L43" s="31" t="str">
        <f>"[0.002]"</f>
        <v>[0.002]</v>
      </c>
    </row>
    <row r="44" spans="2:12" x14ac:dyDescent="0.2">
      <c r="B44" s="15" t="s">
        <v>74</v>
      </c>
      <c r="C44" s="31" t="str">
        <f>""</f>
        <v/>
      </c>
      <c r="D44" s="31" t="str">
        <f>""</f>
        <v/>
      </c>
      <c r="E44" s="31" t="str">
        <f>""</f>
        <v/>
      </c>
      <c r="F44" s="31" t="str">
        <f>""</f>
        <v/>
      </c>
      <c r="G44" s="31" t="str">
        <f>""</f>
        <v/>
      </c>
      <c r="H44" s="31" t="str">
        <f>""</f>
        <v/>
      </c>
      <c r="I44" s="31" t="str">
        <f>""</f>
        <v/>
      </c>
      <c r="J44" s="31" t="str">
        <f>""</f>
        <v/>
      </c>
      <c r="K44" s="31" t="str">
        <f>""</f>
        <v/>
      </c>
      <c r="L44" s="31" t="str">
        <f>"-0.001"</f>
        <v>-0.001</v>
      </c>
    </row>
    <row r="45" spans="2:12" x14ac:dyDescent="0.2">
      <c r="C45" s="31" t="str">
        <f>""</f>
        <v/>
      </c>
      <c r="D45" s="31" t="str">
        <f>""</f>
        <v/>
      </c>
      <c r="E45" s="31" t="str">
        <f>""</f>
        <v/>
      </c>
      <c r="F45" s="31" t="str">
        <f>""</f>
        <v/>
      </c>
      <c r="G45" s="31" t="str">
        <f>""</f>
        <v/>
      </c>
      <c r="H45" s="31" t="str">
        <f>""</f>
        <v/>
      </c>
      <c r="I45" s="31" t="str">
        <f>""</f>
        <v/>
      </c>
      <c r="J45" s="31" t="str">
        <f>""</f>
        <v/>
      </c>
      <c r="K45" s="31" t="str">
        <f>""</f>
        <v/>
      </c>
      <c r="L45" s="31" t="str">
        <f>"[0.001]"</f>
        <v>[0.001]</v>
      </c>
    </row>
    <row r="46" spans="2:12" x14ac:dyDescent="0.2">
      <c r="B46" s="24" t="s">
        <v>27</v>
      </c>
      <c r="C46" s="43" t="str">
        <f t="shared" ref="C46:L46" si="0">"31320"</f>
        <v>31320</v>
      </c>
      <c r="D46" s="43" t="str">
        <f t="shared" si="0"/>
        <v>31320</v>
      </c>
      <c r="E46" s="43" t="str">
        <f t="shared" si="0"/>
        <v>31320</v>
      </c>
      <c r="F46" s="43" t="str">
        <f t="shared" si="0"/>
        <v>31320</v>
      </c>
      <c r="G46" s="43" t="str">
        <f t="shared" si="0"/>
        <v>31320</v>
      </c>
      <c r="H46" s="43" t="str">
        <f t="shared" si="0"/>
        <v>31320</v>
      </c>
      <c r="I46" s="43" t="str">
        <f t="shared" si="0"/>
        <v>31320</v>
      </c>
      <c r="J46" s="43" t="str">
        <f t="shared" si="0"/>
        <v>31320</v>
      </c>
      <c r="K46" s="43" t="str">
        <f t="shared" si="0"/>
        <v>31320</v>
      </c>
      <c r="L46" s="43" t="str">
        <f t="shared" si="0"/>
        <v>31320</v>
      </c>
    </row>
    <row r="47" spans="2:12" x14ac:dyDescent="0.2">
      <c r="B47" s="21" t="s">
        <v>49</v>
      </c>
      <c r="C47" s="25" t="str">
        <f t="shared" ref="C47:L47" si="1">"0.045"</f>
        <v>0.045</v>
      </c>
      <c r="D47" s="25" t="str">
        <f t="shared" si="1"/>
        <v>0.045</v>
      </c>
      <c r="E47" s="25" t="str">
        <f t="shared" si="1"/>
        <v>0.045</v>
      </c>
      <c r="F47" s="25" t="str">
        <f t="shared" si="1"/>
        <v>0.045</v>
      </c>
      <c r="G47" s="25" t="str">
        <f t="shared" si="1"/>
        <v>0.045</v>
      </c>
      <c r="H47" s="25" t="str">
        <f t="shared" si="1"/>
        <v>0.045</v>
      </c>
      <c r="I47" s="25" t="str">
        <f t="shared" si="1"/>
        <v>0.045</v>
      </c>
      <c r="J47" s="25" t="str">
        <f t="shared" si="1"/>
        <v>0.045</v>
      </c>
      <c r="K47" s="25" t="str">
        <f t="shared" si="1"/>
        <v>0.045</v>
      </c>
      <c r="L47" s="25" t="str">
        <f t="shared" si="1"/>
        <v>0.045</v>
      </c>
    </row>
    <row r="48" spans="2:12" x14ac:dyDescent="0.2">
      <c r="B48" s="21" t="s">
        <v>26</v>
      </c>
      <c r="C48" s="25" t="s">
        <v>25</v>
      </c>
      <c r="D48" s="25" t="s">
        <v>25</v>
      </c>
      <c r="E48" s="25" t="s">
        <v>25</v>
      </c>
      <c r="F48" s="25" t="s">
        <v>25</v>
      </c>
      <c r="G48" s="25" t="s">
        <v>25</v>
      </c>
      <c r="H48" s="25" t="s">
        <v>25</v>
      </c>
      <c r="I48" s="25" t="s">
        <v>25</v>
      </c>
      <c r="J48" s="25" t="s">
        <v>25</v>
      </c>
      <c r="K48" s="25" t="s">
        <v>25</v>
      </c>
      <c r="L48" s="25" t="s">
        <v>25</v>
      </c>
    </row>
    <row r="49" spans="2:12" x14ac:dyDescent="0.2">
      <c r="B49" s="21" t="s">
        <v>24</v>
      </c>
      <c r="C49" s="25" t="s">
        <v>25</v>
      </c>
      <c r="D49" s="25" t="s">
        <v>25</v>
      </c>
      <c r="E49" s="25" t="s">
        <v>25</v>
      </c>
      <c r="F49" s="25" t="s">
        <v>25</v>
      </c>
      <c r="G49" s="25" t="s">
        <v>25</v>
      </c>
      <c r="H49" s="25" t="s">
        <v>25</v>
      </c>
      <c r="I49" s="25" t="s">
        <v>25</v>
      </c>
      <c r="J49" s="25" t="s">
        <v>25</v>
      </c>
      <c r="K49" s="25" t="s">
        <v>25</v>
      </c>
      <c r="L49" s="25" t="s">
        <v>25</v>
      </c>
    </row>
    <row r="50" spans="2:12" x14ac:dyDescent="0.2">
      <c r="B50" s="26" t="s">
        <v>38</v>
      </c>
      <c r="C50" s="27" t="s">
        <v>25</v>
      </c>
      <c r="D50" s="27" t="s">
        <v>25</v>
      </c>
      <c r="E50" s="27" t="s">
        <v>25</v>
      </c>
      <c r="F50" s="27" t="s">
        <v>25</v>
      </c>
      <c r="G50" s="27" t="s">
        <v>25</v>
      </c>
      <c r="H50" s="27" t="s">
        <v>25</v>
      </c>
      <c r="I50" s="27" t="s">
        <v>25</v>
      </c>
      <c r="J50" s="27" t="s">
        <v>25</v>
      </c>
      <c r="K50" s="27" t="s">
        <v>25</v>
      </c>
      <c r="L50" s="27" t="s">
        <v>25</v>
      </c>
    </row>
    <row r="51" spans="2:12" ht="91" customHeight="1" x14ac:dyDescent="0.2">
      <c r="B51" s="89" t="s">
        <v>75</v>
      </c>
      <c r="C51" s="89"/>
      <c r="D51" s="89"/>
      <c r="E51" s="89"/>
      <c r="F51" s="89"/>
      <c r="G51" s="89"/>
      <c r="H51" s="89"/>
      <c r="I51" s="89"/>
      <c r="J51" s="89"/>
      <c r="K51" s="89"/>
      <c r="L51" s="89"/>
    </row>
  </sheetData>
  <mergeCells count="2">
    <mergeCell ref="B2:L2"/>
    <mergeCell ref="B51:L51"/>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443A-5F7D-D242-8C2B-BAFC34525E6B}">
  <dimension ref="B1:K35"/>
  <sheetViews>
    <sheetView showGridLines="0" workbookViewId="0">
      <selection activeCell="B3" sqref="B3:B4"/>
    </sheetView>
  </sheetViews>
  <sheetFormatPr baseColWidth="10" defaultColWidth="11" defaultRowHeight="16" x14ac:dyDescent="0.2"/>
  <cols>
    <col min="2" max="2" width="48.33203125" customWidth="1"/>
  </cols>
  <sheetData>
    <row r="1" spans="2:11" x14ac:dyDescent="0.2">
      <c r="D1" s="85"/>
      <c r="E1" s="85"/>
      <c r="F1" s="85"/>
      <c r="G1" s="85"/>
      <c r="H1" s="85"/>
      <c r="I1" s="85"/>
      <c r="J1" s="85"/>
      <c r="K1" s="85"/>
    </row>
    <row r="2" spans="2:11" x14ac:dyDescent="0.2">
      <c r="B2" s="85" t="s">
        <v>83</v>
      </c>
      <c r="C2" s="85"/>
      <c r="D2" s="85"/>
      <c r="E2" s="85"/>
      <c r="F2" s="85"/>
      <c r="G2" s="85"/>
      <c r="H2" s="85"/>
    </row>
    <row r="3" spans="2:11" ht="68" x14ac:dyDescent="0.2">
      <c r="B3" s="81" t="s">
        <v>46</v>
      </c>
      <c r="C3" s="46" t="s">
        <v>47</v>
      </c>
      <c r="D3" s="46" t="s">
        <v>64</v>
      </c>
      <c r="E3" s="46" t="s">
        <v>35</v>
      </c>
      <c r="F3" s="46" t="s">
        <v>51</v>
      </c>
      <c r="G3" s="46" t="s">
        <v>36</v>
      </c>
      <c r="H3" s="46" t="s">
        <v>37</v>
      </c>
    </row>
    <row r="4" spans="2:11" ht="17" thickBot="1" x14ac:dyDescent="0.25">
      <c r="B4" s="86"/>
      <c r="C4" s="10" t="s">
        <v>28</v>
      </c>
      <c r="D4" s="10" t="s">
        <v>29</v>
      </c>
      <c r="E4" s="10" t="s">
        <v>30</v>
      </c>
      <c r="F4" s="10" t="s">
        <v>31</v>
      </c>
      <c r="G4" s="10" t="s">
        <v>32</v>
      </c>
      <c r="H4" s="10" t="s">
        <v>33</v>
      </c>
    </row>
    <row r="5" spans="2:11" ht="17" thickTop="1" x14ac:dyDescent="0.2">
      <c r="B5" s="28" t="s">
        <v>65</v>
      </c>
      <c r="C5" s="48"/>
      <c r="D5" s="48"/>
      <c r="E5" s="48"/>
      <c r="F5" s="48"/>
      <c r="G5" s="48"/>
      <c r="H5" s="48"/>
    </row>
    <row r="6" spans="2:11" x14ac:dyDescent="0.2">
      <c r="B6" s="54" t="s">
        <v>50</v>
      </c>
      <c r="C6" s="29" t="str">
        <f>"0.026*"</f>
        <v>0.026*</v>
      </c>
      <c r="D6" s="29" t="str">
        <f>"0.039**"</f>
        <v>0.039**</v>
      </c>
      <c r="E6" s="29" t="str">
        <f>"0.030**"</f>
        <v>0.030**</v>
      </c>
      <c r="F6" s="31" t="str">
        <f>"0.026"</f>
        <v>0.026</v>
      </c>
      <c r="G6" s="31" t="str">
        <f>"0.036**"</f>
        <v>0.036**</v>
      </c>
      <c r="H6" s="31" t="str">
        <f>"0.008"</f>
        <v>0.008</v>
      </c>
    </row>
    <row r="7" spans="2:11" x14ac:dyDescent="0.2">
      <c r="B7" s="53"/>
      <c r="C7" s="29" t="str">
        <f>"[0.013]"</f>
        <v>[0.013]</v>
      </c>
      <c r="D7" s="29" t="str">
        <f>"[0.017]"</f>
        <v>[0.017]</v>
      </c>
      <c r="E7" s="29" t="str">
        <f>"[0.014]"</f>
        <v>[0.014]</v>
      </c>
      <c r="F7" s="31" t="str">
        <f>"[0.016]"</f>
        <v>[0.016]</v>
      </c>
      <c r="G7" s="31" t="str">
        <f>"[0.017]"</f>
        <v>[0.017]</v>
      </c>
      <c r="H7" s="31" t="str">
        <f>"[0.006]"</f>
        <v>[0.006]</v>
      </c>
    </row>
    <row r="8" spans="2:11" x14ac:dyDescent="0.2">
      <c r="B8" s="6" t="s">
        <v>70</v>
      </c>
      <c r="C8" s="29" t="str">
        <f>"0.022*"</f>
        <v>0.022*</v>
      </c>
      <c r="D8" s="29" t="str">
        <f>"0.034**"</f>
        <v>0.034**</v>
      </c>
      <c r="E8" s="29" t="str">
        <f>"0.029**"</f>
        <v>0.029**</v>
      </c>
      <c r="F8" s="31" t="str">
        <f>"0.025**"</f>
        <v>0.025**</v>
      </c>
      <c r="G8" s="31" t="str">
        <f>"0.034**"</f>
        <v>0.034**</v>
      </c>
      <c r="H8" s="31" t="str">
        <f>"-0.000"</f>
        <v>-0.000</v>
      </c>
    </row>
    <row r="9" spans="2:11" x14ac:dyDescent="0.2">
      <c r="B9" s="6"/>
      <c r="C9" s="29" t="str">
        <f>"[0.012]"</f>
        <v>[0.012]</v>
      </c>
      <c r="D9" s="29" t="str">
        <f>"[0.014]"</f>
        <v>[0.014]</v>
      </c>
      <c r="E9" s="29" t="str">
        <f>"[0.013]"</f>
        <v>[0.013]</v>
      </c>
      <c r="F9" s="31" t="str">
        <f>"[0.012]"</f>
        <v>[0.012]</v>
      </c>
      <c r="G9" s="31" t="str">
        <f>"[0.015]"</f>
        <v>[0.015]</v>
      </c>
      <c r="H9" s="31" t="str">
        <f>"[0.008]"</f>
        <v>[0.008]</v>
      </c>
    </row>
    <row r="10" spans="2:11" x14ac:dyDescent="0.2">
      <c r="B10" s="49" t="s">
        <v>66</v>
      </c>
      <c r="C10" s="50"/>
      <c r="D10" s="50"/>
      <c r="E10" s="50"/>
      <c r="F10" s="50"/>
      <c r="G10" s="50"/>
      <c r="H10" s="50"/>
    </row>
    <row r="11" spans="2:11" x14ac:dyDescent="0.2">
      <c r="B11" s="54" t="s">
        <v>48</v>
      </c>
      <c r="C11" s="31" t="str">
        <f>"0.267***"</f>
        <v>0.267***</v>
      </c>
      <c r="D11" s="29" t="str">
        <f>"0.206***"</f>
        <v>0.206***</v>
      </c>
      <c r="E11" s="29" t="str">
        <f>"0.195**"</f>
        <v>0.195**</v>
      </c>
      <c r="F11" s="31" t="str">
        <f>"0.268***"</f>
        <v>0.268***</v>
      </c>
      <c r="G11" s="31" t="str">
        <f>"0.238***"</f>
        <v>0.238***</v>
      </c>
      <c r="H11" s="31" t="str">
        <f>"0.104**"</f>
        <v>0.104**</v>
      </c>
    </row>
    <row r="12" spans="2:11" x14ac:dyDescent="0.2">
      <c r="B12" s="53"/>
      <c r="C12" s="31" t="str">
        <f>"[0.097]"</f>
        <v>[0.097]</v>
      </c>
      <c r="D12" s="29" t="str">
        <f>"[0.075]"</f>
        <v>[0.075]</v>
      </c>
      <c r="E12" s="29" t="str">
        <f>"[0.084]"</f>
        <v>[0.084]</v>
      </c>
      <c r="F12" s="31" t="str">
        <f>"[0.096]"</f>
        <v>[0.096]</v>
      </c>
      <c r="G12" s="31" t="str">
        <f>"[0.088]"</f>
        <v>[0.088]</v>
      </c>
      <c r="H12" s="31" t="str">
        <f>"[0.051]"</f>
        <v>[0.051]</v>
      </c>
    </row>
    <row r="13" spans="2:11" x14ac:dyDescent="0.2">
      <c r="B13" s="6" t="s">
        <v>71</v>
      </c>
      <c r="C13" s="31" t="str">
        <f>"0.061"</f>
        <v>0.061</v>
      </c>
      <c r="D13" s="29" t="str">
        <f>"0.110"</f>
        <v>0.110</v>
      </c>
      <c r="E13" s="29" t="str">
        <f>"0.112"</f>
        <v>0.112</v>
      </c>
      <c r="F13" s="31" t="str">
        <f>"0.055"</f>
        <v>0.055</v>
      </c>
      <c r="G13" s="31" t="str">
        <f>"0.092"</f>
        <v>0.092</v>
      </c>
      <c r="H13" s="31" t="str">
        <f>"0.024"</f>
        <v>0.024</v>
      </c>
    </row>
    <row r="14" spans="2:11" x14ac:dyDescent="0.2">
      <c r="B14" s="6"/>
      <c r="C14" s="31" t="str">
        <f>"[0.084]"</f>
        <v>[0.084]</v>
      </c>
      <c r="D14" s="47" t="str">
        <f>"[0.120]"</f>
        <v>[0.120]</v>
      </c>
      <c r="E14" s="47" t="str">
        <f>"[0.096]"</f>
        <v>[0.096]</v>
      </c>
      <c r="F14" s="31" t="str">
        <f>"[0.106]"</f>
        <v>[0.106]</v>
      </c>
      <c r="G14" s="31" t="str">
        <f>"[0.113]"</f>
        <v>[0.113]</v>
      </c>
      <c r="H14" s="31" t="str">
        <f>"[0.020]"</f>
        <v>[0.020]</v>
      </c>
    </row>
    <row r="15" spans="2:11" x14ac:dyDescent="0.2">
      <c r="B15" s="49" t="s">
        <v>67</v>
      </c>
      <c r="C15" s="50"/>
      <c r="D15" s="50"/>
      <c r="E15" s="50"/>
      <c r="F15" s="50"/>
      <c r="G15" s="50"/>
      <c r="H15" s="50"/>
    </row>
    <row r="16" spans="2:11" ht="29" x14ac:dyDescent="0.2">
      <c r="B16" s="55" t="s">
        <v>54</v>
      </c>
      <c r="C16" s="31" t="str">
        <f>"0.002"</f>
        <v>0.002</v>
      </c>
      <c r="D16" s="31" t="str">
        <f>"0.006*"</f>
        <v>0.006*</v>
      </c>
      <c r="E16" s="31" t="str">
        <f>"0.003"</f>
        <v>0.003</v>
      </c>
      <c r="F16" s="31" t="str">
        <f>"0.005"</f>
        <v>0.005</v>
      </c>
      <c r="G16" s="31" t="str">
        <f>"0.007**"</f>
        <v>0.007**</v>
      </c>
      <c r="H16" s="31" t="str">
        <f>"-0.003"</f>
        <v>-0.003</v>
      </c>
    </row>
    <row r="17" spans="2:8" x14ac:dyDescent="0.2">
      <c r="B17" s="53"/>
      <c r="C17" s="31" t="str">
        <f>"[0.002]"</f>
        <v>[0.002]</v>
      </c>
      <c r="D17" s="31" t="str">
        <f>"[0.004]"</f>
        <v>[0.004]</v>
      </c>
      <c r="E17" s="31" t="str">
        <f>"[0.003]"</f>
        <v>[0.003]</v>
      </c>
      <c r="F17" s="31" t="str">
        <f>"[0.004]"</f>
        <v>[0.004]</v>
      </c>
      <c r="G17" s="31" t="str">
        <f>"[0.003]"</f>
        <v>[0.003]</v>
      </c>
      <c r="H17" s="31" t="str">
        <f>"[0.002]"</f>
        <v>[0.002]</v>
      </c>
    </row>
    <row r="18" spans="2:8" ht="29" x14ac:dyDescent="0.2">
      <c r="B18" s="57" t="s">
        <v>72</v>
      </c>
      <c r="C18" s="31" t="str">
        <f>"-0.001"</f>
        <v>-0.001</v>
      </c>
      <c r="D18" s="31" t="str">
        <f>"-0.004"</f>
        <v>-0.004</v>
      </c>
      <c r="E18" s="31" t="str">
        <f>"-0.003"</f>
        <v>-0.003</v>
      </c>
      <c r="F18" s="31" t="str">
        <f>"-0.002"</f>
        <v>-0.002</v>
      </c>
      <c r="G18" s="31" t="str">
        <f>"-0.004*"</f>
        <v>-0.004*</v>
      </c>
      <c r="H18" s="31" t="str">
        <f>"0.001"</f>
        <v>0.001</v>
      </c>
    </row>
    <row r="19" spans="2:8" x14ac:dyDescent="0.2">
      <c r="B19" s="6"/>
      <c r="C19" s="31" t="str">
        <f>"[0.002]"</f>
        <v>[0.002]</v>
      </c>
      <c r="D19" s="31" t="str">
        <f>"[0.003]"</f>
        <v>[0.003]</v>
      </c>
      <c r="E19" s="31" t="str">
        <f>"[0.002]"</f>
        <v>[0.002]</v>
      </c>
      <c r="F19" s="31" t="str">
        <f>"[0.003]"</f>
        <v>[0.003]</v>
      </c>
      <c r="G19" s="31" t="str">
        <f>"[0.002]"</f>
        <v>[0.002]</v>
      </c>
      <c r="H19" s="31" t="str">
        <f>"[0.002]"</f>
        <v>[0.002]</v>
      </c>
    </row>
    <row r="20" spans="2:8" x14ac:dyDescent="0.2">
      <c r="B20" s="49" t="s">
        <v>68</v>
      </c>
      <c r="C20" s="50"/>
      <c r="D20" s="50"/>
      <c r="E20" s="50"/>
      <c r="F20" s="50"/>
      <c r="G20" s="50"/>
      <c r="H20" s="50"/>
    </row>
    <row r="21" spans="2:8" ht="29" x14ac:dyDescent="0.2">
      <c r="B21" s="55" t="s">
        <v>55</v>
      </c>
      <c r="C21" s="31" t="str">
        <f>"0.009***"</f>
        <v>0.009***</v>
      </c>
      <c r="D21" s="31" t="str">
        <f>"0.013***"</f>
        <v>0.013***</v>
      </c>
      <c r="E21" s="31" t="str">
        <f>"0.014***"</f>
        <v>0.014***</v>
      </c>
      <c r="F21" s="31" t="str">
        <f>"0.005**"</f>
        <v>0.005**</v>
      </c>
      <c r="G21" s="31" t="str">
        <f>"0.011***"</f>
        <v>0.011***</v>
      </c>
      <c r="H21" s="31" t="str">
        <f>"0.009***"</f>
        <v>0.009***</v>
      </c>
    </row>
    <row r="22" spans="2:8" x14ac:dyDescent="0.2">
      <c r="B22" s="53"/>
      <c r="C22" s="31" t="str">
        <f>"[0.003]"</f>
        <v>[0.003]</v>
      </c>
      <c r="D22" s="31" t="str">
        <f>"[0.003]"</f>
        <v>[0.003]</v>
      </c>
      <c r="E22" s="31" t="str">
        <f>"[0.003]"</f>
        <v>[0.003]</v>
      </c>
      <c r="F22" s="31" t="str">
        <f>"[0.002]"</f>
        <v>[0.002]</v>
      </c>
      <c r="G22" s="31" t="str">
        <f>"[0.003]"</f>
        <v>[0.003]</v>
      </c>
      <c r="H22" s="31" t="str">
        <f>"[0.003]"</f>
        <v>[0.003]</v>
      </c>
    </row>
    <row r="23" spans="2:8" ht="29" x14ac:dyDescent="0.2">
      <c r="B23" s="55" t="s">
        <v>73</v>
      </c>
      <c r="C23" s="31" t="str">
        <f>"-0.001"</f>
        <v>-0.001</v>
      </c>
      <c r="D23" s="31" t="str">
        <f>"-0.006*"</f>
        <v>-0.006*</v>
      </c>
      <c r="E23" s="31" t="str">
        <f>"-0.007***"</f>
        <v>-0.007***</v>
      </c>
      <c r="F23" s="31" t="str">
        <f>"0.003"</f>
        <v>0.003</v>
      </c>
      <c r="G23" s="31" t="str">
        <f>"-0.002"</f>
        <v>-0.002</v>
      </c>
      <c r="H23" s="31" t="str">
        <f>"-0.006**"</f>
        <v>-0.006**</v>
      </c>
    </row>
    <row r="24" spans="2:8" x14ac:dyDescent="0.2">
      <c r="B24" s="6"/>
      <c r="C24" s="31" t="str">
        <f>"[0.002]"</f>
        <v>[0.002]</v>
      </c>
      <c r="D24" s="31" t="str">
        <f>"[0.003]"</f>
        <v>[0.003]</v>
      </c>
      <c r="E24" s="31" t="str">
        <f>"[0.002]"</f>
        <v>[0.002]</v>
      </c>
      <c r="F24" s="31" t="str">
        <f>"[0.002]"</f>
        <v>[0.002]</v>
      </c>
      <c r="G24" s="31" t="str">
        <f>"[0.002]"</f>
        <v>[0.002]</v>
      </c>
      <c r="H24" s="31" t="str">
        <f>"[0.002]"</f>
        <v>[0.002]</v>
      </c>
    </row>
    <row r="25" spans="2:8" x14ac:dyDescent="0.2">
      <c r="B25" s="49" t="s">
        <v>69</v>
      </c>
      <c r="C25" s="50"/>
      <c r="D25" s="50"/>
      <c r="E25" s="50"/>
      <c r="F25" s="50"/>
      <c r="G25" s="50"/>
      <c r="H25" s="50"/>
    </row>
    <row r="26" spans="2:8" x14ac:dyDescent="0.2">
      <c r="B26" s="55" t="s">
        <v>56</v>
      </c>
      <c r="C26" s="31" t="str">
        <f>"0.008***"</f>
        <v>0.008***</v>
      </c>
      <c r="D26" s="31" t="str">
        <f>"0.011***"</f>
        <v>0.011***</v>
      </c>
      <c r="E26" s="31" t="str">
        <f>"0.011***"</f>
        <v>0.011***</v>
      </c>
      <c r="F26" s="31" t="str">
        <f>"0.005*"</f>
        <v>0.005*</v>
      </c>
      <c r="G26" s="31" t="str">
        <f>"0.010***"</f>
        <v>0.010***</v>
      </c>
      <c r="H26" s="31" t="str">
        <f>"0.007**"</f>
        <v>0.007**</v>
      </c>
    </row>
    <row r="27" spans="2:8" x14ac:dyDescent="0.2">
      <c r="B27" s="53"/>
      <c r="C27" s="31" t="str">
        <f>"[0.002]"</f>
        <v>[0.002]</v>
      </c>
      <c r="D27" s="31" t="str">
        <f>"[0.003]"</f>
        <v>[0.003]</v>
      </c>
      <c r="E27" s="31" t="str">
        <f>"[0.003]"</f>
        <v>[0.003]</v>
      </c>
      <c r="F27" s="31" t="str">
        <f>"[0.002]"</f>
        <v>[0.002]</v>
      </c>
      <c r="G27" s="31" t="str">
        <f>"[0.003]"</f>
        <v>[0.003]</v>
      </c>
      <c r="H27" s="31" t="str">
        <f>"[0.003]"</f>
        <v>[0.003]</v>
      </c>
    </row>
    <row r="28" spans="2:8" x14ac:dyDescent="0.2">
      <c r="B28" s="15" t="s">
        <v>74</v>
      </c>
      <c r="C28" s="31" t="str">
        <f>"-0.001"</f>
        <v>-0.001</v>
      </c>
      <c r="D28" s="31" t="str">
        <f>"-0.005"</f>
        <v>-0.005</v>
      </c>
      <c r="E28" s="31" t="str">
        <f>"-0.006***"</f>
        <v>-0.006***</v>
      </c>
      <c r="F28" s="31" t="str">
        <f>"0.003"</f>
        <v>0.003</v>
      </c>
      <c r="G28" s="31" t="str">
        <f>"-0.002"</f>
        <v>-0.002</v>
      </c>
      <c r="H28" s="31" t="str">
        <f>"-0.005**"</f>
        <v>-0.005**</v>
      </c>
    </row>
    <row r="29" spans="2:8" x14ac:dyDescent="0.2">
      <c r="B29" s="6"/>
      <c r="C29" s="31" t="str">
        <f>"[0.002]"</f>
        <v>[0.002]</v>
      </c>
      <c r="D29" s="31" t="str">
        <f>"[0.003]"</f>
        <v>[0.003]</v>
      </c>
      <c r="E29" s="31" t="str">
        <f>"[0.002]"</f>
        <v>[0.002]</v>
      </c>
      <c r="F29" s="31" t="str">
        <f>"[0.002]"</f>
        <v>[0.002]</v>
      </c>
      <c r="G29" s="31" t="str">
        <f>"[0.002]"</f>
        <v>[0.002]</v>
      </c>
      <c r="H29" s="31" t="str">
        <f>"[0.002]"</f>
        <v>[0.002]</v>
      </c>
    </row>
    <row r="30" spans="2:8" x14ac:dyDescent="0.2">
      <c r="B30" s="51" t="s">
        <v>27</v>
      </c>
      <c r="C30" s="52" t="str">
        <f>"17401"</f>
        <v>17401</v>
      </c>
      <c r="D30" s="52" t="str">
        <f>"16527"</f>
        <v>16527</v>
      </c>
      <c r="E30" s="52" t="str">
        <f>"17369"</f>
        <v>17369</v>
      </c>
      <c r="F30" s="52" t="str">
        <f>"16559"</f>
        <v>16559</v>
      </c>
      <c r="G30" s="52" t="str">
        <f>"24313"</f>
        <v>24313</v>
      </c>
      <c r="H30" s="52" t="str">
        <f>"9588"</f>
        <v>9588</v>
      </c>
    </row>
    <row r="31" spans="2:8" x14ac:dyDescent="0.2">
      <c r="B31" s="21" t="s">
        <v>49</v>
      </c>
      <c r="C31" s="25" t="str">
        <f>"0.041"</f>
        <v>0.041</v>
      </c>
      <c r="D31" s="25" t="str">
        <f>"0.049"</f>
        <v>0.049</v>
      </c>
      <c r="E31" s="25" t="str">
        <f>"0.052"</f>
        <v>0.052</v>
      </c>
      <c r="F31" s="25" t="str">
        <f>"0.037"</f>
        <v>0.037</v>
      </c>
      <c r="G31" s="25" t="str">
        <f>"0.048"</f>
        <v>0.048</v>
      </c>
      <c r="H31" s="25" t="str">
        <f>"0.038"</f>
        <v>0.038</v>
      </c>
    </row>
    <row r="32" spans="2:8" x14ac:dyDescent="0.2">
      <c r="B32" s="21" t="s">
        <v>26</v>
      </c>
      <c r="C32" s="25" t="s">
        <v>25</v>
      </c>
      <c r="D32" s="25" t="s">
        <v>25</v>
      </c>
      <c r="E32" s="25" t="s">
        <v>25</v>
      </c>
      <c r="F32" s="25" t="s">
        <v>25</v>
      </c>
      <c r="G32" s="25" t="s">
        <v>25</v>
      </c>
      <c r="H32" s="25" t="s">
        <v>25</v>
      </c>
    </row>
    <row r="33" spans="2:8" x14ac:dyDescent="0.2">
      <c r="B33" s="21" t="s">
        <v>24</v>
      </c>
      <c r="C33" s="25" t="s">
        <v>25</v>
      </c>
      <c r="D33" s="25" t="s">
        <v>25</v>
      </c>
      <c r="E33" s="25" t="s">
        <v>25</v>
      </c>
      <c r="F33" s="25" t="s">
        <v>25</v>
      </c>
      <c r="G33" s="25" t="s">
        <v>25</v>
      </c>
      <c r="H33" s="25" t="s">
        <v>25</v>
      </c>
    </row>
    <row r="34" spans="2:8" x14ac:dyDescent="0.2">
      <c r="B34" s="21" t="s">
        <v>38</v>
      </c>
      <c r="C34" s="27" t="s">
        <v>25</v>
      </c>
      <c r="D34" s="27" t="s">
        <v>25</v>
      </c>
      <c r="E34" s="27" t="s">
        <v>25</v>
      </c>
      <c r="F34" s="27" t="s">
        <v>25</v>
      </c>
      <c r="G34" s="27" t="s">
        <v>25</v>
      </c>
      <c r="H34" s="27" t="s">
        <v>25</v>
      </c>
    </row>
    <row r="35" spans="2:8" ht="106" customHeight="1" x14ac:dyDescent="0.2">
      <c r="B35" s="83" t="s">
        <v>76</v>
      </c>
      <c r="C35" s="83"/>
      <c r="D35" s="83"/>
      <c r="E35" s="83"/>
      <c r="F35" s="83"/>
      <c r="G35" s="83"/>
      <c r="H35" s="83"/>
    </row>
  </sheetData>
  <mergeCells count="4">
    <mergeCell ref="D1:K1"/>
    <mergeCell ref="B2:H2"/>
    <mergeCell ref="B3:B4"/>
    <mergeCell ref="B35:H3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B947C-AA02-7C47-A12A-E760857D5F58}">
  <dimension ref="B2:F20"/>
  <sheetViews>
    <sheetView showGridLines="0" workbookViewId="0">
      <selection activeCell="B20" sqref="B20:F20"/>
    </sheetView>
  </sheetViews>
  <sheetFormatPr baseColWidth="10" defaultColWidth="11" defaultRowHeight="16" x14ac:dyDescent="0.2"/>
  <cols>
    <col min="2" max="2" width="56.1640625" customWidth="1"/>
  </cols>
  <sheetData>
    <row r="2" spans="2:6" x14ac:dyDescent="0.2">
      <c r="B2" s="84" t="s">
        <v>96</v>
      </c>
      <c r="C2" s="84"/>
      <c r="D2" s="84"/>
      <c r="E2" s="84"/>
      <c r="F2" s="84"/>
    </row>
    <row r="3" spans="2:6" ht="37" customHeight="1" thickBot="1" x14ac:dyDescent="0.25">
      <c r="B3" s="30" t="s">
        <v>46</v>
      </c>
      <c r="C3" s="12" t="s">
        <v>28</v>
      </c>
      <c r="D3" s="12" t="s">
        <v>29</v>
      </c>
      <c r="E3" s="12" t="s">
        <v>30</v>
      </c>
      <c r="F3" s="12" t="s">
        <v>31</v>
      </c>
    </row>
    <row r="4" spans="2:6" ht="17" thickTop="1" x14ac:dyDescent="0.2">
      <c r="B4" s="28" t="s">
        <v>53</v>
      </c>
      <c r="C4" s="23"/>
      <c r="E4" s="23"/>
    </row>
    <row r="5" spans="2:6" x14ac:dyDescent="0.2">
      <c r="B5" s="6" t="s">
        <v>50</v>
      </c>
      <c r="C5" s="29" t="str">
        <f t="shared" ref="C5:D5" si="0">"0.031**"</f>
        <v>0.031**</v>
      </c>
      <c r="D5" t="str">
        <f t="shared" si="0"/>
        <v>0.031**</v>
      </c>
      <c r="E5" s="29" t="str">
        <f>""</f>
        <v/>
      </c>
      <c r="F5" t="str">
        <f>""</f>
        <v/>
      </c>
    </row>
    <row r="6" spans="2:6" x14ac:dyDescent="0.2">
      <c r="B6" s="6"/>
      <c r="C6" s="29" t="str">
        <f t="shared" ref="C6:D6" si="1">"[0.014]"</f>
        <v>[0.014]</v>
      </c>
      <c r="D6" t="str">
        <f t="shared" si="1"/>
        <v>[0.014]</v>
      </c>
      <c r="E6" s="29" t="str">
        <f>""</f>
        <v/>
      </c>
      <c r="F6" t="str">
        <f>""</f>
        <v/>
      </c>
    </row>
    <row r="7" spans="2:6" x14ac:dyDescent="0.2">
      <c r="B7" s="6" t="s">
        <v>48</v>
      </c>
      <c r="C7" s="29" t="str">
        <f>""</f>
        <v/>
      </c>
      <c r="D7" t="str">
        <f>""</f>
        <v/>
      </c>
      <c r="E7" s="29" t="str">
        <f>"0.246***"</f>
        <v>0.246***</v>
      </c>
      <c r="F7" t="str">
        <f>"0.246***"</f>
        <v>0.246***</v>
      </c>
    </row>
    <row r="8" spans="2:6" x14ac:dyDescent="0.2">
      <c r="B8" s="6" t="str">
        <f>""</f>
        <v/>
      </c>
      <c r="C8" s="29" t="str">
        <f>""</f>
        <v/>
      </c>
      <c r="D8" t="str">
        <f>""</f>
        <v/>
      </c>
      <c r="E8" s="29" t="str">
        <f>"[0.087]"</f>
        <v>[0.087]</v>
      </c>
      <c r="F8" t="str">
        <f>"[0.087]"</f>
        <v>[0.087]</v>
      </c>
    </row>
    <row r="9" spans="2:6" x14ac:dyDescent="0.2">
      <c r="B9" s="6"/>
      <c r="C9" s="29"/>
      <c r="E9" s="29"/>
    </row>
    <row r="10" spans="2:6" x14ac:dyDescent="0.2">
      <c r="B10" s="41" t="s">
        <v>52</v>
      </c>
      <c r="C10" s="33"/>
      <c r="D10" s="33"/>
      <c r="E10" s="33"/>
      <c r="F10" s="33"/>
    </row>
    <row r="11" spans="2:6" x14ac:dyDescent="0.2">
      <c r="B11" s="15" t="s">
        <v>55</v>
      </c>
      <c r="C11" t="str">
        <f>"0.008***"</f>
        <v>0.008***</v>
      </c>
      <c r="D11" t="str">
        <f>""</f>
        <v/>
      </c>
      <c r="E11" t="str">
        <f>"0.008***"</f>
        <v>0.008***</v>
      </c>
      <c r="F11" t="str">
        <f>""</f>
        <v/>
      </c>
    </row>
    <row r="12" spans="2:6" x14ac:dyDescent="0.2">
      <c r="C12" t="str">
        <f>"[0.002]"</f>
        <v>[0.002]</v>
      </c>
      <c r="D12" t="str">
        <f>""</f>
        <v/>
      </c>
      <c r="E12" t="str">
        <f>"[0.002]"</f>
        <v>[0.002]</v>
      </c>
      <c r="F12" t="str">
        <f>""</f>
        <v/>
      </c>
    </row>
    <row r="13" spans="2:6" x14ac:dyDescent="0.2">
      <c r="B13" s="15" t="s">
        <v>56</v>
      </c>
      <c r="C13" t="str">
        <f>""</f>
        <v/>
      </c>
      <c r="D13" t="str">
        <f>"0.007***"</f>
        <v>0.007***</v>
      </c>
      <c r="E13" t="str">
        <f>""</f>
        <v/>
      </c>
      <c r="F13" t="str">
        <f>"0.007***"</f>
        <v>0.007***</v>
      </c>
    </row>
    <row r="14" spans="2:6" x14ac:dyDescent="0.2">
      <c r="B14" s="15"/>
      <c r="C14" t="str">
        <f>""</f>
        <v/>
      </c>
      <c r="D14" t="str">
        <f>"[0.002]"</f>
        <v>[0.002]</v>
      </c>
      <c r="E14" t="str">
        <f>""</f>
        <v/>
      </c>
      <c r="F14" t="str">
        <f>"[0.002]"</f>
        <v>[0.002]</v>
      </c>
    </row>
    <row r="15" spans="2:6" x14ac:dyDescent="0.2">
      <c r="B15" s="24" t="s">
        <v>27</v>
      </c>
      <c r="C15" s="35" t="str">
        <f t="shared" ref="C15:F15" si="2">"34800"</f>
        <v>34800</v>
      </c>
      <c r="D15" s="35" t="str">
        <f t="shared" si="2"/>
        <v>34800</v>
      </c>
      <c r="E15" s="35" t="str">
        <f t="shared" si="2"/>
        <v>34800</v>
      </c>
      <c r="F15" s="35" t="str">
        <f t="shared" si="2"/>
        <v>34800</v>
      </c>
    </row>
    <row r="16" spans="2:6" x14ac:dyDescent="0.2">
      <c r="B16" s="21" t="s">
        <v>49</v>
      </c>
      <c r="C16" s="22" t="str">
        <f t="shared" ref="C16:F16" si="3">"0.045"</f>
        <v>0.045</v>
      </c>
      <c r="D16" s="22" t="str">
        <f t="shared" si="3"/>
        <v>0.045</v>
      </c>
      <c r="E16" s="22" t="str">
        <f t="shared" si="3"/>
        <v>0.045</v>
      </c>
      <c r="F16" s="22" t="str">
        <f t="shared" si="3"/>
        <v>0.045</v>
      </c>
    </row>
    <row r="17" spans="2:6" x14ac:dyDescent="0.2">
      <c r="B17" s="21" t="s">
        <v>26</v>
      </c>
      <c r="C17" s="25" t="s">
        <v>25</v>
      </c>
      <c r="D17" s="25" t="s">
        <v>25</v>
      </c>
      <c r="E17" s="25" t="s">
        <v>25</v>
      </c>
      <c r="F17" s="25" t="s">
        <v>25</v>
      </c>
    </row>
    <row r="18" spans="2:6" x14ac:dyDescent="0.2">
      <c r="B18" s="21" t="s">
        <v>24</v>
      </c>
      <c r="C18" s="25" t="s">
        <v>25</v>
      </c>
      <c r="D18" s="25" t="s">
        <v>25</v>
      </c>
      <c r="E18" s="25" t="s">
        <v>25</v>
      </c>
      <c r="F18" s="25" t="s">
        <v>25</v>
      </c>
    </row>
    <row r="19" spans="2:6" x14ac:dyDescent="0.2">
      <c r="B19" s="26" t="s">
        <v>38</v>
      </c>
      <c r="C19" s="27" t="s">
        <v>25</v>
      </c>
      <c r="D19" s="27" t="s">
        <v>25</v>
      </c>
      <c r="E19" s="27" t="s">
        <v>25</v>
      </c>
      <c r="F19" s="27" t="s">
        <v>25</v>
      </c>
    </row>
    <row r="20" spans="2:6" ht="122" customHeight="1" x14ac:dyDescent="0.2">
      <c r="B20" s="90" t="s">
        <v>75</v>
      </c>
      <c r="C20" s="90"/>
      <c r="D20" s="90"/>
      <c r="E20" s="90"/>
      <c r="F20" s="90"/>
    </row>
  </sheetData>
  <mergeCells count="2">
    <mergeCell ref="B2:F2"/>
    <mergeCell ref="B20:F20"/>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9006-1EEA-9A40-86A6-EDD6D69B53B7}">
  <dimension ref="B2:H35"/>
  <sheetViews>
    <sheetView showGridLines="0" workbookViewId="0">
      <selection activeCell="D37" sqref="D37"/>
    </sheetView>
  </sheetViews>
  <sheetFormatPr baseColWidth="10" defaultColWidth="11" defaultRowHeight="16" x14ac:dyDescent="0.2"/>
  <cols>
    <col min="2" max="2" width="68.83203125" customWidth="1"/>
  </cols>
  <sheetData>
    <row r="2" spans="2:8" x14ac:dyDescent="0.2">
      <c r="B2" s="84" t="s">
        <v>97</v>
      </c>
      <c r="C2" s="84"/>
      <c r="D2" s="84"/>
      <c r="E2" s="84"/>
      <c r="F2" s="84"/>
      <c r="G2" s="84"/>
      <c r="H2" s="84"/>
    </row>
    <row r="3" spans="2:8" ht="37" customHeight="1" thickBot="1" x14ac:dyDescent="0.25">
      <c r="B3" s="30" t="s">
        <v>46</v>
      </c>
      <c r="C3" s="12" t="s">
        <v>28</v>
      </c>
      <c r="D3" s="12" t="s">
        <v>29</v>
      </c>
      <c r="E3" s="62" t="s">
        <v>30</v>
      </c>
      <c r="F3" s="12" t="s">
        <v>31</v>
      </c>
      <c r="G3" s="12" t="s">
        <v>32</v>
      </c>
      <c r="H3" s="12" t="s">
        <v>33</v>
      </c>
    </row>
    <row r="4" spans="2:8" ht="17" thickTop="1" x14ac:dyDescent="0.2">
      <c r="B4" s="23" t="s">
        <v>53</v>
      </c>
      <c r="C4" s="23"/>
      <c r="D4" s="23"/>
      <c r="E4" s="23"/>
      <c r="F4" s="23"/>
      <c r="H4" s="23"/>
    </row>
    <row r="5" spans="2:8" x14ac:dyDescent="0.2">
      <c r="B5" s="6" t="s">
        <v>50</v>
      </c>
      <c r="C5" s="67" t="str">
        <f>"0.026*"</f>
        <v>0.026*</v>
      </c>
      <c r="D5" s="67" t="str">
        <f>"0.030**"</f>
        <v>0.030**</v>
      </c>
      <c r="E5" s="67" t="str">
        <f>""</f>
        <v/>
      </c>
      <c r="F5" s="67" t="str">
        <f>""</f>
        <v/>
      </c>
      <c r="G5" s="67" t="str">
        <f>""</f>
        <v/>
      </c>
      <c r="H5" s="67" t="str">
        <f>""</f>
        <v/>
      </c>
    </row>
    <row r="6" spans="2:8" x14ac:dyDescent="0.2">
      <c r="B6" s="6"/>
      <c r="C6" s="67" t="str">
        <f>"[0.014]"</f>
        <v>[0.014]</v>
      </c>
      <c r="D6" s="67" t="str">
        <f>"[0.014]"</f>
        <v>[0.014]</v>
      </c>
      <c r="E6" s="67" t="str">
        <f>""</f>
        <v/>
      </c>
      <c r="F6" s="67" t="str">
        <f>""</f>
        <v/>
      </c>
      <c r="G6" s="67" t="str">
        <f>""</f>
        <v/>
      </c>
      <c r="H6" s="67" t="str">
        <f>""</f>
        <v/>
      </c>
    </row>
    <row r="7" spans="2:8" x14ac:dyDescent="0.2">
      <c r="B7" s="6" t="s">
        <v>48</v>
      </c>
      <c r="C7" s="67" t="str">
        <f>""</f>
        <v/>
      </c>
      <c r="D7" s="67" t="str">
        <f>""</f>
        <v/>
      </c>
      <c r="E7" s="67" t="str">
        <f>"0.255***"</f>
        <v>0.255***</v>
      </c>
      <c r="F7" s="67" t="str">
        <f>"0.223**"</f>
        <v>0.223**</v>
      </c>
      <c r="G7" s="67" t="str">
        <f>""</f>
        <v/>
      </c>
      <c r="H7" s="67" t="str">
        <f>""</f>
        <v/>
      </c>
    </row>
    <row r="8" spans="2:8" x14ac:dyDescent="0.2">
      <c r="B8" s="6"/>
      <c r="C8" s="67" t="str">
        <f>""</f>
        <v/>
      </c>
      <c r="D8" s="67" t="str">
        <f>""</f>
        <v/>
      </c>
      <c r="E8" s="67" t="str">
        <f>"[0.082]"</f>
        <v>[0.082]</v>
      </c>
      <c r="F8" s="67" t="str">
        <f>"[0.092]"</f>
        <v>[0.092]</v>
      </c>
      <c r="G8" s="67" t="str">
        <f>""</f>
        <v/>
      </c>
      <c r="H8" s="67" t="str">
        <f>""</f>
        <v/>
      </c>
    </row>
    <row r="9" spans="2:8" x14ac:dyDescent="0.2">
      <c r="B9" s="6" t="s">
        <v>82</v>
      </c>
      <c r="C9" s="67" t="str">
        <f>""</f>
        <v/>
      </c>
      <c r="D9" s="67" t="str">
        <f>""</f>
        <v/>
      </c>
      <c r="E9" s="67" t="str">
        <f>""</f>
        <v/>
      </c>
      <c r="F9" s="67" t="str">
        <f>""</f>
        <v/>
      </c>
      <c r="G9" s="67" t="str">
        <f>"0.020"</f>
        <v>0.020</v>
      </c>
      <c r="H9" s="67" t="str">
        <f>"0.024"</f>
        <v>0.024</v>
      </c>
    </row>
    <row r="10" spans="2:8" x14ac:dyDescent="0.2">
      <c r="B10" s="6" t="str">
        <f>""</f>
        <v/>
      </c>
      <c r="C10" s="67" t="str">
        <f>""</f>
        <v/>
      </c>
      <c r="D10" s="67" t="str">
        <f>""</f>
        <v/>
      </c>
      <c r="E10" s="67" t="str">
        <f>""</f>
        <v/>
      </c>
      <c r="F10" s="67" t="str">
        <f>""</f>
        <v/>
      </c>
      <c r="G10" s="67" t="str">
        <f>"[0.014]"</f>
        <v>[0.014]</v>
      </c>
      <c r="H10" s="67" t="str">
        <f>"[0.015]"</f>
        <v>[0.015]</v>
      </c>
    </row>
    <row r="11" spans="2:8" x14ac:dyDescent="0.2">
      <c r="B11" s="6"/>
      <c r="C11" s="29"/>
      <c r="D11" s="29"/>
      <c r="E11" s="29"/>
      <c r="F11" s="29"/>
      <c r="H11" s="29"/>
    </row>
    <row r="12" spans="2:8" x14ac:dyDescent="0.2">
      <c r="B12" s="68" t="s">
        <v>52</v>
      </c>
      <c r="C12" s="33"/>
      <c r="D12" s="33"/>
      <c r="E12" s="33"/>
      <c r="F12" s="33"/>
      <c r="G12" s="33"/>
      <c r="H12" s="33"/>
    </row>
    <row r="13" spans="2:8" x14ac:dyDescent="0.2">
      <c r="B13" s="11" t="str">
        <f>"Index of  household Losss (all) - PCA - above the mean (yes=1)"</f>
        <v>Index of  household Losss (all) - PCA - above the mean (yes=1)</v>
      </c>
      <c r="C13" t="str">
        <f>"0.018***"</f>
        <v>0.018***</v>
      </c>
      <c r="D13" t="str">
        <f>""</f>
        <v/>
      </c>
      <c r="E13" t="str">
        <f>"0.021***"</f>
        <v>0.021***</v>
      </c>
      <c r="F13" t="str">
        <f>""</f>
        <v/>
      </c>
      <c r="G13" t="str">
        <f>"0.020***"</f>
        <v>0.020***</v>
      </c>
      <c r="H13" t="str">
        <f>""</f>
        <v/>
      </c>
    </row>
    <row r="14" spans="2:8" x14ac:dyDescent="0.2">
      <c r="B14" s="11" t="str">
        <f>""</f>
        <v/>
      </c>
      <c r="C14" t="str">
        <f>"[0.006]"</f>
        <v>[0.006]</v>
      </c>
      <c r="D14" t="str">
        <f>""</f>
        <v/>
      </c>
      <c r="E14" t="str">
        <f>"[0.008]"</f>
        <v>[0.008]</v>
      </c>
      <c r="F14" t="str">
        <f>""</f>
        <v/>
      </c>
      <c r="G14" t="str">
        <f>"[0.007]"</f>
        <v>[0.007]</v>
      </c>
      <c r="H14" t="str">
        <f>""</f>
        <v/>
      </c>
    </row>
    <row r="15" spans="2:8" x14ac:dyDescent="0.2">
      <c r="B15" s="13" t="str">
        <f>"Index of  household Losss (all) - PCA"</f>
        <v>Index of  household Losss (all) - PCA</v>
      </c>
      <c r="C15" t="str">
        <f>""</f>
        <v/>
      </c>
      <c r="D15" t="str">
        <f>"0.006***"</f>
        <v>0.006***</v>
      </c>
      <c r="E15" t="str">
        <f>""</f>
        <v/>
      </c>
      <c r="F15" t="str">
        <f>"0.007***"</f>
        <v>0.007***</v>
      </c>
      <c r="G15" t="str">
        <f>""</f>
        <v/>
      </c>
      <c r="H15" t="str">
        <f>"0.007***"</f>
        <v>0.007***</v>
      </c>
    </row>
    <row r="16" spans="2:8" x14ac:dyDescent="0.2">
      <c r="B16" s="11" t="str">
        <f>""</f>
        <v/>
      </c>
      <c r="C16" t="str">
        <f>""</f>
        <v/>
      </c>
      <c r="D16" t="str">
        <f>"[0.002]"</f>
        <v>[0.002]</v>
      </c>
      <c r="E16" t="str">
        <f>""</f>
        <v/>
      </c>
      <c r="F16" t="str">
        <f>"[0.002]"</f>
        <v>[0.002]</v>
      </c>
      <c r="G16" t="str">
        <f>""</f>
        <v/>
      </c>
      <c r="H16" t="str">
        <f>"[0.002]"</f>
        <v>[0.002]</v>
      </c>
    </row>
    <row r="17" spans="2:8" x14ac:dyDescent="0.2">
      <c r="B17" s="68" t="s">
        <v>81</v>
      </c>
      <c r="C17" s="33"/>
      <c r="D17" s="33"/>
      <c r="E17" s="33"/>
      <c r="F17" s="33"/>
      <c r="G17" s="33"/>
      <c r="H17" s="33"/>
    </row>
    <row r="18" spans="2:8" ht="32" x14ac:dyDescent="0.2">
      <c r="B18" s="65" t="str">
        <f>"Violence in a given year (yes=1)*Index of  household Losss (all) - PCA - above the mean"</f>
        <v>Violence in a given year (yes=1)*Index of  household Losss (all) - PCA - above the mean</v>
      </c>
      <c r="C18" t="str">
        <f>"0.051"</f>
        <v>0.051</v>
      </c>
      <c r="D18" t="str">
        <f>""</f>
        <v/>
      </c>
      <c r="E18" t="str">
        <f>""</f>
        <v/>
      </c>
      <c r="F18" t="str">
        <f>""</f>
        <v/>
      </c>
      <c r="G18" t="str">
        <f>""</f>
        <v/>
      </c>
      <c r="H18" t="str">
        <f>""</f>
        <v/>
      </c>
    </row>
    <row r="19" spans="2:8" x14ac:dyDescent="0.2">
      <c r="B19" s="65"/>
      <c r="C19" t="str">
        <f>"[0.044]"</f>
        <v>[0.044]</v>
      </c>
      <c r="D19" t="str">
        <f>""</f>
        <v/>
      </c>
      <c r="E19" t="str">
        <f>""</f>
        <v/>
      </c>
      <c r="F19" t="str">
        <f>""</f>
        <v/>
      </c>
      <c r="G19" t="str">
        <f>""</f>
        <v/>
      </c>
      <c r="H19" t="str">
        <f>""</f>
        <v/>
      </c>
    </row>
    <row r="20" spans="2:8" x14ac:dyDescent="0.2">
      <c r="B20" s="65" t="str">
        <f>"Violence in a given year (yes=1)*Index of  household Losss (all) - PCA"</f>
        <v>Violence in a given year (yes=1)*Index of  household Losss (all) - PCA</v>
      </c>
      <c r="C20" t="str">
        <f>""</f>
        <v/>
      </c>
      <c r="D20" t="str">
        <f>"0.009"</f>
        <v>0.009</v>
      </c>
      <c r="E20" t="str">
        <f>""</f>
        <v/>
      </c>
      <c r="F20" t="str">
        <f>""</f>
        <v/>
      </c>
      <c r="G20" t="str">
        <f>""</f>
        <v/>
      </c>
      <c r="H20" t="str">
        <f>""</f>
        <v/>
      </c>
    </row>
    <row r="21" spans="2:8" x14ac:dyDescent="0.2">
      <c r="B21" s="65"/>
      <c r="C21" t="str">
        <f>""</f>
        <v/>
      </c>
      <c r="D21" t="str">
        <f>"[0.009]"</f>
        <v>[0.009]</v>
      </c>
      <c r="E21" t="str">
        <f>""</f>
        <v/>
      </c>
      <c r="F21" t="str">
        <f>""</f>
        <v/>
      </c>
      <c r="G21" t="str">
        <f>""</f>
        <v/>
      </c>
      <c r="H21" t="str">
        <f>""</f>
        <v/>
      </c>
    </row>
    <row r="22" spans="2:8" ht="32" x14ac:dyDescent="0.2">
      <c r="B22" s="65" t="str">
        <f>"Number of casualties in a given year*Index of  household Losss (all) - PCA - above the mean"</f>
        <v>Number of casualties in a given year*Index of  household Losss (all) - PCA - above the mean</v>
      </c>
      <c r="C22" t="str">
        <f>""</f>
        <v/>
      </c>
      <c r="D22" t="str">
        <f>""</f>
        <v/>
      </c>
      <c r="E22" t="str">
        <f>"0.084***"</f>
        <v>0.084***</v>
      </c>
      <c r="F22" t="str">
        <f>""</f>
        <v/>
      </c>
      <c r="G22" t="str">
        <f>""</f>
        <v/>
      </c>
      <c r="H22" t="str">
        <f>""</f>
        <v/>
      </c>
    </row>
    <row r="23" spans="2:8" x14ac:dyDescent="0.2">
      <c r="B23" s="65"/>
      <c r="C23" t="str">
        <f>""</f>
        <v/>
      </c>
      <c r="D23" t="str">
        <f>""</f>
        <v/>
      </c>
      <c r="E23" t="str">
        <f>"[0.027]"</f>
        <v>[0.027]</v>
      </c>
      <c r="F23" t="str">
        <f>""</f>
        <v/>
      </c>
      <c r="G23" t="str">
        <f>""</f>
        <v/>
      </c>
      <c r="H23" t="str">
        <f>""</f>
        <v/>
      </c>
    </row>
    <row r="24" spans="2:8" x14ac:dyDescent="0.2">
      <c r="B24" s="65" t="str">
        <f>"Number of casualties in a given year*Index of  household Losss (all) - PCA"</f>
        <v>Number of casualties in a given year*Index of  household Losss (all) - PCA</v>
      </c>
      <c r="C24" t="str">
        <f>""</f>
        <v/>
      </c>
      <c r="D24" t="str">
        <f>""</f>
        <v/>
      </c>
      <c r="E24" t="str">
        <f>""</f>
        <v/>
      </c>
      <c r="F24" t="str">
        <f>"0.343*"</f>
        <v>0.343*</v>
      </c>
      <c r="G24" t="str">
        <f>""</f>
        <v/>
      </c>
      <c r="H24" t="str">
        <f>""</f>
        <v/>
      </c>
    </row>
    <row r="25" spans="2:8" x14ac:dyDescent="0.2">
      <c r="B25" s="66"/>
      <c r="C25" t="str">
        <f>""</f>
        <v/>
      </c>
      <c r="D25" t="str">
        <f>""</f>
        <v/>
      </c>
      <c r="E25" t="str">
        <f>""</f>
        <v/>
      </c>
      <c r="F25" t="str">
        <f>"[0.185]"</f>
        <v>[0.185]</v>
      </c>
      <c r="G25" t="str">
        <f>""</f>
        <v/>
      </c>
      <c r="H25" t="str">
        <f>""</f>
        <v/>
      </c>
    </row>
    <row r="26" spans="2:8" ht="32" x14ac:dyDescent="0.2">
      <c r="B26" s="65" t="str">
        <f>"Number of casualties in a given year above mean (yes=1)*Index of  household Losss (all) - PCA - above the mean"</f>
        <v>Number of casualties in a given year above mean (yes=1)*Index of  household Losss (all) - PCA - above the mean</v>
      </c>
      <c r="C26" t="str">
        <f>""</f>
        <v/>
      </c>
      <c r="D26" t="str">
        <f>""</f>
        <v/>
      </c>
      <c r="E26" t="str">
        <f>""</f>
        <v/>
      </c>
      <c r="F26" t="str">
        <f>""</f>
        <v/>
      </c>
      <c r="G26" t="str">
        <f>"0.534***"</f>
        <v>0.534***</v>
      </c>
      <c r="H26" t="str">
        <f>""</f>
        <v/>
      </c>
    </row>
    <row r="27" spans="2:8" x14ac:dyDescent="0.2">
      <c r="B27" s="66"/>
      <c r="C27" t="str">
        <f>""</f>
        <v/>
      </c>
      <c r="D27" t="str">
        <f>""</f>
        <v/>
      </c>
      <c r="E27" t="str">
        <f>""</f>
        <v/>
      </c>
      <c r="F27" t="str">
        <f>""</f>
        <v/>
      </c>
      <c r="G27" t="str">
        <f>"[0.126]"</f>
        <v>[0.126]</v>
      </c>
      <c r="H27" t="str">
        <f>""</f>
        <v/>
      </c>
    </row>
    <row r="28" spans="2:8" ht="32" x14ac:dyDescent="0.2">
      <c r="B28" s="65" t="str">
        <f>"Number of casualties in a given year above mean (yes=1)*Index of  household Losss (all) - PCA"</f>
        <v>Number of casualties in a given year above mean (yes=1)*Index of  household Losss (all) - PCA</v>
      </c>
      <c r="C28" t="str">
        <f>""</f>
        <v/>
      </c>
      <c r="D28" t="str">
        <f>""</f>
        <v/>
      </c>
      <c r="E28" t="str">
        <f>""</f>
        <v/>
      </c>
      <c r="F28" t="str">
        <f>""</f>
        <v/>
      </c>
      <c r="G28" t="str">
        <f>""</f>
        <v/>
      </c>
      <c r="H28" t="str">
        <f>"0.010"</f>
        <v>0.010</v>
      </c>
    </row>
    <row r="29" spans="2:8" x14ac:dyDescent="0.2">
      <c r="B29" s="55"/>
      <c r="C29" t="str">
        <f>""</f>
        <v/>
      </c>
      <c r="D29" t="str">
        <f>""</f>
        <v/>
      </c>
      <c r="E29" t="str">
        <f>""</f>
        <v/>
      </c>
      <c r="F29" t="str">
        <f>""</f>
        <v/>
      </c>
      <c r="G29" t="str">
        <f>""</f>
        <v/>
      </c>
      <c r="H29" t="str">
        <f>"[0.009]"</f>
        <v>[0.009]</v>
      </c>
    </row>
    <row r="30" spans="2:8" x14ac:dyDescent="0.2">
      <c r="B30" s="24" t="s">
        <v>27</v>
      </c>
      <c r="C30" s="35" t="str">
        <f t="shared" ref="C30:H30" si="0">"34800"</f>
        <v>34800</v>
      </c>
      <c r="D30" s="35" t="str">
        <f t="shared" si="0"/>
        <v>34800</v>
      </c>
      <c r="E30" s="35" t="str">
        <f t="shared" si="0"/>
        <v>34800</v>
      </c>
      <c r="F30" s="35" t="str">
        <f t="shared" si="0"/>
        <v>34800</v>
      </c>
      <c r="G30" s="35" t="str">
        <f t="shared" si="0"/>
        <v>34800</v>
      </c>
      <c r="H30" s="35" t="str">
        <f t="shared" si="0"/>
        <v>34800</v>
      </c>
    </row>
    <row r="31" spans="2:8" x14ac:dyDescent="0.2">
      <c r="B31" s="21" t="s">
        <v>49</v>
      </c>
      <c r="C31" s="22" t="str">
        <f t="shared" ref="C31:H31" si="1">"0.045"</f>
        <v>0.045</v>
      </c>
      <c r="D31" s="22" t="str">
        <f t="shared" si="1"/>
        <v>0.045</v>
      </c>
      <c r="E31" s="22" t="str">
        <f t="shared" si="1"/>
        <v>0.045</v>
      </c>
      <c r="F31" s="22" t="str">
        <f t="shared" si="1"/>
        <v>0.045</v>
      </c>
      <c r="G31" s="22" t="str">
        <f t="shared" si="1"/>
        <v>0.045</v>
      </c>
      <c r="H31" s="22" t="str">
        <f t="shared" si="1"/>
        <v>0.045</v>
      </c>
    </row>
    <row r="32" spans="2:8" x14ac:dyDescent="0.2">
      <c r="B32" s="21" t="s">
        <v>26</v>
      </c>
      <c r="C32" s="25" t="s">
        <v>25</v>
      </c>
      <c r="D32" s="25" t="s">
        <v>25</v>
      </c>
      <c r="E32" s="25" t="s">
        <v>25</v>
      </c>
      <c r="F32" s="25" t="s">
        <v>25</v>
      </c>
      <c r="G32" s="25" t="s">
        <v>25</v>
      </c>
      <c r="H32" s="25" t="s">
        <v>25</v>
      </c>
    </row>
    <row r="33" spans="2:8" x14ac:dyDescent="0.2">
      <c r="B33" s="21" t="s">
        <v>24</v>
      </c>
      <c r="C33" s="25" t="s">
        <v>25</v>
      </c>
      <c r="D33" s="25" t="s">
        <v>25</v>
      </c>
      <c r="E33" s="25" t="s">
        <v>25</v>
      </c>
      <c r="F33" s="25" t="s">
        <v>25</v>
      </c>
      <c r="G33" s="25" t="s">
        <v>25</v>
      </c>
      <c r="H33" s="25" t="s">
        <v>25</v>
      </c>
    </row>
    <row r="34" spans="2:8" x14ac:dyDescent="0.2">
      <c r="B34" s="26" t="s">
        <v>38</v>
      </c>
      <c r="C34" s="27" t="s">
        <v>25</v>
      </c>
      <c r="D34" s="27" t="s">
        <v>25</v>
      </c>
      <c r="E34" s="27" t="s">
        <v>25</v>
      </c>
      <c r="F34" s="27" t="s">
        <v>25</v>
      </c>
      <c r="G34" s="27" t="s">
        <v>25</v>
      </c>
      <c r="H34" s="27" t="s">
        <v>25</v>
      </c>
    </row>
    <row r="35" spans="2:8" ht="84" customHeight="1" x14ac:dyDescent="0.2">
      <c r="B35" s="90" t="s">
        <v>75</v>
      </c>
      <c r="C35" s="90"/>
      <c r="D35" s="90"/>
      <c r="E35" s="90"/>
      <c r="F35" s="90"/>
      <c r="G35" s="90"/>
      <c r="H35" s="90"/>
    </row>
  </sheetData>
  <mergeCells count="2">
    <mergeCell ref="B2:H2"/>
    <mergeCell ref="B35:H35"/>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1821B-AD5D-384B-A124-47C1EFE7882C}">
  <dimension ref="B1:K22"/>
  <sheetViews>
    <sheetView showGridLines="0" workbookViewId="0">
      <selection activeCell="B3" sqref="B3:B4"/>
    </sheetView>
  </sheetViews>
  <sheetFormatPr baseColWidth="10" defaultColWidth="11" defaultRowHeight="16" x14ac:dyDescent="0.2"/>
  <cols>
    <col min="2" max="2" width="61.83203125" customWidth="1"/>
  </cols>
  <sheetData>
    <row r="1" spans="2:11" x14ac:dyDescent="0.2">
      <c r="D1" s="85"/>
      <c r="E1" s="85"/>
      <c r="F1" s="85"/>
      <c r="G1" s="85"/>
      <c r="H1" s="85"/>
      <c r="I1" s="85"/>
      <c r="J1" s="85"/>
      <c r="K1" s="85"/>
    </row>
    <row r="2" spans="2:11" x14ac:dyDescent="0.2">
      <c r="B2" s="85" t="s">
        <v>98</v>
      </c>
      <c r="C2" s="85"/>
      <c r="D2" s="85"/>
      <c r="E2" s="85"/>
      <c r="F2" s="85"/>
      <c r="G2" s="85"/>
      <c r="H2" s="85"/>
    </row>
    <row r="3" spans="2:11" ht="68" x14ac:dyDescent="0.2">
      <c r="B3" s="81" t="s">
        <v>46</v>
      </c>
      <c r="C3" s="46" t="s">
        <v>47</v>
      </c>
      <c r="D3" s="46" t="s">
        <v>64</v>
      </c>
      <c r="E3" s="46" t="s">
        <v>35</v>
      </c>
      <c r="F3" s="46" t="s">
        <v>51</v>
      </c>
      <c r="G3" s="46" t="s">
        <v>36</v>
      </c>
      <c r="H3" s="46" t="s">
        <v>37</v>
      </c>
    </row>
    <row r="4" spans="2:11" ht="17" thickBot="1" x14ac:dyDescent="0.25">
      <c r="B4" s="86"/>
      <c r="C4" s="10" t="s">
        <v>28</v>
      </c>
      <c r="D4" s="10" t="s">
        <v>29</v>
      </c>
      <c r="E4" s="10" t="s">
        <v>30</v>
      </c>
      <c r="F4" s="10" t="s">
        <v>31</v>
      </c>
      <c r="G4" s="10" t="s">
        <v>32</v>
      </c>
      <c r="H4" s="10" t="s">
        <v>33</v>
      </c>
    </row>
    <row r="5" spans="2:11" ht="21" customHeight="1" thickTop="1" x14ac:dyDescent="0.2">
      <c r="B5" s="87" t="s">
        <v>53</v>
      </c>
      <c r="C5" s="87"/>
      <c r="D5" s="87"/>
      <c r="E5" s="87"/>
      <c r="F5" s="87"/>
      <c r="G5" s="87"/>
      <c r="H5" s="87"/>
    </row>
    <row r="6" spans="2:11" ht="32" x14ac:dyDescent="0.2">
      <c r="B6" s="54" t="s">
        <v>82</v>
      </c>
      <c r="C6" s="31" t="str">
        <f>"0.559*"</f>
        <v>0.559*</v>
      </c>
      <c r="D6" s="31" t="str">
        <f>"0.521***"</f>
        <v>0.521***</v>
      </c>
      <c r="E6" s="31" t="str">
        <f>"0.564***"</f>
        <v>0.564***</v>
      </c>
      <c r="F6" s="31" t="str">
        <f>"0.426*"</f>
        <v>0.426*</v>
      </c>
      <c r="G6" s="31" t="str">
        <f>"0.574***"</f>
        <v>0.574***</v>
      </c>
      <c r="H6" s="31" t="str">
        <f>"-0.172"</f>
        <v>-0.172</v>
      </c>
    </row>
    <row r="7" spans="2:11" x14ac:dyDescent="0.2">
      <c r="B7" s="6"/>
      <c r="C7" s="31" t="str">
        <f>"[0.317]"</f>
        <v>[0.317]</v>
      </c>
      <c r="D7" s="31" t="str">
        <f>"[0.048]"</f>
        <v>[0.048]</v>
      </c>
      <c r="E7" s="31" t="str">
        <f>"[0.060]"</f>
        <v>[0.060]</v>
      </c>
      <c r="F7" s="31" t="str">
        <f>"[0.220]"</f>
        <v>[0.220]</v>
      </c>
      <c r="G7" s="31" t="str">
        <f>"[0.182]"</f>
        <v>[0.182]</v>
      </c>
      <c r="H7" s="31" t="str">
        <f>"[0.238]"</f>
        <v>[0.238]</v>
      </c>
    </row>
    <row r="8" spans="2:11" x14ac:dyDescent="0.2">
      <c r="B8" s="88" t="s">
        <v>52</v>
      </c>
      <c r="C8" s="88"/>
      <c r="D8" s="88"/>
      <c r="E8" s="88"/>
      <c r="F8" s="88"/>
      <c r="G8" s="88"/>
      <c r="H8" s="88"/>
    </row>
    <row r="9" spans="2:11" ht="29" x14ac:dyDescent="0.2">
      <c r="B9" s="55" t="s">
        <v>84</v>
      </c>
      <c r="C9" s="31" t="str">
        <f>"0.020**"</f>
        <v>0.020**</v>
      </c>
      <c r="D9" s="31" t="str">
        <f>"0.020**"</f>
        <v>0.020**</v>
      </c>
      <c r="E9" s="31" t="str">
        <f>"0.014*"</f>
        <v>0.014*</v>
      </c>
      <c r="F9" s="31" t="str">
        <f>"0.023***"</f>
        <v>0.023***</v>
      </c>
      <c r="G9" s="31" t="str">
        <f>"0.029***"</f>
        <v>0.029***</v>
      </c>
      <c r="H9" s="31" t="str">
        <f>"0.002"</f>
        <v>0.002</v>
      </c>
    </row>
    <row r="10" spans="2:11" x14ac:dyDescent="0.2">
      <c r="B10" s="6"/>
      <c r="C10" s="31" t="str">
        <f>"[0.008]"</f>
        <v>[0.008]</v>
      </c>
      <c r="D10" s="31" t="str">
        <f>"[0.009]"</f>
        <v>[0.009]</v>
      </c>
      <c r="E10" s="31" t="str">
        <f>"[0.007]"</f>
        <v>[0.007]</v>
      </c>
      <c r="F10" s="31" t="str">
        <f>"[0.008]"</f>
        <v>[0.008]</v>
      </c>
      <c r="G10" s="31" t="str">
        <f>"[0.010]"</f>
        <v>[0.010]</v>
      </c>
      <c r="H10" s="31" t="str">
        <f>"[0.006]"</f>
        <v>[0.006]</v>
      </c>
    </row>
    <row r="11" spans="2:11" x14ac:dyDescent="0.2">
      <c r="B11" s="50" t="s">
        <v>85</v>
      </c>
      <c r="C11" s="50"/>
      <c r="D11" s="50"/>
      <c r="E11" s="50"/>
      <c r="F11" s="50"/>
      <c r="G11" s="50"/>
      <c r="H11" s="50"/>
    </row>
    <row r="12" spans="2:11" ht="57" x14ac:dyDescent="0.2">
      <c r="B12" s="55" t="s">
        <v>86</v>
      </c>
      <c r="C12" s="31" t="str">
        <f>"0.559*"</f>
        <v>0.559*</v>
      </c>
      <c r="D12" s="31" t="str">
        <f>"0.521***"</f>
        <v>0.521***</v>
      </c>
      <c r="E12" s="31" t="str">
        <f>"0.564***"</f>
        <v>0.564***</v>
      </c>
      <c r="F12" s="31" t="str">
        <f>"0.426*"</f>
        <v>0.426*</v>
      </c>
      <c r="G12" s="31" t="str">
        <f>"0.574***"</f>
        <v>0.574***</v>
      </c>
      <c r="H12" s="31" t="str">
        <f>"-0.172"</f>
        <v>-0.172</v>
      </c>
    </row>
    <row r="13" spans="2:11" x14ac:dyDescent="0.2">
      <c r="B13" s="6"/>
      <c r="C13" s="31" t="str">
        <f>"[0.317]"</f>
        <v>[0.317]</v>
      </c>
      <c r="D13" s="31" t="str">
        <f>"[0.048]"</f>
        <v>[0.048]</v>
      </c>
      <c r="E13" s="31" t="str">
        <f>"[0.060]"</f>
        <v>[0.060]</v>
      </c>
      <c r="F13" s="31" t="str">
        <f>"[0.220]"</f>
        <v>[0.220]</v>
      </c>
      <c r="G13" s="31" t="str">
        <f>"[0.182]"</f>
        <v>[0.182]</v>
      </c>
      <c r="H13" s="31" t="str">
        <f>"[0.238]"</f>
        <v>[0.238]</v>
      </c>
    </row>
    <row r="14" spans="2:11" x14ac:dyDescent="0.2">
      <c r="B14" s="51" t="s">
        <v>27</v>
      </c>
      <c r="C14" s="52" t="str">
        <f>"17880"</f>
        <v>17880</v>
      </c>
      <c r="D14" s="52" t="str">
        <f>"16920"</f>
        <v>16920</v>
      </c>
      <c r="E14" s="52" t="str">
        <f>"17828"</f>
        <v>17828</v>
      </c>
      <c r="F14" s="52" t="str">
        <f>"16972"</f>
        <v>16972</v>
      </c>
      <c r="G14" s="52" t="str">
        <f>"24910"</f>
        <v>24910</v>
      </c>
      <c r="H14" s="52" t="str">
        <f>"9860"</f>
        <v>9860</v>
      </c>
    </row>
    <row r="15" spans="2:11" x14ac:dyDescent="0.2">
      <c r="B15" s="21" t="s">
        <v>49</v>
      </c>
      <c r="C15" s="25" t="str">
        <f>"0.041"</f>
        <v>0.041</v>
      </c>
      <c r="D15" s="25" t="str">
        <f>"0.049"</f>
        <v>0.049</v>
      </c>
      <c r="E15" s="25" t="str">
        <f>"0.052"</f>
        <v>0.052</v>
      </c>
      <c r="F15" s="25" t="str">
        <f>"0.037"</f>
        <v>0.037</v>
      </c>
      <c r="G15" s="25" t="str">
        <f>"0.048"</f>
        <v>0.048</v>
      </c>
      <c r="H15" s="25" t="str">
        <f>"0.038"</f>
        <v>0.038</v>
      </c>
    </row>
    <row r="16" spans="2:11" x14ac:dyDescent="0.2">
      <c r="B16" s="21" t="s">
        <v>26</v>
      </c>
      <c r="C16" s="25" t="s">
        <v>25</v>
      </c>
      <c r="D16" s="25" t="s">
        <v>25</v>
      </c>
      <c r="E16" s="25" t="s">
        <v>25</v>
      </c>
      <c r="F16" s="25" t="s">
        <v>25</v>
      </c>
      <c r="G16" s="25" t="s">
        <v>25</v>
      </c>
      <c r="H16" s="25" t="s">
        <v>25</v>
      </c>
    </row>
    <row r="17" spans="2:8" x14ac:dyDescent="0.2">
      <c r="B17" s="21" t="s">
        <v>24</v>
      </c>
      <c r="C17" s="25" t="s">
        <v>25</v>
      </c>
      <c r="D17" s="25" t="s">
        <v>25</v>
      </c>
      <c r="E17" s="25" t="s">
        <v>25</v>
      </c>
      <c r="F17" s="25" t="s">
        <v>25</v>
      </c>
      <c r="G17" s="25" t="s">
        <v>25</v>
      </c>
      <c r="H17" s="25" t="s">
        <v>25</v>
      </c>
    </row>
    <row r="18" spans="2:8" x14ac:dyDescent="0.2">
      <c r="B18" s="21" t="s">
        <v>38</v>
      </c>
      <c r="C18" s="27" t="s">
        <v>25</v>
      </c>
      <c r="D18" s="27" t="s">
        <v>25</v>
      </c>
      <c r="E18" s="27" t="s">
        <v>25</v>
      </c>
      <c r="F18" s="27" t="s">
        <v>25</v>
      </c>
      <c r="G18" s="27" t="s">
        <v>25</v>
      </c>
      <c r="H18" s="27" t="s">
        <v>25</v>
      </c>
    </row>
    <row r="19" spans="2:8" ht="122" customHeight="1" x14ac:dyDescent="0.2">
      <c r="B19" s="83" t="s">
        <v>76</v>
      </c>
      <c r="C19" s="83"/>
      <c r="D19" s="83"/>
      <c r="E19" s="83"/>
      <c r="F19" s="83"/>
      <c r="G19" s="83"/>
      <c r="H19" s="83"/>
    </row>
    <row r="22" spans="2:8" ht="129" customHeight="1" x14ac:dyDescent="0.2"/>
  </sheetData>
  <mergeCells count="6">
    <mergeCell ref="B19:H19"/>
    <mergeCell ref="D1:K1"/>
    <mergeCell ref="B2:H2"/>
    <mergeCell ref="B3:B4"/>
    <mergeCell ref="B5:H5"/>
    <mergeCell ref="B8:H8"/>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 1</vt:lpstr>
      <vt:lpstr>Table 2</vt:lpstr>
      <vt:lpstr>Table 3</vt:lpstr>
      <vt:lpstr>Table 4</vt:lpstr>
      <vt:lpstr>Table 5</vt:lpstr>
      <vt:lpstr>Table 6</vt:lpstr>
      <vt:lpstr>Table 7</vt:lpstr>
      <vt:lpstr>Table 8</vt:lpstr>
      <vt:lpstr>Table 9</vt:lpstr>
      <vt:lpstr>Table 10</vt:lpstr>
      <vt:lpstr>Table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Muñoz Mora</dc:creator>
  <cp:lastModifiedBy>Juan Carlos Muñoz Mora</cp:lastModifiedBy>
  <cp:lastPrinted>2015-07-27T04:43:22Z</cp:lastPrinted>
  <dcterms:created xsi:type="dcterms:W3CDTF">2012-01-15T19:29:59Z</dcterms:created>
  <dcterms:modified xsi:type="dcterms:W3CDTF">2025-07-08T18:26:19Z</dcterms:modified>
</cp:coreProperties>
</file>