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4.xml" ContentType="application/vnd.openxmlformats-officedocument.spreadsheetml.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codeName="ЭтаКнига" hidePivotFieldList="1"/>
  <xr:revisionPtr revIDLastSave="0" documentId="13_ncr:1_{A6D58CA7-6363-4EA9-AEDE-6F633C1DF755}" xr6:coauthVersionLast="47" xr6:coauthVersionMax="47" xr10:uidLastSave="{00000000-0000-0000-0000-000000000000}"/>
  <bookViews>
    <workbookView xWindow="-120" yWindow="-120" windowWidth="29040" windowHeight="15840" tabRatio="680" xr2:uid="{00000000-000D-0000-FFFF-FFFF00000000}"/>
  </bookViews>
  <sheets>
    <sheet name="Дэшборды" sheetId="9" r:id="rId1"/>
    <sheet name="Общее кол-во" sheetId="7" r:id="rId2"/>
    <sheet name="Общая прибыль" sheetId="8" r:id="rId3"/>
    <sheet name="Новак" sheetId="1" r:id="rId4"/>
    <sheet name="Засекина" sheetId="3" r:id="rId5"/>
    <sheet name="Тольятти" sheetId="6" r:id="rId6"/>
    <sheet name="Мичурина" sheetId="2" r:id="rId7"/>
    <sheet name="Сызрань" sheetId="4" r:id="rId8"/>
  </sheets>
  <calcPr calcId="191028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  <pivotCache cacheId="8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Общая прибыль по дням_cd49fb11-073e-4cdb-be2d-b81ec7552485" name="Общая прибыль по дням" connection="Запрос — Общая прибыль по дням"/>
          <x15:modelTable id="Общее кол-во по дням для сводной_7deb4079-3bc8-4faa-975c-115255ea3c95" name="Общее кол-во по дням для сводной" connection="Запрос — Общее кол-во по дням"/>
        </x15:modelTables>
        <x15:modelRelationships>
          <x15:modelRelationship fromTable="Общее кол-во по дням для сводной" fromColumn="Дата" toTable="Общая прибыль по дням" toColumn="Дата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8" i="2" l="1" a="1"/>
  <c r="D108" i="2" s="1"/>
  <c r="F108" i="2" s="1"/>
  <c r="D107" i="2" a="1"/>
  <c r="D107" i="2" s="1"/>
  <c r="F107" i="2" s="1"/>
  <c r="D96" i="4" a="1"/>
  <c r="D96" i="4" s="1"/>
  <c r="F96" i="4" s="1"/>
  <c r="D95" i="4" a="1"/>
  <c r="D95" i="4" s="1"/>
  <c r="F95" i="4" s="1"/>
  <c r="D111" i="6" a="1"/>
  <c r="D111" i="6" s="1"/>
  <c r="F111" i="6" s="1"/>
  <c r="D110" i="6" a="1"/>
  <c r="D110" i="6" s="1"/>
  <c r="F110" i="6" s="1"/>
  <c r="D106" i="3" a="1"/>
  <c r="D106" i="3" s="1"/>
  <c r="F106" i="3" s="1"/>
  <c r="D105" i="3" a="1"/>
  <c r="D105" i="3" s="1"/>
  <c r="F105" i="3" s="1"/>
  <c r="D98" i="1" a="1"/>
  <c r="D98" i="1" s="1"/>
  <c r="F98" i="1" s="1"/>
  <c r="D97" i="1" a="1"/>
  <c r="D97" i="1" s="1"/>
  <c r="F97" i="1" s="1"/>
  <c r="J32" i="4" a="1"/>
  <c r="J32" i="4" s="1"/>
  <c r="L32" i="4" a="1"/>
  <c r="L32" i="4" s="1"/>
  <c r="D94" i="4" a="1"/>
  <c r="D94" i="4" s="1"/>
  <c r="F94" i="4" s="1"/>
  <c r="D106" i="2" a="1"/>
  <c r="D106" i="2" s="1"/>
  <c r="F106" i="2" s="1"/>
  <c r="D109" i="6" a="1"/>
  <c r="D109" i="6" s="1"/>
  <c r="F109" i="6" s="1"/>
  <c r="D108" i="6" a="1"/>
  <c r="D108" i="6" s="1"/>
  <c r="F108" i="6" s="1"/>
  <c r="D104" i="3" a="1"/>
  <c r="D104" i="3" s="1"/>
  <c r="F104" i="3" s="1"/>
  <c r="D96" i="1" a="1"/>
  <c r="D96" i="1" s="1"/>
  <c r="F96" i="1" s="1"/>
  <c r="D95" i="1" a="1"/>
  <c r="D95" i="1" s="1"/>
  <c r="F95" i="1" s="1"/>
  <c r="D103" i="3" a="1"/>
  <c r="D103" i="3" s="1"/>
  <c r="F103" i="3" s="1"/>
  <c r="D102" i="3" a="1"/>
  <c r="D102" i="3" s="1"/>
  <c r="F102" i="3" s="1"/>
  <c r="D107" i="6" a="1"/>
  <c r="D107" i="6" s="1"/>
  <c r="F107" i="6" s="1"/>
  <c r="D106" i="6" a="1"/>
  <c r="D106" i="6" s="1"/>
  <c r="F106" i="6" s="1"/>
  <c r="D105" i="6" a="1"/>
  <c r="D105" i="6" s="1"/>
  <c r="F105" i="6" s="1"/>
  <c r="D105" i="2" a="1"/>
  <c r="D105" i="2" s="1"/>
  <c r="F105" i="2" s="1"/>
  <c r="D104" i="2" a="1"/>
  <c r="D104" i="2" s="1"/>
  <c r="F104" i="2" s="1"/>
  <c r="D103" i="2" a="1"/>
  <c r="D103" i="2" s="1"/>
  <c r="F103" i="2" s="1"/>
  <c r="D93" i="4" a="1"/>
  <c r="D93" i="4" s="1"/>
  <c r="F93" i="4" s="1"/>
  <c r="D92" i="4" a="1"/>
  <c r="D92" i="4" s="1"/>
  <c r="F92" i="4" s="1"/>
  <c r="D91" i="4" a="1"/>
  <c r="D91" i="4" s="1"/>
  <c r="F91" i="4" s="1"/>
  <c r="D102" i="2" a="1"/>
  <c r="D102" i="2" s="1"/>
  <c r="F102" i="2" s="1"/>
  <c r="D101" i="2" a="1"/>
  <c r="D101" i="2" s="1"/>
  <c r="F101" i="2" s="1"/>
  <c r="D100" i="2" a="1"/>
  <c r="D100" i="2" s="1"/>
  <c r="F100" i="2" s="1"/>
  <c r="D104" i="6" a="1"/>
  <c r="D104" i="6" s="1"/>
  <c r="F104" i="6" s="1"/>
  <c r="D103" i="6" a="1"/>
  <c r="D103" i="6" s="1"/>
  <c r="F103" i="6" s="1"/>
  <c r="D101" i="3" a="1"/>
  <c r="D101" i="3" s="1"/>
  <c r="F101" i="3" s="1"/>
  <c r="D100" i="3" a="1"/>
  <c r="D100" i="3" s="1"/>
  <c r="F100" i="3" s="1"/>
  <c r="D99" i="3" a="1"/>
  <c r="D99" i="3" s="1"/>
  <c r="F99" i="3" s="1"/>
  <c r="D94" i="1" a="1"/>
  <c r="D94" i="1" s="1"/>
  <c r="F94" i="1" s="1"/>
  <c r="J32" i="1" a="1"/>
  <c r="J32" i="1" s="1"/>
  <c r="L31" i="4" a="1"/>
  <c r="L31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30" i="4" a="1"/>
  <c r="L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30" i="4" a="1"/>
  <c r="K30" i="4" s="1"/>
  <c r="J31" i="4" a="1"/>
  <c r="J31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30" i="4" a="1"/>
  <c r="J30" i="4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30" i="2" a="1"/>
  <c r="L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30" i="2" a="1"/>
  <c r="K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30" i="2" a="1"/>
  <c r="J30" i="2" s="1"/>
  <c r="L31" i="6" a="1"/>
  <c r="L31" i="6" s="1"/>
  <c r="L32" i="6" a="1"/>
  <c r="L32" i="6" s="1"/>
  <c r="L33" i="6" a="1"/>
  <c r="L33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L40" i="6" a="1"/>
  <c r="L40" i="6" s="1"/>
  <c r="L41" i="6" a="1"/>
  <c r="L41" i="6" s="1"/>
  <c r="L30" i="6" a="1"/>
  <c r="L30" i="6" s="1"/>
  <c r="K31" i="6" a="1"/>
  <c r="K31" i="6" s="1"/>
  <c r="K32" i="6" a="1"/>
  <c r="K32" i="6" s="1"/>
  <c r="K33" i="6" a="1"/>
  <c r="K33" i="6" s="1"/>
  <c r="K34" i="6" a="1"/>
  <c r="K34" i="6" s="1"/>
  <c r="K35" i="6" a="1"/>
  <c r="K35" i="6" s="1"/>
  <c r="K36" i="6" a="1"/>
  <c r="K36" i="6" s="1"/>
  <c r="K37" i="6" a="1"/>
  <c r="K37" i="6" s="1"/>
  <c r="K38" i="6" a="1"/>
  <c r="K38" i="6" s="1"/>
  <c r="K39" i="6" a="1"/>
  <c r="K39" i="6" s="1"/>
  <c r="K40" i="6" a="1"/>
  <c r="K40" i="6" s="1"/>
  <c r="K41" i="6" a="1"/>
  <c r="K41" i="6" s="1"/>
  <c r="K30" i="6" a="1"/>
  <c r="K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30" i="6" a="1"/>
  <c r="J30" i="6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30" i="3" a="1"/>
  <c r="L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30" i="3" a="1"/>
  <c r="K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30" i="3" a="1"/>
  <c r="J30" i="3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30" i="1" a="1"/>
  <c r="L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30" i="1" a="1"/>
  <c r="K30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30" i="1" a="1"/>
  <c r="J30" i="1" s="1"/>
  <c r="J47" i="1" s="1" a="1"/>
  <c r="J47" i="1" s="1"/>
  <c r="J31" i="1" a="1"/>
  <c r="J31" i="1" s="1"/>
  <c r="L42" i="1" l="1"/>
  <c r="K42" i="1"/>
  <c r="D93" i="1" a="1"/>
  <c r="D93" i="1" s="1"/>
  <c r="F93" i="1" s="1"/>
  <c r="D92" i="1" a="1"/>
  <c r="D92" i="1" s="1"/>
  <c r="F92" i="1" s="1"/>
  <c r="D91" i="1" a="1"/>
  <c r="D91" i="1" s="1"/>
  <c r="F91" i="1" s="1"/>
  <c r="D98" i="3" a="1"/>
  <c r="D98" i="3" s="1"/>
  <c r="F98" i="3" s="1"/>
  <c r="D97" i="3" a="1"/>
  <c r="D97" i="3" s="1"/>
  <c r="F97" i="3" s="1"/>
  <c r="D102" i="6" a="1"/>
  <c r="D102" i="6" s="1"/>
  <c r="F102" i="6" s="1"/>
  <c r="D101" i="6" a="1"/>
  <c r="D101" i="6" s="1"/>
  <c r="F101" i="6" s="1"/>
  <c r="D100" i="6" a="1"/>
  <c r="D100" i="6" s="1"/>
  <c r="F100" i="6" s="1"/>
  <c r="D90" i="4" a="1"/>
  <c r="D90" i="4" s="1"/>
  <c r="F90" i="4" s="1"/>
  <c r="D99" i="2" a="1"/>
  <c r="D99" i="2" s="1"/>
  <c r="F99" i="2" s="1"/>
  <c r="D98" i="2" a="1"/>
  <c r="D98" i="2" s="1"/>
  <c r="F98" i="2" s="1"/>
  <c r="D89" i="4" a="1"/>
  <c r="D89" i="4" s="1"/>
  <c r="F89" i="4" s="1"/>
  <c r="D97" i="2" a="1"/>
  <c r="D97" i="2" s="1"/>
  <c r="F97" i="2" s="1"/>
  <c r="D99" i="6" a="1"/>
  <c r="D99" i="6" s="1"/>
  <c r="F99" i="6" s="1"/>
  <c r="D98" i="6" a="1"/>
  <c r="D98" i="6" s="1"/>
  <c r="F98" i="6" s="1"/>
  <c r="D96" i="3" a="1"/>
  <c r="D96" i="3" s="1"/>
  <c r="F96" i="3" s="1"/>
  <c r="D95" i="3" a="1"/>
  <c r="D95" i="3" s="1"/>
  <c r="F95" i="3" s="1"/>
  <c r="D90" i="1" a="1"/>
  <c r="D90" i="1" s="1"/>
  <c r="F90" i="1" s="1"/>
  <c r="D89" i="1" a="1"/>
  <c r="D89" i="1" s="1"/>
  <c r="F89" i="1" s="1"/>
  <c r="D88" i="4" a="1"/>
  <c r="D88" i="4" s="1"/>
  <c r="F88" i="4" s="1"/>
  <c r="D96" i="2" a="1"/>
  <c r="D96" i="2" s="1"/>
  <c r="F96" i="2" s="1"/>
  <c r="D97" i="6" a="1"/>
  <c r="D97" i="6" s="1"/>
  <c r="F97" i="6" s="1"/>
  <c r="D96" i="6" a="1"/>
  <c r="D96" i="6" s="1"/>
  <c r="F96" i="6" s="1"/>
  <c r="D95" i="6" a="1"/>
  <c r="D95" i="6" s="1"/>
  <c r="F95" i="6" s="1"/>
  <c r="D94" i="3" a="1"/>
  <c r="D94" i="3" s="1"/>
  <c r="F94" i="3" s="1"/>
  <c r="D93" i="3" a="1"/>
  <c r="D93" i="3" s="1"/>
  <c r="F93" i="3" s="1"/>
  <c r="D88" i="1" a="1"/>
  <c r="D88" i="1" s="1"/>
  <c r="F88" i="1" s="1"/>
  <c r="D87" i="1" a="1"/>
  <c r="D87" i="1" s="1"/>
  <c r="F87" i="1" s="1"/>
  <c r="D87" i="4" a="1"/>
  <c r="D87" i="4" s="1"/>
  <c r="F87" i="4" s="1"/>
  <c r="D86" i="4" a="1"/>
  <c r="D86" i="4" s="1"/>
  <c r="F86" i="4" s="1"/>
  <c r="D95" i="2" a="1"/>
  <c r="D95" i="2" s="1"/>
  <c r="F95" i="2" s="1"/>
  <c r="D94" i="2" a="1"/>
  <c r="D94" i="2" s="1"/>
  <c r="F94" i="2" s="1"/>
  <c r="D93" i="2" a="1"/>
  <c r="D93" i="2" s="1"/>
  <c r="F93" i="2" s="1"/>
  <c r="D94" i="6" a="1"/>
  <c r="D94" i="6" s="1"/>
  <c r="F94" i="6" s="1"/>
  <c r="D93" i="6" a="1"/>
  <c r="D93" i="6" s="1"/>
  <c r="F93" i="6" s="1"/>
  <c r="D92" i="3" a="1"/>
  <c r="D92" i="3" s="1"/>
  <c r="F92" i="3" s="1"/>
  <c r="D91" i="3" a="1"/>
  <c r="D91" i="3" s="1"/>
  <c r="F91" i="3" s="1"/>
  <c r="D86" i="1" a="1"/>
  <c r="D86" i="1" s="1"/>
  <c r="F86" i="1" s="1"/>
  <c r="D36" i="4" a="1"/>
  <c r="D36" i="4" s="1"/>
  <c r="F36" i="4" s="1"/>
  <c r="D37" i="4" a="1"/>
  <c r="D37" i="4" s="1"/>
  <c r="F37" i="4" s="1"/>
  <c r="D38" i="4" a="1"/>
  <c r="D38" i="4" s="1"/>
  <c r="F38" i="4" s="1"/>
  <c r="D39" i="4" a="1"/>
  <c r="D39" i="4" s="1"/>
  <c r="F39" i="4" s="1"/>
  <c r="D40" i="4" a="1"/>
  <c r="D40" i="4" s="1"/>
  <c r="F40" i="4" s="1"/>
  <c r="D41" i="4" a="1"/>
  <c r="D41" i="4" s="1"/>
  <c r="F41" i="4" s="1"/>
  <c r="D42" i="4" a="1"/>
  <c r="D42" i="4" s="1"/>
  <c r="F42" i="4" s="1"/>
  <c r="D43" i="4" a="1"/>
  <c r="D43" i="4" s="1"/>
  <c r="F43" i="4" s="1"/>
  <c r="D44" i="4" a="1"/>
  <c r="D44" i="4" s="1"/>
  <c r="F44" i="4" s="1"/>
  <c r="D45" i="4" a="1"/>
  <c r="D45" i="4" s="1"/>
  <c r="F45" i="4" s="1"/>
  <c r="D46" i="4" a="1"/>
  <c r="D46" i="4" s="1"/>
  <c r="F46" i="4" s="1"/>
  <c r="D47" i="4" a="1"/>
  <c r="D47" i="4" s="1"/>
  <c r="F47" i="4" s="1"/>
  <c r="D48" i="4" a="1"/>
  <c r="D48" i="4" s="1"/>
  <c r="F48" i="4" s="1"/>
  <c r="D49" i="4" a="1"/>
  <c r="D49" i="4" s="1"/>
  <c r="F49" i="4" s="1"/>
  <c r="D50" i="4" a="1"/>
  <c r="D50" i="4" s="1"/>
  <c r="F50" i="4" s="1"/>
  <c r="D51" i="4" a="1"/>
  <c r="D51" i="4" s="1"/>
  <c r="F51" i="4" s="1"/>
  <c r="D52" i="4" a="1"/>
  <c r="D52" i="4" s="1"/>
  <c r="F52" i="4" s="1"/>
  <c r="D53" i="4" a="1"/>
  <c r="D53" i="4" s="1"/>
  <c r="F53" i="4" s="1"/>
  <c r="D54" i="4" a="1"/>
  <c r="D54" i="4" s="1"/>
  <c r="F54" i="4" s="1"/>
  <c r="D55" i="4" a="1"/>
  <c r="D55" i="4" s="1"/>
  <c r="F55" i="4" s="1"/>
  <c r="D56" i="4" a="1"/>
  <c r="D56" i="4" s="1"/>
  <c r="F56" i="4" s="1"/>
  <c r="D57" i="4" a="1"/>
  <c r="D57" i="4" s="1"/>
  <c r="F57" i="4" s="1"/>
  <c r="D58" i="4" a="1"/>
  <c r="D58" i="4" s="1"/>
  <c r="F58" i="4" s="1"/>
  <c r="D59" i="4" a="1"/>
  <c r="D59" i="4" s="1"/>
  <c r="F59" i="4" s="1"/>
  <c r="D60" i="4" a="1"/>
  <c r="D60" i="4" s="1"/>
  <c r="F60" i="4" s="1"/>
  <c r="D61" i="4" a="1"/>
  <c r="D61" i="4" s="1"/>
  <c r="F61" i="4" s="1"/>
  <c r="D62" i="4" a="1"/>
  <c r="D62" i="4" s="1"/>
  <c r="F62" i="4" s="1"/>
  <c r="D63" i="4" a="1"/>
  <c r="D63" i="4" s="1"/>
  <c r="F63" i="4" s="1"/>
  <c r="D64" i="4" a="1"/>
  <c r="D64" i="4" s="1"/>
  <c r="F64" i="4" s="1"/>
  <c r="D65" i="4" a="1"/>
  <c r="D65" i="4" s="1"/>
  <c r="F65" i="4" s="1"/>
  <c r="D66" i="4" a="1"/>
  <c r="D66" i="4" s="1"/>
  <c r="F66" i="4" s="1"/>
  <c r="D67" i="4" a="1"/>
  <c r="D67" i="4" s="1"/>
  <c r="F67" i="4" s="1"/>
  <c r="D68" i="4" a="1"/>
  <c r="D68" i="4" s="1"/>
  <c r="F68" i="4" s="1"/>
  <c r="D69" i="4" a="1"/>
  <c r="D69" i="4" s="1"/>
  <c r="F69" i="4" s="1"/>
  <c r="D70" i="4" a="1"/>
  <c r="D70" i="4" s="1"/>
  <c r="F70" i="4" s="1"/>
  <c r="D71" i="4" a="1"/>
  <c r="D71" i="4" s="1"/>
  <c r="F71" i="4" s="1"/>
  <c r="D72" i="4" a="1"/>
  <c r="D72" i="4" s="1"/>
  <c r="F72" i="4" s="1"/>
  <c r="D73" i="4" a="1"/>
  <c r="D73" i="4" s="1"/>
  <c r="F73" i="4" s="1"/>
  <c r="D74" i="4" a="1"/>
  <c r="D74" i="4" s="1"/>
  <c r="F74" i="4" s="1"/>
  <c r="D75" i="4" a="1"/>
  <c r="D75" i="4" s="1"/>
  <c r="F75" i="4" s="1"/>
  <c r="D76" i="4" a="1"/>
  <c r="D76" i="4" s="1"/>
  <c r="F76" i="4" s="1"/>
  <c r="D77" i="4" a="1"/>
  <c r="D77" i="4" s="1"/>
  <c r="F77" i="4" s="1"/>
  <c r="D78" i="4" a="1"/>
  <c r="D78" i="4" s="1"/>
  <c r="F78" i="4" s="1"/>
  <c r="D79" i="4" a="1"/>
  <c r="D79" i="4" s="1"/>
  <c r="F79" i="4" s="1"/>
  <c r="D80" i="4" a="1"/>
  <c r="D80" i="4" s="1"/>
  <c r="F80" i="4" s="1"/>
  <c r="D81" i="4" a="1"/>
  <c r="D81" i="4" s="1"/>
  <c r="F81" i="4" s="1"/>
  <c r="D82" i="4" a="1"/>
  <c r="D82" i="4" s="1"/>
  <c r="F82" i="4" s="1"/>
  <c r="D83" i="4" a="1"/>
  <c r="D83" i="4" s="1"/>
  <c r="F83" i="4" s="1"/>
  <c r="D84" i="4" a="1"/>
  <c r="D84" i="4" s="1"/>
  <c r="F84" i="4" s="1"/>
  <c r="D85" i="4" a="1"/>
  <c r="D85" i="4" s="1"/>
  <c r="F85" i="4" s="1"/>
  <c r="D92" i="2" a="1"/>
  <c r="D92" i="2" s="1"/>
  <c r="F92" i="2" s="1"/>
  <c r="D91" i="2" a="1"/>
  <c r="D91" i="2" s="1"/>
  <c r="F91" i="2" s="1"/>
  <c r="D92" i="6" a="1"/>
  <c r="D92" i="6" s="1"/>
  <c r="F92" i="6" s="1"/>
  <c r="D91" i="6" a="1"/>
  <c r="D91" i="6" s="1"/>
  <c r="F91" i="6" s="1"/>
  <c r="D90" i="3" a="1"/>
  <c r="D90" i="3" s="1"/>
  <c r="F90" i="3" s="1"/>
  <c r="D85" i="1" a="1"/>
  <c r="D85" i="1" s="1"/>
  <c r="F85" i="1" s="1"/>
  <c r="F30" i="4"/>
  <c r="F32" i="4"/>
  <c r="F33" i="4"/>
  <c r="D35" i="4" a="1"/>
  <c r="D35" i="4" s="1"/>
  <c r="F35" i="4" s="1"/>
  <c r="D30" i="2" a="1"/>
  <c r="D30" i="2" s="1"/>
  <c r="F30" i="2" s="1"/>
  <c r="D31" i="2" a="1"/>
  <c r="D31" i="2" s="1"/>
  <c r="F31" i="2" s="1"/>
  <c r="D32" i="2" a="1"/>
  <c r="D32" i="2" s="1"/>
  <c r="F32" i="2" s="1"/>
  <c r="D33" i="2" a="1"/>
  <c r="D33" i="2" s="1"/>
  <c r="F33" i="2" s="1"/>
  <c r="D34" i="2" a="1"/>
  <c r="D34" i="2" s="1"/>
  <c r="F34" i="2" s="1"/>
  <c r="D35" i="2" a="1"/>
  <c r="D35" i="2" s="1"/>
  <c r="D36" i="2" a="1"/>
  <c r="D36" i="2" s="1"/>
  <c r="F36" i="2" s="1"/>
  <c r="D37" i="2" a="1"/>
  <c r="D37" i="2" s="1"/>
  <c r="F37" i="2" s="1"/>
  <c r="D38" i="2" a="1"/>
  <c r="D38" i="2" s="1"/>
  <c r="F38" i="2" s="1"/>
  <c r="D39" i="2" a="1"/>
  <c r="D39" i="2" s="1"/>
  <c r="F39" i="2" s="1"/>
  <c r="D40" i="2" a="1"/>
  <c r="D40" i="2" s="1"/>
  <c r="F40" i="2" s="1"/>
  <c r="D41" i="2" a="1"/>
  <c r="D41" i="2" s="1"/>
  <c r="F41" i="2" s="1"/>
  <c r="D42" i="2" a="1"/>
  <c r="D42" i="2" s="1"/>
  <c r="F42" i="2" s="1"/>
  <c r="D43" i="2" a="1"/>
  <c r="D43" i="2" s="1"/>
  <c r="F43" i="2" s="1"/>
  <c r="D44" i="2" a="1"/>
  <c r="D44" i="2" s="1"/>
  <c r="F44" i="2" s="1"/>
  <c r="D45" i="2" a="1"/>
  <c r="D45" i="2" s="1"/>
  <c r="F45" i="2" s="1"/>
  <c r="D46" i="2" a="1"/>
  <c r="D46" i="2" s="1"/>
  <c r="F46" i="2" s="1"/>
  <c r="D47" i="2" a="1"/>
  <c r="D47" i="2" s="1"/>
  <c r="F47" i="2" s="1"/>
  <c r="D48" i="2" a="1"/>
  <c r="D48" i="2" s="1"/>
  <c r="F48" i="2" s="1"/>
  <c r="D49" i="2" a="1"/>
  <c r="D49" i="2" s="1"/>
  <c r="F49" i="2" s="1"/>
  <c r="D50" i="2" a="1"/>
  <c r="D50" i="2" s="1"/>
  <c r="F50" i="2" s="1"/>
  <c r="D51" i="2" a="1"/>
  <c r="D51" i="2" s="1"/>
  <c r="F51" i="2" s="1"/>
  <c r="D52" i="2" a="1"/>
  <c r="D52" i="2" s="1"/>
  <c r="F52" i="2" s="1"/>
  <c r="D53" i="2" a="1"/>
  <c r="D53" i="2" s="1"/>
  <c r="F53" i="2" s="1"/>
  <c r="D54" i="2" a="1"/>
  <c r="D54" i="2" s="1"/>
  <c r="F54" i="2" s="1"/>
  <c r="D55" i="2" a="1"/>
  <c r="D55" i="2" s="1"/>
  <c r="F55" i="2" s="1"/>
  <c r="D56" i="2" a="1"/>
  <c r="D56" i="2" s="1"/>
  <c r="F56" i="2" s="1"/>
  <c r="D57" i="2" a="1"/>
  <c r="D57" i="2" s="1"/>
  <c r="F57" i="2" s="1"/>
  <c r="D58" i="2" a="1"/>
  <c r="D58" i="2" s="1"/>
  <c r="F58" i="2" s="1"/>
  <c r="D59" i="2" a="1"/>
  <c r="D59" i="2" s="1"/>
  <c r="F59" i="2" s="1"/>
  <c r="D60" i="2" a="1"/>
  <c r="D60" i="2" s="1"/>
  <c r="F60" i="2" s="1"/>
  <c r="D61" i="2" a="1"/>
  <c r="D61" i="2" s="1"/>
  <c r="F61" i="2" s="1"/>
  <c r="D62" i="2" a="1"/>
  <c r="D62" i="2" s="1"/>
  <c r="F62" i="2" s="1"/>
  <c r="D63" i="2" a="1"/>
  <c r="D63" i="2" s="1"/>
  <c r="F63" i="2" s="1"/>
  <c r="D64" i="2" a="1"/>
  <c r="D64" i="2" s="1"/>
  <c r="F64" i="2" s="1"/>
  <c r="D65" i="2" a="1"/>
  <c r="D65" i="2" s="1"/>
  <c r="F65" i="2" s="1"/>
  <c r="D66" i="2" a="1"/>
  <c r="D66" i="2" s="1"/>
  <c r="F66" i="2" s="1"/>
  <c r="D67" i="2" a="1"/>
  <c r="D67" i="2" s="1"/>
  <c r="F67" i="2" s="1"/>
  <c r="D68" i="2" a="1"/>
  <c r="D68" i="2" s="1"/>
  <c r="F68" i="2" s="1"/>
  <c r="D69" i="2" a="1"/>
  <c r="D69" i="2" s="1"/>
  <c r="F69" i="2" s="1"/>
  <c r="D70" i="2" a="1"/>
  <c r="D70" i="2" s="1"/>
  <c r="F70" i="2" s="1"/>
  <c r="D71" i="2" a="1"/>
  <c r="D71" i="2" s="1"/>
  <c r="F71" i="2" s="1"/>
  <c r="D72" i="2" a="1"/>
  <c r="D72" i="2" s="1"/>
  <c r="F72" i="2" s="1"/>
  <c r="D73" i="2" a="1"/>
  <c r="D73" i="2" s="1"/>
  <c r="F73" i="2" s="1"/>
  <c r="D74" i="2" a="1"/>
  <c r="D74" i="2" s="1"/>
  <c r="F74" i="2" s="1"/>
  <c r="D75" i="2" a="1"/>
  <c r="D75" i="2" s="1"/>
  <c r="F75" i="2" s="1"/>
  <c r="D76" i="2" a="1"/>
  <c r="D76" i="2" s="1"/>
  <c r="F76" i="2" s="1"/>
  <c r="D77" i="2" a="1"/>
  <c r="D77" i="2" s="1"/>
  <c r="F77" i="2" s="1"/>
  <c r="D78" i="2" a="1"/>
  <c r="D78" i="2" s="1"/>
  <c r="F78" i="2" s="1"/>
  <c r="D79" i="2" a="1"/>
  <c r="D79" i="2" s="1"/>
  <c r="F79" i="2" s="1"/>
  <c r="D80" i="2" a="1"/>
  <c r="D80" i="2" s="1"/>
  <c r="F80" i="2" s="1"/>
  <c r="D81" i="2" a="1"/>
  <c r="D81" i="2" s="1"/>
  <c r="F81" i="2" s="1"/>
  <c r="D82" i="2" a="1"/>
  <c r="D82" i="2" s="1"/>
  <c r="F82" i="2" s="1"/>
  <c r="D83" i="2" a="1"/>
  <c r="D83" i="2" s="1"/>
  <c r="F83" i="2" s="1"/>
  <c r="D84" i="2" a="1"/>
  <c r="D84" i="2" s="1"/>
  <c r="F84" i="2" s="1"/>
  <c r="D85" i="2" a="1"/>
  <c r="D85" i="2" s="1"/>
  <c r="F85" i="2" s="1"/>
  <c r="D86" i="2" a="1"/>
  <c r="D86" i="2" s="1"/>
  <c r="F86" i="2" s="1"/>
  <c r="D87" i="2" a="1"/>
  <c r="D87" i="2" s="1"/>
  <c r="F87" i="2" s="1"/>
  <c r="D88" i="2" a="1"/>
  <c r="D88" i="2" s="1"/>
  <c r="F88" i="2" s="1"/>
  <c r="D89" i="2" a="1"/>
  <c r="D89" i="2" s="1"/>
  <c r="F89" i="2" s="1"/>
  <c r="D90" i="2" a="1"/>
  <c r="D90" i="2" s="1"/>
  <c r="F90" i="2" s="1"/>
  <c r="D30" i="6" a="1"/>
  <c r="D30" i="6" s="1"/>
  <c r="F30" i="6" s="1"/>
  <c r="D31" i="6" a="1"/>
  <c r="D31" i="6" s="1"/>
  <c r="F31" i="6" s="1"/>
  <c r="D32" i="6" a="1"/>
  <c r="D32" i="6" s="1"/>
  <c r="F32" i="6" s="1"/>
  <c r="D33" i="6" a="1"/>
  <c r="D33" i="6" s="1"/>
  <c r="F33" i="6" s="1"/>
  <c r="D34" i="6" a="1"/>
  <c r="D34" i="6" s="1"/>
  <c r="F34" i="6" s="1"/>
  <c r="D35" i="6" a="1"/>
  <c r="D35" i="6" s="1"/>
  <c r="F35" i="6" s="1"/>
  <c r="D36" i="6" a="1"/>
  <c r="D36" i="6" s="1"/>
  <c r="D37" i="6" a="1"/>
  <c r="D37" i="6" s="1"/>
  <c r="F37" i="6" s="1"/>
  <c r="D38" i="6" a="1"/>
  <c r="D38" i="6" s="1"/>
  <c r="F38" i="6" s="1"/>
  <c r="D39" i="6" a="1"/>
  <c r="D39" i="6" s="1"/>
  <c r="F39" i="6" s="1"/>
  <c r="D40" i="6" a="1"/>
  <c r="D40" i="6" s="1"/>
  <c r="F40" i="6" s="1"/>
  <c r="D41" i="6" a="1"/>
  <c r="D41" i="6" s="1"/>
  <c r="F41" i="6" s="1"/>
  <c r="D42" i="6" a="1"/>
  <c r="D42" i="6" s="1"/>
  <c r="F42" i="6" s="1"/>
  <c r="D43" i="6" a="1"/>
  <c r="D43" i="6" s="1"/>
  <c r="F43" i="6" s="1"/>
  <c r="D44" i="6" a="1"/>
  <c r="D44" i="6" s="1"/>
  <c r="F44" i="6" s="1"/>
  <c r="D45" i="6" a="1"/>
  <c r="D45" i="6" s="1"/>
  <c r="F45" i="6" s="1"/>
  <c r="D46" i="6" a="1"/>
  <c r="D46" i="6" s="1"/>
  <c r="F46" i="6" s="1"/>
  <c r="D47" i="6" a="1"/>
  <c r="D47" i="6" s="1"/>
  <c r="F47" i="6" s="1"/>
  <c r="D48" i="6" a="1"/>
  <c r="D48" i="6" s="1"/>
  <c r="F48" i="6" s="1"/>
  <c r="D49" i="6" a="1"/>
  <c r="D49" i="6" s="1"/>
  <c r="F49" i="6" s="1"/>
  <c r="D50" i="6" a="1"/>
  <c r="D50" i="6" s="1"/>
  <c r="F50" i="6" s="1"/>
  <c r="D51" i="6" a="1"/>
  <c r="D51" i="6" s="1"/>
  <c r="F51" i="6" s="1"/>
  <c r="D52" i="6" a="1"/>
  <c r="D52" i="6" s="1"/>
  <c r="F52" i="6" s="1"/>
  <c r="D53" i="6" a="1"/>
  <c r="D53" i="6" s="1"/>
  <c r="F53" i="6" s="1"/>
  <c r="D54" i="6" a="1"/>
  <c r="D54" i="6" s="1"/>
  <c r="F54" i="6" s="1"/>
  <c r="D55" i="6" a="1"/>
  <c r="D55" i="6" s="1"/>
  <c r="F55" i="6" s="1"/>
  <c r="D56" i="6" a="1"/>
  <c r="D56" i="6" s="1"/>
  <c r="F56" i="6" s="1"/>
  <c r="D57" i="6" a="1"/>
  <c r="D57" i="6" s="1"/>
  <c r="F57" i="6" s="1"/>
  <c r="D58" i="6" a="1"/>
  <c r="D58" i="6" s="1"/>
  <c r="F58" i="6" s="1"/>
  <c r="D59" i="6" a="1"/>
  <c r="D59" i="6" s="1"/>
  <c r="F59" i="6" s="1"/>
  <c r="D60" i="6" a="1"/>
  <c r="D60" i="6" s="1"/>
  <c r="F60" i="6" s="1"/>
  <c r="D61" i="6" a="1"/>
  <c r="D61" i="6" s="1"/>
  <c r="F61" i="6" s="1"/>
  <c r="D62" i="6" a="1"/>
  <c r="D62" i="6" s="1"/>
  <c r="F62" i="6" s="1"/>
  <c r="D63" i="6" a="1"/>
  <c r="D63" i="6" s="1"/>
  <c r="F63" i="6" s="1"/>
  <c r="D64" i="6" a="1"/>
  <c r="D64" i="6" s="1"/>
  <c r="F64" i="6" s="1"/>
  <c r="D65" i="6" a="1"/>
  <c r="D65" i="6" s="1"/>
  <c r="F65" i="6" s="1"/>
  <c r="D66" i="6" a="1"/>
  <c r="D66" i="6" s="1"/>
  <c r="F66" i="6" s="1"/>
  <c r="D67" i="6" a="1"/>
  <c r="D67" i="6" s="1"/>
  <c r="F67" i="6" s="1"/>
  <c r="D68" i="6" a="1"/>
  <c r="D68" i="6" s="1"/>
  <c r="F68" i="6" s="1"/>
  <c r="D69" i="6" a="1"/>
  <c r="D69" i="6" s="1"/>
  <c r="F69" i="6" s="1"/>
  <c r="D70" i="6" a="1"/>
  <c r="D70" i="6" s="1"/>
  <c r="F70" i="6" s="1"/>
  <c r="D71" i="6" a="1"/>
  <c r="D71" i="6" s="1"/>
  <c r="F71" i="6" s="1"/>
  <c r="D72" i="6" a="1"/>
  <c r="D72" i="6" s="1"/>
  <c r="F72" i="6" s="1"/>
  <c r="D73" i="6" a="1"/>
  <c r="D73" i="6" s="1"/>
  <c r="F73" i="6" s="1"/>
  <c r="D74" i="6" a="1"/>
  <c r="D74" i="6" s="1"/>
  <c r="F74" i="6" s="1"/>
  <c r="D75" i="6" a="1"/>
  <c r="D75" i="6" s="1"/>
  <c r="F75" i="6" s="1"/>
  <c r="D76" i="6" a="1"/>
  <c r="D76" i="6" s="1"/>
  <c r="F76" i="6" s="1"/>
  <c r="D77" i="6" a="1"/>
  <c r="D77" i="6" s="1"/>
  <c r="F77" i="6" s="1"/>
  <c r="D78" i="6" a="1"/>
  <c r="D78" i="6" s="1"/>
  <c r="F78" i="6" s="1"/>
  <c r="D79" i="6" a="1"/>
  <c r="D79" i="6" s="1"/>
  <c r="F79" i="6" s="1"/>
  <c r="D80" i="6" a="1"/>
  <c r="D80" i="6" s="1"/>
  <c r="F80" i="6" s="1"/>
  <c r="D81" i="6" a="1"/>
  <c r="D81" i="6" s="1"/>
  <c r="F81" i="6" s="1"/>
  <c r="D82" i="6" a="1"/>
  <c r="D82" i="6" s="1"/>
  <c r="F82" i="6" s="1"/>
  <c r="D83" i="6" a="1"/>
  <c r="D83" i="6" s="1"/>
  <c r="F83" i="6" s="1"/>
  <c r="D84" i="6" a="1"/>
  <c r="D84" i="6" s="1"/>
  <c r="F84" i="6" s="1"/>
  <c r="D85" i="6" a="1"/>
  <c r="D85" i="6" s="1"/>
  <c r="F85" i="6" s="1"/>
  <c r="D86" i="6" a="1"/>
  <c r="D86" i="6" s="1"/>
  <c r="F86" i="6" s="1"/>
  <c r="D87" i="6" a="1"/>
  <c r="D87" i="6" s="1"/>
  <c r="F87" i="6" s="1"/>
  <c r="D88" i="6" a="1"/>
  <c r="D88" i="6" s="1"/>
  <c r="F88" i="6" s="1"/>
  <c r="D89" i="6" a="1"/>
  <c r="D89" i="6" s="1"/>
  <c r="F89" i="6" s="1"/>
  <c r="D90" i="6" a="1"/>
  <c r="D90" i="6" s="1"/>
  <c r="F90" i="6" s="1"/>
  <c r="D30" i="3" a="1"/>
  <c r="D30" i="3" s="1"/>
  <c r="F30" i="3" s="1"/>
  <c r="D31" i="3" a="1"/>
  <c r="D31" i="3" s="1"/>
  <c r="F31" i="3" s="1"/>
  <c r="D32" i="3" a="1"/>
  <c r="D32" i="3" s="1"/>
  <c r="F32" i="3" s="1"/>
  <c r="D33" i="3" a="1"/>
  <c r="D33" i="3" s="1"/>
  <c r="F33" i="3" s="1"/>
  <c r="D34" i="3" a="1"/>
  <c r="D34" i="3" s="1"/>
  <c r="F34" i="3" s="1"/>
  <c r="D35" i="3" a="1"/>
  <c r="D35" i="3" s="1"/>
  <c r="F35" i="3" s="1"/>
  <c r="D36" i="3" a="1"/>
  <c r="D36" i="3" s="1"/>
  <c r="F36" i="3" s="1"/>
  <c r="D37" i="3" a="1"/>
  <c r="D37" i="3" s="1"/>
  <c r="F37" i="3" s="1"/>
  <c r="D38" i="3" a="1"/>
  <c r="D38" i="3" s="1"/>
  <c r="F38" i="3" s="1"/>
  <c r="D39" i="3" a="1"/>
  <c r="D39" i="3" s="1"/>
  <c r="F39" i="3" s="1"/>
  <c r="D40" i="3" a="1"/>
  <c r="D40" i="3" s="1"/>
  <c r="D41" i="3" a="1"/>
  <c r="D41" i="3" s="1"/>
  <c r="F41" i="3" s="1"/>
  <c r="D42" i="3" a="1"/>
  <c r="D42" i="3" s="1"/>
  <c r="F42" i="3" s="1"/>
  <c r="D43" i="3" a="1"/>
  <c r="D43" i="3" s="1"/>
  <c r="F43" i="3" s="1"/>
  <c r="D44" i="3" a="1"/>
  <c r="D44" i="3" s="1"/>
  <c r="F44" i="3" s="1"/>
  <c r="D45" i="3" a="1"/>
  <c r="D45" i="3" s="1"/>
  <c r="F45" i="3" s="1"/>
  <c r="D46" i="3" a="1"/>
  <c r="D46" i="3" s="1"/>
  <c r="F46" i="3" s="1"/>
  <c r="D47" i="3" a="1"/>
  <c r="D47" i="3" s="1"/>
  <c r="F47" i="3" s="1"/>
  <c r="D48" i="3" a="1"/>
  <c r="D48" i="3" s="1"/>
  <c r="F48" i="3" s="1"/>
  <c r="D49" i="3" a="1"/>
  <c r="D49" i="3" s="1"/>
  <c r="F49" i="3" s="1"/>
  <c r="D50" i="3" a="1"/>
  <c r="D50" i="3" s="1"/>
  <c r="F50" i="3" s="1"/>
  <c r="D51" i="3" a="1"/>
  <c r="D51" i="3" s="1"/>
  <c r="F51" i="3" s="1"/>
  <c r="D52" i="3" a="1"/>
  <c r="D52" i="3" s="1"/>
  <c r="F52" i="3" s="1"/>
  <c r="D53" i="3" a="1"/>
  <c r="D53" i="3" s="1"/>
  <c r="F53" i="3" s="1"/>
  <c r="D54" i="3" a="1"/>
  <c r="D54" i="3" s="1"/>
  <c r="F54" i="3" s="1"/>
  <c r="D55" i="3" a="1"/>
  <c r="D55" i="3" s="1"/>
  <c r="F55" i="3" s="1"/>
  <c r="D56" i="3" a="1"/>
  <c r="D56" i="3" s="1"/>
  <c r="F56" i="3" s="1"/>
  <c r="D57" i="3" a="1"/>
  <c r="D57" i="3" s="1"/>
  <c r="F57" i="3" s="1"/>
  <c r="D58" i="3" a="1"/>
  <c r="D58" i="3" s="1"/>
  <c r="F58" i="3" s="1"/>
  <c r="D59" i="3" a="1"/>
  <c r="D59" i="3" s="1"/>
  <c r="F59" i="3" s="1"/>
  <c r="D60" i="3" a="1"/>
  <c r="D60" i="3" s="1"/>
  <c r="F60" i="3" s="1"/>
  <c r="D61" i="3" a="1"/>
  <c r="D61" i="3" s="1"/>
  <c r="F61" i="3" s="1"/>
  <c r="D62" i="3" a="1"/>
  <c r="D62" i="3" s="1"/>
  <c r="F62" i="3" s="1"/>
  <c r="D63" i="3" a="1"/>
  <c r="D63" i="3" s="1"/>
  <c r="F63" i="3" s="1"/>
  <c r="D64" i="3" a="1"/>
  <c r="D64" i="3" s="1"/>
  <c r="F64" i="3" s="1"/>
  <c r="D65" i="3" a="1"/>
  <c r="D65" i="3" s="1"/>
  <c r="F65" i="3" s="1"/>
  <c r="D66" i="3" a="1"/>
  <c r="D66" i="3" s="1"/>
  <c r="F66" i="3" s="1"/>
  <c r="D67" i="3" a="1"/>
  <c r="D67" i="3" s="1"/>
  <c r="F67" i="3" s="1"/>
  <c r="D68" i="3" a="1"/>
  <c r="D68" i="3" s="1"/>
  <c r="F68" i="3" s="1"/>
  <c r="D69" i="3" a="1"/>
  <c r="D69" i="3" s="1"/>
  <c r="F69" i="3" s="1"/>
  <c r="D70" i="3" a="1"/>
  <c r="D70" i="3" s="1"/>
  <c r="F70" i="3" s="1"/>
  <c r="D71" i="3" a="1"/>
  <c r="D71" i="3" s="1"/>
  <c r="F71" i="3" s="1"/>
  <c r="D72" i="3" a="1"/>
  <c r="D72" i="3" s="1"/>
  <c r="F72" i="3" s="1"/>
  <c r="D73" i="3" a="1"/>
  <c r="D73" i="3" s="1"/>
  <c r="F73" i="3" s="1"/>
  <c r="D74" i="3" a="1"/>
  <c r="D74" i="3" s="1"/>
  <c r="F74" i="3" s="1"/>
  <c r="D75" i="3" a="1"/>
  <c r="D75" i="3" s="1"/>
  <c r="F75" i="3" s="1"/>
  <c r="D76" i="3" a="1"/>
  <c r="D76" i="3" s="1"/>
  <c r="F76" i="3" s="1"/>
  <c r="D77" i="3" a="1"/>
  <c r="D77" i="3" s="1"/>
  <c r="F77" i="3" s="1"/>
  <c r="D78" i="3" a="1"/>
  <c r="D78" i="3" s="1"/>
  <c r="F78" i="3" s="1"/>
  <c r="D79" i="3" a="1"/>
  <c r="D79" i="3" s="1"/>
  <c r="F79" i="3" s="1"/>
  <c r="D80" i="3" a="1"/>
  <c r="D80" i="3" s="1"/>
  <c r="F80" i="3" s="1"/>
  <c r="D81" i="3" a="1"/>
  <c r="D81" i="3" s="1"/>
  <c r="F81" i="3" s="1"/>
  <c r="D82" i="3" a="1"/>
  <c r="D82" i="3" s="1"/>
  <c r="F82" i="3" s="1"/>
  <c r="D83" i="3" a="1"/>
  <c r="D83" i="3" s="1"/>
  <c r="F83" i="3" s="1"/>
  <c r="D84" i="3" a="1"/>
  <c r="D84" i="3" s="1"/>
  <c r="F84" i="3" s="1"/>
  <c r="D85" i="3" a="1"/>
  <c r="D85" i="3" s="1"/>
  <c r="F85" i="3" s="1"/>
  <c r="D86" i="3" a="1"/>
  <c r="D86" i="3" s="1"/>
  <c r="F86" i="3" s="1"/>
  <c r="D87" i="3" a="1"/>
  <c r="D87" i="3" s="1"/>
  <c r="F87" i="3" s="1"/>
  <c r="D88" i="3" a="1"/>
  <c r="D88" i="3" s="1"/>
  <c r="F88" i="3" s="1"/>
  <c r="D89" i="3" a="1"/>
  <c r="D89" i="3" s="1"/>
  <c r="F89" i="3" s="1"/>
  <c r="D30" i="1" a="1"/>
  <c r="D30" i="1" s="1"/>
  <c r="D31" i="1" a="1"/>
  <c r="D31" i="1" s="1"/>
  <c r="F31" i="1" s="1"/>
  <c r="D32" i="1" a="1"/>
  <c r="D32" i="1" s="1"/>
  <c r="F32" i="1" s="1"/>
  <c r="D33" i="1" a="1"/>
  <c r="D33" i="1" s="1"/>
  <c r="F33" i="1" s="1"/>
  <c r="D34" i="1" a="1"/>
  <c r="D34" i="1" s="1"/>
  <c r="F34" i="1" s="1"/>
  <c r="D35" i="1" a="1"/>
  <c r="D35" i="1" s="1"/>
  <c r="F35" i="1" s="1"/>
  <c r="D36" i="1" a="1"/>
  <c r="D36" i="1" s="1"/>
  <c r="F36" i="1" s="1"/>
  <c r="D37" i="1" a="1"/>
  <c r="D37" i="1" s="1"/>
  <c r="F37" i="1" s="1"/>
  <c r="D38" i="1" a="1"/>
  <c r="D38" i="1" s="1"/>
  <c r="F38" i="1" s="1"/>
  <c r="D39" i="1" a="1"/>
  <c r="D39" i="1" s="1"/>
  <c r="F39" i="1" s="1"/>
  <c r="D40" i="1" a="1"/>
  <c r="D40" i="1" s="1"/>
  <c r="F40" i="1" s="1"/>
  <c r="D41" i="1" a="1"/>
  <c r="D41" i="1" s="1"/>
  <c r="F41" i="1" s="1"/>
  <c r="D42" i="1" a="1"/>
  <c r="D42" i="1" s="1"/>
  <c r="F42" i="1" s="1"/>
  <c r="D43" i="1" a="1"/>
  <c r="D43" i="1" s="1"/>
  <c r="F43" i="1" s="1"/>
  <c r="D44" i="1" a="1"/>
  <c r="D44" i="1" s="1"/>
  <c r="F44" i="1" s="1"/>
  <c r="D45" i="1" a="1"/>
  <c r="D45" i="1" s="1"/>
  <c r="F45" i="1" s="1"/>
  <c r="D46" i="1" a="1"/>
  <c r="D46" i="1" s="1"/>
  <c r="F46" i="1" s="1"/>
  <c r="D47" i="1" a="1"/>
  <c r="D47" i="1" s="1"/>
  <c r="F47" i="1" s="1"/>
  <c r="D48" i="1" a="1"/>
  <c r="D48" i="1" s="1"/>
  <c r="F48" i="1" s="1"/>
  <c r="D49" i="1" a="1"/>
  <c r="D49" i="1" s="1"/>
  <c r="F49" i="1" s="1"/>
  <c r="D50" i="1" a="1"/>
  <c r="D50" i="1" s="1"/>
  <c r="F50" i="1" s="1"/>
  <c r="D51" i="1" a="1"/>
  <c r="D51" i="1" s="1"/>
  <c r="F51" i="1" s="1"/>
  <c r="D52" i="1" a="1"/>
  <c r="D52" i="1" s="1"/>
  <c r="F52" i="1" s="1"/>
  <c r="D53" i="1" a="1"/>
  <c r="D53" i="1" s="1"/>
  <c r="F53" i="1" s="1"/>
  <c r="D54" i="1" a="1"/>
  <c r="D54" i="1" s="1"/>
  <c r="F54" i="1" s="1"/>
  <c r="D55" i="1" a="1"/>
  <c r="D55" i="1" s="1"/>
  <c r="F55" i="1" s="1"/>
  <c r="D56" i="1" a="1"/>
  <c r="D56" i="1" s="1"/>
  <c r="F56" i="1" s="1"/>
  <c r="D57" i="1" a="1"/>
  <c r="D57" i="1" s="1"/>
  <c r="F57" i="1" s="1"/>
  <c r="D58" i="1" a="1"/>
  <c r="D58" i="1" s="1"/>
  <c r="F58" i="1" s="1"/>
  <c r="D59" i="1" a="1"/>
  <c r="D59" i="1" s="1"/>
  <c r="F59" i="1" s="1"/>
  <c r="D60" i="1" a="1"/>
  <c r="D60" i="1" s="1"/>
  <c r="F60" i="1" s="1"/>
  <c r="D61" i="1" a="1"/>
  <c r="D61" i="1" s="1"/>
  <c r="F61" i="1" s="1"/>
  <c r="D62" i="1" a="1"/>
  <c r="D62" i="1" s="1"/>
  <c r="F62" i="1" s="1"/>
  <c r="D63" i="1" a="1"/>
  <c r="D63" i="1" s="1"/>
  <c r="F63" i="1" s="1"/>
  <c r="D64" i="1" a="1"/>
  <c r="D64" i="1" s="1"/>
  <c r="F64" i="1" s="1"/>
  <c r="D65" i="1" a="1"/>
  <c r="D65" i="1" s="1"/>
  <c r="F65" i="1" s="1"/>
  <c r="D66" i="1" a="1"/>
  <c r="D66" i="1" s="1"/>
  <c r="F66" i="1" s="1"/>
  <c r="D67" i="1" a="1"/>
  <c r="D67" i="1" s="1"/>
  <c r="F67" i="1" s="1"/>
  <c r="D68" i="1" a="1"/>
  <c r="D68" i="1" s="1"/>
  <c r="F68" i="1" s="1"/>
  <c r="D69" i="1" a="1"/>
  <c r="D69" i="1" s="1"/>
  <c r="F69" i="1" s="1"/>
  <c r="D70" i="1" a="1"/>
  <c r="D70" i="1" s="1"/>
  <c r="F70" i="1" s="1"/>
  <c r="D71" i="1" a="1"/>
  <c r="D71" i="1" s="1"/>
  <c r="F71" i="1" s="1"/>
  <c r="D72" i="1" a="1"/>
  <c r="D72" i="1" s="1"/>
  <c r="F72" i="1" s="1"/>
  <c r="D73" i="1" a="1"/>
  <c r="D73" i="1" s="1"/>
  <c r="F73" i="1" s="1"/>
  <c r="D74" i="1" a="1"/>
  <c r="D74" i="1" s="1"/>
  <c r="F74" i="1" s="1"/>
  <c r="D75" i="1" a="1"/>
  <c r="D75" i="1" s="1"/>
  <c r="F75" i="1" s="1"/>
  <c r="D76" i="1" a="1"/>
  <c r="D76" i="1" s="1"/>
  <c r="F76" i="1" s="1"/>
  <c r="D77" i="1" a="1"/>
  <c r="D77" i="1" s="1"/>
  <c r="F77" i="1" s="1"/>
  <c r="D78" i="1" a="1"/>
  <c r="D78" i="1" s="1"/>
  <c r="F78" i="1" s="1"/>
  <c r="D79" i="1" a="1"/>
  <c r="D79" i="1" s="1"/>
  <c r="F79" i="1" s="1"/>
  <c r="D80" i="1" a="1"/>
  <c r="D80" i="1" s="1"/>
  <c r="F80" i="1" s="1"/>
  <c r="D81" i="1" a="1"/>
  <c r="D81" i="1" s="1"/>
  <c r="F81" i="1" s="1"/>
  <c r="D82" i="1" a="1"/>
  <c r="D82" i="1" s="1"/>
  <c r="F82" i="1" s="1"/>
  <c r="D83" i="1" a="1"/>
  <c r="D83" i="1" s="1"/>
  <c r="F83" i="1" s="1"/>
  <c r="D84" i="1" a="1"/>
  <c r="D84" i="1" s="1"/>
  <c r="F84" i="1" s="1"/>
  <c r="A3" i="1"/>
  <c r="B3" i="1"/>
  <c r="B2" i="2"/>
  <c r="F30" i="1" l="1"/>
  <c r="K4" i="1" a="1"/>
  <c r="K4" i="1" s="1"/>
  <c r="E35" i="2"/>
  <c r="F35" i="2" s="1"/>
  <c r="E36" i="6"/>
  <c r="F36" i="6" s="1"/>
  <c r="E40" i="3"/>
  <c r="F40" i="3" s="1"/>
  <c r="L6" i="1" l="1" a="1"/>
  <c r="L6" i="1" s="1"/>
  <c r="L4" i="1" a="1"/>
  <c r="L4" i="1" s="1"/>
  <c r="A2" i="4"/>
  <c r="B2" i="4"/>
  <c r="B4" i="4"/>
  <c r="B3" i="4"/>
  <c r="L58" i="4"/>
  <c r="K58" i="4" a="1"/>
  <c r="K58" i="4" s="1"/>
  <c r="L57" i="4"/>
  <c r="K57" i="4" a="1"/>
  <c r="K57" i="4" s="1"/>
  <c r="L56" i="4"/>
  <c r="K56" i="4" a="1"/>
  <c r="K56" i="4" s="1"/>
  <c r="L55" i="4"/>
  <c r="K55" i="4" a="1"/>
  <c r="K55" i="4" s="1"/>
  <c r="L54" i="4"/>
  <c r="K54" i="4" a="1"/>
  <c r="K54" i="4" s="1"/>
  <c r="L53" i="4"/>
  <c r="K53" i="4" a="1"/>
  <c r="K53" i="4" s="1"/>
  <c r="L52" i="4"/>
  <c r="K52" i="4" a="1"/>
  <c r="K52" i="4" s="1"/>
  <c r="L51" i="4"/>
  <c r="J51" i="4" a="1"/>
  <c r="J51" i="4" s="1"/>
  <c r="D34" i="4" a="1"/>
  <c r="D34" i="4" s="1"/>
  <c r="F34" i="4" s="1"/>
  <c r="L50" i="4"/>
  <c r="K50" i="4" a="1"/>
  <c r="K50" i="4" s="1"/>
  <c r="L49" i="4"/>
  <c r="K49" i="4" a="1"/>
  <c r="K49" i="4" s="1"/>
  <c r="L48" i="4"/>
  <c r="K48" i="4" a="1"/>
  <c r="K48" i="4" s="1"/>
  <c r="D31" i="4" a="1"/>
  <c r="D31" i="4" s="1"/>
  <c r="F31" i="4" s="1"/>
  <c r="L47" i="4"/>
  <c r="J47" i="4" a="1"/>
  <c r="J47" i="4" s="1"/>
  <c r="A4" i="4"/>
  <c r="A3" i="4"/>
  <c r="K48" i="3" a="1"/>
  <c r="K48" i="3" s="1"/>
  <c r="L48" i="3"/>
  <c r="K49" i="3" a="1"/>
  <c r="K49" i="3" s="1"/>
  <c r="L49" i="3"/>
  <c r="K50" i="3" a="1"/>
  <c r="K50" i="3" s="1"/>
  <c r="L50" i="3"/>
  <c r="K51" i="3" a="1"/>
  <c r="K51" i="3" s="1"/>
  <c r="L51" i="3"/>
  <c r="J52" i="3" a="1"/>
  <c r="J52" i="3" s="1"/>
  <c r="L52" i="3"/>
  <c r="K53" i="3" a="1"/>
  <c r="K53" i="3" s="1"/>
  <c r="L53" i="3"/>
  <c r="K54" i="3" a="1"/>
  <c r="K54" i="3" s="1"/>
  <c r="L54" i="3"/>
  <c r="J55" i="3" a="1"/>
  <c r="J55" i="3" s="1"/>
  <c r="K55" i="3" a="1"/>
  <c r="K55" i="3" s="1"/>
  <c r="K56" i="3" a="1"/>
  <c r="K56" i="3" s="1"/>
  <c r="L56" i="3"/>
  <c r="J57" i="3" a="1"/>
  <c r="J57" i="3" s="1"/>
  <c r="K57" i="3" a="1"/>
  <c r="K57" i="3" s="1"/>
  <c r="K58" i="3" a="1"/>
  <c r="K58" i="3" s="1"/>
  <c r="L58" i="3"/>
  <c r="K47" i="6" a="1"/>
  <c r="K47" i="6" s="1"/>
  <c r="L48" i="6"/>
  <c r="J49" i="6" a="1"/>
  <c r="J49" i="6" s="1"/>
  <c r="K49" i="6" a="1"/>
  <c r="K49" i="6" s="1"/>
  <c r="L49" i="6"/>
  <c r="K50" i="6" a="1"/>
  <c r="K50" i="6" s="1"/>
  <c r="L50" i="6"/>
  <c r="J51" i="6" a="1"/>
  <c r="J51" i="6" s="1"/>
  <c r="K51" i="6" a="1"/>
  <c r="K51" i="6" s="1"/>
  <c r="L51" i="6"/>
  <c r="J52" i="6" a="1"/>
  <c r="J52" i="6" s="1"/>
  <c r="L52" i="6"/>
  <c r="J53" i="6" a="1"/>
  <c r="J53" i="6" s="1"/>
  <c r="L53" i="6"/>
  <c r="J54" i="6" a="1"/>
  <c r="J54" i="6" s="1"/>
  <c r="K54" i="6" a="1"/>
  <c r="K54" i="6" s="1"/>
  <c r="J55" i="6" a="1"/>
  <c r="J55" i="6" s="1"/>
  <c r="K55" i="6" a="1"/>
  <c r="K55" i="6" s="1"/>
  <c r="L55" i="6"/>
  <c r="K56" i="6" a="1"/>
  <c r="K56" i="6" s="1"/>
  <c r="L56" i="6"/>
  <c r="K57" i="6" a="1"/>
  <c r="K57" i="6" s="1"/>
  <c r="L57" i="6"/>
  <c r="J58" i="6" a="1"/>
  <c r="J58" i="6" s="1"/>
  <c r="K58" i="6" a="1"/>
  <c r="K58" i="6" s="1"/>
  <c r="L58" i="6"/>
  <c r="A2" i="6"/>
  <c r="B2" i="6"/>
  <c r="A3" i="6"/>
  <c r="B3" i="6"/>
  <c r="A4" i="6"/>
  <c r="B4" i="6"/>
  <c r="A2" i="2"/>
  <c r="C2" i="2" s="1"/>
  <c r="A3" i="2"/>
  <c r="B3" i="2"/>
  <c r="A4" i="2"/>
  <c r="B4" i="2"/>
  <c r="J47" i="2" a="1"/>
  <c r="J47" i="2" s="1"/>
  <c r="K47" i="2" a="1"/>
  <c r="K47" i="2" s="1"/>
  <c r="J48" i="2" a="1"/>
  <c r="J48" i="2" s="1"/>
  <c r="K48" i="2" a="1"/>
  <c r="K48" i="2" s="1"/>
  <c r="L48" i="2"/>
  <c r="K49" i="2" a="1"/>
  <c r="K49" i="2" s="1"/>
  <c r="L49" i="2"/>
  <c r="K50" i="2" a="1"/>
  <c r="K50" i="2" s="1"/>
  <c r="L50" i="2"/>
  <c r="J51" i="2" a="1"/>
  <c r="J51" i="2" s="1"/>
  <c r="K51" i="2" a="1"/>
  <c r="K51" i="2" s="1"/>
  <c r="L51" i="2"/>
  <c r="J52" i="2" a="1"/>
  <c r="J52" i="2" s="1"/>
  <c r="K52" i="2" a="1"/>
  <c r="K52" i="2" s="1"/>
  <c r="L52" i="2"/>
  <c r="K53" i="2" a="1"/>
  <c r="K53" i="2" s="1"/>
  <c r="L53" i="2"/>
  <c r="K54" i="2" a="1"/>
  <c r="K54" i="2" s="1"/>
  <c r="L54" i="2"/>
  <c r="J55" i="2" a="1"/>
  <c r="J55" i="2" s="1"/>
  <c r="K55" i="2" a="1"/>
  <c r="K55" i="2" s="1"/>
  <c r="L55" i="2"/>
  <c r="K56" i="2" a="1"/>
  <c r="K56" i="2" s="1"/>
  <c r="L56" i="2"/>
  <c r="K57" i="2" a="1"/>
  <c r="K57" i="2" s="1"/>
  <c r="L57" i="2"/>
  <c r="J58" i="2" a="1"/>
  <c r="J58" i="2" s="1"/>
  <c r="K58" i="2" a="1"/>
  <c r="K58" i="2" s="1"/>
  <c r="C4" i="6" l="1"/>
  <c r="K5" i="4" a="1"/>
  <c r="K5" i="4" s="1"/>
  <c r="K6" i="4" a="1"/>
  <c r="K6" i="4" s="1"/>
  <c r="K11" i="4" a="1"/>
  <c r="K11" i="4" s="1"/>
  <c r="K7" i="4" a="1"/>
  <c r="K7" i="4" s="1"/>
  <c r="K9" i="4" a="1"/>
  <c r="K9" i="4" s="1"/>
  <c r="K13" i="4" a="1"/>
  <c r="K13" i="4" s="1"/>
  <c r="K8" i="4" a="1"/>
  <c r="K8" i="4" s="1"/>
  <c r="K10" i="4" a="1"/>
  <c r="K10" i="4" s="1"/>
  <c r="K14" i="4" a="1"/>
  <c r="K14" i="4" s="1"/>
  <c r="K15" i="4" a="1"/>
  <c r="K15" i="4" s="1"/>
  <c r="K4" i="4" a="1"/>
  <c r="K4" i="4" s="1"/>
  <c r="L15" i="4" a="1"/>
  <c r="L15" i="4" s="1"/>
  <c r="K12" i="4" a="1"/>
  <c r="K12" i="4" s="1"/>
  <c r="L10" i="2" a="1"/>
  <c r="L10" i="2" s="1"/>
  <c r="K9" i="2" a="1"/>
  <c r="K9" i="2" s="1"/>
  <c r="K7" i="2" a="1"/>
  <c r="K7" i="2" s="1"/>
  <c r="K11" i="2" a="1"/>
  <c r="K11" i="2" s="1"/>
  <c r="K6" i="2" a="1"/>
  <c r="K6" i="2" s="1"/>
  <c r="K10" i="2" a="1"/>
  <c r="K10" i="2" s="1"/>
  <c r="K13" i="2" a="1"/>
  <c r="K13" i="2" s="1"/>
  <c r="K8" i="2" a="1"/>
  <c r="K8" i="2" s="1"/>
  <c r="K12" i="2" a="1"/>
  <c r="K12" i="2" s="1"/>
  <c r="K14" i="2" a="1"/>
  <c r="K14" i="2" s="1"/>
  <c r="K15" i="2" a="1"/>
  <c r="K15" i="2" s="1"/>
  <c r="K4" i="2" a="1"/>
  <c r="K4" i="2" s="1"/>
  <c r="K5" i="2" a="1"/>
  <c r="K5" i="2" s="1"/>
  <c r="K8" i="6" a="1"/>
  <c r="K8" i="6" s="1"/>
  <c r="K15" i="6" a="1"/>
  <c r="K15" i="6" s="1"/>
  <c r="K9" i="6" a="1"/>
  <c r="K9" i="6" s="1"/>
  <c r="K14" i="6" a="1"/>
  <c r="K14" i="6" s="1"/>
  <c r="K10" i="6" a="1"/>
  <c r="K10" i="6" s="1"/>
  <c r="K13" i="6" a="1"/>
  <c r="K13" i="6" s="1"/>
  <c r="K6" i="6" a="1"/>
  <c r="K6" i="6" s="1"/>
  <c r="K11" i="6" a="1"/>
  <c r="K11" i="6" s="1"/>
  <c r="K12" i="6" a="1"/>
  <c r="K12" i="6" s="1"/>
  <c r="K7" i="6" a="1"/>
  <c r="K7" i="6" s="1"/>
  <c r="K4" i="6" a="1"/>
  <c r="K4" i="6" s="1"/>
  <c r="L10" i="6" a="1"/>
  <c r="L10" i="6" s="1"/>
  <c r="K5" i="6" a="1"/>
  <c r="K5" i="6" s="1"/>
  <c r="C3" i="2"/>
  <c r="C4" i="2"/>
  <c r="L4" i="6" a="1"/>
  <c r="L4" i="6" s="1"/>
  <c r="L14" i="6" a="1"/>
  <c r="L14" i="6" s="1"/>
  <c r="L9" i="4" a="1"/>
  <c r="L9" i="4" s="1"/>
  <c r="L5" i="4" a="1"/>
  <c r="L5" i="4" s="1"/>
  <c r="L6" i="4" a="1"/>
  <c r="L6" i="4" s="1"/>
  <c r="L14" i="4" a="1"/>
  <c r="L14" i="4" s="1"/>
  <c r="L4" i="4" a="1"/>
  <c r="L4" i="4" s="1"/>
  <c r="L54" i="6"/>
  <c r="M37" i="6"/>
  <c r="M54" i="6" s="1" a="1"/>
  <c r="M54" i="6" s="1"/>
  <c r="M36" i="6"/>
  <c r="M53" i="6" s="1" a="1"/>
  <c r="M53" i="6" s="1"/>
  <c r="K53" i="6" a="1"/>
  <c r="K53" i="6" s="1"/>
  <c r="C2" i="6"/>
  <c r="C3" i="6"/>
  <c r="C2" i="4"/>
  <c r="C3" i="4"/>
  <c r="J54" i="3" a="1"/>
  <c r="J54" i="3" s="1"/>
  <c r="M37" i="3"/>
  <c r="M54" i="3" s="1" a="1"/>
  <c r="M54" i="3" s="1"/>
  <c r="M34" i="4"/>
  <c r="M51" i="4" s="1" a="1"/>
  <c r="M51" i="4" s="1"/>
  <c r="K51" i="4" a="1"/>
  <c r="K51" i="4" s="1"/>
  <c r="J58" i="4" a="1"/>
  <c r="J58" i="4" s="1"/>
  <c r="M41" i="4"/>
  <c r="M58" i="4" s="1" a="1"/>
  <c r="M58" i="4" s="1"/>
  <c r="M31" i="4"/>
  <c r="M48" i="4" s="1" a="1"/>
  <c r="M48" i="4" s="1"/>
  <c r="J48" i="4" a="1"/>
  <c r="J48" i="4" s="1"/>
  <c r="M35" i="4"/>
  <c r="M52" i="4" s="1" a="1"/>
  <c r="M52" i="4" s="1"/>
  <c r="J52" i="4" a="1"/>
  <c r="J52" i="4" s="1"/>
  <c r="J50" i="4" a="1"/>
  <c r="J50" i="4" s="1"/>
  <c r="M33" i="4"/>
  <c r="M50" i="4" s="1" a="1"/>
  <c r="M50" i="4" s="1"/>
  <c r="M40" i="4"/>
  <c r="M57" i="4" s="1" a="1"/>
  <c r="M57" i="4" s="1"/>
  <c r="J57" i="4" a="1"/>
  <c r="J57" i="4" s="1"/>
  <c r="M37" i="4"/>
  <c r="M54" i="4" s="1" a="1"/>
  <c r="M54" i="4" s="1"/>
  <c r="J54" i="4" a="1"/>
  <c r="J54" i="4" s="1"/>
  <c r="L42" i="4"/>
  <c r="L59" i="4" s="1"/>
  <c r="M38" i="4"/>
  <c r="M55" i="4" s="1" a="1"/>
  <c r="M55" i="4" s="1"/>
  <c r="J55" i="4" a="1"/>
  <c r="J55" i="4" s="1"/>
  <c r="J42" i="4"/>
  <c r="M30" i="4"/>
  <c r="M47" i="4" s="1" a="1"/>
  <c r="M47" i="4" s="1"/>
  <c r="M32" i="4"/>
  <c r="M49" i="4" s="1" a="1"/>
  <c r="M49" i="4" s="1"/>
  <c r="J49" i="4" a="1"/>
  <c r="J49" i="4" s="1"/>
  <c r="M39" i="4"/>
  <c r="M56" i="4" s="1" a="1"/>
  <c r="M56" i="4" s="1"/>
  <c r="J56" i="4" a="1"/>
  <c r="J56" i="4" s="1"/>
  <c r="J53" i="4" a="1"/>
  <c r="J53" i="4" s="1"/>
  <c r="M36" i="4"/>
  <c r="M53" i="4" s="1" a="1"/>
  <c r="M53" i="4" s="1"/>
  <c r="K42" i="4"/>
  <c r="K59" i="4" s="1"/>
  <c r="K47" i="4" a="1"/>
  <c r="K47" i="4" s="1"/>
  <c r="C4" i="4"/>
  <c r="M37" i="2"/>
  <c r="M54" i="2" s="1" a="1"/>
  <c r="M54" i="2" s="1"/>
  <c r="J54" i="2" a="1"/>
  <c r="J54" i="2" s="1"/>
  <c r="M41" i="2"/>
  <c r="M58" i="2" s="1" a="1"/>
  <c r="M58" i="2" s="1"/>
  <c r="L58" i="2"/>
  <c r="M33" i="2"/>
  <c r="M50" i="2" s="1" a="1"/>
  <c r="M50" i="2" s="1"/>
  <c r="J50" i="2" a="1"/>
  <c r="J50" i="2" s="1"/>
  <c r="M34" i="3"/>
  <c r="M51" i="3" s="1" a="1"/>
  <c r="M51" i="3" s="1"/>
  <c r="J51" i="3" a="1"/>
  <c r="J51" i="3" s="1"/>
  <c r="M41" i="3"/>
  <c r="M58" i="3" s="1" a="1"/>
  <c r="M58" i="3" s="1"/>
  <c r="J58" i="3" a="1"/>
  <c r="J58" i="3" s="1"/>
  <c r="L57" i="3"/>
  <c r="M40" i="3"/>
  <c r="M57" i="3" s="1" a="1"/>
  <c r="M57" i="3" s="1"/>
  <c r="J50" i="3" a="1"/>
  <c r="J50" i="3" s="1"/>
  <c r="M33" i="3"/>
  <c r="M50" i="3" s="1" a="1"/>
  <c r="M50" i="3" s="1"/>
  <c r="M35" i="3"/>
  <c r="M52" i="3" s="1" a="1"/>
  <c r="M52" i="3" s="1"/>
  <c r="K52" i="3" a="1"/>
  <c r="K52" i="3" s="1"/>
  <c r="M31" i="3"/>
  <c r="M48" i="3" s="1" a="1"/>
  <c r="M48" i="3" s="1"/>
  <c r="J48" i="3" a="1"/>
  <c r="J48" i="3" s="1"/>
  <c r="M32" i="3"/>
  <c r="M49" i="3" s="1" a="1"/>
  <c r="M49" i="3" s="1"/>
  <c r="L47" i="3"/>
  <c r="L42" i="3"/>
  <c r="L59" i="3" s="1"/>
  <c r="K47" i="3" a="1"/>
  <c r="K47" i="3" s="1"/>
  <c r="K42" i="3"/>
  <c r="K59" i="3" s="1"/>
  <c r="J56" i="3" a="1"/>
  <c r="J56" i="3" s="1"/>
  <c r="M39" i="3"/>
  <c r="M56" i="3" s="1" a="1"/>
  <c r="M56" i="3" s="1"/>
  <c r="M36" i="3"/>
  <c r="M53" i="3" s="1" a="1"/>
  <c r="M53" i="3" s="1"/>
  <c r="J53" i="3" a="1"/>
  <c r="J53" i="3" s="1"/>
  <c r="L55" i="3"/>
  <c r="M38" i="3"/>
  <c r="M55" i="3" s="1" a="1"/>
  <c r="M55" i="3" s="1"/>
  <c r="M30" i="3"/>
  <c r="M47" i="3" s="1" a="1"/>
  <c r="M47" i="3" s="1"/>
  <c r="J42" i="3"/>
  <c r="J47" i="3" a="1"/>
  <c r="J47" i="3" s="1"/>
  <c r="J49" i="3" a="1"/>
  <c r="J49" i="3" s="1"/>
  <c r="M35" i="6"/>
  <c r="M52" i="6" s="1" a="1"/>
  <c r="M52" i="6" s="1"/>
  <c r="K52" i="6" a="1"/>
  <c r="K52" i="6" s="1"/>
  <c r="L42" i="6"/>
  <c r="L59" i="6" s="1"/>
  <c r="L47" i="6"/>
  <c r="M33" i="6"/>
  <c r="M50" i="6" s="1" a="1"/>
  <c r="M50" i="6" s="1"/>
  <c r="J50" i="6" a="1"/>
  <c r="J50" i="6" s="1"/>
  <c r="M32" i="6"/>
  <c r="M49" i="6" s="1" a="1"/>
  <c r="M49" i="6" s="1"/>
  <c r="M41" i="6"/>
  <c r="M58" i="6" s="1" a="1"/>
  <c r="M58" i="6" s="1"/>
  <c r="M39" i="6"/>
  <c r="M56" i="6" s="1" a="1"/>
  <c r="M56" i="6" s="1"/>
  <c r="J56" i="6" a="1"/>
  <c r="J56" i="6" s="1"/>
  <c r="M34" i="6"/>
  <c r="M51" i="6" s="1" a="1"/>
  <c r="M51" i="6" s="1"/>
  <c r="M40" i="6"/>
  <c r="M57" i="6" s="1" a="1"/>
  <c r="M57" i="6" s="1"/>
  <c r="J57" i="6" a="1"/>
  <c r="J57" i="6" s="1"/>
  <c r="K48" i="6" a="1"/>
  <c r="K48" i="6" s="1"/>
  <c r="K42" i="6"/>
  <c r="K59" i="6" s="1"/>
  <c r="M31" i="6"/>
  <c r="M48" i="6" s="1" a="1"/>
  <c r="M48" i="6" s="1"/>
  <c r="J48" i="6" a="1"/>
  <c r="J48" i="6" s="1"/>
  <c r="M30" i="6"/>
  <c r="M47" i="6" s="1" a="1"/>
  <c r="M47" i="6" s="1"/>
  <c r="J42" i="6"/>
  <c r="J47" i="6" a="1"/>
  <c r="J47" i="6" s="1"/>
  <c r="M38" i="6"/>
  <c r="M55" i="6" s="1" a="1"/>
  <c r="M55" i="6" s="1"/>
  <c r="M40" i="2"/>
  <c r="M57" i="2" s="1" a="1"/>
  <c r="M57" i="2" s="1"/>
  <c r="J57" i="2" a="1"/>
  <c r="J57" i="2" s="1"/>
  <c r="L42" i="2"/>
  <c r="L59" i="2" s="1"/>
  <c r="L47" i="2"/>
  <c r="M34" i="2"/>
  <c r="M51" i="2" s="1" a="1"/>
  <c r="M51" i="2" s="1"/>
  <c r="K42" i="2"/>
  <c r="K59" i="2" s="1"/>
  <c r="J53" i="2" a="1"/>
  <c r="J53" i="2" s="1"/>
  <c r="M36" i="2"/>
  <c r="M53" i="2" s="1" a="1"/>
  <c r="M53" i="2" s="1"/>
  <c r="M38" i="2"/>
  <c r="M55" i="2" s="1" a="1"/>
  <c r="M55" i="2" s="1"/>
  <c r="M32" i="2"/>
  <c r="M49" i="2" s="1" a="1"/>
  <c r="M49" i="2" s="1"/>
  <c r="J49" i="2" a="1"/>
  <c r="J49" i="2" s="1"/>
  <c r="M30" i="2"/>
  <c r="M35" i="2"/>
  <c r="M52" i="2" s="1" a="1"/>
  <c r="M52" i="2" s="1"/>
  <c r="J56" i="2" a="1"/>
  <c r="J56" i="2" s="1"/>
  <c r="M39" i="2"/>
  <c r="M56" i="2" s="1" a="1"/>
  <c r="M56" i="2" s="1"/>
  <c r="M31" i="2"/>
  <c r="J42" i="2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47" i="1" a="1"/>
  <c r="L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47" i="1" a="1"/>
  <c r="K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B4" i="3"/>
  <c r="B3" i="3"/>
  <c r="B2" i="3"/>
  <c r="B2" i="1"/>
  <c r="A3" i="3"/>
  <c r="A4" i="3"/>
  <c r="A2" i="3"/>
  <c r="C3" i="3" l="1"/>
  <c r="C2" i="3"/>
  <c r="M47" i="2" a="1"/>
  <c r="M47" i="2" s="1"/>
  <c r="M48" i="2" a="1"/>
  <c r="M48" i="2" s="1"/>
  <c r="K16" i="4"/>
  <c r="L7" i="4" a="1"/>
  <c r="L7" i="4" s="1"/>
  <c r="L13" i="4" a="1"/>
  <c r="L13" i="4" s="1"/>
  <c r="L11" i="4" a="1"/>
  <c r="L11" i="4" s="1"/>
  <c r="L8" i="4" a="1"/>
  <c r="L8" i="4" s="1"/>
  <c r="L10" i="4" a="1"/>
  <c r="L10" i="4" s="1"/>
  <c r="L12" i="4" a="1"/>
  <c r="L12" i="4" s="1"/>
  <c r="K16" i="2"/>
  <c r="K16" i="6"/>
  <c r="L9" i="6" a="1"/>
  <c r="L9" i="6" s="1"/>
  <c r="L11" i="6" a="1"/>
  <c r="L11" i="6" s="1"/>
  <c r="L6" i="6" a="1"/>
  <c r="L6" i="6" s="1"/>
  <c r="L12" i="6" a="1"/>
  <c r="L12" i="6" s="1"/>
  <c r="L15" i="6" a="1"/>
  <c r="L15" i="6" s="1"/>
  <c r="L8" i="6" a="1"/>
  <c r="L8" i="6" s="1"/>
  <c r="L5" i="6" a="1"/>
  <c r="L5" i="6" s="1"/>
  <c r="L13" i="6" a="1"/>
  <c r="L13" i="6" s="1"/>
  <c r="L7" i="6" a="1"/>
  <c r="L7" i="6" s="1"/>
  <c r="K8" i="3" a="1"/>
  <c r="K8" i="3" s="1"/>
  <c r="K14" i="3" a="1"/>
  <c r="K14" i="3" s="1"/>
  <c r="K9" i="3" a="1"/>
  <c r="K9" i="3" s="1"/>
  <c r="K15" i="3" a="1"/>
  <c r="K15" i="3" s="1"/>
  <c r="K10" i="3" a="1"/>
  <c r="K10" i="3" s="1"/>
  <c r="K13" i="3" a="1"/>
  <c r="K13" i="3" s="1"/>
  <c r="K4" i="3" a="1"/>
  <c r="K4" i="3" s="1"/>
  <c r="K11" i="3" a="1"/>
  <c r="K11" i="3" s="1"/>
  <c r="K12" i="3" a="1"/>
  <c r="K12" i="3" s="1"/>
  <c r="K7" i="3" a="1"/>
  <c r="K7" i="3" s="1"/>
  <c r="K5" i="3" a="1"/>
  <c r="K5" i="3" s="1"/>
  <c r="L5" i="3" a="1"/>
  <c r="L5" i="3" s="1"/>
  <c r="K6" i="3" a="1"/>
  <c r="K6" i="3" s="1"/>
  <c r="K7" i="1" a="1"/>
  <c r="K7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5" i="1" a="1"/>
  <c r="K5" i="1" s="1"/>
  <c r="K6" i="1" a="1"/>
  <c r="K6" i="1" s="1"/>
  <c r="K8" i="1" a="1"/>
  <c r="K8" i="1" s="1"/>
  <c r="K9" i="1" a="1"/>
  <c r="K9" i="1" s="1"/>
  <c r="L7" i="2" a="1"/>
  <c r="L7" i="2" s="1"/>
  <c r="L6" i="2" a="1"/>
  <c r="L6" i="2" s="1"/>
  <c r="L11" i="2" a="1"/>
  <c r="L11" i="2" s="1"/>
  <c r="L13" i="2" a="1"/>
  <c r="L13" i="2" s="1"/>
  <c r="L12" i="2" a="1"/>
  <c r="L12" i="2" s="1"/>
  <c r="L15" i="2" a="1"/>
  <c r="L15" i="2" s="1"/>
  <c r="L9" i="2" a="1"/>
  <c r="L9" i="2" s="1"/>
  <c r="L14" i="2" a="1"/>
  <c r="L14" i="2" s="1"/>
  <c r="L4" i="2" a="1"/>
  <c r="L4" i="2" s="1"/>
  <c r="L8" i="2" a="1"/>
  <c r="L8" i="2" s="1"/>
  <c r="L5" i="2" a="1"/>
  <c r="L5" i="2" s="1"/>
  <c r="M42" i="4"/>
  <c r="M59" i="4" s="1"/>
  <c r="J59" i="4"/>
  <c r="M42" i="3"/>
  <c r="M59" i="3" s="1"/>
  <c r="J59" i="3"/>
  <c r="J59" i="6"/>
  <c r="M42" i="6"/>
  <c r="M59" i="6" s="1"/>
  <c r="M42" i="2"/>
  <c r="M59" i="2" s="1"/>
  <c r="J59" i="2"/>
  <c r="M33" i="1"/>
  <c r="M50" i="1" s="1" a="1"/>
  <c r="M50" i="1" s="1"/>
  <c r="J42" i="1"/>
  <c r="M32" i="1"/>
  <c r="M49" i="1" s="1" a="1"/>
  <c r="M49" i="1" s="1"/>
  <c r="M40" i="1"/>
  <c r="M57" i="1" s="1" a="1"/>
  <c r="M57" i="1" s="1"/>
  <c r="M41" i="1"/>
  <c r="M58" i="1" s="1" a="1"/>
  <c r="M58" i="1" s="1"/>
  <c r="M38" i="1"/>
  <c r="M55" i="1" s="1" a="1"/>
  <c r="M55" i="1" s="1"/>
  <c r="M35" i="1"/>
  <c r="M52" i="1" s="1" a="1"/>
  <c r="M52" i="1" s="1"/>
  <c r="M36" i="1"/>
  <c r="M53" i="1" s="1" a="1"/>
  <c r="M53" i="1" s="1"/>
  <c r="M34" i="1"/>
  <c r="M51" i="1" s="1" a="1"/>
  <c r="M51" i="1" s="1"/>
  <c r="M39" i="1"/>
  <c r="M56" i="1" s="1" a="1"/>
  <c r="M56" i="1" s="1"/>
  <c r="M37" i="1"/>
  <c r="M54" i="1" s="1" a="1"/>
  <c r="M54" i="1" s="1"/>
  <c r="M31" i="1"/>
  <c r="M48" i="1" s="1" a="1"/>
  <c r="M48" i="1" s="1"/>
  <c r="M30" i="1"/>
  <c r="M47" i="1" s="1" a="1"/>
  <c r="M47" i="1" s="1"/>
  <c r="L59" i="1" a="1"/>
  <c r="L59" i="1" s="1"/>
  <c r="C4" i="3"/>
  <c r="A2" i="1"/>
  <c r="A4" i="1"/>
  <c r="B4" i="1"/>
  <c r="J59" i="1" l="1"/>
  <c r="M42" i="1"/>
  <c r="L16" i="4"/>
  <c r="L16" i="6"/>
  <c r="K16" i="3"/>
  <c r="L12" i="3" a="1"/>
  <c r="L12" i="3" s="1"/>
  <c r="L4" i="3" a="1"/>
  <c r="L4" i="3" s="1"/>
  <c r="K16" i="1"/>
  <c r="N2" i="1" s="1"/>
  <c r="U19" i="1" s="1"/>
  <c r="V19" i="1" s="1"/>
  <c r="L6" i="3" a="1"/>
  <c r="L6" i="3" s="1"/>
  <c r="L15" i="3" a="1"/>
  <c r="L15" i="3" s="1"/>
  <c r="L16" i="2"/>
  <c r="L14" i="3" a="1"/>
  <c r="L14" i="3" s="1"/>
  <c r="L13" i="3" a="1"/>
  <c r="L13" i="3" s="1"/>
  <c r="L11" i="3" a="1"/>
  <c r="L11" i="3" s="1"/>
  <c r="L8" i="3" a="1"/>
  <c r="L8" i="3" s="1"/>
  <c r="L10" i="3" a="1"/>
  <c r="L10" i="3" s="1"/>
  <c r="L9" i="3" a="1"/>
  <c r="L9" i="3" s="1"/>
  <c r="L7" i="3" a="1"/>
  <c r="L7" i="3" s="1"/>
  <c r="L5" i="1" a="1"/>
  <c r="L5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M59" i="1"/>
  <c r="K59" i="1"/>
  <c r="C3" i="1"/>
  <c r="C4" i="1"/>
  <c r="C2" i="1"/>
  <c r="L16" i="3" l="1"/>
  <c r="U30" i="1"/>
  <c r="V30" i="1" s="1"/>
  <c r="L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T28" authorId="0" shapeId="0" xr:uid="{00000000-0006-0000-0100-000002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1170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936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702</t>
        </r>
        <r>
          <rPr>
            <sz val="10"/>
            <color indexed="81"/>
            <rFont val="Tahoma"/>
            <family val="2"/>
            <charset val="204"/>
          </rPr>
          <t xml:space="preserve">
В 2024 году 534 шт.
</t>
        </r>
        <r>
          <rPr>
            <b/>
            <sz val="10"/>
            <color indexed="81"/>
            <rFont val="Tahoma"/>
            <family val="2"/>
            <charset val="204"/>
          </rPr>
          <t>-6% или +20% от данного количества 502-641.
41,8-53,4 в месяц.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2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2525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2020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1515
</t>
        </r>
        <r>
          <rPr>
            <sz val="10"/>
            <color indexed="81"/>
            <rFont val="Tahoma"/>
            <family val="2"/>
            <charset val="204"/>
          </rPr>
          <t xml:space="preserve">4) При 10%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1010
</t>
        </r>
        <r>
          <rPr>
            <sz val="10"/>
            <color indexed="81"/>
            <rFont val="Tahoma"/>
            <family val="2"/>
            <charset val="204"/>
          </rPr>
          <t>В 2024 году 779 шт.</t>
        </r>
        <r>
          <rPr>
            <b/>
            <sz val="10"/>
            <color indexed="81"/>
            <rFont val="Tahoma"/>
            <family val="2"/>
            <charset val="204"/>
          </rPr>
          <t xml:space="preserve">
-5% или +20% от данного количества 740-934.
51,67-77,83 в месяц.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5" authorId="0" shapeId="0" xr:uid="{00000000-0006-0000-03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2673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2138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1603</t>
        </r>
        <r>
          <rPr>
            <sz val="10"/>
            <color indexed="81"/>
            <rFont val="Tahoma"/>
            <family val="2"/>
            <charset val="204"/>
          </rPr>
          <t xml:space="preserve">
В 2024 году 1045 шт.
</t>
        </r>
        <r>
          <rPr>
            <b/>
            <sz val="10"/>
            <color indexed="81"/>
            <rFont val="Tahoma"/>
            <family val="2"/>
            <charset val="204"/>
          </rPr>
          <t>-3% или +20% от данного количества 1013-1254.
84,47-104,5 в месяц.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4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3306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2645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1984</t>
        </r>
        <r>
          <rPr>
            <sz val="10"/>
            <color indexed="81"/>
            <rFont val="Tahoma"/>
            <family val="2"/>
            <charset val="204"/>
          </rPr>
          <t xml:space="preserve">
В 2024 году 1223 шт.
</t>
        </r>
        <r>
          <rPr>
            <b/>
            <sz val="10"/>
            <color indexed="81"/>
            <rFont val="Tahoma"/>
            <family val="2"/>
            <charset val="204"/>
          </rPr>
          <t>-4% или +20% от данного количества 1174-1467 в год.
97,83-122,25 в месяц.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0" authorId="0" shapeId="0" xr:uid="{00000000-0006-0000-05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538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431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323</t>
        </r>
        <r>
          <rPr>
            <sz val="10"/>
            <color indexed="81"/>
            <rFont val="Tahoma"/>
            <family val="2"/>
            <charset val="204"/>
          </rPr>
          <t xml:space="preserve"> 
В 2024 году 338 шт.
</t>
        </r>
        <r>
          <rPr>
            <b/>
            <sz val="10"/>
            <color indexed="81"/>
            <rFont val="Tahoma"/>
            <family val="2"/>
            <charset val="204"/>
          </rPr>
          <t>-5% или +15% от данного количества
321-388 в год.
26,75- 32,33 в месяц.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45FA4-652C-46CA-A6CF-D6BE05CB158D}" keepAlive="1" name="ThisWorkbookDataModel" description="Модель данных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B934A6-34B0-4EA5-AA2D-B642E359C9AC}" name="Запрос — Общая прибыль по дням" description="Соединение с запросом &quot;Общая прибыль по дням&quot; в книге." type="100" refreshedVersion="8" minRefreshableVersion="5">
    <extLst>
      <ext xmlns:x15="http://schemas.microsoft.com/office/spreadsheetml/2010/11/main" uri="{DE250136-89BD-433C-8126-D09CA5730AF9}">
        <x15:connection id="1202bf9e-2687-4c96-a897-4da5a7129f3c"/>
      </ext>
    </extLst>
  </connection>
  <connection id="3" xr16:uid="{4E9FA71B-1CDF-449B-B0CB-A5ECC245D6F4}" name="Запрос — Общее кол-во по дням" description="Соединение с запросом &quot;Общее кол-во по дням&quot; в книге." type="100" refreshedVersion="8" minRefreshableVersion="5">
    <extLst>
      <ext xmlns:x15="http://schemas.microsoft.com/office/spreadsheetml/2010/11/main" uri="{DE250136-89BD-433C-8126-D09CA5730AF9}">
        <x15:connection id="01c74147-1764-40c1-90b7-4e13a27967d5"/>
      </ext>
    </extLst>
  </connection>
  <connection id="4" xr16:uid="{3016670B-5FE5-43A6-9155-FAA543525379}" keepAlive="1" name="Запрос — Продажи_Засек(1)" description="Соединение с запросом &quot;Продажи_Засек&quot; в книге." type="5" refreshedVersion="0" background="1">
    <dbPr connection="Provider=Microsoft.Mashup.OleDb.1;Data Source=$Workbook$;Location=Продажи_Засек;Extended Properties=&quot;&quot;" command="SELECT * FROM [Продажи_Засек]"/>
  </connection>
  <connection id="5" xr16:uid="{881C94BC-FE64-4CB5-B680-E717AF5559C2}" keepAlive="1" name="Запрос — Продажи_Засек_Ориг" description="Соединение с запросом &quot;Продажи_Засек_Ориг&quot; в книге." type="5" refreshedVersion="0" background="1">
    <dbPr connection="Provider=Microsoft.Mashup.OleDb.1;Data Source=$Workbook$;Location=Продажи_Засек_Ориг;Extended Properties=&quot;&quot;" command="SELECT * FROM [Продажи_Засек_Ориг]"/>
  </connection>
  <connection id="6" xr16:uid="{CDDA6DAA-62A1-4BDD-A37B-87F39DB4A06B}" keepAlive="1" name="Запрос — Продажи_Засек_Прибыль" description="Соединение с запросом &quot;Продажи_Засек_Прибыль&quot; в книге." type="5" refreshedVersion="0" background="1">
    <dbPr connection="Provider=Microsoft.Mashup.OleDb.1;Data Source=$Workbook$;Location=Продажи_Засек_Прибыль;Extended Properties=&quot;&quot;" command="SELECT * FROM [Продажи_Засек_Прибыль]"/>
  </connection>
  <connection id="7" xr16:uid="{4D5C3B25-6B7E-4F52-891E-6F36D7D766A2}" keepAlive="1" name="Запрос — Продажи_Мичурина(1)" description="Соединение с запросом &quot;Продажи_Мичурина&quot; в книге." type="5" refreshedVersion="0" background="1">
    <dbPr connection="Provider=Microsoft.Mashup.OleDb.1;Data Source=$Workbook$;Location=Продажи_Мичурина;Extended Properties=&quot;&quot;" command="SELECT * FROM [Продажи_Мичурина]"/>
  </connection>
  <connection id="8" xr16:uid="{8F8B1ED2-1682-4256-8A06-32F9A477EA60}" keepAlive="1" name="Запрос — Продажи_Мичурина_Ориг" description="Соединение с запросом &quot;Продажи_Мичурина_Ориг&quot; в книге." type="5" refreshedVersion="0" background="1">
    <dbPr connection="Provider=Microsoft.Mashup.OleDb.1;Data Source=$Workbook$;Location=Продажи_Мичурина_Ориг;Extended Properties=&quot;&quot;" command="SELECT * FROM [Продажи_Мичурина_Ориг]"/>
  </connection>
  <connection id="9" xr16:uid="{CCE04AA8-569A-4C1C-863C-7489013BE2F7}" keepAlive="1" name="Запрос — Продажи_Мичурина_Прибыль" description="Соединение с запросом &quot;Продажи_Мичурина_Прибыль&quot; в книге." type="5" refreshedVersion="0" background="1">
    <dbPr connection="Provider=Microsoft.Mashup.OleDb.1;Data Source=$Workbook$;Location=Продажи_Мичурина_Прибыль;Extended Properties=&quot;&quot;" command="SELECT * FROM [Продажи_Мичурина_Прибыль]"/>
  </connection>
  <connection id="10" xr16:uid="{B1F59557-88EA-4C28-A7FC-879CC9BDFDA3}" keepAlive="1" name="Запрос — Продажи_Новак(1)" description="Соединение с запросом &quot;Продажи_Новак&quot; в книге." type="5" refreshedVersion="0" background="1">
    <dbPr connection="Provider=Microsoft.Mashup.OleDb.1;Data Source=$Workbook$;Location=Продажи_Новак;Extended Properties=&quot;&quot;" command="SELECT * FROM [Продажи_Новак]"/>
  </connection>
  <connection id="11" xr16:uid="{DF4D0F99-2027-4B21-BFEA-2BF3F0156950}" keepAlive="1" name="Запрос — Продажи_Новак_Ориг" description="Соединение с запросом &quot;Продажи_Новак_Ориг&quot; в книге." type="5" refreshedVersion="0" background="1">
    <dbPr connection="Provider=Microsoft.Mashup.OleDb.1;Data Source=$Workbook$;Location=Продажи_Новак_Ориг;Extended Properties=&quot;&quot;" command="SELECT * FROM [Продажи_Новак_Ориг]"/>
  </connection>
  <connection id="12" xr16:uid="{F2B7E272-B8AF-4CC8-9C81-734665202A75}" keepAlive="1" name="Запрос — Продажи_Новак_Прибыль" description="Соединение с запросом &quot;Продажи_Новак_Прибыль&quot; в книге." type="5" refreshedVersion="0" background="1">
    <dbPr connection="Provider=Microsoft.Mashup.OleDb.1;Data Source=$Workbook$;Location=Продажи_Новак_Прибыль;Extended Properties=&quot;&quot;" command="SELECT * FROM [Продажи_Новак_Прибыль]"/>
  </connection>
  <connection id="13" xr16:uid="{9B1C61E6-27E3-4D10-8C94-ADB8B4630621}" keepAlive="1" name="Запрос — Продажи_Сызрань(1)" description="Соединение с запросом &quot;Продажи_Сызрань&quot; в книге." type="5" refreshedVersion="0" background="1">
    <dbPr connection="Provider=Microsoft.Mashup.OleDb.1;Data Source=$Workbook$;Location=Продажи_Сызрань;Extended Properties=&quot;&quot;" command="SELECT * FROM [Продажи_Сызрань]"/>
  </connection>
  <connection id="14" xr16:uid="{50E306F3-E40B-4C19-AA6A-2A0152EFE9E9}" keepAlive="1" name="Запрос — Продажи_Сызрань_Ориг" description="Соединение с запросом &quot;Продажи_Сызрань_Ориг&quot; в книге." type="5" refreshedVersion="0" background="1">
    <dbPr connection="Provider=Microsoft.Mashup.OleDb.1;Data Source=$Workbook$;Location=Продажи_Сызрань_Ориг;Extended Properties=&quot;&quot;" command="SELECT * FROM [Продажи_Сызрань_Ориг]"/>
  </connection>
  <connection id="15" xr16:uid="{1CABAC4B-08C4-4EBE-A833-6AD37B412940}" keepAlive="1" name="Запрос — Продажи_Сызрань_Прибыль" description="Соединение с запросом &quot;Продажи_Сызрань_Прибыль&quot; в книге." type="5" refreshedVersion="0" background="1">
    <dbPr connection="Provider=Microsoft.Mashup.OleDb.1;Data Source=$Workbook$;Location=Продажи_Сызрань_Прибыль;Extended Properties=&quot;&quot;" command="SELECT * FROM [Продажи_Сызрань_Прибыль]"/>
  </connection>
  <connection id="16" xr16:uid="{114BA578-9FEF-4A18-ACDC-FF32964864E9}" keepAlive="1" name="Запрос — Продажи_Тол(1)" description="Соединение с запросом &quot;Продажи_Тол&quot; в книге." type="5" refreshedVersion="0" background="1">
    <dbPr connection="Provider=Microsoft.Mashup.OleDb.1;Data Source=$Workbook$;Location=Продажи_Тол;Extended Properties=&quot;&quot;" command="SELECT * FROM [Продажи_Тол]"/>
  </connection>
  <connection id="17" xr16:uid="{BAFB0D30-7C04-4EB3-B82E-52086DFAA5E7}" keepAlive="1" name="Запрос — Продажи_Тол_Ориг" description="Соединение с запросом &quot;Продажи_Тол_Ориг&quot; в книге." type="5" refreshedVersion="0" background="1">
    <dbPr connection="Provider=Microsoft.Mashup.OleDb.1;Data Source=$Workbook$;Location=Продажи_Тол_Ориг;Extended Properties=&quot;&quot;" command="SELECT * FROM [Продажи_Тол_Ориг]"/>
  </connection>
  <connection id="18" xr16:uid="{ECA62934-EB72-48B3-929C-B14043B52818}" keepAlive="1" name="Запрос — Продажи_Тол_Прибыль" description="Соединение с запросом &quot;Продажи_Тол_Прибыль&quot; в книге." type="5" refreshedVersion="0" background="1">
    <dbPr connection="Provider=Microsoft.Mashup.OleDb.1;Data Source=$Workbook$;Location=Продажи_Тол_Прибыль;Extended Properties=&quot;&quot;" command="SELECT * FROM [Продажи_Тол_Прибыль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<sst xmlns="http://schemas.openxmlformats.org/spreadsheetml/2006/main" count="1155" uniqueCount="152">
  <si>
    <t>Новак</t>
  </si>
  <si>
    <t>Засекина</t>
  </si>
  <si>
    <t>Тольятти</t>
  </si>
  <si>
    <t>Мичурина</t>
  </si>
  <si>
    <t>Сызрань</t>
  </si>
  <si>
    <t>Сумма Кол-ва</t>
  </si>
  <si>
    <t>Продажи без Новака</t>
  </si>
  <si>
    <t>Есмарт</t>
  </si>
  <si>
    <t>Рутокен</t>
  </si>
  <si>
    <t xml:space="preserve">Есмарт </t>
  </si>
  <si>
    <t xml:space="preserve">Рутокен </t>
  </si>
  <si>
    <t xml:space="preserve">Есмарт  </t>
  </si>
  <si>
    <t xml:space="preserve">Рутокен  </t>
  </si>
  <si>
    <t xml:space="preserve">Есмарт   </t>
  </si>
  <si>
    <t xml:space="preserve">Рутокен   </t>
  </si>
  <si>
    <t xml:space="preserve">Есмарт    </t>
  </si>
  <si>
    <t xml:space="preserve">Рутокен    </t>
  </si>
  <si>
    <t>Общее</t>
  </si>
  <si>
    <t xml:space="preserve">Общее </t>
  </si>
  <si>
    <t xml:space="preserve">Общее  </t>
  </si>
  <si>
    <t xml:space="preserve">Общее   </t>
  </si>
  <si>
    <t xml:space="preserve">Общее    </t>
  </si>
  <si>
    <t>Январь</t>
  </si>
  <si>
    <t>Февраль</t>
  </si>
  <si>
    <t>Общий итог</t>
  </si>
  <si>
    <t>Среднее по дням</t>
  </si>
  <si>
    <t>С.Итог</t>
  </si>
  <si>
    <t xml:space="preserve">С.Итог </t>
  </si>
  <si>
    <t xml:space="preserve">С.Итог  </t>
  </si>
  <si>
    <t xml:space="preserve">С.Итог   </t>
  </si>
  <si>
    <t xml:space="preserve">С.Итог    </t>
  </si>
  <si>
    <t>C.Итог</t>
  </si>
  <si>
    <t xml:space="preserve">Итог среднее </t>
  </si>
  <si>
    <t>Марж.Прибыль</t>
  </si>
  <si>
    <t>Общая</t>
  </si>
  <si>
    <t xml:space="preserve">Общая </t>
  </si>
  <si>
    <t xml:space="preserve">Общая  </t>
  </si>
  <si>
    <t xml:space="preserve">Общая   </t>
  </si>
  <si>
    <t xml:space="preserve">Общая    </t>
  </si>
  <si>
    <t>Итог</t>
  </si>
  <si>
    <t>Без новака</t>
  </si>
  <si>
    <t>Загружено</t>
  </si>
  <si>
    <t>Продано</t>
  </si>
  <si>
    <t>В аппарате</t>
  </si>
  <si>
    <t>Закупка</t>
  </si>
  <si>
    <t>Товар</t>
  </si>
  <si>
    <t>На счету с 2024</t>
  </si>
  <si>
    <t>На счету</t>
  </si>
  <si>
    <t>Расходы</t>
  </si>
  <si>
    <t>Договор аренды№4</t>
  </si>
  <si>
    <t>Договор Комуналки№7</t>
  </si>
  <si>
    <t>Эквайринг %</t>
  </si>
  <si>
    <t>Связь</t>
  </si>
  <si>
    <t>налог</t>
  </si>
  <si>
    <t>Страховка</t>
  </si>
  <si>
    <t>мониторинг</t>
  </si>
  <si>
    <t>Выпуски</t>
  </si>
  <si>
    <t>Месяц</t>
  </si>
  <si>
    <t>Выручка</t>
  </si>
  <si>
    <t>Прибыль</t>
  </si>
  <si>
    <t>Счет</t>
  </si>
  <si>
    <t>аренда</t>
  </si>
  <si>
    <t>Токены</t>
  </si>
  <si>
    <t>Коробочки</t>
  </si>
  <si>
    <t>Андрей</t>
  </si>
  <si>
    <t>комуналка</t>
  </si>
  <si>
    <t>Склад</t>
  </si>
  <si>
    <t>Март</t>
  </si>
  <si>
    <t>Апрель</t>
  </si>
  <si>
    <t>Май</t>
  </si>
  <si>
    <t>Июнь</t>
  </si>
  <si>
    <t>Июль</t>
  </si>
  <si>
    <t>Август</t>
  </si>
  <si>
    <t>Дата Загрузки</t>
  </si>
  <si>
    <t>Кол-во</t>
  </si>
  <si>
    <t>Примечание</t>
  </si>
  <si>
    <t>Сентябрь</t>
  </si>
  <si>
    <t>2024</t>
  </si>
  <si>
    <t>Октябрь</t>
  </si>
  <si>
    <t>Ноябрь</t>
  </si>
  <si>
    <t>Декабрь</t>
  </si>
  <si>
    <t>Сумма</t>
  </si>
  <si>
    <t>Вывод</t>
  </si>
  <si>
    <t>Дата</t>
  </si>
  <si>
    <t>на карту</t>
  </si>
  <si>
    <t>комса</t>
  </si>
  <si>
    <t>счет</t>
  </si>
  <si>
    <t>коробочки</t>
  </si>
  <si>
    <t>андрей</t>
  </si>
  <si>
    <t>прибыль</t>
  </si>
  <si>
    <t>Прогноз январь</t>
  </si>
  <si>
    <t>Закупка 1шт</t>
  </si>
  <si>
    <t>Итого</t>
  </si>
  <si>
    <t>-</t>
  </si>
  <si>
    <t xml:space="preserve">На 2025 </t>
  </si>
  <si>
    <t>по 720</t>
  </si>
  <si>
    <t>по 1100</t>
  </si>
  <si>
    <t>по 1340</t>
  </si>
  <si>
    <t>связь</t>
  </si>
  <si>
    <t>страховка</t>
  </si>
  <si>
    <t>Среднее</t>
  </si>
  <si>
    <t>Договор аренды№5</t>
  </si>
  <si>
    <t>Договор Комуналки№3</t>
  </si>
  <si>
    <t>Договор аренды№6</t>
  </si>
  <si>
    <t>Договор Комуналки№4</t>
  </si>
  <si>
    <t>Договор аренды№7</t>
  </si>
  <si>
    <t>Договор Комуналки№6</t>
  </si>
  <si>
    <t>Договор аренды№8</t>
  </si>
  <si>
    <t>Договор Комуналки№5</t>
  </si>
  <si>
    <t>возврат рутокен</t>
  </si>
  <si>
    <t>вторник</t>
  </si>
  <si>
    <t>понедельник</t>
  </si>
  <si>
    <t>пятница</t>
  </si>
  <si>
    <t>среда</t>
  </si>
  <si>
    <t>четверг</t>
  </si>
  <si>
    <t>Общие</t>
  </si>
  <si>
    <t>Есмарт Гост 30 шт</t>
  </si>
  <si>
    <t>На март</t>
  </si>
  <si>
    <t>Рутокены 161 шт</t>
  </si>
  <si>
    <t>иструкция</t>
  </si>
  <si>
    <t>Неделя №10</t>
  </si>
  <si>
    <t>Неделя №10 Итог</t>
  </si>
  <si>
    <t>есмарты 265 шт</t>
  </si>
  <si>
    <t>Неделя №11</t>
  </si>
  <si>
    <t>Неделя №11 Итог</t>
  </si>
  <si>
    <t>Есмарт АРМ</t>
  </si>
  <si>
    <t xml:space="preserve">Есмарт АРМ    </t>
  </si>
  <si>
    <t xml:space="preserve">Есмарт АРМ   </t>
  </si>
  <si>
    <t>Среднее по дням без Новака</t>
  </si>
  <si>
    <t>Неделя №09</t>
  </si>
  <si>
    <t>Неделя №08</t>
  </si>
  <si>
    <t>Неделя №07</t>
  </si>
  <si>
    <t>Неделя №06</t>
  </si>
  <si>
    <t>Неделя №05</t>
  </si>
  <si>
    <t>Неделя №04</t>
  </si>
  <si>
    <t>Неделя №03</t>
  </si>
  <si>
    <t>Неделя №02</t>
  </si>
  <si>
    <t>Неделя №09 Итог</t>
  </si>
  <si>
    <t>Неделя №08 Итог</t>
  </si>
  <si>
    <t>Неделя №07 Итог</t>
  </si>
  <si>
    <t>Неделя №06 Итог</t>
  </si>
  <si>
    <t>Неделя №05 Итог</t>
  </si>
  <si>
    <t>Неделя №04 Итог</t>
  </si>
  <si>
    <t>Неделя №03 Итог</t>
  </si>
  <si>
    <t>Неделя №02 Итог</t>
  </si>
  <si>
    <t xml:space="preserve">Есмарт АРМ  </t>
  </si>
  <si>
    <t>Неделя №12</t>
  </si>
  <si>
    <t>Неделя №12 Итог</t>
  </si>
  <si>
    <t xml:space="preserve">Есмарт АРМ </t>
  </si>
  <si>
    <t xml:space="preserve"> Есмарт АРМ  </t>
  </si>
  <si>
    <t>Неделя №13</t>
  </si>
  <si>
    <t>Неделя №13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</si>
</sst>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5" formatCode="#,##0\ &quot;₽&quot;;\-#,##0\ &quot;₽&quot;"/>
    <numFmt numFmtId="164" formatCode="_(&quot;₽&quot;* #,##0.00_);_(&quot;₽&quot;* \(#,##0.00\);_(&quot;₽&quot;* &quot;-&quot;??_);_(@_)"/>
    <numFmt numFmtId="165" formatCode="#,##0;\-#,##0;;"/>
    <numFmt numFmtId="166" formatCode="#,##0.00;\-#,##0;;"/>
    <numFmt numFmtId="167" formatCode="#,##0.00;\-#,##0.0;"/>
    <numFmt numFmtId="168" formatCode="#,##0.00;\-#,##0;"/>
    <numFmt numFmtId="169" formatCode="_-* #,##0.00\ [$₽-419]_-;\-* #,##0.00\ [$₽-419]_-;_-* &quot;-&quot;??\ [$₽-419]_-;_-@_-"/>
    <numFmt numFmtId="170" formatCode="_-* #,##0.0\ [$₽-419]_-;\-* #,##0.0\ [$₽-419]_-;_-* &quot;-&quot;?\ [$₽-419]_-;_-@_-"/>
    <numFmt numFmtId="171" formatCode="_-* #,##0.00\ [$₽-419]_-;\-* #,##0.00\ [$₽-419]_-;_-* &quot;-&quot;?\ [$₽-419]_-;_-@_-"/>
    <numFmt numFmtId="172" formatCode="_-* #,##0.0\ [$₽-419]_-;\-* #,##0.0\ [$₽-419]_-;_-* &quot;-&quot;??\ [$₽-419]_-;_-@_-"/>
    <numFmt numFmtId="173" formatCode="_-* #,##0.0\ &quot;₽&quot;_-;\-* #,##0.0\ &quot;₽&quot;_-;_-* &quot;-&quot;??\ &quot;₽&quot;_-;_-@_-"/>
    <numFmt numFmtId="174" formatCode="0.0%"/>
    <numFmt numFmtId="175" formatCode="_-* #,##0.0\ &quot;₽&quot;_-;\-* #,##0.0\ &quot;₽&quot;_-;_-* &quot;-&quot;?\ &quot;₽&quot;_-;_-@_-"/>
    <numFmt numFmtId="176" formatCode="#,##0.0;;"/>
    <numFmt numFmtId="177" formatCode="#,##0\ &quot;₽&quot;"/>
    <numFmt numFmtId="178" formatCode="#,##0\ &quot;₽&quot;;;"/>
    <numFmt numFmtId="179" formatCode="m/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 style="thick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 style="thick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medium">
        <color rgb="FFC00000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/>
      <diagonal/>
    </border>
    <border>
      <left style="thin">
        <color theme="3"/>
      </left>
      <right style="thin">
        <color theme="3"/>
      </right>
      <top style="medium">
        <color rgb="FFC00000"/>
      </top>
      <bottom/>
      <diagonal/>
    </border>
    <border>
      <left style="thin">
        <color theme="3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67">
    <xf numFmtId="0" fontId="0" fillId="0" borderId="0" xfId="0"/>
    <xf numFmtId="0" fontId="3" fillId="2" borderId="2" xfId="0" applyFont="1" applyFill="1" applyBorder="1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5" borderId="8" xfId="0" applyFont="1" applyFill="1" applyBorder="1"/>
    <xf numFmtId="0" fontId="3" fillId="4" borderId="14" xfId="0" applyFont="1" applyFill="1" applyBorder="1"/>
    <xf numFmtId="0" fontId="0" fillId="0" borderId="6" xfId="0" applyBorder="1"/>
    <xf numFmtId="0" fontId="0" fillId="0" borderId="7" xfId="0" applyBorder="1"/>
    <xf numFmtId="0" fontId="3" fillId="2" borderId="4" xfId="0" applyFont="1" applyFill="1" applyBorder="1"/>
    <xf numFmtId="0" fontId="3" fillId="2" borderId="9" xfId="0" applyFont="1" applyFill="1" applyBorder="1"/>
    <xf numFmtId="0" fontId="0" fillId="0" borderId="5" xfId="0" applyBorder="1"/>
    <xf numFmtId="0" fontId="0" fillId="0" borderId="17" xfId="0" applyBorder="1"/>
    <xf numFmtId="14" fontId="0" fillId="0" borderId="0" xfId="0" applyNumberFormat="1"/>
    <xf numFmtId="0" fontId="0" fillId="0" borderId="3" xfId="0" applyBorder="1"/>
    <xf numFmtId="0" fontId="3" fillId="2" borderId="18" xfId="0" applyFont="1" applyFill="1" applyBorder="1"/>
    <xf numFmtId="0" fontId="3" fillId="2" borderId="15" xfId="0" applyFont="1" applyFill="1" applyBorder="1"/>
    <xf numFmtId="14" fontId="0" fillId="0" borderId="5" xfId="0" applyNumberFormat="1" applyBorder="1"/>
    <xf numFmtId="0" fontId="0" fillId="0" borderId="21" xfId="0" applyBorder="1"/>
    <xf numFmtId="0" fontId="0" fillId="0" borderId="22" xfId="0" applyBorder="1"/>
    <xf numFmtId="49" fontId="0" fillId="0" borderId="4" xfId="0" applyNumberFormat="1" applyBorder="1"/>
    <xf numFmtId="49" fontId="0" fillId="0" borderId="1" xfId="0" applyNumberFormat="1" applyBorder="1"/>
    <xf numFmtId="0" fontId="3" fillId="4" borderId="1" xfId="0" applyFont="1" applyFill="1" applyBorder="1"/>
    <xf numFmtId="0" fontId="6" fillId="0" borderId="0" xfId="0" applyFont="1"/>
    <xf numFmtId="14" fontId="0" fillId="0" borderId="2" xfId="0" applyNumberFormat="1" applyBorder="1"/>
    <xf numFmtId="0" fontId="0" fillId="0" borderId="2" xfId="0" applyBorder="1"/>
    <xf numFmtId="14" fontId="6" fillId="0" borderId="0" xfId="0" applyNumberFormat="1" applyFont="1"/>
    <xf numFmtId="0" fontId="3" fillId="4" borderId="1" xfId="0" applyFont="1" applyFill="1" applyBorder="1" applyAlignment="1">
      <alignment wrapText="1"/>
    </xf>
    <xf numFmtId="14" fontId="0" fillId="0" borderId="9" xfId="0" applyNumberFormat="1" applyBorder="1"/>
    <xf numFmtId="2" fontId="0" fillId="0" borderId="23" xfId="0" applyNumberFormat="1" applyBorder="1"/>
    <xf numFmtId="0" fontId="3" fillId="6" borderId="0" xfId="0" applyFont="1" applyFill="1"/>
    <xf numFmtId="0" fontId="0" fillId="0" borderId="17" xfId="0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20" xfId="0" applyBorder="1"/>
    <xf numFmtId="0" fontId="0" fillId="0" borderId="26" xfId="0" applyBorder="1"/>
    <xf numFmtId="0" fontId="0" fillId="0" borderId="30" xfId="0" applyBorder="1"/>
    <xf numFmtId="0" fontId="6" fillId="0" borderId="26" xfId="0" applyFont="1" applyBorder="1"/>
    <xf numFmtId="0" fontId="0" fillId="0" borderId="28" xfId="0" applyBorder="1"/>
    <xf numFmtId="0" fontId="0" fillId="0" borderId="27" xfId="0" applyBorder="1"/>
    <xf numFmtId="1" fontId="0" fillId="0" borderId="0" xfId="0" applyNumberFormat="1"/>
    <xf numFmtId="0" fontId="3" fillId="4" borderId="1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3" fillId="4" borderId="32" xfId="0" applyFont="1" applyFill="1" applyBorder="1"/>
    <xf numFmtId="0" fontId="3" fillId="4" borderId="19" xfId="0" applyFont="1" applyFill="1" applyBorder="1"/>
    <xf numFmtId="0" fontId="3" fillId="4" borderId="27" xfId="0" applyFont="1" applyFill="1" applyBorder="1"/>
    <xf numFmtId="0" fontId="3" fillId="4" borderId="16" xfId="0" applyFont="1" applyFill="1" applyBorder="1"/>
    <xf numFmtId="0" fontId="5" fillId="7" borderId="28" xfId="0" applyFont="1" applyFill="1" applyBorder="1"/>
    <xf numFmtId="0" fontId="5" fillId="7" borderId="20" xfId="0" applyFont="1" applyFill="1" applyBorder="1"/>
    <xf numFmtId="0" fontId="10" fillId="4" borderId="1" xfId="0" applyFont="1" applyFill="1" applyBorder="1"/>
    <xf numFmtId="165" fontId="0" fillId="0" borderId="1" xfId="0" applyNumberFormat="1" applyBorder="1"/>
    <xf numFmtId="165" fontId="5" fillId="7" borderId="17" xfId="0" applyNumberFormat="1" applyFont="1" applyFill="1" applyBorder="1"/>
    <xf numFmtId="165" fontId="5" fillId="7" borderId="2" xfId="0" applyNumberFormat="1" applyFont="1" applyFill="1" applyBorder="1"/>
    <xf numFmtId="165" fontId="5" fillId="7" borderId="29" xfId="0" applyNumberFormat="1" applyFont="1" applyFill="1" applyBorder="1"/>
    <xf numFmtId="166" fontId="0" fillId="0" borderId="1" xfId="0" applyNumberFormat="1" applyBorder="1"/>
    <xf numFmtId="14" fontId="0" fillId="8" borderId="0" xfId="0" applyNumberFormat="1" applyFill="1"/>
    <xf numFmtId="167" fontId="5" fillId="7" borderId="17" xfId="0" applyNumberFormat="1" applyFont="1" applyFill="1" applyBorder="1"/>
    <xf numFmtId="166" fontId="0" fillId="7" borderId="1" xfId="0" applyNumberFormat="1" applyFill="1" applyBorder="1"/>
    <xf numFmtId="168" fontId="0" fillId="7" borderId="1" xfId="0" applyNumberFormat="1" applyFill="1" applyBorder="1"/>
    <xf numFmtId="170" fontId="0" fillId="0" borderId="0" xfId="0" applyNumberFormat="1"/>
    <xf numFmtId="169" fontId="0" fillId="0" borderId="1" xfId="0" applyNumberFormat="1" applyBorder="1"/>
    <xf numFmtId="169" fontId="0" fillId="0" borderId="10" xfId="0" applyNumberFormat="1" applyBorder="1"/>
    <xf numFmtId="169" fontId="0" fillId="0" borderId="11" xfId="0" applyNumberFormat="1" applyBorder="1"/>
    <xf numFmtId="169" fontId="4" fillId="5" borderId="13" xfId="0" applyNumberFormat="1" applyFont="1" applyFill="1" applyBorder="1"/>
    <xf numFmtId="169" fontId="5" fillId="0" borderId="1" xfId="0" applyNumberFormat="1" applyFont="1" applyBorder="1"/>
    <xf numFmtId="169" fontId="0" fillId="0" borderId="12" xfId="0" applyNumberFormat="1" applyBorder="1"/>
    <xf numFmtId="169" fontId="5" fillId="3" borderId="1" xfId="0" applyNumberFormat="1" applyFont="1" applyFill="1" applyBorder="1"/>
    <xf numFmtId="169" fontId="5" fillId="0" borderId="10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171" fontId="0" fillId="0" borderId="1" xfId="0" applyNumberFormat="1" applyBorder="1"/>
    <xf numFmtId="172" fontId="0" fillId="0" borderId="0" xfId="0" applyNumberFormat="1"/>
    <xf numFmtId="164" fontId="0" fillId="0" borderId="1" xfId="1" applyFont="1" applyBorder="1"/>
    <xf numFmtId="173" fontId="0" fillId="0" borderId="0" xfId="1" applyNumberFormat="1" applyFont="1"/>
    <xf numFmtId="174" fontId="0" fillId="0" borderId="1" xfId="2" applyNumberFormat="1" applyFont="1" applyBorder="1"/>
    <xf numFmtId="0" fontId="0" fillId="0" borderId="0" xfId="0" applyAlignment="1">
      <alignment horizontal="center"/>
    </xf>
    <xf numFmtId="172" fontId="0" fillId="0" borderId="1" xfId="0" applyNumberFormat="1" applyBorder="1"/>
    <xf numFmtId="173" fontId="0" fillId="0" borderId="1" xfId="1" applyNumberFormat="1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3" borderId="0" xfId="0" applyFill="1"/>
    <xf numFmtId="0" fontId="0" fillId="0" borderId="42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26" xfId="0" applyFont="1" applyBorder="1"/>
    <xf numFmtId="0" fontId="0" fillId="0" borderId="36" xfId="0" applyBorder="1"/>
    <xf numFmtId="1" fontId="0" fillId="3" borderId="0" xfId="0" applyNumberFormat="1" applyFill="1" applyAlignment="1">
      <alignment horizontal="center"/>
    </xf>
    <xf numFmtId="0" fontId="0" fillId="0" borderId="45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12" borderId="41" xfId="0" applyFill="1" applyBorder="1" applyAlignment="1">
      <alignment horizontal="left"/>
    </xf>
    <xf numFmtId="0" fontId="0" fillId="12" borderId="0" xfId="0" applyFill="1" applyAlignment="1">
      <alignment horizontal="left"/>
    </xf>
    <xf numFmtId="1" fontId="0" fillId="12" borderId="38" xfId="0" applyNumberFormat="1" applyFill="1" applyBorder="1" applyAlignment="1">
      <alignment horizontal="center"/>
    </xf>
    <xf numFmtId="1" fontId="0" fillId="12" borderId="39" xfId="0" applyNumberFormat="1" applyFill="1" applyBorder="1" applyAlignment="1">
      <alignment horizontal="center"/>
    </xf>
    <xf numFmtId="1" fontId="0" fillId="12" borderId="37" xfId="0" applyNumberFormat="1" applyFill="1" applyBorder="1" applyAlignment="1">
      <alignment horizontal="center"/>
    </xf>
    <xf numFmtId="2" fontId="0" fillId="12" borderId="37" xfId="0" applyNumberFormat="1" applyFill="1" applyBorder="1" applyAlignment="1">
      <alignment horizontal="center"/>
    </xf>
    <xf numFmtId="2" fontId="0" fillId="12" borderId="38" xfId="0" applyNumberFormat="1" applyFill="1" applyBorder="1" applyAlignment="1">
      <alignment horizontal="center"/>
    </xf>
    <xf numFmtId="2" fontId="0" fillId="12" borderId="39" xfId="0" applyNumberFormat="1" applyFill="1" applyBorder="1" applyAlignment="1">
      <alignment horizontal="center"/>
    </xf>
    <xf numFmtId="175" fontId="0" fillId="0" borderId="0" xfId="0" applyNumberFormat="1"/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 indent="1"/>
    </xf>
    <xf numFmtId="0" fontId="0" fillId="0" borderId="3" xfId="0" applyFill="1" applyBorder="1"/>
    <xf numFmtId="164" fontId="0" fillId="0" borderId="3" xfId="1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5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6" fillId="12" borderId="42" xfId="0" applyFont="1" applyFill="1" applyBorder="1" applyAlignment="1">
      <alignment horizontal="left"/>
    </xf>
    <xf numFmtId="0" fontId="13" fillId="11" borderId="0" xfId="0" applyFont="1" applyFill="1"/>
    <xf numFmtId="0" fontId="13" fillId="11" borderId="14" xfId="0" applyFont="1" applyFill="1" applyBorder="1"/>
    <xf numFmtId="0" fontId="0" fillId="0" borderId="0" xfId="0" applyFont="1" applyAlignment="1">
      <alignment horizontal="left"/>
    </xf>
    <xf numFmtId="0" fontId="0" fillId="12" borderId="0" xfId="0" applyFont="1" applyFill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 applyBorder="1" applyAlignment="1">
      <alignment horizontal="center"/>
    </xf>
    <xf numFmtId="0" fontId="0" fillId="0" borderId="33" xfId="0" applyBorder="1"/>
    <xf numFmtId="0" fontId="0" fillId="0" borderId="14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/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0" fontId="13" fillId="11" borderId="17" xfId="0" applyFont="1" applyFill="1" applyBorder="1"/>
    <xf numFmtId="0" fontId="0" fillId="0" borderId="42" xfId="0" applyBorder="1" applyAlignment="1">
      <alignment horizontal="center"/>
    </xf>
    <xf numFmtId="3" fontId="0" fillId="12" borderId="39" xfId="0" applyNumberFormat="1" applyFill="1" applyBorder="1" applyAlignment="1">
      <alignment horizontal="center"/>
    </xf>
    <xf numFmtId="0" fontId="0" fillId="0" borderId="52" xfId="0" applyBorder="1" applyAlignment="1">
      <alignment horizontal="center"/>
    </xf>
    <xf numFmtId="2" fontId="0" fillId="12" borderId="57" xfId="0" applyNumberFormat="1" applyFill="1" applyBorder="1" applyAlignment="1">
      <alignment horizontal="center"/>
    </xf>
    <xf numFmtId="2" fontId="0" fillId="12" borderId="58" xfId="0" applyNumberFormat="1" applyFill="1" applyBorder="1" applyAlignment="1">
      <alignment horizontal="center"/>
    </xf>
    <xf numFmtId="2" fontId="0" fillId="12" borderId="59" xfId="0" applyNumberFormat="1" applyFill="1" applyBorder="1" applyAlignment="1">
      <alignment horizontal="center"/>
    </xf>
    <xf numFmtId="4" fontId="0" fillId="12" borderId="59" xfId="0" applyNumberFormat="1" applyFill="1" applyBorder="1" applyAlignment="1">
      <alignment horizontal="center"/>
    </xf>
    <xf numFmtId="2" fontId="12" fillId="12" borderId="60" xfId="0" applyNumberFormat="1" applyFont="1" applyFill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5" xfId="0" applyBorder="1"/>
    <xf numFmtId="0" fontId="0" fillId="0" borderId="66" xfId="0" applyBorder="1" applyAlignment="1">
      <alignment horizontal="center"/>
    </xf>
    <xf numFmtId="0" fontId="0" fillId="0" borderId="67" xfId="0" applyBorder="1"/>
    <xf numFmtId="3" fontId="0" fillId="12" borderId="57" xfId="0" applyNumberFormat="1" applyFill="1" applyBorder="1" applyAlignment="1">
      <alignment horizontal="center"/>
    </xf>
    <xf numFmtId="1" fontId="0" fillId="12" borderId="58" xfId="0" applyNumberFormat="1" applyFill="1" applyBorder="1" applyAlignment="1">
      <alignment horizontal="center"/>
    </xf>
    <xf numFmtId="1" fontId="0" fillId="12" borderId="59" xfId="0" applyNumberFormat="1" applyFill="1" applyBorder="1" applyAlignment="1">
      <alignment horizontal="center"/>
    </xf>
    <xf numFmtId="3" fontId="0" fillId="12" borderId="59" xfId="0" applyNumberFormat="1" applyFill="1" applyBorder="1" applyAlignment="1">
      <alignment horizontal="center"/>
    </xf>
    <xf numFmtId="3" fontId="12" fillId="12" borderId="60" xfId="0" applyNumberFormat="1" applyFont="1" applyFill="1" applyBorder="1" applyAlignment="1">
      <alignment horizontal="center"/>
    </xf>
    <xf numFmtId="2" fontId="0" fillId="12" borderId="70" xfId="0" applyNumberFormat="1" applyFill="1" applyBorder="1" applyAlignment="1">
      <alignment horizontal="center"/>
    </xf>
    <xf numFmtId="3" fontId="0" fillId="12" borderId="70" xfId="0" applyNumberFormat="1" applyFill="1" applyBorder="1" applyAlignment="1">
      <alignment horizontal="center"/>
    </xf>
    <xf numFmtId="0" fontId="0" fillId="0" borderId="67" xfId="0" applyBorder="1" applyAlignment="1">
      <alignment horizontal="center"/>
    </xf>
    <xf numFmtId="4" fontId="0" fillId="12" borderId="39" xfId="0" applyNumberFormat="1" applyFill="1" applyBorder="1" applyAlignment="1">
      <alignment horizontal="center"/>
    </xf>
    <xf numFmtId="1" fontId="0" fillId="3" borderId="68" xfId="0" applyNumberFormat="1" applyFill="1" applyBorder="1" applyAlignment="1">
      <alignment horizontal="center"/>
    </xf>
    <xf numFmtId="1" fontId="0" fillId="3" borderId="69" xfId="0" applyNumberFormat="1" applyFill="1" applyBorder="1" applyAlignment="1">
      <alignment horizontal="center"/>
    </xf>
    <xf numFmtId="3" fontId="0" fillId="3" borderId="69" xfId="0" applyNumberFormat="1" applyFill="1" applyBorder="1" applyAlignment="1">
      <alignment horizontal="center"/>
    </xf>
    <xf numFmtId="1" fontId="0" fillId="3" borderId="56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2" fontId="0" fillId="3" borderId="68" xfId="0" applyNumberFormat="1" applyFill="1" applyBorder="1" applyAlignment="1">
      <alignment horizontal="center"/>
    </xf>
    <xf numFmtId="2" fontId="0" fillId="3" borderId="69" xfId="0" applyNumberFormat="1" applyFill="1" applyBorder="1" applyAlignment="1">
      <alignment horizontal="center"/>
    </xf>
    <xf numFmtId="4" fontId="0" fillId="3" borderId="69" xfId="0" applyNumberFormat="1" applyFill="1" applyBorder="1" applyAlignment="1">
      <alignment horizontal="center"/>
    </xf>
    <xf numFmtId="2" fontId="0" fillId="3" borderId="56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2" fontId="0" fillId="3" borderId="36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1" fontId="0" fillId="3" borderId="36" xfId="0" applyNumberFormat="1" applyFill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1" fontId="6" fillId="12" borderId="40" xfId="0" applyNumberFormat="1" applyFont="1" applyFill="1" applyBorder="1" applyAlignment="1">
      <alignment horizontal="center"/>
    </xf>
    <xf numFmtId="2" fontId="6" fillId="12" borderId="40" xfId="0" applyNumberFormat="1" applyFont="1" applyFill="1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/>
    <xf numFmtId="0" fontId="0" fillId="0" borderId="88" xfId="0" applyBorder="1"/>
    <xf numFmtId="0" fontId="0" fillId="0" borderId="88" xfId="0" applyBorder="1" applyAlignment="1">
      <alignment horizontal="center"/>
    </xf>
    <xf numFmtId="0" fontId="0" fillId="0" borderId="34" xfId="0" applyBorder="1"/>
    <xf numFmtId="0" fontId="0" fillId="0" borderId="41" xfId="0" applyBorder="1" applyAlignment="1">
      <alignment horizontal="center"/>
    </xf>
    <xf numFmtId="2" fontId="0" fillId="12" borderId="35" xfId="0" applyNumberForma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6" fillId="12" borderId="41" xfId="0" applyFont="1" applyFill="1" applyBorder="1" applyAlignment="1">
      <alignment horizontal="left"/>
    </xf>
    <xf numFmtId="2" fontId="0" fillId="3" borderId="33" xfId="0" applyNumberFormat="1" applyFill="1" applyBorder="1" applyAlignment="1">
      <alignment horizontal="center"/>
    </xf>
    <xf numFmtId="2" fontId="0" fillId="3" borderId="34" xfId="0" applyNumberFormat="1" applyFill="1" applyBorder="1" applyAlignment="1">
      <alignment horizontal="center"/>
    </xf>
    <xf numFmtId="4" fontId="0" fillId="3" borderId="34" xfId="0" applyNumberFormat="1" applyFill="1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0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7" fontId="0" fillId="12" borderId="39" xfId="0" applyNumberFormat="1" applyFill="1" applyBorder="1" applyAlignment="1">
      <alignment horizontal="center"/>
    </xf>
    <xf numFmtId="177" fontId="0" fillId="0" borderId="51" xfId="0" applyNumberFormat="1" applyBorder="1" applyAlignment="1">
      <alignment horizontal="center"/>
    </xf>
    <xf numFmtId="177" fontId="0" fillId="0" borderId="76" xfId="0" applyNumberFormat="1" applyBorder="1" applyAlignment="1">
      <alignment horizontal="center"/>
    </xf>
    <xf numFmtId="177" fontId="0" fillId="12" borderId="81" xfId="0" applyNumberFormat="1" applyFill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8" fontId="0" fillId="0" borderId="50" xfId="0" applyNumberFormat="1" applyBorder="1" applyAlignment="1">
      <alignment horizontal="center"/>
    </xf>
    <xf numFmtId="178" fontId="0" fillId="0" borderId="47" xfId="0" applyNumberFormat="1" applyBorder="1" applyAlignment="1">
      <alignment horizontal="center"/>
    </xf>
    <xf numFmtId="178" fontId="0" fillId="0" borderId="30" xfId="0" applyNumberFormat="1" applyBorder="1" applyAlignment="1">
      <alignment horizontal="center"/>
    </xf>
    <xf numFmtId="178" fontId="0" fillId="0" borderId="71" xfId="0" applyNumberFormat="1" applyBorder="1" applyAlignment="1">
      <alignment horizontal="center"/>
    </xf>
    <xf numFmtId="178" fontId="0" fillId="0" borderId="73" xfId="0" applyNumberFormat="1" applyBorder="1" applyAlignment="1">
      <alignment horizontal="center"/>
    </xf>
    <xf numFmtId="178" fontId="0" fillId="0" borderId="72" xfId="0" applyNumberFormat="1" applyBorder="1" applyAlignment="1">
      <alignment horizontal="center"/>
    </xf>
    <xf numFmtId="178" fontId="0" fillId="0" borderId="49" xfId="0" applyNumberFormat="1" applyBorder="1" applyAlignment="1">
      <alignment horizontal="center"/>
    </xf>
    <xf numFmtId="178" fontId="0" fillId="0" borderId="74" xfId="0" applyNumberFormat="1" applyBorder="1" applyAlignment="1">
      <alignment horizontal="center"/>
    </xf>
    <xf numFmtId="179" fontId="0" fillId="8" borderId="0" xfId="0" applyNumberFormat="1" applyFill="1"/>
    <xf numFmtId="3" fontId="0" fillId="0" borderId="0" xfId="0" applyNumberFormat="1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33" xfId="0" applyNumberFormat="1" applyBorder="1" applyAlignment="1">
      <alignment horizontal="center"/>
    </xf>
    <xf numFmtId="5" fontId="0" fillId="0" borderId="34" xfId="0" applyNumberFormat="1" applyBorder="1" applyAlignment="1">
      <alignment horizontal="center"/>
    </xf>
    <xf numFmtId="5" fontId="0" fillId="0" borderId="36" xfId="0" applyNumberFormat="1" applyBorder="1" applyAlignment="1">
      <alignment horizontal="center"/>
    </xf>
    <xf numFmtId="5" fontId="0" fillId="12" borderId="38" xfId="0" applyNumberFormat="1" applyFill="1" applyBorder="1" applyAlignment="1">
      <alignment horizontal="center"/>
    </xf>
    <xf numFmtId="5" fontId="0" fillId="12" borderId="39" xfId="0" applyNumberFormat="1" applyFill="1" applyBorder="1" applyAlignment="1">
      <alignment horizontal="center"/>
    </xf>
    <xf numFmtId="5" fontId="0" fillId="12" borderId="40" xfId="0" applyNumberFormat="1" applyFill="1" applyBorder="1" applyAlignment="1">
      <alignment horizontal="center"/>
    </xf>
    <xf numFmtId="5" fontId="0" fillId="12" borderId="35" xfId="0" applyNumberFormat="1" applyFill="1" applyBorder="1" applyAlignment="1">
      <alignment horizontal="center"/>
    </xf>
    <xf numFmtId="5" fontId="0" fillId="12" borderId="37" xfId="0" applyNumberFormat="1" applyFill="1" applyBorder="1" applyAlignment="1">
      <alignment horizontal="center"/>
    </xf>
    <xf numFmtId="5" fontId="0" fillId="10" borderId="51" xfId="0" applyNumberFormat="1" applyFill="1" applyBorder="1" applyAlignment="1">
      <alignment horizontal="center"/>
    </xf>
    <xf numFmtId="5" fontId="0" fillId="9" borderId="75" xfId="0" applyNumberFormat="1" applyFill="1" applyBorder="1" applyAlignment="1">
      <alignment horizontal="center"/>
    </xf>
    <xf numFmtId="5" fontId="0" fillId="10" borderId="76" xfId="0" applyNumberFormat="1" applyFill="1" applyBorder="1" applyAlignment="1">
      <alignment horizontal="center"/>
    </xf>
    <xf numFmtId="5" fontId="0" fillId="0" borderId="77" xfId="0" applyNumberFormat="1" applyBorder="1" applyAlignment="1">
      <alignment horizontal="center"/>
    </xf>
    <xf numFmtId="5" fontId="0" fillId="9" borderId="78" xfId="0" applyNumberFormat="1" applyFill="1" applyBorder="1" applyAlignment="1">
      <alignment horizontal="center"/>
    </xf>
    <xf numFmtId="5" fontId="0" fillId="0" borderId="79" xfId="0" applyNumberFormat="1" applyBorder="1" applyAlignment="1">
      <alignment horizontal="center"/>
    </xf>
    <xf numFmtId="5" fontId="0" fillId="12" borderId="80" xfId="0" applyNumberFormat="1" applyFill="1" applyBorder="1" applyAlignment="1">
      <alignment horizontal="center"/>
    </xf>
    <xf numFmtId="5" fontId="0" fillId="12" borderId="81" xfId="0" applyNumberFormat="1" applyFill="1" applyBorder="1" applyAlignment="1">
      <alignment horizontal="center"/>
    </xf>
    <xf numFmtId="5" fontId="0" fillId="12" borderId="77" xfId="0" applyNumberFormat="1" applyFill="1" applyBorder="1" applyAlignment="1">
      <alignment horizontal="center"/>
    </xf>
    <xf numFmtId="5" fontId="0" fillId="12" borderId="79" xfId="0" applyNumberFormat="1" applyFill="1" applyBorder="1" applyAlignment="1">
      <alignment horizontal="center"/>
    </xf>
    <xf numFmtId="5" fontId="12" fillId="12" borderId="82" xfId="0" applyNumberFormat="1" applyFont="1" applyFill="1" applyBorder="1" applyAlignment="1">
      <alignment horizontal="center"/>
    </xf>
    <xf numFmtId="5" fontId="1" fillId="12" borderId="81" xfId="0" applyNumberFormat="1" applyFont="1" applyFill="1" applyBorder="1" applyAlignment="1">
      <alignment horizontal="center"/>
    </xf>
    <xf numFmtId="5" fontId="6" fillId="12" borderId="8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6" xfId="0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0" fontId="0" fillId="0" borderId="30" xfId="0" applyNumberFormat="1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 applyAlignment="1">
      <alignment horizontal="right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3" borderId="61" xfId="0" applyFont="1" applyFill="1" applyBorder="1" applyAlignment="1">
      <alignment horizontal="center"/>
    </xf>
    <xf numFmtId="0" fontId="12" fillId="3" borderId="62" xfId="0" applyFont="1" applyFill="1" applyBorder="1" applyAlignment="1">
      <alignment horizontal="center"/>
    </xf>
    <xf numFmtId="0" fontId="12" fillId="3" borderId="63" xfId="0" applyFont="1" applyFill="1" applyBorder="1" applyAlignment="1">
      <alignment horizontal="center"/>
    </xf>
    <xf numFmtId="0" fontId="12" fillId="3" borderId="53" xfId="0" applyFont="1" applyFill="1" applyBorder="1" applyAlignment="1">
      <alignment horizontal="center"/>
    </xf>
    <xf numFmtId="0" fontId="12" fillId="3" borderId="54" xfId="0" applyFont="1" applyFill="1" applyBorder="1" applyAlignment="1">
      <alignment horizontal="center"/>
    </xf>
    <xf numFmtId="0" fontId="12" fillId="3" borderId="55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91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48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50" xfId="0" applyFont="1" applyFill="1" applyBorder="1" applyAlignment="1">
      <alignment horizontal="center"/>
    </xf>
    <xf numFmtId="0" fontId="12" fillId="3" borderId="83" xfId="0" applyFont="1" applyFill="1" applyBorder="1" applyAlignment="1">
      <alignment horizontal="center"/>
    </xf>
    <xf numFmtId="0" fontId="12" fillId="3" borderId="84" xfId="0" applyFont="1" applyFill="1" applyBorder="1" applyAlignment="1">
      <alignment horizontal="center"/>
    </xf>
    <xf numFmtId="0" fontId="12" fillId="3" borderId="85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12" fillId="3" borderId="71" xfId="0" applyFont="1" applyFill="1" applyBorder="1" applyAlignment="1">
      <alignment horizontal="center"/>
    </xf>
    <xf numFmtId="0" fontId="12" fillId="3" borderId="72" xfId="0" applyFont="1" applyFill="1" applyBorder="1" applyAlignment="1">
      <alignment horizontal="center"/>
    </xf>
    <xf numFmtId="0" fontId="12" fillId="3" borderId="46" xfId="0" applyFont="1" applyFill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490"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border>
        <right style="thick">
          <color theme="3"/>
        </right>
      </border>
    </dxf>
    <dxf>
      <border>
        <right style="thick">
          <color theme="3"/>
        </right>
      </border>
    </dxf>
    <dxf>
      <border>
        <left style="thick">
          <color theme="3"/>
        </left>
      </border>
    </dxf>
    <dxf>
      <border>
        <left style="thick">
          <color theme="3"/>
        </left>
      </border>
    </dxf>
    <dxf>
      <border>
        <left/>
        <right/>
        <top/>
      </border>
    </dxf>
    <dxf>
      <border>
        <right style="thick">
          <color theme="3"/>
        </right>
      </border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80" formatCode="#,##0;;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right style="thick">
          <color theme="3"/>
        </right>
      </border>
    </dxf>
    <dxf>
      <border>
        <right style="thick">
          <color theme="3"/>
        </right>
      </border>
    </dxf>
    <dxf>
      <border>
        <left style="thick">
          <color theme="3"/>
        </left>
      </border>
    </dxf>
    <dxf>
      <border>
        <left style="thick">
          <color theme="3"/>
        </left>
      </border>
    </dxf>
    <dxf>
      <alignment horizontal="center"/>
    </dxf>
    <dxf>
      <alignment horizontal="center"/>
    </dxf>
    <dxf>
      <border>
        <left style="thin">
          <color rgb="FFFF0000"/>
        </left>
      </border>
    </dxf>
    <dxf>
      <border>
        <left style="thin">
          <color rgb="FFFF0000"/>
        </left>
      </border>
    </dxf>
    <dxf>
      <alignment horizontal="center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177" formatCode="#,##0\ &quot;₽&quot;"/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92D050"/>
        </patternFill>
      </fill>
    </dxf>
    <dxf>
      <alignment horizontal="center"/>
    </dxf>
    <dxf>
      <alignment horizontal="center"/>
    </dxf>
    <dxf>
      <fill>
        <patternFill>
          <bgColor rgb="FF92D050"/>
        </patternFill>
      </fill>
    </dxf>
    <dxf>
      <alignment horizontal="center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font>
        <b/>
        <charset val="204"/>
      </font>
    </dxf>
    <dxf>
      <border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sz val="12"/>
      </font>
    </dxf>
    <dxf>
      <font>
        <b/>
        <charset val="204"/>
      </font>
    </dxf>
    <dxf>
      <font>
        <b val="0"/>
      </font>
    </dxf>
    <dxf>
      <font>
        <sz val="11"/>
      </font>
    </dxf>
    <dxf>
      <fill>
        <patternFill>
          <bgColor rgb="FF92D050"/>
        </patternFill>
      </fill>
    </dxf>
    <dxf>
      <fill>
        <patternFill>
          <bgColor theme="0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ck">
          <color theme="3"/>
        </left>
      </border>
    </dxf>
    <dxf>
      <border>
        <right style="medium">
          <color theme="5"/>
        </right>
      </border>
    </dxf>
    <dxf>
      <border>
        <right style="thick">
          <color theme="3"/>
        </right>
      </border>
    </dxf>
    <dxf>
      <border>
        <left style="medium">
          <color theme="5"/>
        </left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/>
    </dxf>
    <dxf>
      <border>
        <right style="medium">
          <color theme="5"/>
        </right>
      </border>
    </dxf>
    <dxf>
      <border>
        <left style="medium">
          <color theme="5"/>
        </lef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left style="mediumDashed">
          <color rgb="FFFF0000"/>
        </left>
      </border>
    </dxf>
    <dxf>
      <numFmt numFmtId="0" formatCode="General"/>
    </dxf>
    <dxf>
      <alignment horizontal="right"/>
    </dxf>
    <dxf>
      <alignment horizontal="center"/>
    </dxf>
    <dxf>
      <alignment horizontal="center"/>
    </dxf>
    <dxf>
      <alignment horizontal="center"/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alignment horizontal="center"/>
    </dxf>
    <dxf>
      <fill>
        <patternFill>
          <bgColor rgb="FF00B050"/>
        </patternFill>
      </fill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b/>
        <charset val="204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/>
    </dxf>
    <dxf>
      <alignment horizontal="center"/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alignment horizontal="center"/>
    </dxf>
    <dxf>
      <fill>
        <patternFill>
          <bgColor rgb="FF00B050"/>
        </patternFill>
      </fill>
    </dxf>
    <dxf>
      <border>
        <bottom style="medium">
          <color indexed="64"/>
        </bottom>
      </border>
    </dxf>
    <dxf>
      <border>
        <right style="thin">
          <color indexed="64"/>
        </right>
      </border>
    </dxf>
    <dxf>
      <font>
        <b/>
        <charset val="204"/>
      </font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rgb="FF92D050"/>
        </patternFill>
      </fill>
    </dxf>
    <dxf>
      <alignment horizontal="center"/>
    </dxf>
    <dxf>
      <alignment horizontal="center"/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fill>
        <patternFill>
          <bgColor rgb="FF00B05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font>
        <b val="0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font>
        <b/>
        <charset val="204"/>
      </font>
    </dxf>
    <dxf>
      <font>
        <b/>
        <charset val="204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0"/>
        </patternFill>
      </fill>
    </dxf>
    <dxf>
      <alignment horizontal="center"/>
    </dxf>
    <dxf>
      <fill>
        <patternFill patternType="solid">
          <bgColor rgb="FF92D050"/>
        </patternFill>
      </fill>
    </dxf>
    <dxf>
      <fill>
        <gradientFill degree="45">
          <stop position="0">
            <color theme="0"/>
          </stop>
          <stop position="1">
            <color theme="9" tint="0.59999389629810485"/>
          </stop>
        </gradientFill>
      </fill>
    </dxf>
    <dxf>
      <font>
        <color theme="0" tint="-0.24994659260841701"/>
      </font>
    </dxf>
    <dxf>
      <font>
        <b/>
        <i val="0"/>
      </font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theme="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left/>
        <right/>
        <vertical/>
      </border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2" tint="-9.9948118533890809E-2"/>
        </patternFill>
      </fill>
      <border diagonalUp="0" diagonalDown="0">
        <left style="thin">
          <color rgb="FFFF000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 tint="-0.2499465926084170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599963377788628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Medium9">
    <tableStyle name="Стиль сводной таблицы 1" table="0" count="9" xr9:uid="{93EBB186-FEF5-4DDA-A5F9-D97077992B7A}">
      <tableStyleElement type="wholeTable" dxfId="489"/>
      <tableStyleElement type="headerRow" dxfId="488"/>
      <tableStyleElement type="totalRow" dxfId="487"/>
      <tableStyleElement type="firstColumn" dxfId="486"/>
      <tableStyleElement type="firstColumnStripe" dxfId="485"/>
      <tableStyleElement type="secondColumnStripe" dxfId="484"/>
      <tableStyleElement type="firstSubtotalRow" dxfId="483"/>
      <tableStyleElement type="secondSubtotalRow" dxfId="482"/>
      <tableStyleElement type="firstRowSubheading" dxfId="481"/>
    </tableStyle>
    <tableStyle name="Стиль сводной таблицы 2" table="0" count="9" xr9:uid="{F7336DE2-D56F-4BFA-8500-789E2B11062B}">
      <tableStyleElement type="wholeTable" dxfId="480"/>
      <tableStyleElement type="headerRow" dxfId="479"/>
      <tableStyleElement type="totalRow" dxfId="478"/>
      <tableStyleElement type="firstColumn" dxfId="477"/>
      <tableStyleElement type="firstColumnStripe" dxfId="476"/>
      <tableStyleElement type="secondColumnStripe" dxfId="475"/>
      <tableStyleElement type="firstSubtotalRow" dxfId="474"/>
      <tableStyleElement type="secondSubtotalRow" dxfId="473"/>
      <tableStyleElement type="firstRowSubheading" dxfId="472"/>
    </tableStyle>
    <tableStyle name="Столь ФНС" pivot="0" count="3" xr9:uid="{3245DCAD-8F63-4845-83C9-8871322319CF}">
      <tableStyleElement type="wholeTable" dxfId="471"/>
      <tableStyleElement type="headerRow" dxfId="470"/>
      <tableStyleElement type="firstHeaderCell" dxfId="46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47" Type="http://schemas.openxmlformats.org/officeDocument/2006/relationships/customXml" Target="../customXml/item23.xml"/><Relationship Id="rId50" Type="http://schemas.openxmlformats.org/officeDocument/2006/relationships/customXml" Target="../customXml/item26.xml"/><Relationship Id="rId55" Type="http://schemas.openxmlformats.org/officeDocument/2006/relationships/customXml" Target="../customXml/item3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9" Type="http://schemas.openxmlformats.org/officeDocument/2006/relationships/customXml" Target="../customXml/item5.xml"/><Relationship Id="rId11" Type="http://schemas.openxmlformats.org/officeDocument/2006/relationships/pivotCacheDefinition" Target="pivotCache/pivotCacheDefinition3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45" Type="http://schemas.openxmlformats.org/officeDocument/2006/relationships/customXml" Target="../customXml/item21.xml"/><Relationship Id="rId53" Type="http://schemas.openxmlformats.org/officeDocument/2006/relationships/customXml" Target="../customXml/item29.xml"/><Relationship Id="rId58" Type="http://schemas.openxmlformats.org/officeDocument/2006/relationships/customXml" Target="../customXml/item34.xml"/><Relationship Id="rId5" Type="http://schemas.openxmlformats.org/officeDocument/2006/relationships/worksheet" Target="worksheets/sheet5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48" Type="http://schemas.openxmlformats.org/officeDocument/2006/relationships/customXml" Target="../customXml/item24.xml"/><Relationship Id="rId56" Type="http://schemas.openxmlformats.org/officeDocument/2006/relationships/customXml" Target="../customXml/item3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7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46" Type="http://schemas.openxmlformats.org/officeDocument/2006/relationships/customXml" Target="../customXml/item22.xml"/><Relationship Id="rId59" Type="http://schemas.openxmlformats.org/officeDocument/2006/relationships/customXml" Target="../customXml/item35.xml"/><Relationship Id="rId20" Type="http://schemas.openxmlformats.org/officeDocument/2006/relationships/styles" Target="styles.xml"/><Relationship Id="rId41" Type="http://schemas.openxmlformats.org/officeDocument/2006/relationships/customXml" Target="../customXml/item17.xml"/><Relationship Id="rId54" Type="http://schemas.openxmlformats.org/officeDocument/2006/relationships/customXml" Target="../customXml/item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7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49" Type="http://schemas.openxmlformats.org/officeDocument/2006/relationships/customXml" Target="../customXml/item25.xml"/><Relationship Id="rId57" Type="http://schemas.openxmlformats.org/officeDocument/2006/relationships/customXml" Target="../customXml/item33.xml"/><Relationship Id="rId10" Type="http://schemas.openxmlformats.org/officeDocument/2006/relationships/pivotCacheDefinition" Target="pivotCache/pivotCacheDefinition2.xml"/><Relationship Id="rId31" Type="http://schemas.openxmlformats.org/officeDocument/2006/relationships/customXml" Target="../customXml/item7.xml"/><Relationship Id="rId44" Type="http://schemas.openxmlformats.org/officeDocument/2006/relationships/customXml" Target="../customXml/item20.xml"/><Relationship Id="rId52" Type="http://schemas.openxmlformats.org/officeDocument/2006/relationships/customXml" Target="../customXml/item28.xml"/><Relationship Id="rId60" Type="http://schemas.openxmlformats.org/officeDocument/2006/relationships/customXml" Target="../customXml/item3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2025.xlsx]Общее кол-во!Сводная_Продажи_без_Новака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Общие продажи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кол-во'!$AO$2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кол-во'!$AO$3:$AO$6</c:f>
              <c:numCache>
                <c:formatCode>0</c:formatCode>
                <c:ptCount val="3"/>
                <c:pt idx="0">
                  <c:v>306</c:v>
                </c:pt>
                <c:pt idx="1">
                  <c:v>165</c:v>
                </c:pt>
                <c:pt idx="2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F-4188-981D-1EB66B76D6EC}"/>
            </c:ext>
          </c:extLst>
        </c:ser>
        <c:ser>
          <c:idx val="1"/>
          <c:order val="1"/>
          <c:tx>
            <c:strRef>
              <c:f>'Общее кол-во'!$AP$2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62F-4188-981D-1EB66B76D6E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2F-4188-981D-1EB66B76D6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кол-во'!$AP$3:$AP$6</c:f>
              <c:numCache>
                <c:formatCode>0</c:formatCode>
                <c:ptCount val="3"/>
                <c:pt idx="0">
                  <c:v>0</c:v>
                </c:pt>
                <c:pt idx="1">
                  <c:v>116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F-4188-981D-1EB66B76D6EC}"/>
            </c:ext>
          </c:extLst>
        </c:ser>
        <c:ser>
          <c:idx val="2"/>
          <c:order val="2"/>
          <c:tx>
            <c:strRef>
              <c:f>'Общее кол-во'!$AQ$2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BD0-4CF2-9A27-104E931BB13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BD0-4CF2-9A27-104E931BB13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D0-4CF2-9A27-104E931BB13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D0-4CF2-9A27-104E931BB1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кол-во'!$AQ$3:$AQ$6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2F-4188-981D-1EB66B76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0810015"/>
        <c:axId val="2080829151"/>
      </c:barChart>
      <c:lineChart>
        <c:grouping val="standard"/>
        <c:varyColors val="0"/>
        <c:ser>
          <c:idx val="3"/>
          <c:order val="3"/>
          <c:tx>
            <c:strRef>
              <c:f>'Общее кол-во'!$AR$2</c:f>
              <c:strCache>
                <c:ptCount val="1"/>
                <c:pt idx="0">
                  <c:v>Общее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кол-во'!$AR$3:$AR$6</c:f>
              <c:numCache>
                <c:formatCode>0</c:formatCode>
                <c:ptCount val="3"/>
                <c:pt idx="0">
                  <c:v>306</c:v>
                </c:pt>
                <c:pt idx="1">
                  <c:v>281</c:v>
                </c:pt>
                <c:pt idx="2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0-4CF2-9A27-104E931BB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10015"/>
        <c:axId val="2080829151"/>
      </c:lineChart>
      <c:catAx>
        <c:axId val="20808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0829151"/>
        <c:crosses val="autoZero"/>
        <c:auto val="1"/>
        <c:lblAlgn val="ctr"/>
        <c:lblOffset val="100"/>
        <c:noMultiLvlLbl val="0"/>
      </c:catAx>
      <c:valAx>
        <c:axId val="208082915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08081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2025.xlsx]Общая прибыль!Сводная_Прибыль_без_Новака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Общая прибыль без Новака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'Общая прибыль'!$S$18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прибыль'!$S$19:$S$22</c:f>
              <c:numCache>
                <c:formatCode>"₽"#,##0_);\("₽"#,##0\)</c:formatCode>
                <c:ptCount val="3"/>
                <c:pt idx="0">
                  <c:v>361098.1</c:v>
                </c:pt>
                <c:pt idx="1">
                  <c:v>200255.7</c:v>
                </c:pt>
                <c:pt idx="2">
                  <c:v>155814.20000000001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2-4959-BDF5-67DE31D5B1A9}"/>
            </c:ext>
          </c:extLst>
        </c:ser>
        <c:ser>
          <c:idx val="1"/>
          <c:order val="1"/>
          <c:tx>
            <c:strRef>
              <c:f>'Общая прибыль'!$T$18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B12-4959-BDF5-67DE31D5B1A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12-4959-BDF5-67DE31D5B1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прибыль'!$T$19:$T$22</c:f>
              <c:numCache>
                <c:formatCode>"₽"#,##0_);\("₽"#,##0\)</c:formatCode>
                <c:ptCount val="3"/>
                <c:pt idx="0">
                  <c:v>0</c:v>
                </c:pt>
                <c:pt idx="1">
                  <c:v>113587.2</c:v>
                </c:pt>
                <c:pt idx="2">
                  <c:v>105753.60000000001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2-4959-BDF5-67DE31D5B1A9}"/>
            </c:ext>
          </c:extLst>
        </c:ser>
        <c:ser>
          <c:idx val="2"/>
          <c:order val="2"/>
          <c:tx>
            <c:strRef>
              <c:f>'Общая прибыль'!$U$18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5D9-4719-A007-598C5CE2E89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5D9-4719-A007-598C5CE2E89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D9-4719-A007-598C5CE2E89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5D9-4719-A007-598C5CE2E8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прибыль'!$U$19:$U$22</c:f>
              <c:numCache>
                <c:formatCode>#\ ##0\ "₽"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14990.52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2-4959-BDF5-67DE31D5B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3972848"/>
        <c:axId val="1593977840"/>
      </c:barChart>
      <c:lineChart>
        <c:grouping val="standard"/>
        <c:varyColors val="0"/>
        <c:ser>
          <c:idx val="3"/>
          <c:order val="3"/>
          <c:tx>
            <c:strRef>
              <c:f>'Общая прибыль'!$V$18</c:f>
              <c:strCache>
                <c:ptCount val="1"/>
                <c:pt idx="0">
                  <c:v>Общая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прибыль'!$V$19:$V$22</c:f>
              <c:numCache>
                <c:formatCode>"₽"#,##0_);\("₽"#,##0\)</c:formatCode>
                <c:ptCount val="3"/>
                <c:pt idx="0">
                  <c:v>361098.1</c:v>
                </c:pt>
                <c:pt idx="1">
                  <c:v>313842.90000000002</c:v>
                </c:pt>
                <c:pt idx="2">
                  <c:v>276558.31999999995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9-4719-A007-598C5CE2E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972848"/>
        <c:axId val="1593977840"/>
      </c:lineChart>
      <c:catAx>
        <c:axId val="15939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977840"/>
        <c:crosses val="autoZero"/>
        <c:auto val="1"/>
        <c:lblAlgn val="ctr"/>
        <c:lblOffset val="100"/>
        <c:noMultiLvlLbl val="0"/>
      </c:catAx>
      <c:valAx>
        <c:axId val="1593977840"/>
        <c:scaling>
          <c:orientation val="minMax"/>
        </c:scaling>
        <c:delete val="1"/>
        <c:axPos val="l"/>
        <c:numFmt formatCode="&quot;₽&quot;#,##0_);\(&quot;₽&quot;#,##0\)" sourceLinked="1"/>
        <c:majorTickMark val="none"/>
        <c:minorTickMark val="none"/>
        <c:tickLblPos val="nextTo"/>
        <c:crossAx val="15939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2025.xlsx]Общее кол-во!Сводная_Среднее_без_Новака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Среднее в день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кол-во'!$AO$19:$AO$22</c:f>
              <c:numCache>
                <c:formatCode>0.00</c:formatCode>
                <c:ptCount val="3"/>
                <c:pt idx="0">
                  <c:v>18</c:v>
                </c:pt>
                <c:pt idx="1">
                  <c:v>8.25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E-4330-89DA-DADB89D64757}"/>
            </c:ext>
          </c:extLst>
        </c:ser>
        <c:ser>
          <c:idx val="1"/>
          <c:order val="1"/>
          <c:tx>
            <c:strRef>
              <c:f>'Общее кол-во'!$AP$18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08E-4330-89DA-DADB89D6475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8E-4330-89DA-DADB89D647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кол-во'!$AP$19:$AP$22</c:f>
              <c:numCache>
                <c:formatCode>0.00</c:formatCode>
                <c:ptCount val="3"/>
                <c:pt idx="0">
                  <c:v>0</c:v>
                </c:pt>
                <c:pt idx="1">
                  <c:v>5.8</c:v>
                </c:pt>
                <c:pt idx="2">
                  <c:v>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8E-4330-89DA-DADB89D64757}"/>
            </c:ext>
          </c:extLst>
        </c:ser>
        <c:ser>
          <c:idx val="2"/>
          <c:order val="2"/>
          <c:tx>
            <c:strRef>
              <c:f>'Общее кол-во'!$AQ$18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05B-4AC8-8795-A25CCF4CCB2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05B-4AC8-8795-A25CCF4CCB2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05B-4AC8-8795-A25CCF4CCB2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5B-4AC8-8795-A25CCF4CCB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5B-4AC8-8795-A25CCF4CCB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кол-во'!$AQ$19:$AQ$22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8E-4330-89DA-DADB89D647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269301663"/>
        <c:axId val="269316223"/>
      </c:barChart>
      <c:lineChart>
        <c:grouping val="standard"/>
        <c:varyColors val="0"/>
        <c:ser>
          <c:idx val="3"/>
          <c:order val="3"/>
          <c:tx>
            <c:strRef>
              <c:f>'Общее кол-во'!$AR$18</c:f>
              <c:strCache>
                <c:ptCount val="1"/>
                <c:pt idx="0">
                  <c:v>C.Итог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кол-во'!$AR$19:$AR$22</c:f>
              <c:numCache>
                <c:formatCode>0.00</c:formatCode>
                <c:ptCount val="3"/>
                <c:pt idx="0">
                  <c:v>18</c:v>
                </c:pt>
                <c:pt idx="1">
                  <c:v>14.05</c:v>
                </c:pt>
                <c:pt idx="2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AC8-8795-A25CCF4CCB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9301663"/>
        <c:axId val="269316223"/>
      </c:lineChart>
      <c:catAx>
        <c:axId val="26930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316223"/>
        <c:crosses val="autoZero"/>
        <c:auto val="1"/>
        <c:lblAlgn val="ctr"/>
        <c:lblOffset val="100"/>
        <c:noMultiLvlLbl val="0"/>
      </c:catAx>
      <c:valAx>
        <c:axId val="26931622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930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solidFill>
        <a:schemeClr val="bg1"/>
      </a:solidFill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Новак,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кол-во'!$S$3:$S$14</c15:sqref>
                  </c15:fullRef>
                </c:ext>
              </c:extLst>
              <c:f>'Общее кол-во'!$S$3:$S$5</c:f>
              <c:numCache>
                <c:formatCode>0</c:formatCode>
                <c:ptCount val="3"/>
                <c:pt idx="0">
                  <c:v>10</c:v>
                </c:pt>
                <c:pt idx="1">
                  <c:v>23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8-4798-B0F6-7529FD45A984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кол-во'!$T$3:$T$14</c15:sqref>
                  </c15:fullRef>
                </c:ext>
              </c:extLst>
              <c:f>'Общее кол-во'!$T$3:$T$5</c:f>
              <c:numCache>
                <c:formatCode>0</c:formatCode>
                <c:ptCount val="3"/>
                <c:pt idx="0">
                  <c:v>9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8-4798-B0F6-7529FD45A984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43-40C7-BEF9-53C5C454F8F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43-40C7-BEF9-53C5C454F8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кол-во'!$U$3:$U$14</c15:sqref>
                  </c15:fullRef>
                </c:ext>
              </c:extLst>
              <c:f>'Общее кол-во'!$U$3:$U$5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3-40C7-BEF9-53C5C454F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кол-во'!$V$3:$V$14</c15:sqref>
                  </c15:fullRef>
                </c:ext>
              </c:extLst>
              <c:f>'Общее кол-во'!$V$3:$V$5</c:f>
              <c:numCache>
                <c:formatCode>#,##0</c:formatCode>
                <c:ptCount val="3"/>
                <c:pt idx="0">
                  <c:v>19</c:v>
                </c:pt>
                <c:pt idx="1">
                  <c:v>29</c:v>
                </c:pt>
                <c:pt idx="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8-4798-B0F6-7529FD45A9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Средние в день Новак,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кол-во'!$S$19:$S$30</c15:sqref>
                  </c15:fullRef>
                </c:ext>
              </c:extLst>
              <c:f>'Общее кол-во'!$S$19:$S$21</c:f>
              <c:numCache>
                <c:formatCode>0.00</c:formatCode>
                <c:ptCount val="3"/>
                <c:pt idx="0">
                  <c:v>0.58823529411764708</c:v>
                </c:pt>
                <c:pt idx="1">
                  <c:v>1.1499999999999999</c:v>
                </c:pt>
                <c:pt idx="2">
                  <c:v>1.6875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E-4E1E-9AE8-B4D2245EA3ED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кол-во'!$T$19:$T$30</c15:sqref>
                  </c15:fullRef>
                </c:ext>
              </c:extLst>
              <c:f>'Общее кол-во'!$T$19:$T$21</c:f>
              <c:numCache>
                <c:formatCode>0.00</c:formatCode>
                <c:ptCount val="3"/>
                <c:pt idx="0">
                  <c:v>0.52941176470588236</c:v>
                </c:pt>
                <c:pt idx="1">
                  <c:v>0.3</c:v>
                </c:pt>
                <c:pt idx="2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E-4E1E-9AE8-B4D2245EA3ED}"/>
            </c:ext>
          </c:extLst>
        </c:ser>
        <c:ser>
          <c:idx val="3"/>
          <c:order val="3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EA-4E09-84A8-6EFB2A6FD2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EA-4E09-84A8-6EFB2A6FD2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кол-во'!$U$19:$U$30</c15:sqref>
                  </c15:fullRef>
                </c:ext>
              </c:extLst>
              <c:f>'Общее кол-во'!$U$19:$U$21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A-4E09-84A8-6EFB2A6FD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кол-во'!$V$19:$V$30</c15:sqref>
                  </c15:fullRef>
                </c:ext>
              </c:extLst>
              <c:f>'Общее кол-во'!$V$19:$V$21</c:f>
              <c:numCache>
                <c:formatCode>0.00</c:formatCode>
                <c:ptCount val="3"/>
                <c:pt idx="0">
                  <c:v>1.1176470588235294</c:v>
                </c:pt>
                <c:pt idx="1">
                  <c:v>1.45</c:v>
                </c:pt>
                <c:pt idx="2">
                  <c:v>2.375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E-4E1E-9AE8-B4D2245EA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Тольятти,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кол-во'!$AA$3:$AA$14</c15:sqref>
                  </c15:fullRef>
                </c:ext>
              </c:extLst>
              <c:f>'Общее кол-во'!$AA$3:$AA$5</c:f>
              <c:numCache>
                <c:formatCode>0</c:formatCode>
                <c:ptCount val="3"/>
                <c:pt idx="0">
                  <c:v>90</c:v>
                </c:pt>
                <c:pt idx="1">
                  <c:v>40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3-42B5-8706-DBDCC24E8FEE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кол-во'!$AB$3:$AB$14</c15:sqref>
                  </c15:fullRef>
                </c:ext>
              </c:extLst>
              <c:f>'Общее кол-во'!$AB$3:$AB$5</c:f>
              <c:numCache>
                <c:formatCode>0</c:formatCode>
                <c:ptCount val="3"/>
                <c:pt idx="0">
                  <c:v>0</c:v>
                </c:pt>
                <c:pt idx="1">
                  <c:v>44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3-42B5-8706-DBDCC24E8FEE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9A-47B6-8121-0D08126EAD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кол-во'!$AC$3:$AC$14</c15:sqref>
                  </c15:fullRef>
                </c:ext>
              </c:extLst>
              <c:f>'Общее кол-во'!$AC$3:$AC$5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A-47B6-8121-0D08126E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кол-во'!$AD$3:$AD$14</c15:sqref>
                  </c15:fullRef>
                </c:ext>
              </c:extLst>
              <c:f>'Общее кол-во'!$AD$3:$AD$5</c:f>
              <c:numCache>
                <c:formatCode>#,##0</c:formatCode>
                <c:ptCount val="3"/>
                <c:pt idx="0">
                  <c:v>90</c:v>
                </c:pt>
                <c:pt idx="1">
                  <c:v>84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3-42B5-8706-DBDCC24E8F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Засекина,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B5-4F0E-8A86-145B2D3FA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кол-во'!$W$19:$W$30</c15:sqref>
                  </c15:fullRef>
                </c:ext>
              </c:extLst>
              <c:f>'Общее кол-во'!$W$19:$W$21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2.1</c:v>
                </c:pt>
                <c:pt idx="2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9-4C1E-A8C3-1DA6C1C0D4B4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E9-4C1E-A8C3-1DA6C1C0D4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кол-во'!$X$19:$X$30</c15:sqref>
                  </c15:fullRef>
                </c:ext>
              </c:extLst>
              <c:f>'Общее кол-во'!$X$19:$X$21</c:f>
              <c:numCache>
                <c:formatCode>0.00</c:formatCode>
                <c:ptCount val="3"/>
                <c:pt idx="0">
                  <c:v>0</c:v>
                </c:pt>
                <c:pt idx="1">
                  <c:v>1.1499999999999999</c:v>
                </c:pt>
                <c:pt idx="2">
                  <c:v>1.6875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9-4C1E-A8C3-1DA6C1C0D4B4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B7A-4834-881D-14B04F2EB7D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B7A-4834-881D-14B04F2EB7D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AB7A-4834-881D-14B04F2EB7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кол-во'!$Y$19:$Y$30</c15:sqref>
                  </c15:fullRef>
                </c:ext>
              </c:extLst>
              <c:f>'Общее кол-во'!$Y$19:$Y$21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B7A-4834-881D-14B04F2EB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кол-во'!$Z$19:$Z$30</c15:sqref>
                  </c15:fullRef>
                </c:ext>
              </c:extLst>
              <c:f>'Общее кол-во'!$Z$19:$Z$21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3.25</c:v>
                </c:pt>
                <c:pt idx="2">
                  <c:v>3.6875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9-4C1E-A8C3-1DA6C1C0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Тольятти,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кол-во'!$AA$19:$AA$30</c15:sqref>
                  </c15:fullRef>
                </c:ext>
              </c:extLst>
              <c:f>'Общее кол-во'!$AA$19:$AA$21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2</c:v>
                </c:pt>
                <c:pt idx="2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A-4773-A621-90AF8D9AAA6E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BA-4773-A621-90AF8D9AAA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кол-во'!$AB$19:$AB$30</c15:sqref>
                  </c15:fullRef>
                </c:ext>
              </c:extLst>
              <c:f>'Общее кол-во'!$AB$19:$AB$21</c:f>
              <c:numCache>
                <c:formatCode>0.00</c:formatCode>
                <c:ptCount val="3"/>
                <c:pt idx="0">
                  <c:v>0</c:v>
                </c:pt>
                <c:pt idx="1">
                  <c:v>2.2000000000000002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A-4773-A621-90AF8D9AAA6E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8D-4528-AD36-B7A1CE2A962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8D-4528-AD36-B7A1CE2A96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кол-во'!$AC$19:$AC$30</c15:sqref>
                  </c15:fullRef>
                </c:ext>
              </c:extLst>
              <c:f>'Общее кол-во'!$AC$19:$AC$21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D-4528-AD36-B7A1CE2A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кол-во'!$AD$19:$AD$30</c15:sqref>
                  </c15:fullRef>
                </c:ext>
              </c:extLst>
              <c:f>'Общее кол-во'!$AD$19:$AD$21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4.2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BA-4773-A621-90AF8D9AA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Мичурина,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кол-во'!$AE$3:$AE$14</c15:sqref>
                  </c15:fullRef>
                </c:ext>
              </c:extLst>
              <c:f>'Общее кол-во'!$AE$3:$AE$5</c:f>
              <c:numCache>
                <c:formatCode>0</c:formatCode>
                <c:ptCount val="3"/>
                <c:pt idx="0">
                  <c:v>113</c:v>
                </c:pt>
                <c:pt idx="1">
                  <c:v>54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5-4A11-923B-5C1C1C715583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кол-во'!$AF$3:$AF$14</c15:sqref>
                  </c15:fullRef>
                </c:ext>
              </c:extLst>
              <c:f>'Общее кол-во'!$AF$3:$AF$5</c:f>
              <c:numCache>
                <c:formatCode>0</c:formatCode>
                <c:ptCount val="3"/>
                <c:pt idx="0">
                  <c:v>0</c:v>
                </c:pt>
                <c:pt idx="1">
                  <c:v>39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5-4A11-923B-5C1C1C715583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AF-4D62-9CFD-7DF748889B3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кол-во'!$AG$3:$AG$14</c15:sqref>
                  </c15:fullRef>
                </c:ext>
              </c:extLst>
              <c:f>'Общее кол-во'!$AG$3:$AG$5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F-4D62-9CFD-7DF74888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кол-во'!$AH$3:$AH$14</c15:sqref>
                  </c15:fullRef>
                </c:ext>
              </c:extLst>
              <c:f>'Общее кол-во'!$AH$3:$AH$5</c:f>
              <c:numCache>
                <c:formatCode>#,##0</c:formatCode>
                <c:ptCount val="3"/>
                <c:pt idx="0">
                  <c:v>113</c:v>
                </c:pt>
                <c:pt idx="1">
                  <c:v>93</c:v>
                </c:pt>
                <c:pt idx="2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5-4A11-923B-5C1C1C7155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Мичурина,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кол-во'!$AE$19:$AE$30</c15:sqref>
                  </c15:fullRef>
                </c:ext>
              </c:extLst>
              <c:f>'Общее кол-во'!$AE$19:$AE$21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2.7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5-46EC-BBB4-9AFC49B4F51A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85-46EC-BBB4-9AFC49B4F5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кол-во'!$AF$19:$AF$30</c15:sqref>
                  </c15:fullRef>
                </c:ext>
              </c:extLst>
              <c:f>'Общее кол-во'!$AF$19:$AF$21</c:f>
              <c:numCache>
                <c:formatCode>0.00</c:formatCode>
                <c:ptCount val="3"/>
                <c:pt idx="0">
                  <c:v>0</c:v>
                </c:pt>
                <c:pt idx="1">
                  <c:v>1.95</c:v>
                </c:pt>
                <c:pt idx="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85-46EC-BBB4-9AFC49B4F51A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69-4EFD-8018-A2E72EF2A80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69-4EFD-8018-A2E72EF2A80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D69-4EFD-8018-A2E72EF2A8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кол-во'!$AG$19:$AG$30</c15:sqref>
                  </c15:fullRef>
                </c:ext>
              </c:extLst>
              <c:f>'Общее кол-во'!$AG$19:$AG$21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9-4EFD-8018-A2E72EF2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кол-во'!$AH$19:$AH$30</c15:sqref>
                  </c15:fullRef>
                </c:ext>
              </c:extLst>
              <c:f>'Общее кол-во'!$AH$19:$AH$21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4.6500000000000004</c:v>
                </c:pt>
                <c:pt idx="2">
                  <c:v>4.6875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85-46EC-BBB4-9AFC49B4F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Сызрань,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кол-во'!$AI$3:$AI$14</c15:sqref>
                  </c15:fullRef>
                </c:ext>
              </c:extLst>
              <c:f>'Общее кол-во'!$AI$3:$AI$5</c:f>
              <c:numCache>
                <c:formatCode>0</c:formatCode>
                <c:ptCount val="3"/>
                <c:pt idx="0">
                  <c:v>27</c:v>
                </c:pt>
                <c:pt idx="1">
                  <c:v>29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4-49E6-9651-E97BDA05A536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кол-во'!$AJ$3:$AJ$14</c15:sqref>
                  </c15:fullRef>
                </c:ext>
              </c:extLst>
              <c:f>'Общее кол-во'!$AJ$3:$AJ$5</c:f>
              <c:numCache>
                <c:formatCode>0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4-49E6-9651-E97BDA05A536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4-4B28-AE0F-C0C2552A7DD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кол-во'!$AK$3:$AK$14</c15:sqref>
                  </c15:fullRef>
                </c:ext>
              </c:extLst>
              <c:f>'Общее кол-во'!$AK$3:$AK$5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4-4B28-AE0F-C0C2552A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кол-во'!$AL$3:$AL$14</c15:sqref>
                  </c15:fullRef>
                </c:ext>
              </c:extLst>
              <c:f>'Общее кол-во'!$AL$3:$AL$5</c:f>
              <c:numCache>
                <c:formatCode>#,##0</c:formatCode>
                <c:ptCount val="3"/>
                <c:pt idx="0">
                  <c:v>27</c:v>
                </c:pt>
                <c:pt idx="1">
                  <c:v>39</c:v>
                </c:pt>
                <c:pt idx="2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4-49E6-9651-E97BDA05A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Сызрань,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кол-во'!$AI$19:$AI$30</c15:sqref>
                  </c15:fullRef>
                </c:ext>
              </c:extLst>
              <c:f>'Общее кол-во'!$AI$19:$AI$21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1.45</c:v>
                </c:pt>
                <c:pt idx="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9-45BA-9ECF-1B722153C8B1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29-45BA-9ECF-1B722153C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кол-во'!$AJ$19:$AJ$30</c15:sqref>
                  </c15:fullRef>
                </c:ext>
              </c:extLst>
              <c:f>'Общее кол-во'!$AJ$19:$AJ$21</c:f>
              <c:numCache>
                <c:formatCode>0.00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29-45BA-9ECF-1B722153C8B1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8D-4100-A489-1C657CF0FF5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8D-4100-A489-1C657CF0FF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кол-во'!$AK$19:$AK$30</c15:sqref>
                  </c15:fullRef>
                </c:ext>
              </c:extLst>
              <c:f>'Общее кол-во'!$AK$19:$AK$21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D-4100-A489-1C657CF0F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кол-во'!$AL$19:$AL$30</c15:sqref>
                  </c15:fullRef>
                </c:ext>
              </c:extLst>
              <c:f>'Общее кол-во'!$AL$19:$AL$21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1.95</c:v>
                </c:pt>
                <c:pt idx="2">
                  <c:v>2.125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29-45BA-9ECF-1B722153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Новак</a:t>
            </a:r>
          </a:p>
        </c:rich>
      </c:tx>
      <c:layout>
        <c:manualLayout>
          <c:xMode val="edge"/>
          <c:yMode val="edge"/>
          <c:x val="0.19967651306021253"/>
          <c:y val="6.66666433362577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AE-458D-98EA-B69329225C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AE-458D-98EA-B69329225C0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AE-458D-98EA-B69329225C0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AE-458D-98EA-B69329225C0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AE-458D-98EA-B69329225C0C}"/>
              </c:ext>
            </c:extLst>
          </c:dPt>
          <c:dLbls>
            <c:dLbl>
              <c:idx val="0"/>
              <c:layout>
                <c:manualLayout>
                  <c:x val="0.223914331953975"/>
                  <c:y val="-9.33333006707609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519168223707378"/>
                      <c:h val="0.161360573452117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0AE-458D-98EA-B69329225C0C}"/>
                </c:ext>
              </c:extLst>
            </c:dLbl>
            <c:dLbl>
              <c:idx val="1"/>
              <c:layout>
                <c:manualLayout>
                  <c:x val="0.13244603503165517"/>
                  <c:y val="0.138789834333011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AE-458D-98EA-B69329225C0C}"/>
                </c:ext>
              </c:extLst>
            </c:dLbl>
            <c:dLbl>
              <c:idx val="2"/>
              <c:layout>
                <c:manualLayout>
                  <c:x val="-0.14545459172976755"/>
                  <c:y val="8.41988312967435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AE-458D-98EA-B69329225C0C}"/>
                </c:ext>
              </c:extLst>
            </c:dLbl>
            <c:dLbl>
              <c:idx val="3"/>
              <c:layout>
                <c:manualLayout>
                  <c:x val="-0.13189637448858274"/>
                  <c:y val="0.128574921072486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AE-458D-98EA-B69329225C0C}"/>
                </c:ext>
              </c:extLst>
            </c:dLbl>
            <c:dLbl>
              <c:idx val="4"/>
              <c:layout>
                <c:manualLayout>
                  <c:x val="-0.14545459172976752"/>
                  <c:y val="-8.88888577816770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AE-458D-98EA-B69329225C0C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кол-во'!$S$35:$S$39</c:f>
              <c:numCache>
                <c:formatCode>General</c:formatCode>
                <c:ptCount val="5"/>
                <c:pt idx="0">
                  <c:v>13</c:v>
                </c:pt>
                <c:pt idx="1">
                  <c:v>25</c:v>
                </c:pt>
                <c:pt idx="2">
                  <c:v>15</c:v>
                </c:pt>
                <c:pt idx="3">
                  <c:v>17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AE-458D-98EA-B69329225C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Засекина</a:t>
            </a:r>
          </a:p>
        </c:rich>
      </c:tx>
      <c:layout>
        <c:manualLayout>
          <c:xMode val="edge"/>
          <c:yMode val="edge"/>
          <c:x val="0.15927245980194377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82-4A77-ACFD-24DBD5C40E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82-4A77-ACFD-24DBD5C40E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82-4A77-ACFD-24DBD5C40E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82-4A77-ACFD-24DBD5C40E8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82-4A77-ACFD-24DBD5C40E80}"/>
              </c:ext>
            </c:extLst>
          </c:dPt>
          <c:dLbls>
            <c:dLbl>
              <c:idx val="0"/>
              <c:layout>
                <c:manualLayout>
                  <c:x val="0.14949499705559438"/>
                  <c:y val="-0.1107011198769352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13401419995681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B82-4A77-ACFD-24DBD5C40E80}"/>
                </c:ext>
              </c:extLst>
            </c:dLbl>
            <c:dLbl>
              <c:idx val="1"/>
              <c:layout>
                <c:manualLayout>
                  <c:x val="0.12525256510063312"/>
                  <c:y val="1.77121791803096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82-4A77-ACFD-24DBD5C40E80}"/>
                </c:ext>
              </c:extLst>
            </c:dLbl>
            <c:dLbl>
              <c:idx val="2"/>
              <c:layout>
                <c:manualLayout>
                  <c:x val="0.12121215977480633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82-4A77-ACFD-24DBD5C40E80}"/>
                </c:ext>
              </c:extLst>
            </c:dLbl>
            <c:dLbl>
              <c:idx val="3"/>
              <c:layout>
                <c:manualLayout>
                  <c:x val="-0.13737378107811377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82-4A77-ACFD-24DBD5C40E80}"/>
                </c:ext>
              </c:extLst>
            </c:dLbl>
            <c:dLbl>
              <c:idx val="4"/>
              <c:layout>
                <c:manualLayout>
                  <c:x val="-0.15353540238142127"/>
                  <c:y val="-0.123985254262167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B82-4A77-ACFD-24DBD5C40E80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кол-во'!$T$35:$T$39</c:f>
              <c:numCache>
                <c:formatCode>General</c:formatCode>
                <c:ptCount val="5"/>
                <c:pt idx="0">
                  <c:v>41</c:v>
                </c:pt>
                <c:pt idx="1">
                  <c:v>40</c:v>
                </c:pt>
                <c:pt idx="2">
                  <c:v>31</c:v>
                </c:pt>
                <c:pt idx="3">
                  <c:v>41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82-4A77-ACFD-24DBD5C40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Тольятти</a:t>
            </a:r>
          </a:p>
        </c:rich>
      </c:tx>
      <c:layout>
        <c:manualLayout>
          <c:xMode val="edge"/>
          <c:yMode val="edge"/>
          <c:x val="0.15927245980194377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71-4055-AD03-6A64160255F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71-4055-AD03-6A64160255F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71-4055-AD03-6A64160255F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71-4055-AD03-6A64160255F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71-4055-AD03-6A64160255F5}"/>
              </c:ext>
            </c:extLst>
          </c:dPt>
          <c:dLbls>
            <c:dLbl>
              <c:idx val="0"/>
              <c:layout>
                <c:manualLayout>
                  <c:x val="0.24040411688669908"/>
                  <c:y val="-7.97048063113933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2552301774374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B71-4055-AD03-6A64160255F5}"/>
                </c:ext>
              </c:extLst>
            </c:dLbl>
            <c:dLbl>
              <c:idx val="1"/>
              <c:layout>
                <c:manualLayout>
                  <c:x val="0.10505053847149876"/>
                  <c:y val="0.150553523032631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71-4055-AD03-6A64160255F5}"/>
                </c:ext>
              </c:extLst>
            </c:dLbl>
            <c:dLbl>
              <c:idx val="2"/>
              <c:layout>
                <c:manualLayout>
                  <c:x val="-0.12525256510063312"/>
                  <c:y val="8.413285110647077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71-4055-AD03-6A64160255F5}"/>
                </c:ext>
              </c:extLst>
            </c:dLbl>
            <c:dLbl>
              <c:idx val="3"/>
              <c:layout>
                <c:manualLayout>
                  <c:x val="-0.14545459172976752"/>
                  <c:y val="-3.542435836061927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71-4055-AD03-6A64160255F5}"/>
                </c:ext>
              </c:extLst>
            </c:dLbl>
            <c:dLbl>
              <c:idx val="4"/>
              <c:layout>
                <c:manualLayout>
                  <c:x val="-0.16161621303307502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71-4055-AD03-6A64160255F5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кол-во'!$U$35:$U$39</c:f>
              <c:numCache>
                <c:formatCode>General</c:formatCode>
                <c:ptCount val="5"/>
                <c:pt idx="0">
                  <c:v>39</c:v>
                </c:pt>
                <c:pt idx="1">
                  <c:v>58</c:v>
                </c:pt>
                <c:pt idx="2">
                  <c:v>51</c:v>
                </c:pt>
                <c:pt idx="3">
                  <c:v>49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71-4055-AD03-6A64160255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Мичурина</a:t>
            </a:r>
          </a:p>
        </c:rich>
      </c:tx>
      <c:layout>
        <c:manualLayout>
          <c:xMode val="edge"/>
          <c:yMode val="edge"/>
          <c:x val="0.14715124382446315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F7-4D48-95C7-975F2B6F3C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F7-4D48-95C7-975F2B6F3C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F7-4D48-95C7-975F2B6F3C9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F7-4D48-95C7-975F2B6F3C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F7-4D48-95C7-975F2B6F3C9A}"/>
              </c:ext>
            </c:extLst>
          </c:dPt>
          <c:dLbls>
            <c:dLbl>
              <c:idx val="0"/>
              <c:layout>
                <c:manualLayout>
                  <c:x val="0.14545459172976752"/>
                  <c:y val="-0.1239852542621674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180760417008008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FF7-4D48-95C7-975F2B6F3C9A}"/>
                </c:ext>
              </c:extLst>
            </c:dLbl>
            <c:dLbl>
              <c:idx val="1"/>
              <c:layout>
                <c:manualLayout>
                  <c:x val="0.14545459172976735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F7-4D48-95C7-975F2B6F3C9A}"/>
                </c:ext>
              </c:extLst>
            </c:dLbl>
            <c:dLbl>
              <c:idx val="2"/>
              <c:layout>
                <c:manualLayout>
                  <c:x val="-0.11717175444897938"/>
                  <c:y val="7.970480631139335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F7-4D48-95C7-975F2B6F3C9A}"/>
                </c:ext>
              </c:extLst>
            </c:dLbl>
            <c:dLbl>
              <c:idx val="3"/>
              <c:layout>
                <c:manualLayout>
                  <c:x val="-0.14545459172976752"/>
                  <c:y val="4.428044795077400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F7-4D48-95C7-975F2B6F3C9A}"/>
                </c:ext>
              </c:extLst>
            </c:dLbl>
            <c:dLbl>
              <c:idx val="4"/>
              <c:layout>
                <c:manualLayout>
                  <c:x val="-0.14141418640394063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FF7-4D48-95C7-975F2B6F3C9A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кол-во'!$V$35:$V$39</c:f>
              <c:numCache>
                <c:formatCode>General</c:formatCode>
                <c:ptCount val="5"/>
                <c:pt idx="0">
                  <c:v>73</c:v>
                </c:pt>
                <c:pt idx="1">
                  <c:v>51</c:v>
                </c:pt>
                <c:pt idx="2">
                  <c:v>56</c:v>
                </c:pt>
                <c:pt idx="3">
                  <c:v>53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F7-4D48-95C7-975F2B6F3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Сызрань</a:t>
            </a:r>
          </a:p>
        </c:rich>
      </c:tx>
      <c:layout>
        <c:manualLayout>
          <c:xMode val="edge"/>
          <c:yMode val="edge"/>
          <c:x val="0.1552320544761169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5E-479E-B983-A48E2F1425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5E-479E-B983-A48E2F1425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F5E-479E-B983-A48E2F1425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F5E-479E-B983-A48E2F1425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F5E-479E-B983-A48E2F142507}"/>
              </c:ext>
            </c:extLst>
          </c:dPt>
          <c:dLbls>
            <c:dLbl>
              <c:idx val="0"/>
              <c:layout>
                <c:manualLayout>
                  <c:x val="0.18585864498803625"/>
                  <c:y val="-9.2988940696625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37644615491807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5E-479E-B983-A48E2F142507}"/>
                </c:ext>
              </c:extLst>
            </c:dLbl>
            <c:dLbl>
              <c:idx val="1"/>
              <c:layout>
                <c:manualLayout>
                  <c:x val="0.14141418640394063"/>
                  <c:y val="3.54243583606191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5E-479E-B983-A48E2F142507}"/>
                </c:ext>
              </c:extLst>
            </c:dLbl>
            <c:dLbl>
              <c:idx val="2"/>
              <c:layout>
                <c:manualLayout>
                  <c:x val="0.16161621303307486"/>
                  <c:y val="7.08487167212385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5E-479E-B983-A48E2F142507}"/>
                </c:ext>
              </c:extLst>
            </c:dLbl>
            <c:dLbl>
              <c:idx val="3"/>
              <c:layout>
                <c:manualLayout>
                  <c:x val="-0.14949499705559441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5E-479E-B983-A48E2F142507}"/>
                </c:ext>
              </c:extLst>
            </c:dLbl>
            <c:dLbl>
              <c:idx val="4"/>
              <c:layout>
                <c:manualLayout>
                  <c:x val="-0.16161621303307502"/>
                  <c:y val="-0.119557209467090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5E-479E-B983-A48E2F142507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кол-во'!$W$35:$W$39</c:f>
              <c:numCache>
                <c:formatCode>General</c:formatCode>
                <c:ptCount val="5"/>
                <c:pt idx="0">
                  <c:v>21</c:v>
                </c:pt>
                <c:pt idx="1">
                  <c:v>16</c:v>
                </c:pt>
                <c:pt idx="2">
                  <c:v>22</c:v>
                </c:pt>
                <c:pt idx="3">
                  <c:v>26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5E-479E-B983-A48E2F1425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Засекина,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кол-во'!$W$3:$W$14</c15:sqref>
                  </c15:fullRef>
                </c:ext>
              </c:extLst>
              <c:f>'Общее кол-во'!$W$3:$W$5</c:f>
              <c:numCache>
                <c:formatCode>0</c:formatCode>
                <c:ptCount val="3"/>
                <c:pt idx="0">
                  <c:v>76</c:v>
                </c:pt>
                <c:pt idx="1">
                  <c:v>42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2-4DDE-88DA-65818FA585CD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кол-во'!$X$3:$X$14</c15:sqref>
                  </c15:fullRef>
                </c:ext>
              </c:extLst>
              <c:f>'Общее кол-во'!$X$3:$X$5</c:f>
              <c:numCache>
                <c:formatCode>0</c:formatCode>
                <c:ptCount val="3"/>
                <c:pt idx="0">
                  <c:v>0</c:v>
                </c:pt>
                <c:pt idx="1">
                  <c:v>23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2-4DDE-88DA-65818FA585CD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32-4DDE-88DA-65818FA585C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32-4DDE-88DA-65818FA585C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кол-во'!$Y$3:$Y$14</c15:sqref>
                  </c15:fullRef>
                </c:ext>
              </c:extLst>
              <c:f>'Общее кол-во'!$Y$3:$Y$5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2-4DDE-88DA-65818FA58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кол-во'!$Z$3:$Z$14</c15:sqref>
                  </c15:fullRef>
                </c:ext>
              </c:extLst>
              <c:f>'Общее кол-во'!$Z$3:$Z$5</c:f>
              <c:numCache>
                <c:formatCode>#,##0</c:formatCode>
                <c:ptCount val="3"/>
                <c:pt idx="0">
                  <c:v>76</c:v>
                </c:pt>
                <c:pt idx="1">
                  <c:v>65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32-4DDE-88DA-65818FA585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0</xdr:colOff>
      <xdr:row>15</xdr:row>
      <xdr:rowOff>1</xdr:rowOff>
    </xdr:to>
    <xdr:graphicFrame macro="">
      <xdr:nvGraphicFramePr>
        <xdr:cNvPr id="5" name="Диаграмма продаж без новака">
          <a:extLst>
            <a:ext uri="{FF2B5EF4-FFF2-40B4-BE49-F238E27FC236}">
              <a16:creationId xmlns:a16="http://schemas.microsoft.com/office/drawing/2014/main" id="{C336EE50-ECCB-4669-98CA-7D7E1353A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30</xdr:col>
      <xdr:colOff>0</xdr:colOff>
      <xdr:row>15</xdr:row>
      <xdr:rowOff>0</xdr:rowOff>
    </xdr:to>
    <xdr:graphicFrame macro="">
      <xdr:nvGraphicFramePr>
        <xdr:cNvPr id="6" name="Диаграмма прибыли без новака">
          <a:extLst>
            <a:ext uri="{FF2B5EF4-FFF2-40B4-BE49-F238E27FC236}">
              <a16:creationId xmlns:a16="http://schemas.microsoft.com/office/drawing/2014/main" id="{ABD0C5C6-7CDD-4A4F-B94C-FB0E3308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20</xdr:col>
      <xdr:colOff>0</xdr:colOff>
      <xdr:row>15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BDA3427-6309-40E9-8488-09C3B15C1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8495218-2B2B-48E0-9427-DB335E2A7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0</xdr:colOff>
      <xdr:row>43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F8F68E0-D9D6-47C3-B050-37BAF3D5A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0</xdr:colOff>
      <xdr:row>29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C1CCD33-5542-4CAA-8F59-A5A94BDE4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12</xdr:col>
      <xdr:colOff>0</xdr:colOff>
      <xdr:row>43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B3A1651B-0FE8-4CED-B5CA-94EDBE81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29</xdr:row>
      <xdr:rowOff>0</xdr:rowOff>
    </xdr:from>
    <xdr:to>
      <xdr:col>18</xdr:col>
      <xdr:colOff>0</xdr:colOff>
      <xdr:row>43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A42F61DA-DF1F-4C2B-BB2E-8D7A281DC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15</xdr:row>
      <xdr:rowOff>0</xdr:rowOff>
    </xdr:from>
    <xdr:to>
      <xdr:col>24</xdr:col>
      <xdr:colOff>0</xdr:colOff>
      <xdr:row>29</xdr:row>
      <xdr:rowOff>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67EDBA-90D3-43ED-9F91-2AC968388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24</xdr:col>
      <xdr:colOff>0</xdr:colOff>
      <xdr:row>43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5926106-35CE-444F-9338-A52F761EF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30</xdr:col>
      <xdr:colOff>0</xdr:colOff>
      <xdr:row>29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7E5B727-D2AA-425B-96C3-D41A983A9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29</xdr:row>
      <xdr:rowOff>0</xdr:rowOff>
    </xdr:from>
    <xdr:to>
      <xdr:col>30</xdr:col>
      <xdr:colOff>0</xdr:colOff>
      <xdr:row>43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32B22E65-DBD0-4B1A-BD30-4ED23CCA0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190500</xdr:colOff>
      <xdr:row>44</xdr:row>
      <xdr:rowOff>0</xdr:rowOff>
    </xdr:from>
    <xdr:to>
      <xdr:col>5</xdr:col>
      <xdr:colOff>190500</xdr:colOff>
      <xdr:row>58</xdr:row>
      <xdr:rowOff>179916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E45B339-B6E6-472E-98D8-B0AA9EE6E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254000</xdr:colOff>
      <xdr:row>43</xdr:row>
      <xdr:rowOff>179917</xdr:rowOff>
    </xdr:from>
    <xdr:to>
      <xdr:col>11</xdr:col>
      <xdr:colOff>328082</xdr:colOff>
      <xdr:row>59</xdr:row>
      <xdr:rowOff>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05F42CF-5C10-4927-96DC-94F5BE2DA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211667</xdr:colOff>
      <xdr:row>43</xdr:row>
      <xdr:rowOff>179917</xdr:rowOff>
    </xdr:from>
    <xdr:to>
      <xdr:col>17</xdr:col>
      <xdr:colOff>285749</xdr:colOff>
      <xdr:row>59</xdr:row>
      <xdr:rowOff>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3A738060-2E18-4F4D-8FA8-4323CA296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317501</xdr:colOff>
      <xdr:row>44</xdr:row>
      <xdr:rowOff>1</xdr:rowOff>
    </xdr:from>
    <xdr:to>
      <xdr:col>23</xdr:col>
      <xdr:colOff>391583</xdr:colOff>
      <xdr:row>59</xdr:row>
      <xdr:rowOff>10584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909F4B6-06D3-492F-B98D-A88701D30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285751</xdr:colOff>
      <xdr:row>43</xdr:row>
      <xdr:rowOff>179917</xdr:rowOff>
    </xdr:from>
    <xdr:to>
      <xdr:col>29</xdr:col>
      <xdr:colOff>359833</xdr:colOff>
      <xdr:row>59</xdr:row>
      <xdr:rowOff>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8C999672-BE57-417C-AB67-4B19B2867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11</xdr:col>
      <xdr:colOff>677333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F0D4265-4607-487C-8A4A-39AB3A944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295486108" createdVersion="7" refreshedVersion="8" minRefreshableVersion="3" recordCount="0" supportSubquery="1" supportAdvancedDrill="1" xr:uid="{DD2F6872-28D9-476F-8A01-60484C384596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Есмарт без Новака]" caption="Есмарт без Новака" numFmtId="0" hierarchy="126" level="32767"/>
    <cacheField name="[Measures].[Рутокен без Новака]" caption="Рутокен без Новака" numFmtId="0" hierarchy="127" level="32767"/>
    <cacheField name="[Measures].[Общее без Новака]" caption="Общее без Новака" numFmtId="0" hierarchy="128" level="32767"/>
    <cacheField name="[Measures].[Есмарт АРМ без Новака]" caption="Есмарт АРМ без Новака" numFmtId="0" hierarchy="138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Рутокен без Новака]" caption="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без Новака]" caption="Общее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296527778" createdVersion="7" refreshedVersion="8" minRefreshableVersion="3" recordCount="0" supportSubquery="1" supportAdvancedDrill="1" xr:uid="{748BAB17-77BC-4105-86B4-B37FF04C798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по столбцу Есмарт_Новак 2]" caption="Среднее по столбцу Есмарт_Новак 2" numFmtId="0" hierarchy="61" level="32767"/>
    <cacheField name="[Measures].[Среднее по столбцу Рутокен_Новак]" caption="Среднее по столбцу Рутокен_Новак" numFmtId="0" hierarchy="62" level="32767"/>
    <cacheField name="[Measures].[Среднее по дням Новак]" caption="Среднее по дням Новак" numFmtId="0" hierarchy="121" level="32767"/>
    <cacheField name="[Measures].[Среднее по столбцу Есмарт_Засекина]" caption="Среднее по столбцу Есмарт_Засекина" numFmtId="0" hierarchy="63" level="32767"/>
    <cacheField name="[Measures].[Среднее по столбцу Рутокен_Засекина]" caption="Среднее по столбцу Рутокен_Засекина" numFmtId="0" hierarchy="64" level="32767"/>
    <cacheField name="[Measures].[Среднее по днём Засекина]" caption="Среднее по днём Засекина" numFmtId="0" hierarchy="122" level="32767"/>
    <cacheField name="[Measures].[Среднее по столбцу Есмарт_Тольятти]" caption="Среднее по столбцу Есмарт_Тольятти" numFmtId="0" hierarchy="65" level="32767"/>
    <cacheField name="[Measures].[Среднее по столбцу Рутокен_Тольятти]" caption="Среднее по столбцу Рутокен_Тольятти" numFmtId="0" hierarchy="66" level="32767"/>
    <cacheField name="[Measures].[Среднее по дням Тольятти]" caption="Среднее по дням Тольятти" numFmtId="0" hierarchy="123" level="32767"/>
    <cacheField name="[Measures].[Среднее по столбцу Рутокен_Мичурина]" caption="Среднее по столбцу Рутокен_Мичурина" numFmtId="0" hierarchy="67" level="32767"/>
    <cacheField name="[Measures].[Среднее по столбцу Есмарт_Мичурина]" caption="Среднее по столбцу Есмарт_Мичурина" numFmtId="0" hierarchy="68" level="32767"/>
    <cacheField name="[Measures].[Среднее по дням Мичурина]" caption="Среднее по дням Мичурина" numFmtId="0" hierarchy="124" level="32767"/>
    <cacheField name="[Measures].[Среднее по столбцу Есмарт_Сызрань]" caption="Среднее по столбцу Есмарт_Сызрань" numFmtId="0" hierarchy="69" level="32767"/>
    <cacheField name="[Measures].[Среднее по столбцу Рутокен_Сызрань]" caption="Среднее по столбцу Рутокен_Сызрань" numFmtId="0" hierarchy="70" level="32767"/>
    <cacheField name="[Measures].[Среднее по дням Сызрань]" caption="Среднее по дням Сызрань" numFmtId="0" hierarchy="125" level="32767"/>
    <cacheField name="[Measures].[Среднее по столбцу Есмарт АРМ_Новак]" caption="Среднее по столбцу Есмарт АРМ_Новак" numFmtId="0" hierarchy="83" level="32767"/>
    <cacheField name="[Measures].[Среднее по столбцу Есмарт АРМ_Засекина]" caption="Среднее по столбцу Есмарт АРМ_Засекина" numFmtId="0" hierarchy="84" level="32767"/>
    <cacheField name="[Measures].[Среднее по столбцу Есмарт АРМ_Тольятти]" caption="Среднее по столбцу Есмарт АРМ_Тольятти" numFmtId="0" hierarchy="85" level="32767"/>
    <cacheField name="[Measures].[Среднее по столбцу Есмарт АРМ_Мичурина]" caption="Среднее по столбцу Есмарт АРМ_Мичурина" numFmtId="0" hierarchy="86" level="32767"/>
    <cacheField name="[Measures].[Среднее по столбцу Есмарт АРМ_Сызрань]" caption="Среднее по столбцу Есмарт АРМ_Сызрань" numFmtId="0" hierarchy="87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 oneField="1">
      <fieldsUsage count="1">
        <fieldUsage x="13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 oneField="1">
      <fieldsUsage count="1">
        <fieldUsage x="18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 oneField="1">
      <fieldsUsage count="1">
        <fieldUsage x="20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по днём Засекина]" caption="Среднее по днём Засекина" measure="1" displayFolder="" measureGroup="Общее кол-во по дням для сводной" count="0" oneField="1">
      <fieldsUsage count="1">
        <fieldUsage x="6"/>
      </fieldsUsage>
    </cacheHierarchy>
    <cacheHierarchy uniqueName="[Measures].[Среднее по дням Тольятти]" caption="Среднее по дням Тольятти" measure="1" displayFolder="" measureGroup="Общее кол-во по дням для сводной" count="0" oneField="1">
      <fieldsUsage count="1">
        <fieldUsage x="9"/>
      </fieldsUsage>
    </cacheHierarchy>
    <cacheHierarchy uniqueName="[Measures].[Среднее по дням Мичурина]" caption="Среднее по дням Мичурина" measure="1" displayFolder="" measureGroup="Общее кол-во по дням для сводной" count="0" oneField="1">
      <fieldsUsage count="1">
        <fieldUsage x="12"/>
      </fieldsUsage>
    </cacheHierarchy>
    <cacheHierarchy uniqueName="[Measures].[Среднее по дням Сызрань]" caption="Среднее по дням Сызрань" measure="1" displayFolder="" measureGroup="Общее кол-во по дням для сводной" count="0" oneField="1">
      <fieldsUsage count="1">
        <fieldUsage x="15"/>
      </fieldsUsage>
    </cacheHierarchy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297685187" createdVersion="7" refreshedVersion="8" minRefreshableVersion="3" recordCount="0" supportSubquery="1" supportAdvancedDrill="1" xr:uid="{0B0968B2-EE1C-469B-8DC8-187EB84C47B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Общее Есмарт по Новаку]" caption="Общее Есмарт по Новаку" numFmtId="0" hierarchy="106" level="32767"/>
    <cacheField name="[Measures].[Общее Рутокен по Новаку]" caption="Общее Рутокен по Новаку" numFmtId="0" hierarchy="107" level="32767"/>
    <cacheField name="[Measures].[Общее по Новаку]" caption="Общее по Новаку" numFmtId="0" hierarchy="108" level="32767"/>
    <cacheField name="[Measures].[Общее Есмарт по Засекина]" caption="Общее Есмарт по Засекина" numFmtId="0" hierarchy="109" level="32767"/>
    <cacheField name="[Measures].[Общее Рутокен по Засекина]" caption="Общее Рутокен по Засекина" numFmtId="0" hierarchy="110" level="32767"/>
    <cacheField name="[Measures].[Общее по Засекина]" caption="Общее по Засекина" numFmtId="0" hierarchy="111" level="32767"/>
    <cacheField name="[Measures].[Общее Есмарт по Тольятти]" caption="Общее Есмарт по Тольятти" numFmtId="0" hierarchy="112" level="32767"/>
    <cacheField name="[Measures].[Общее Рутокен по Тольятти]" caption="Общее Рутокен по Тольятти" numFmtId="0" hierarchy="113" level="32767"/>
    <cacheField name="[Measures].[Общее по Тольятти]" caption="Общее по Тольятти" numFmtId="0" hierarchy="114" level="32767"/>
    <cacheField name="[Measures].[Общее Есмарт по Мичурина]" caption="Общее Есмарт по Мичурина" numFmtId="0" hierarchy="115" level="32767"/>
    <cacheField name="[Measures].[Общее Рутокен по Мичурина]" caption="Общее Рутокен по Мичурина" numFmtId="0" hierarchy="116" level="32767"/>
    <cacheField name="[Measures].[Общее по Мичурина]" caption="Общее по Мичурина" numFmtId="0" hierarchy="117" level="32767"/>
    <cacheField name="[Measures].[Общее Есмарт по Сызрани]" caption="Общее Есмарт по Сызрани" numFmtId="0" hierarchy="118" level="32767"/>
    <cacheField name="[Measures].[Общее Рутокен по Сызрани]" caption="Общее Рутокен по Сызрани" numFmtId="0" hierarchy="119" level="32767"/>
    <cacheField name="[Measures].[Общее по Сызрани]" caption="Общее по Сызрани" numFmtId="0" hierarchy="120" level="32767"/>
    <cacheField name="[Measures].[Общее Есмарт АРМ по Новаку]" caption="Общее Есмарт АРМ по Новаку" numFmtId="0" hierarchy="133" level="32767"/>
    <cacheField name="[Measures].[Общее Есмарт АРМ по Засекина]" caption="Общее Есмарт АРМ по Засекина" numFmtId="0" hierarchy="134" level="32767"/>
    <cacheField name="[Measures].[Общее Есмарт АРМ по Тольятти]" caption="Общее Есмарт АРМ по Тольятти" numFmtId="0" hierarchy="135" level="32767"/>
    <cacheField name="[Measures].[Общее Есмарт АРМ по Мичурина]" caption="Общее Есмарт АРМ по Мичурина" numFmtId="0" hierarchy="136" level="32767"/>
    <cacheField name="[Measures].[Общее Есмарт АРМ по Сызрани]" caption="Общее Есмарт АРМ по Сызрани" numFmtId="0" hierarchy="137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Рутокен по Новаку]" caption="Общее Рутокен по Новаку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Засекина]" caption="Общее Есмарт по Засекина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Рутокен по Засекина]" caption="Общее Рутокен по Засекина" measure="1" displayFolder="" measureGroup="Общее кол-во по дням для сводной" count="0" oneField="1">
      <fieldsUsage count="1">
        <fieldUsage x="5"/>
      </fieldsUsage>
    </cacheHierarchy>
    <cacheHierarchy uniqueName="[Measures].[Общее по Засекина]" caption="Общее по Засекина" measure="1" displayFolder="" measureGroup="Общее кол-во по дням для сводной" count="0" oneField="1">
      <fieldsUsage count="1">
        <fieldUsage x="6"/>
      </fieldsUsage>
    </cacheHierarchy>
    <cacheHierarchy uniqueName="[Measures].[Общее Есмарт по Тольятти]" caption="Общее Есмарт по Тольятти" measure="1" displayFolder="" measureGroup="Общее кол-во по дням для сводной" count="0" oneField="1">
      <fieldsUsage count="1">
        <fieldUsage x="7"/>
      </fieldsUsage>
    </cacheHierarchy>
    <cacheHierarchy uniqueName="[Measures].[Общее Рутокен по Тольятти]" caption="Общее Рутокен по Тольятти" measure="1" displayFolder="" measureGroup="Общее кол-во по дням для сводной" count="0" oneField="1">
      <fieldsUsage count="1">
        <fieldUsage x="8"/>
      </fieldsUsage>
    </cacheHierarchy>
    <cacheHierarchy uniqueName="[Measures].[Общее по Тольятти]" caption="Общее по Тольятти" measure="1" displayFolder="" measureGroup="Общее кол-во по дням для сводной" count="0" oneField="1">
      <fieldsUsage count="1">
        <fieldUsage x="9"/>
      </fieldsUsage>
    </cacheHierarchy>
    <cacheHierarchy uniqueName="[Measures].[Общее Есмарт по Мичурина]" caption="Общее Есмарт по Мичурина" measure="1" displayFolder="" measureGroup="Общее кол-во по дням для сводной" count="0" oneField="1">
      <fieldsUsage count="1">
        <fieldUsage x="10"/>
      </fieldsUsage>
    </cacheHierarchy>
    <cacheHierarchy uniqueName="[Measures].[Общее Рутокен по Мичурина]" caption="Общее Рутокен по Мичурина" measure="1" displayFolder="" measureGroup="Общее кол-во по дням для сводной" count="0" oneField="1">
      <fieldsUsage count="1">
        <fieldUsage x="11"/>
      </fieldsUsage>
    </cacheHierarchy>
    <cacheHierarchy uniqueName="[Measures].[Общее по Мичурина]" caption="Общее по Мичурина" measure="1" displayFolder="" measureGroup="Общее кол-во по дням для сводной" count="0" oneField="1">
      <fieldsUsage count="1">
        <fieldUsage x="12"/>
      </fieldsUsage>
    </cacheHierarchy>
    <cacheHierarchy uniqueName="[Measures].[Общее Есмарт по Сызрани]" caption="Общее Есмарт по Сызрани" measure="1" displayFolder="" measureGroup="Общее кол-во по дням для сводной" count="0" oneField="1">
      <fieldsUsage count="1">
        <fieldUsage x="13"/>
      </fieldsUsage>
    </cacheHierarchy>
    <cacheHierarchy uniqueName="[Measures].[Общее Рутокен по Сызрани]" caption="Общее Рутокен по Сызрани" measure="1" displayFolder="" measureGroup="Общее кол-во по дням для сводной" count="0" oneField="1">
      <fieldsUsage count="1">
        <fieldUsage x="14"/>
      </fieldsUsage>
    </cacheHierarchy>
    <cacheHierarchy uniqueName="[Measures].[Общее по Сызрани]" caption="Общее по Сызрани" measure="1" displayFolder="" measureGroup="Общее кол-во по дням для сводной" count="0" oneField="1">
      <fieldsUsage count="1">
        <fieldUsage x="15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 oneField="1">
      <fieldsUsage count="1">
        <fieldUsage x="16"/>
      </fieldsUsage>
    </cacheHierarchy>
    <cacheHierarchy uniqueName="[Measures].[Общее Есмарт АРМ по Засекина]" caption="Общее Есмарт АРМ по Засекина" measure="1" displayFolder="" measureGroup="Общее кол-во по дням для сводной" count="0" oneField="1">
      <fieldsUsage count="1">
        <fieldUsage x="17"/>
      </fieldsUsage>
    </cacheHierarchy>
    <cacheHierarchy uniqueName="[Measures].[Общее Есмарт АРМ по Тольятти]" caption="Общее Есмарт АРМ по Тольятти" measure="1" displayFolder="" measureGroup="Общее кол-во по дням для сводной" count="0" oneField="1">
      <fieldsUsage count="1">
        <fieldUsage x="18"/>
      </fieldsUsage>
    </cacheHierarchy>
    <cacheHierarchy uniqueName="[Measures].[Общее Есмарт АРМ по Мичурина]" caption="Общее Есмарт АРМ по Мичурина" measure="1" displayFolder="" measureGroup="Общее кол-во по дням для сводной" count="0" oneField="1">
      <fieldsUsage count="1">
        <fieldUsage x="19"/>
      </fieldsUsage>
    </cacheHierarchy>
    <cacheHierarchy uniqueName="[Measures].[Общее Есмарт АРМ по Сызрани]" caption="Общее Есмарт АРМ по Сызрани" measure="1" displayFolder="" measureGroup="Общее кол-во по дням для сводной" count="0" oneField="1">
      <fieldsUsage count="1">
        <fieldUsage x="20"/>
      </fieldsUsage>
    </cacheHierarchy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298726849" createdVersion="7" refreshedVersion="8" minRefreshableVersion="3" recordCount="0" supportSubquery="1" supportAdvancedDrill="1" xr:uid="{6A44EA5F-3A6C-43E3-8D51-A21A1505481A}">
  <cacheSource type="external" connectionId="1"/>
  <cacheFields count="7">
    <cacheField name="[Общее кол-во по дням для сводной].[День недели].[День недели]" caption="День недели" numFmtId="0" hierarchy="37" level="1">
      <sharedItems count="5">
        <s v="вторник"/>
        <s v="понедельник"/>
        <s v="пятница"/>
        <s v="среда"/>
        <s v="четверг"/>
      </sharedItems>
    </cacheField>
    <cacheField name="[Measures].[Общие продажи]" caption="Общие продажи" numFmtId="0" hierarchy="132" level="32767"/>
    <cacheField name="[Measures].[Общее по Новаку]" caption="Общее по Новаку" numFmtId="0" hierarchy="108" level="32767"/>
    <cacheField name="[Measures].[Общее по Засекина]" caption="Общее по Засекина" numFmtId="0" hierarchy="111" level="32767"/>
    <cacheField name="[Measures].[Общее по Тольятти]" caption="Общее по Тольятти" numFmtId="0" hierarchy="114" level="32767"/>
    <cacheField name="[Measures].[Общее по Мичурина]" caption="Общее по Мичурина" numFmtId="0" hierarchy="117" level="32767"/>
    <cacheField name="[Measures].[Общее по Сызрани]" caption="Общее по Сызрани" numFmtId="0" hierarchy="120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 oneField="1">
      <fieldsUsage count="1">
        <fieldUsage x="5"/>
      </fieldsUsage>
    </cacheHierarchy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 oneField="1">
      <fieldsUsage count="1">
        <fieldUsage x="6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299768519" createdVersion="5" refreshedVersion="8" minRefreshableVersion="3" recordCount="0" supportSubquery="1" supportAdvancedDrill="1" xr:uid="{82643344-8A0A-48C3-8B18-74DF7C0B3249}">
  <cacheSource type="external" connectionId="1"/>
  <cacheFields count="18">
    <cacheField name="[Общее кол-во по дням для сводной].[Дата].[Дата]" caption="Дата" numFmtId="0" hierarchy="19" level="1">
      <sharedItems containsSemiMixedTypes="0" containsNonDate="0" containsDate="1" containsString="0" minDate="2025-01-09T00:00:00" maxDate="2025-03-25T00:00:00" count="53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</sharedItems>
    </cacheField>
    <cacheField name="[Measures].[Сумма по столбцу Есмарт_Новак 2]" caption="Сумма по столбцу Есмарт_Новак 2" numFmtId="0" hierarchy="50" level="32767"/>
    <cacheField name="[Measures].[Сумма по столбцу Рутокен_Новак]" caption="Сумма по столбцу Рутокен_Новак" numFmtId="0" hierarchy="51" level="32767"/>
    <cacheField name="[Measures].[Сумма по столбцу Есмарт_Засекина 2]" caption="Сумма по столбцу Есмарт_Засекина 2" numFmtId="0" hierarchy="52" level="32767"/>
    <cacheField name="[Measures].[Сумма по столбцу Рутокен_Засекина 2]" caption="Сумма по столбцу Рутокен_Засекина 2" numFmtId="0" hierarchy="53" level="32767"/>
    <cacheField name="[Measures].[Сумма по столбцу Есмарт_Тольятти 2]" caption="Сумма по столбцу Есмарт_Тольятти 2" numFmtId="0" hierarchy="54" level="32767"/>
    <cacheField name="[Measures].[Сумма по столбцу Рутокен_Тольятти 2]" caption="Сумма по столбцу Рутокен_Тольятти 2" numFmtId="0" hierarchy="55" level="32767"/>
    <cacheField name="[Measures].[Сумма по столбцу Есмарт_Мичурина 2]" caption="Сумма по столбцу Есмарт_Мичурина 2" numFmtId="0" hierarchy="56" level="32767"/>
    <cacheField name="[Measures].[Сумма по столбцу Рутокен_Мичурина 2]" caption="Сумма по столбцу Рутокен_Мичурина 2" numFmtId="0" hierarchy="57" level="32767"/>
    <cacheField name="[Measures].[Сумма по столбцу Есмарт_Сызрань 2]" caption="Сумма по столбцу Есмарт_Сызрань 2" numFmtId="0" hierarchy="58" level="32767"/>
    <cacheField name="[Measures].[Сумма по столбцу Рутокен_Сызрань 2]" caption="Сумма по столбцу Рутокен_Сызрань 2" numFmtId="0" hierarchy="59" level="32767"/>
    <cacheField name="[Measures].[Сумма по столбцу Есмарт АРМ_Сызрань]" caption="Сумма по столбцу Есмарт АРМ_Сызрань" numFmtId="0" hierarchy="71" level="32767"/>
    <cacheField name="[Measures].[Сумма по столбцу Есмарт АРМ_Мичурина 2]" caption="Сумма по столбцу Есмарт АРМ_Мичурина 2" numFmtId="0" hierarchy="74" level="32767"/>
    <cacheField name="[Общее кол-во по дням для сводной].[Неделя №].[Неделя №]" caption="Неделя №" numFmtId="0" hierarchy="21" level="1">
      <sharedItems count="12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  <s v="Неделя №13"/>
      </sharedItems>
    </cacheField>
    <cacheField name="[Общее кол-во по дням для сводной].[Номер Недели].[Номер Недели]" caption="Номер Недели" numFmtId="0" hierarchy="38" level="1">
      <sharedItems containsSemiMixedTypes="0" containsString="0" containsNumber="1" containsInteger="1" minValue="2" maxValue="11" count="10">
        <n v="2"/>
        <n v="3"/>
        <n v="4"/>
        <n v="5"/>
        <n v="6"/>
        <n v="7"/>
        <n v="8"/>
        <n v="9"/>
        <n v="10"/>
        <n v="11"/>
      </sharedItems>
      <extLst>
        <ext xmlns:x15="http://schemas.microsoft.com/office/spreadsheetml/2010/11/main" uri="{4F2E5C28-24EA-4eb8-9CBF-B6C8F9C3D259}">
          <x15:cachedUniqueNames>
            <x15:cachedUniqueName index="0" name="[Общее кол-во по дням для сводной].[Номер Недели].&amp;[2]"/>
            <x15:cachedUniqueName index="1" name="[Общее кол-во по дням для сводной].[Номер Недели].&amp;[3]"/>
            <x15:cachedUniqueName index="2" name="[Общее кол-во по дням для сводной].[Номер Недели].&amp;[4]"/>
            <x15:cachedUniqueName index="3" name="[Общее кол-во по дням для сводной].[Номер Недели].&amp;[5]"/>
            <x15:cachedUniqueName index="4" name="[Общее кол-во по дням для сводной].[Номер Недели].&amp;[6]"/>
            <x15:cachedUniqueName index="5" name="[Общее кол-во по дням для сводной].[Номер Недели].&amp;[7]"/>
            <x15:cachedUniqueName index="6" name="[Общее кол-во по дням для сводной].[Номер Недели].&amp;[8]"/>
            <x15:cachedUniqueName index="7" name="[Общее кол-во по дням для сводной].[Номер Недели].&amp;[9]"/>
            <x15:cachedUniqueName index="8" name="[Общее кол-во по дням для сводной].[Номер Недели].&amp;[10]"/>
            <x15:cachedUniqueName index="9" name="[Общее кол-во по дням для сводной].[Номер Недели].&amp;[11]"/>
          </x15:cachedUniqueNames>
        </ext>
      </extLst>
    </cacheField>
    <cacheField name="[Measures].[Сумма по столбцу Есмарт АРМ_Тольятти]" caption="Сумма по столбцу Есмарт АРМ_Тольятти" numFmtId="0" hierarchy="75" level="32767"/>
    <cacheField name="[Measures].[Сумма по столбцу Есмарт АРМ_Новак]" caption="Сумма по столбцу Есмарт АРМ_Новак" numFmtId="0" hierarchy="78" level="32767"/>
    <cacheField name="[Measures].[Сумма по столбцу Есмарт АРМ_Засекина 2]" caption="Сумма по столбцу Есмарт АРМ_Засекина 2" numFmtId="0" hierarchy="82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2" memberValueDatatype="7" unbalanced="0">
      <fieldsUsage count="2">
        <fieldUsage x="-1"/>
        <fieldUsage x="0"/>
      </fieldsUsage>
    </cacheHierarchy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2" memberValueDatatype="130" unbalanced="0">
      <fieldsUsage count="2">
        <fieldUsage x="-1"/>
        <fieldUsage x="13"/>
      </fieldsUsage>
    </cacheHierarchy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2" memberValueDatatype="20" unbalanced="0">
      <fieldsUsage count="2">
        <fieldUsage x="-1"/>
        <fieldUsage x="14"/>
      </fieldsUsage>
    </cacheHierarchy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300810189" createdVersion="7" refreshedVersion="8" minRefreshableVersion="3" recordCount="0" supportSubquery="1" supportAdvancedDrill="1" xr:uid="{D96A530E-7D16-4EFF-94FB-3956EEC17075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Есмарт без Новака]" caption="Среднее Есмарт без Новака" numFmtId="0" hierarchy="129" level="32767"/>
    <cacheField name="[Measures].[Среднее Рутокен без Новака]" caption="Среднее Рутокен без Новака" numFmtId="0" hierarchy="130" level="32767"/>
    <cacheField name="[Measures].[Среднее без Новака]" caption="Среднее без Новака" numFmtId="0" hierarchy="131" level="32767"/>
    <cacheField name="[Measures].[Среднее Есмарт АРМ без Новака]" caption="Среднее Есмарт АРМ без Новака" numFmtId="0" hierarchy="139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Среднее Рутокен без Новака]" caption="Среднее 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Среднее без Новака]" caption="Среднее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30196759" createdVersion="7" refreshedVersion="8" minRefreshableVersion="3" recordCount="0" supportSubquery="1" supportAdvancedDrill="1" xr:uid="{711773DF-397E-4B7D-8314-F692B6BA5754}">
  <cacheSource type="external" connectionId="1"/>
  <cacheFields count="5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без Новака]" caption="Общая по Есмарт без Новака" numFmtId="0" hierarchy="103" level="32767"/>
    <cacheField name="[Measures].[Общая по Рутокен без Новака]" caption="Общая по Рутокен без Новака" numFmtId="0" hierarchy="104" level="32767"/>
    <cacheField name="[Measures].[Общая без Новака]" caption="Общая без Новака" numFmtId="0" hierarchy="105" level="32767"/>
    <cacheField name="[Measures].[Общая по Есмарт АРМ без Новака]" caption="Общая по Есмарт АРМ без Новака" numFmtId="0" hierarchy="140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без Новака]" caption="Общая по Рутокен без Новака" measure="1" displayFolder="" measureGroup="Общая прибыль по дням" count="0" oneField="1">
      <fieldsUsage count="1">
        <fieldUsage x="2"/>
      </fieldsUsage>
    </cacheHierarchy>
    <cacheHierarchy uniqueName="[Measures].[Общая без Новака]" caption="Общая без Новака" measure="1" displayFolder="" measureGroup="Общая прибыль по дням" count="0" oneField="1">
      <fieldsUsage count="1">
        <fieldUsage x="3"/>
      </fieldsUsage>
    </cacheHierarchy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 oneField="1">
      <fieldsUsage count="1">
        <fieldUsage x="4"/>
      </fieldsUsage>
    </cacheHierarchy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302777775" createdVersion="7" refreshedVersion="8" minRefreshableVersion="3" recordCount="0" supportSubquery="1" supportAdvancedDrill="1" xr:uid="{3449EB1E-0B11-4AD2-916C-1E4FC27F25EC}">
  <cacheSource type="external" connectionId="1"/>
  <cacheFields count="21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Новак]" caption="Общая по Есмарт Новак" numFmtId="0" hierarchy="88" level="32767"/>
    <cacheField name="[Measures].[Общая по Рутокен Новак]" caption="Общая по Рутокен Новак" numFmtId="0" hierarchy="89" level="32767"/>
    <cacheField name="[Measures].[Общая по Есмарт Засекина]" caption="Общая по Есмарт Засекина" numFmtId="0" hierarchy="91" level="32767"/>
    <cacheField name="[Measures].[Общая по Рутокен Засекина]" caption="Общая по Рутокен Засекина" numFmtId="0" hierarchy="92" level="32767"/>
    <cacheField name="[Measures].[Общая по Засекина]" caption="Общая по Засекина" numFmtId="0" hierarchy="93" level="32767"/>
    <cacheField name="[Measures].[Общая по Есмарт Тольятти]" caption="Общая по Есмарт Тольятти" numFmtId="0" hierarchy="94" level="32767"/>
    <cacheField name="[Measures].[Общая по Рутокен Тольятти]" caption="Общая по Рутокен Тольятти" numFmtId="0" hierarchy="95" level="32767"/>
    <cacheField name="[Measures].[Общая по Тольятти]" caption="Общая по Тольятти" numFmtId="0" hierarchy="96" level="32767"/>
    <cacheField name="[Measures].[Общая по Есмарт Мичурина]" caption="Общая по Есмарт Мичурина" numFmtId="0" hierarchy="97" level="32767"/>
    <cacheField name="[Measures].[Общая по Рутокен Мичурина]" caption="Общая по Рутокен Мичурина" numFmtId="0" hierarchy="98" level="32767"/>
    <cacheField name="[Measures].[Общая по Мичурина]" caption="Общая по Мичурина" numFmtId="0" hierarchy="99" level="32767"/>
    <cacheField name="[Measures].[Общая по Есмарт Сызрань]" caption="Общая по Есмарт Сызрань" numFmtId="0" hierarchy="100" level="32767"/>
    <cacheField name="[Measures].[Общая по Рутокен Сызрань]" caption="Общая по Рутокен Сызрань" numFmtId="0" hierarchy="101" level="32767"/>
    <cacheField name="[Measures].[Общая по Сызрани]" caption="Общая по Сызрани" numFmtId="0" hierarchy="102" level="32767"/>
    <cacheField name="[Measures].[Общая прибыль Новак]" caption="Общая прибыль Новак" numFmtId="0" hierarchy="90" level="32767"/>
    <cacheField name="[Measures].[Сумма по столбцу Есмарт АРМ_Новак 2]" caption="Сумма по столбцу Есмарт АРМ_Новак 2" numFmtId="0" hierarchy="79" level="32767"/>
    <cacheField name="[Measures].[Сумма по столбцу Есмарт АРМ_Засекина]" caption="Сумма по столбцу Есмарт АРМ_Засекина" numFmtId="0" hierarchy="81" level="32767"/>
    <cacheField name="[Measures].[Сумма по столбцу Есмарт АРМ_Мичурина]" caption="Сумма по столбцу Есмарт АРМ_Мичурина" numFmtId="0" hierarchy="73" level="32767"/>
    <cacheField name="[Measures].[Сумма по столбцу Есмарт АРМ_Сызрань 2]" caption="Сумма по столбцу Есмарт АРМ_Сызрань 2" numFmtId="0" hierarchy="72" level="32767"/>
    <cacheField name="[Measures].[Сумма по столбцу Есмарт АРМ_Тольятти 2]" caption="Сумма по столбцу Есмарт АРМ_Тольятти 2" numFmtId="0" hierarchy="76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 oneField="1">
      <fieldsUsage count="1">
        <fieldUsage x="18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 oneField="1">
      <fieldsUsage count="1">
        <fieldUsage x="2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Новак]" caption="Общая по Рутокен Новак" measure="1" displayFolder="" measureGroup="Общая прибыль по дням" count="0" oneField="1">
      <fieldsUsage count="1">
        <fieldUsage x="2"/>
      </fieldsUsage>
    </cacheHierarchy>
    <cacheHierarchy uniqueName="[Measures].[Общая прибыль Новак]" caption="Общая прибыль Новак" measure="1" displayFolder="" measureGroup="Общая прибыль по дням" count="0" oneField="1">
      <fieldsUsage count="1">
        <fieldUsage x="15"/>
      </fieldsUsage>
    </cacheHierarchy>
    <cacheHierarchy uniqueName="[Measures].[Общая по Есмарт Засекина]" caption="Общая по Есмарт Засекина" measure="1" displayFolder="" measureGroup="Общая прибыль по дням" count="0" oneField="1">
      <fieldsUsage count="1">
        <fieldUsage x="3"/>
      </fieldsUsage>
    </cacheHierarchy>
    <cacheHierarchy uniqueName="[Measures].[Общая по Рутокен Засекина]" caption="Общая по Рутокен Засекина" measure="1" displayFolder="" measureGroup="Общая прибыль по дням" count="0" oneField="1">
      <fieldsUsage count="1">
        <fieldUsage x="4"/>
      </fieldsUsage>
    </cacheHierarchy>
    <cacheHierarchy uniqueName="[Measures].[Общая по Засекина]" caption="Общая по Засекина" measure="1" displayFolder="" measureGroup="Общая прибыль по дням" count="0" oneField="1">
      <fieldsUsage count="1">
        <fieldUsage x="5"/>
      </fieldsUsage>
    </cacheHierarchy>
    <cacheHierarchy uniqueName="[Measures].[Общая по Есмарт Тольятти]" caption="Общая по Есмарт Тольятти" measure="1" displayFolder="" measureGroup="Общая прибыль по дням" count="0" oneField="1">
      <fieldsUsage count="1">
        <fieldUsage x="6"/>
      </fieldsUsage>
    </cacheHierarchy>
    <cacheHierarchy uniqueName="[Measures].[Общая по Рутокен Тольятти]" caption="Общая по Рутокен Тольятти" measure="1" displayFolder="" measureGroup="Общая прибыль по дням" count="0" oneField="1">
      <fieldsUsage count="1">
        <fieldUsage x="7"/>
      </fieldsUsage>
    </cacheHierarchy>
    <cacheHierarchy uniqueName="[Measures].[Общая по Тольятти]" caption="Общая по Тольятти" measure="1" displayFolder="" measureGroup="Общая прибыль по дням" count="0" oneField="1">
      <fieldsUsage count="1">
        <fieldUsage x="8"/>
      </fieldsUsage>
    </cacheHierarchy>
    <cacheHierarchy uniqueName="[Measures].[Общая по Есмарт Мичурина]" caption="Общая по Есмарт Мичурина" measure="1" displayFolder="" measureGroup="Общая прибыль по дням" count="0" oneField="1">
      <fieldsUsage count="1">
        <fieldUsage x="9"/>
      </fieldsUsage>
    </cacheHierarchy>
    <cacheHierarchy uniqueName="[Measures].[Общая по Рутокен Мичурина]" caption="Общая по Рутокен Мичурина" measure="1" displayFolder="" measureGroup="Общая прибыль по дням" count="0" oneField="1">
      <fieldsUsage count="1">
        <fieldUsage x="10"/>
      </fieldsUsage>
    </cacheHierarchy>
    <cacheHierarchy uniqueName="[Measures].[Общая по Мичурина]" caption="Общая по Мичурина" measure="1" displayFolder="" measureGroup="Общая прибыль по дням" count="0" oneField="1">
      <fieldsUsage count="1">
        <fieldUsage x="11"/>
      </fieldsUsage>
    </cacheHierarchy>
    <cacheHierarchy uniqueName="[Measures].[Общая по Есмарт Сызрань]" caption="Общая по Есмарт Сызрань" measure="1" displayFolder="" measureGroup="Общая прибыль по дням" count="0" oneField="1">
      <fieldsUsage count="1">
        <fieldUsage x="12"/>
      </fieldsUsage>
    </cacheHierarchy>
    <cacheHierarchy uniqueName="[Measures].[Общая по Рутокен Сызрань]" caption="Общая по Рутокен Сызрань" measure="1" displayFolder="" measureGroup="Общая прибыль по дням" count="0" oneField="1">
      <fieldsUsage count="1">
        <fieldUsage x="13"/>
      </fieldsUsage>
    </cacheHierarchy>
    <cacheHierarchy uniqueName="[Measures].[Общая по Сызрани]" caption="Общая по Сызрани" measure="1" displayFolder="" measureGroup="Общая прибыль по дням" count="0" oneField="1">
      <fieldsUsage count="1">
        <fieldUsage x="14"/>
      </fieldsUsage>
    </cacheHierarchy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41.393303703706" createdVersion="5" refreshedVersion="8" minRefreshableVersion="3" recordCount="0" supportSubquery="1" supportAdvancedDrill="1" xr:uid="{2EB8EC5A-6EAF-4BA5-BE6F-6BE9F116ABB8}">
  <cacheSource type="external" connectionId="1"/>
  <cacheFields count="17">
    <cacheField name="[Measures].[Сумма по столбцу Есмарт_Новак]" caption="Сумма по столбцу Есмарт_Новак" numFmtId="0" hierarchy="39" level="32767"/>
    <cacheField name="[Measures].[Сумма по столбцу Рутокен_Новак 2]" caption="Сумма по столбцу Рутокен_Новак 2" numFmtId="0" hierarchy="40" level="32767"/>
    <cacheField name="[Measures].[Сумма по столбцу Есмарт_Засекина]" caption="Сумма по столбцу Есмарт_Засекина" numFmtId="0" hierarchy="41" level="32767"/>
    <cacheField name="[Measures].[Сумма по столбцу Рутокен_Засекина]" caption="Сумма по столбцу Рутокен_Засекина" numFmtId="0" hierarchy="42" level="32767"/>
    <cacheField name="[Measures].[Сумма по столбцу Есмарт_Тольятти]" caption="Сумма по столбцу Есмарт_Тольятти" numFmtId="0" hierarchy="43" level="32767"/>
    <cacheField name="[Measures].[Сумма по столбцу Рутокен_Тольятти]" caption="Сумма по столбцу Рутокен_Тольятти" numFmtId="0" hierarchy="44" level="32767"/>
    <cacheField name="[Measures].[Сумма по столбцу Есмарт_Мичурина]" caption="Сумма по столбцу Есмарт_Мичурина" numFmtId="0" hierarchy="45" level="32767"/>
    <cacheField name="[Measures].[Сумма по столбцу Рутокен_Мичурина]" caption="Сумма по столбцу Рутокен_Мичурина" numFmtId="0" hierarchy="46" level="32767"/>
    <cacheField name="[Measures].[Сумма по столбцу Есмарт_Сызрань]" caption="Сумма по столбцу Есмарт_Сызрань" numFmtId="0" hierarchy="47" level="32767"/>
    <cacheField name="[Measures].[Сумма по столбцу Рутокен_Сызрань]" caption="Сумма по столбцу Рутокен_Сызрань" numFmtId="0" hierarchy="48" level="32767"/>
    <cacheField name="[Общая прибыль по дням].[Неделя №].[Неделя №]" caption="Неделя №" numFmtId="0" hierarchy="2" level="1">
      <sharedItems count="12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  <s v="Неделя №13"/>
      </sharedItems>
    </cacheField>
    <cacheField name="[Measures].[Сумма по столбцу Есмарт АРМ_Сызрань 2]" caption="Сумма по столбцу Есмарт АРМ_Сызрань 2" numFmtId="0" hierarchy="72" level="32767"/>
    <cacheField name="[Measures].[Сумма по столбцу Есмарт АРМ_Мичурина]" caption="Сумма по столбцу Есмарт АРМ_Мичурина" numFmtId="0" hierarchy="73" level="32767"/>
    <cacheField name="[Общая прибыль по дням].[Дата].[Дата]" caption="Дата" numFmtId="0" level="1">
      <sharedItems containsSemiMixedTypes="0" containsNonDate="0" containsDate="1" containsString="0" minDate="2025-01-09T00:00:00" maxDate="2025-03-25T00:00:00" count="53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</sharedItems>
    </cacheField>
    <cacheField name="[Measures].[Сумма по столбцу Есмарт АРМ_Тольятти 2]" caption="Сумма по столбцу Есмарт АРМ_Тольятти 2" numFmtId="0" hierarchy="76" level="32767"/>
    <cacheField name="[Measures].[Сумма по столбцу Есмарт АРМ_Новак 2]" caption="Сумма по столбцу Есмарт АРМ_Новак 2" numFmtId="0" hierarchy="79" level="32767"/>
    <cacheField name="[Measures].[Сумма по столбцу Есмарт АРМ_Засекина]" caption="Сумма по столбцу Есмарт АРМ_Засекина" numFmtId="0" hierarchy="81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2" memberValueDatatype="7" unbalanced="0">
      <fieldsUsage count="2">
        <fieldUsage x="-1"/>
        <fieldUsage x="13"/>
      </fieldsUsage>
    </cacheHierarchy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2" memberValueDatatype="130" unbalanced="0">
      <fieldsUsage count="2">
        <fieldUsage x="-1"/>
        <fieldUsage x="10"/>
      </fieldsUsage>
    </cacheHierarchy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A79D9-D699-412D-9EA9-268C8BE4FCC1}" name="Сводная _Кол-во" cacheId="4" applyNumberFormats="0" applyBorderFormats="0" applyFontFormats="0" applyPatternFormats="0" applyAlignmentFormats="0" applyWidthHeightFormats="1" dataCaption="Значения" tag="8603cf2a-dbb3-4128-b3cc-7d841152e67a" updatedVersion="8" minRefreshableVersion="3" showDrill="0" subtotalHiddenItems="1" rowGrandTotals="0" colGrandTotals="0" itemPrintTitles="1" createdVersion="5" indent="0" showHeaders="0" outline="1" outlineData="1" multipleFieldFilters="0">
  <location ref="A2:P79" firstHeaderRow="0" firstDataRow="1" firstDataCol="1"/>
  <pivotFields count="18">
    <pivotField axis="axisRow" allDrilled="1" subtotalTop="0" showAll="0" sortType="descending" defaultAttributeDrillState="1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/>
    <pivotField dataField="1" subtotalTop="0" showAll="0"/>
    <pivotField axis="axisRow" allDrilled="1" subtotalTop="0" showAll="0" sortType="descending" defaultAttributeDrillState="1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llDrilled="1" subtotalTop="0" showAll="0" sortType="descending" defaultAttributeDrillState="1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2">
    <field x="13"/>
    <field x="0"/>
  </rowFields>
  <rowItems count="77">
    <i>
      <x/>
    </i>
    <i r="1">
      <x/>
    </i>
    <i t="default">
      <x/>
    </i>
    <i>
      <x v="1"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</i>
    <i r="1">
      <x v="6"/>
    </i>
    <i r="1">
      <x v="7"/>
    </i>
    <i r="1">
      <x v="8"/>
    </i>
    <i r="1">
      <x v="9"/>
    </i>
    <i r="1">
      <x v="10"/>
    </i>
    <i t="default">
      <x v="2"/>
    </i>
    <i>
      <x v="3"/>
    </i>
    <i r="1">
      <x v="11"/>
    </i>
    <i r="1">
      <x v="12"/>
    </i>
    <i r="1">
      <x v="13"/>
    </i>
    <i r="1">
      <x v="14"/>
    </i>
    <i r="1">
      <x v="15"/>
    </i>
    <i t="default">
      <x v="3"/>
    </i>
    <i>
      <x v="4"/>
    </i>
    <i r="1">
      <x v="16"/>
    </i>
    <i r="1">
      <x v="17"/>
    </i>
    <i r="1">
      <x v="18"/>
    </i>
    <i r="1">
      <x v="19"/>
    </i>
    <i r="1">
      <x v="20"/>
    </i>
    <i t="default">
      <x v="4"/>
    </i>
    <i>
      <x v="5"/>
    </i>
    <i r="1">
      <x v="21"/>
    </i>
    <i r="1">
      <x v="22"/>
    </i>
    <i r="1">
      <x v="23"/>
    </i>
    <i r="1">
      <x v="24"/>
    </i>
    <i r="1">
      <x v="25"/>
    </i>
    <i t="default">
      <x v="5"/>
    </i>
    <i>
      <x v="6"/>
    </i>
    <i r="1">
      <x v="26"/>
    </i>
    <i r="1">
      <x v="27"/>
    </i>
    <i r="1">
      <x v="28"/>
    </i>
    <i r="1">
      <x v="29"/>
    </i>
    <i r="1">
      <x v="30"/>
    </i>
    <i t="default">
      <x v="6"/>
    </i>
    <i>
      <x v="7"/>
    </i>
    <i r="1">
      <x v="31"/>
    </i>
    <i r="1">
      <x v="32"/>
    </i>
    <i r="1">
      <x v="33"/>
    </i>
    <i r="1">
      <x v="34"/>
    </i>
    <i r="1">
      <x v="35"/>
    </i>
    <i t="default">
      <x v="7"/>
    </i>
    <i>
      <x v="8"/>
    </i>
    <i r="1">
      <x v="36"/>
    </i>
    <i r="1">
      <x v="37"/>
    </i>
    <i r="1">
      <x v="38"/>
    </i>
    <i r="1">
      <x v="39"/>
    </i>
    <i r="1">
      <x v="40"/>
    </i>
    <i t="default">
      <x v="8"/>
    </i>
    <i>
      <x v="9"/>
    </i>
    <i r="1">
      <x v="41"/>
    </i>
    <i r="1">
      <x v="42"/>
    </i>
    <i r="1">
      <x v="43"/>
    </i>
    <i r="1">
      <x v="44"/>
    </i>
    <i r="1">
      <x v="45"/>
    </i>
    <i t="default">
      <x v="9"/>
    </i>
    <i>
      <x v="10"/>
    </i>
    <i r="1">
      <x v="46"/>
    </i>
    <i r="1">
      <x v="47"/>
    </i>
    <i r="1">
      <x v="48"/>
    </i>
    <i r="1">
      <x v="49"/>
    </i>
    <i r="1">
      <x v="50"/>
    </i>
    <i t="default">
      <x v="10"/>
    </i>
    <i>
      <x v="11"/>
    </i>
    <i r="1">
      <x v="51"/>
    </i>
    <i r="1">
      <x v="52"/>
    </i>
    <i t="default">
      <x v="11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1" baseField="0" baseItem="2" numFmtId="3"/>
    <dataField name="Рутокен" fld="2" baseField="0" baseItem="2" numFmtId="3"/>
    <dataField name="Есмарт АРМ" fld="16" baseField="0" baseItem="3" numFmtId="3"/>
    <dataField name="Есмарт " fld="3" baseField="0" baseItem="3" numFmtId="3"/>
    <dataField name="Рутокен " fld="4" baseField="0" baseItem="2" numFmtId="3"/>
    <dataField name="Есмарт АРМ " fld="17" baseField="0" baseItem="0"/>
    <dataField name="Есмарт  " fld="5" baseField="0" baseItem="2" numFmtId="3"/>
    <dataField name="Рутокен  " fld="6" baseField="0" baseItem="2" numFmtId="3"/>
    <dataField name="Есмарт АРМ  " fld="15" baseField="0" baseItem="5" numFmtId="3"/>
    <dataField name="Есмарт   " fld="7" baseField="0" baseItem="3" numFmtId="3"/>
    <dataField name="Рутокен   " fld="8" baseField="0" baseItem="1" numFmtId="3"/>
    <dataField name="Есмарт АРМ   " fld="12" baseField="0" baseItem="3" numFmtId="3"/>
    <dataField name="Есмарт    " fld="9" baseField="0" baseItem="5" numFmtId="3"/>
    <dataField name="Рутокен    " fld="10" baseField="0" baseItem="4" numFmtId="3"/>
    <dataField name="Есмарт АРМ    " fld="11" baseField="0" baseItem="2" numFmtId="3"/>
  </dataFields>
  <formats count="54">
    <format dxfId="298">
      <pivotArea outline="0" collapsedLevelsAreSubtotals="1" fieldPosition="0"/>
    </format>
    <format dxfId="297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29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9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4">
      <pivotArea dataOnly="0" labelOnly="1" fieldPosition="0">
        <references count="1">
          <reference field="13" count="0"/>
        </references>
      </pivotArea>
    </format>
    <format dxfId="293">
      <pivotArea collapsedLevelsAreSubtotals="1" fieldPosition="0">
        <references count="2">
          <reference field="4294967294" count="2" selected="0">
            <x v="0"/>
            <x v="1"/>
          </reference>
          <reference field="13" count="1">
            <x v="2"/>
          </reference>
        </references>
      </pivotArea>
    </format>
    <format dxfId="292">
      <pivotArea outline="0" fieldPosition="0">
        <references count="1">
          <reference field="4294967294" count="1">
            <x v="0"/>
          </reference>
        </references>
      </pivotArea>
    </format>
    <format dxfId="291">
      <pivotArea outline="0" fieldPosition="0">
        <references count="1">
          <reference field="4294967294" count="1">
            <x v="1"/>
          </reference>
        </references>
      </pivotArea>
    </format>
    <format dxfId="290">
      <pivotArea outline="0" fieldPosition="0">
        <references count="1">
          <reference field="4294967294" count="1">
            <x v="2"/>
          </reference>
        </references>
      </pivotArea>
    </format>
    <format dxfId="289">
      <pivotArea outline="0" fieldPosition="0">
        <references count="1">
          <reference field="4294967294" count="1">
            <x v="3"/>
          </reference>
        </references>
      </pivotArea>
    </format>
    <format dxfId="288">
      <pivotArea outline="0" fieldPosition="0">
        <references count="1">
          <reference field="4294967294" count="1">
            <x v="4"/>
          </reference>
        </references>
      </pivotArea>
    </format>
    <format dxfId="287">
      <pivotArea outline="0" fieldPosition="0">
        <references count="1">
          <reference field="4294967294" count="1">
            <x v="6"/>
          </reference>
        </references>
      </pivotArea>
    </format>
    <format dxfId="286">
      <pivotArea outline="0" fieldPosition="0">
        <references count="1">
          <reference field="4294967294" count="1">
            <x v="7"/>
          </reference>
        </references>
      </pivotArea>
    </format>
    <format dxfId="285">
      <pivotArea outline="0" fieldPosition="0">
        <references count="1">
          <reference field="4294967294" count="1">
            <x v="8"/>
          </reference>
        </references>
      </pivotArea>
    </format>
    <format dxfId="284">
      <pivotArea outline="0" fieldPosition="0">
        <references count="1">
          <reference field="4294967294" count="1">
            <x v="9"/>
          </reference>
        </references>
      </pivotArea>
    </format>
    <format dxfId="283">
      <pivotArea outline="0" fieldPosition="0">
        <references count="1">
          <reference field="4294967294" count="1">
            <x v="10"/>
          </reference>
        </references>
      </pivotArea>
    </format>
    <format dxfId="282">
      <pivotArea outline="0" fieldPosition="0">
        <references count="1">
          <reference field="4294967294" count="1">
            <x v="11"/>
          </reference>
        </references>
      </pivotArea>
    </format>
    <format dxfId="281">
      <pivotArea outline="0" fieldPosition="0">
        <references count="1">
          <reference field="4294967294" count="1">
            <x v="12"/>
          </reference>
        </references>
      </pivotArea>
    </format>
    <format dxfId="280">
      <pivotArea outline="0" fieldPosition="0">
        <references count="1">
          <reference field="4294967294" count="1">
            <x v="13"/>
          </reference>
        </references>
      </pivotArea>
    </format>
    <format dxfId="279">
      <pivotArea outline="0" fieldPosition="0">
        <references count="1">
          <reference field="4294967294" count="1">
            <x v="14"/>
          </reference>
        </references>
      </pivotArea>
    </format>
    <format dxfId="278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77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7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75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74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27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272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271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270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269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26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6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66">
      <pivotArea outline="0" collapsedLevelsAreSubtotals="1" fieldPosition="0"/>
    </format>
    <format dxfId="265">
      <pivotArea outline="0" collapsedLevelsAreSubtotals="1" fieldPosition="0"/>
    </format>
    <format dxfId="264">
      <pivotArea collapsedLevelsAreSubtotals="1" fieldPosition="0">
        <references count="1">
          <reference field="13" count="1">
            <x v="0"/>
          </reference>
        </references>
      </pivotArea>
    </format>
    <format dxfId="263">
      <pivotArea collapsedLevelsAreSubtotals="1" fieldPosition="0">
        <references count="2">
          <reference field="0" count="1">
            <x v="0"/>
          </reference>
          <reference field="13" count="1" selected="0">
            <x v="0"/>
          </reference>
        </references>
      </pivotArea>
    </format>
    <format dxfId="262">
      <pivotArea collapsedLevelsAreSubtotals="1" fieldPosition="0">
        <references count="1">
          <reference field="13" count="1" defaultSubtotal="1">
            <x v="0"/>
          </reference>
        </references>
      </pivotArea>
    </format>
    <format dxfId="2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0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59">
      <pivotArea collapsedLevelsAreSubtotals="1" fieldPosition="0">
        <references count="2">
          <reference field="4294967294" count="3" selected="0">
            <x v="0"/>
            <x v="1"/>
            <x v="2"/>
          </reference>
          <reference field="13" count="1">
            <x v="0"/>
          </reference>
        </references>
      </pivotArea>
    </format>
    <format dxfId="258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1">
            <x v="0"/>
          </reference>
          <reference field="13" count="1" selected="0">
            <x v="0"/>
          </reference>
        </references>
      </pivotArea>
    </format>
    <format dxfId="2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6">
      <pivotArea collapsedLevelsAreSubtotals="1" fieldPosition="0">
        <references count="2">
          <reference field="4294967294" count="3" selected="0">
            <x v="3"/>
            <x v="4"/>
            <x v="5"/>
          </reference>
          <reference field="13" count="1">
            <x v="0"/>
          </reference>
        </references>
      </pivotArea>
    </format>
    <format dxfId="255">
      <pivotArea collapsedLevelsAreSubtotals="1" fieldPosition="0">
        <references count="3">
          <reference field="4294967294" count="3" selected="0">
            <x v="3"/>
            <x v="4"/>
            <x v="5"/>
          </reference>
          <reference field="0" count="1">
            <x v="0"/>
          </reference>
          <reference field="13" count="1" selected="0">
            <x v="0"/>
          </reference>
        </references>
      </pivotArea>
    </format>
    <format dxfId="254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53">
      <pivotArea collapsedLevelsAreSubtotals="1" fieldPosition="0">
        <references count="2">
          <reference field="4294967294" count="3" selected="0">
            <x v="6"/>
            <x v="7"/>
            <x v="8"/>
          </reference>
          <reference field="13" count="1">
            <x v="0"/>
          </reference>
        </references>
      </pivotArea>
    </format>
    <format dxfId="252">
      <pivotArea collapsedLevelsAreSubtotals="1" fieldPosition="0">
        <references count="3">
          <reference field="4294967294" count="3" selected="0">
            <x v="6"/>
            <x v="7"/>
            <x v="8"/>
          </reference>
          <reference field="0" count="1">
            <x v="0"/>
          </reference>
          <reference field="13" count="1" selected="0">
            <x v="0"/>
          </reference>
        </references>
      </pivotArea>
    </format>
    <format dxfId="251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50">
      <pivotArea collapsedLevelsAreSubtotals="1" fieldPosition="0">
        <references count="2">
          <reference field="4294967294" count="3" selected="0">
            <x v="9"/>
            <x v="10"/>
            <x v="11"/>
          </reference>
          <reference field="13" count="1">
            <x v="0"/>
          </reference>
        </references>
      </pivotArea>
    </format>
    <format dxfId="249">
      <pivotArea collapsedLevelsAreSubtotals="1" fieldPosition="0">
        <references count="3">
          <reference field="4294967294" count="3" selected="0">
            <x v="9"/>
            <x v="10"/>
            <x v="11"/>
          </reference>
          <reference field="0" count="1">
            <x v="0"/>
          </reference>
          <reference field="13" count="1" selected="0">
            <x v="0"/>
          </reference>
        </references>
      </pivotArea>
    </format>
    <format dxfId="248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47">
      <pivotArea collapsedLevelsAreSubtotals="1" fieldPosition="0">
        <references count="2">
          <reference field="4294967294" count="3" selected="0">
            <x v="12"/>
            <x v="13"/>
            <x v="14"/>
          </reference>
          <reference field="13" count="1">
            <x v="0"/>
          </reference>
        </references>
      </pivotArea>
    </format>
    <format dxfId="246">
      <pivotArea collapsedLevelsAreSubtotals="1" fieldPosition="0">
        <references count="3">
          <reference field="4294967294" count="3" selected="0">
            <x v="12"/>
            <x v="13"/>
            <x v="14"/>
          </reference>
          <reference field="0" count="1">
            <x v="0"/>
          </reference>
          <reference field="13" count="1" selected="0">
            <x v="0"/>
          </reference>
        </references>
      </pivotArea>
    </format>
    <format dxfId="24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conditionalFormats count="3">
    <conditionalFormat priority="1">
      <pivotAreas count="5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5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8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1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4"/>
            </reference>
          </references>
        </pivotArea>
      </pivotAreas>
    </conditionalFormat>
    <conditionalFormat priority="3">
      <pivotAreas count="1">
        <pivotArea type="data" outline="0" collapsedLevelsAreSubtotals="1" fieldPosition="0"/>
      </pivotAreas>
    </conditionalFormat>
    <conditionalFormat priority="2">
      <pivotAreas count="1">
        <pivotArea type="data" outline="0" collapsedLevelsAreSubtotals="1" fieldPosition="0"/>
      </pivotAreas>
    </conditionalFormat>
  </conditional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Рутокен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 "/>
    <pivotHierarchy dragToData="1"/>
    <pivotHierarchy dragToData="1"/>
    <pivotHierarchy dragToData="1"/>
    <pivotHierarchy dragToData="1" caption="Есмарт АРМ  "/>
    <pivotHierarchy dragToData="1"/>
    <pivotHierarchy dragToData="1" caption="Есмарт АРМ"/>
    <pivotHierarchy dragToData="1" caption="Есмарт АРМ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1"/>
    <rowHierarchyUsage hierarchyUsage="1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460E3A-F648-43D3-AFB3-1D4ADFBD374B}" name="Сводная_Среднее_без_Новака" cacheId="5" applyNumberFormats="0" applyBorderFormats="0" applyFontFormats="0" applyPatternFormats="0" applyAlignmentFormats="0" applyWidthHeightFormats="1" dataCaption="Значения" tag="34795da0-5695-4d23-882b-d3eb333ac7e9" updatedVersion="8" minRefreshableVersion="3" showDrill="0" subtotalHiddenItems="1" itemPrintTitles="1" createdVersion="7" indent="0" showHeaders="0" outline="1" outlineData="1" multipleFieldFilters="0" chartFormat="8" rowHeaderCaption="Сумма Кол-ва">
  <location ref="AN18:AR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0"/>
    <dataField name="C.Итог" fld="3" subtotal="count" baseField="0" baseItem="0"/>
  </dataFields>
  <formats count="21">
    <format dxfId="319">
      <pivotArea outline="0" collapsedLevelsAreSubtotals="1" fieldPosition="0"/>
    </format>
    <format dxfId="318">
      <pivotArea dataOnly="0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17">
      <pivotArea type="all" dataOnly="0" outline="0" fieldPosition="0"/>
    </format>
    <format dxfId="316">
      <pivotArea outline="0" collapsedLevelsAreSubtotals="1" fieldPosition="0"/>
    </format>
    <format dxfId="315">
      <pivotArea dataOnly="0" labelOnly="1" fieldPosition="0">
        <references count="1">
          <reference field="0" count="0"/>
        </references>
      </pivotArea>
    </format>
    <format dxfId="314">
      <pivotArea dataOnly="0" labelOnly="1" grandRow="1" outline="0" fieldPosition="0"/>
    </format>
    <format dxfId="31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1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11">
      <pivotArea dataOnly="0" labelOnly="1" grandRow="1" outline="0" fieldPosition="0"/>
    </format>
    <format dxfId="310">
      <pivotArea dataOnly="0" labelOnly="1" fieldPosition="0">
        <references count="1">
          <reference field="0" count="0"/>
        </references>
      </pivotArea>
    </format>
    <format dxfId="309">
      <pivotArea dataOnly="0" labelOnly="1" grandRow="1" outline="0" fieldPosition="0"/>
    </format>
    <format dxfId="308">
      <pivotArea type="all" dataOnly="0" outline="0" fieldPosition="0"/>
    </format>
    <format dxfId="307">
      <pivotArea outline="0" collapsedLevelsAreSubtotals="1" fieldPosition="0"/>
    </format>
    <format dxfId="306">
      <pivotArea dataOnly="0" labelOnly="1" fieldPosition="0">
        <references count="1">
          <reference field="0" count="0"/>
        </references>
      </pivotArea>
    </format>
    <format dxfId="305">
      <pivotArea dataOnly="0" labelOnly="1" grandRow="1" outline="0" fieldPosition="0"/>
    </format>
    <format dxfId="30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3">
      <pivotArea grandRow="1" outline="0" collapsedLevelsAreSubtotals="1" fieldPosition="0"/>
    </format>
    <format dxfId="30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01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00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99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8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C.Итог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ABC45-3AAE-487C-8117-2E44A2870440}" name="Сводная_Продажи_без_Новака" cacheId="0" applyNumberFormats="0" applyBorderFormats="0" applyFontFormats="0" applyPatternFormats="0" applyAlignmentFormats="0" applyWidthHeightFormats="1" dataCaption="Значения" tag="f1de9c0a-1502-4e47-b89c-8d1c966eda61" updatedVersion="8" minRefreshableVersion="3" showDrill="0" subtotalHiddenItems="1" itemPrintTitles="1" createdVersion="7" indent="0" showHeaders="0" outline="1" outlineData="1" multipleFieldFilters="0" chartFormat="23" rowHeaderCaption="Сумма Кол-ва">
  <location ref="AN2:AR6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0"/>
    <dataField name="Общее" fld="3" subtotal="count" baseField="0" baseItem="0"/>
  </dataFields>
  <formats count="19">
    <format dxfId="338">
      <pivotArea outline="0" collapsedLevelsAreSubtotals="1" fieldPosition="0"/>
    </format>
    <format dxfId="337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3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35">
      <pivotArea type="all" dataOnly="0" outline="0" fieldPosition="0"/>
    </format>
    <format dxfId="334">
      <pivotArea outline="0" collapsedLevelsAreSubtotals="1" fieldPosition="0"/>
    </format>
    <format dxfId="333">
      <pivotArea dataOnly="0" labelOnly="1" fieldPosition="0">
        <references count="1">
          <reference field="0" count="0"/>
        </references>
      </pivotArea>
    </format>
    <format dxfId="332">
      <pivotArea dataOnly="0" labelOnly="1" grandRow="1" outline="0" fieldPosition="0"/>
    </format>
    <format dxfId="331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30">
      <pivotArea dataOnly="0" labelOnly="1" grandRow="1" outline="0" fieldPosition="0"/>
    </format>
    <format dxfId="329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328">
      <pivotArea dataOnly="0" labelOnly="1" fieldPosition="0">
        <references count="1">
          <reference field="0" count="0"/>
        </references>
      </pivotArea>
    </format>
    <format dxfId="327">
      <pivotArea dataOnly="0" labelOnly="1" grandRow="1" outline="0" fieldPosition="0"/>
    </format>
    <format dxfId="32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4">
      <pivotArea grandRow="1" outline="0" collapsedLevelsAreSubtotals="1" fieldPosition="0"/>
    </format>
    <format dxfId="32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2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21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20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EDB49-1ED4-406D-8069-F19E82954A74}" name="Сводная Среднее_по_дням" cacheId="1" applyNumberFormats="0" applyBorderFormats="0" applyFontFormats="0" applyPatternFormats="0" applyAlignmentFormats="0" applyWidthHeightFormats="1" dataCaption="Значения" grandTotalCaption="Итог среднее " tag="dfa3307b-13a8-40f7-a2e8-160778c27892" updatedVersion="8" minRefreshableVersion="3" showDrill="0" subtotalHiddenItems="1" itemPrintTitles="1" createdVersion="7" indent="0" showHeaders="0" outline="1" outlineData="1" multipleFieldFilters="0" chartFormat="3" rowHeaderCaption="Среднее по дням">
  <location ref="R18:AL22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average" baseField="0" baseItem="0" numFmtId="2"/>
    <dataField name="Рутокен" fld="2" subtotal="average" baseField="0" baseItem="0" numFmtId="2"/>
    <dataField name="Есмарт АРМ" fld="16" subtotal="average" baseField="0" baseItem="0" numFmtId="4"/>
    <dataField name="С.Итог" fld="3" subtotal="count" baseField="0" baseItem="0"/>
    <dataField name="Есмарт " fld="4" subtotal="average" baseField="0" baseItem="0" numFmtId="2"/>
    <dataField name="Рутокен " fld="5" subtotal="average" baseField="0" baseItem="0" numFmtId="2"/>
    <dataField name="Есмарт АРМ " fld="17" subtotal="average" baseField="0" baseItem="0" numFmtId="4"/>
    <dataField name="С.Итог " fld="6" subtotal="count" baseField="0" baseItem="0"/>
    <dataField name="Есмарт  " fld="7" subtotal="average" baseField="0" baseItem="0" numFmtId="2"/>
    <dataField name="Рутокен  " fld="8" subtotal="average" baseField="0" baseItem="0" numFmtId="2"/>
    <dataField name="Есмарт АРМ  " fld="18" subtotal="average" baseField="0" baseItem="0" numFmtId="4"/>
    <dataField name="С.Итог  " fld="9" subtotal="count" baseField="0" baseItem="0"/>
    <dataField name="Есмарт   " fld="11" subtotal="average" baseField="0" baseItem="0" numFmtId="2"/>
    <dataField name="Рутокен   " fld="10" subtotal="average" baseField="0" baseItem="0" numFmtId="2"/>
    <dataField name="Есмарт АРМ   " fld="19" subtotal="average" baseField="0" baseItem="0" numFmtId="4"/>
    <dataField name="С.Итог   " fld="12" subtotal="count" baseField="0" baseItem="0"/>
    <dataField name="Есмарт    " fld="13" subtotal="average" baseField="0" baseItem="1" numFmtId="2"/>
    <dataField name="Рутокен    " fld="14" subtotal="average" baseField="0" baseItem="1" numFmtId="2"/>
    <dataField name="Есмарт АРМ    " fld="20" subtotal="average" baseField="0" baseItem="0" numFmtId="4"/>
    <dataField name="С.Итог    " fld="15" subtotal="count" baseField="0" baseItem="0"/>
  </dataFields>
  <formats count="60">
    <format dxfId="398">
      <pivotArea outline="0" fieldPosition="0">
        <references count="1">
          <reference field="4294967294" count="1">
            <x v="0"/>
          </reference>
        </references>
      </pivotArea>
    </format>
    <format dxfId="397">
      <pivotArea outline="0" fieldPosition="0">
        <references count="1">
          <reference field="4294967294" count="1">
            <x v="1"/>
          </reference>
        </references>
      </pivotArea>
    </format>
    <format dxfId="396">
      <pivotArea outline="0" fieldPosition="0">
        <references count="1">
          <reference field="4294967294" count="1">
            <x v="4"/>
          </reference>
        </references>
      </pivotArea>
    </format>
    <format dxfId="395">
      <pivotArea outline="0" fieldPosition="0">
        <references count="1">
          <reference field="4294967294" count="1">
            <x v="5"/>
          </reference>
        </references>
      </pivotArea>
    </format>
    <format dxfId="394">
      <pivotArea outline="0" fieldPosition="0">
        <references count="1">
          <reference field="4294967294" count="1">
            <x v="8"/>
          </reference>
        </references>
      </pivotArea>
    </format>
    <format dxfId="393">
      <pivotArea outline="0" fieldPosition="0">
        <references count="1">
          <reference field="4294967294" count="1">
            <x v="9"/>
          </reference>
        </references>
      </pivotArea>
    </format>
    <format dxfId="392">
      <pivotArea outline="0" fieldPosition="0">
        <references count="1">
          <reference field="4294967294" count="1">
            <x v="13"/>
          </reference>
        </references>
      </pivotArea>
    </format>
    <format dxfId="391">
      <pivotArea outline="0" fieldPosition="0">
        <references count="1">
          <reference field="4294967294" count="1">
            <x v="12"/>
          </reference>
        </references>
      </pivotArea>
    </format>
    <format dxfId="390">
      <pivotArea outline="0" fieldPosition="0">
        <references count="1">
          <reference field="4294967294" count="1">
            <x v="16"/>
          </reference>
        </references>
      </pivotArea>
    </format>
    <format dxfId="389">
      <pivotArea outline="0" fieldPosition="0">
        <references count="1">
          <reference field="4294967294" count="1">
            <x v="17"/>
          </reference>
        </references>
      </pivotArea>
    </format>
    <format dxfId="388">
      <pivotArea outline="0" collapsedLevelsAreSubtotals="1" fieldPosition="0"/>
    </format>
    <format dxfId="387">
      <pivotArea dataOnly="0" labelOnly="1" outline="0" fieldPosition="0">
        <references count="1">
          <reference field="4294967294" count="15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386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85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84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383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382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381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80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79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378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377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376">
      <pivotArea outline="0" collapsedLevelsAreSubtotals="1" fieldPosition="0">
        <references count="1">
          <reference field="4294967294" count="3" selected="0">
            <x v="16"/>
            <x v="17"/>
            <x v="19"/>
          </reference>
        </references>
      </pivotArea>
    </format>
    <format dxfId="375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374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373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372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371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370">
      <pivotArea field="0" grandRow="1" outline="0" collapsedLevelsAreSubtotals="1" axis="axisRow" fieldPosition="0">
        <references count="1">
          <reference field="4294967294" count="14" selected="0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</reference>
        </references>
      </pivotArea>
    </format>
    <format dxfId="369">
      <pivotArea dataOnly="0" labelOnly="1" grandRow="1" outline="0" fieldPosition="0"/>
    </format>
    <format dxfId="36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67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366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365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364">
      <pivotArea dataOnly="0" labelOnly="1" fieldPosition="0">
        <references count="1">
          <reference field="0" count="0"/>
        </references>
      </pivotArea>
    </format>
    <format dxfId="363">
      <pivotArea dataOnly="0" labelOnly="1" grandRow="1" outline="0" fieldPosition="0"/>
    </format>
    <format dxfId="362">
      <pivotArea outline="0" fieldPosition="0">
        <references count="1">
          <reference field="4294967294" count="1">
            <x v="2"/>
          </reference>
        </references>
      </pivotArea>
    </format>
    <format dxfId="361">
      <pivotArea outline="0" collapsedLevelsAreSubtotals="1" fieldPosition="0"/>
    </format>
    <format dxfId="360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359">
      <pivotArea outline="0" fieldPosition="0">
        <references count="1">
          <reference field="4294967294" count="1">
            <x v="6"/>
          </reference>
        </references>
      </pivotArea>
    </format>
    <format dxfId="358">
      <pivotArea outline="0" fieldPosition="0">
        <references count="1">
          <reference field="4294967294" count="1">
            <x v="10"/>
          </reference>
        </references>
      </pivotArea>
    </format>
    <format dxfId="357">
      <pivotArea outline="0" fieldPosition="0">
        <references count="1">
          <reference field="4294967294" count="1">
            <x v="14"/>
          </reference>
        </references>
      </pivotArea>
    </format>
    <format dxfId="356">
      <pivotArea outline="0" fieldPosition="0">
        <references count="1">
          <reference field="4294967294" count="1">
            <x v="18"/>
          </reference>
        </references>
      </pivotArea>
    </format>
    <format dxfId="355">
      <pivotArea dataOnly="0" labelOnly="1" grandRow="1" outline="0" fieldPosition="0"/>
    </format>
    <format dxfId="354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3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52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351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350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349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348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347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346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345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34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43">
      <pivotArea outline="0" collapsedLevelsAreSubtotals="1" fieldPosition="0">
        <references count="1">
          <reference field="4294967294" count="3" selected="0">
            <x v="4"/>
            <x v="5"/>
            <x v="6"/>
          </reference>
        </references>
      </pivotArea>
    </format>
    <format dxfId="342">
      <pivotArea outline="0" collapsedLevelsAreSubtotals="1" fieldPosition="0">
        <references count="1">
          <reference field="4294967294" count="3" selected="0">
            <x v="8"/>
            <x v="9"/>
            <x v="10"/>
          </reference>
        </references>
      </pivotArea>
    </format>
    <format dxfId="341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340">
      <pivotArea outline="0" collapsedLevelsAreSubtotals="1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339">
      <pivotArea grandRow="1" outline="0" collapsedLevelsAreSubtotals="1" fieldPosition="0"/>
    </format>
  </formats>
  <chartFormats count="3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 caption="Рутокен"/>
    <pivotHierarchy dragToData="1" caption="Есмарт "/>
    <pivotHierarchy dragToData="1" caption="Рутокен "/>
    <pivotHierarchy dragToData="1" caption="Есмарт  "/>
    <pivotHierarchy dragToData="1" caption="Рутокен  "/>
    <pivotHierarchy dragToData="1" caption="Рутокен   "/>
    <pivotHierarchy dragToData="1" caption="Есмарт   "/>
    <pivotHierarchy dragToData="1" caption="Есмарт    "/>
    <pivotHierarchy dragToData="1" caption="Рутокен 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"/>
    <pivotHierarchy dragToData="1" caption="Есмарт АРМ "/>
    <pivotHierarchy dragToData="1" caption="Есмарт АРМ  "/>
    <pivotHierarchy dragToData="1" caption="Есмарт АРМ   "/>
    <pivotHierarchy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 caption="С.Итог"/>
    <pivotHierarchy dragToRow="0" dragToCol="0" dragToPage="0" dragToData="1" caption="С.Итог "/>
    <pivotHierarchy dragToRow="0" dragToCol="0" dragToPage="0" dragToData="1" caption="С.Итог  "/>
    <pivotHierarchy dragToRow="0" dragToCol="0" dragToPage="0" dragToData="1" caption="С.Итог   "/>
    <pivotHierarchy dragToRow="0" dragToCol="0" dragToPage="0" dragToData="1" caption="С.Итог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5A660-2C57-493F-B54F-AB680DDD094E}" name="Сводная_ Кол-во_Месяц" cacheId="2" applyNumberFormats="0" applyBorderFormats="0" applyFontFormats="0" applyPatternFormats="0" applyAlignmentFormats="0" applyWidthHeightFormats="1" dataCaption="Значения" tag="ac623188-83ff-4f85-b8dc-ff60ede7b775" updatedVersion="8" minRefreshableVersion="3" showDrill="0" subtotalHiddenItems="1" itemPrintTitles="1" createdVersion="7" indent="0" showHeaders="0" outline="1" outlineData="1" multipleFieldFilters="0" chartFormat="2" rowHeaderCaption="Сумма Кол-ва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16" subtotal="count" baseField="0" baseItem="0"/>
    <dataField name="Общее" fld="3" subtotal="count" baseField="0" baseItem="0"/>
    <dataField name="Есмарт " fld="4" subtotal="count" baseField="0" baseItem="0"/>
    <dataField name="Рутокен " fld="5" subtotal="count" baseField="0" baseItem="0"/>
    <dataField name="Есмарт АРМ " fld="17" subtotal="count" baseField="0" baseItem="0"/>
    <dataField name="Общее " fld="6" subtotal="count" baseField="0" baseItem="0"/>
    <dataField name="Есмарт  " fld="7" subtotal="count" baseField="0" baseItem="0"/>
    <dataField name="Рутокен  " fld="8" subtotal="count" baseField="0" baseItem="0"/>
    <dataField name="Есмарт АРМ  " fld="18" subtotal="count" baseField="0" baseItem="0"/>
    <dataField name="Общее  " fld="9" subtotal="count" baseField="0" baseItem="0"/>
    <dataField name="Есмарт   " fld="10" subtotal="count" baseField="0" baseItem="0"/>
    <dataField name="Рутокен   " fld="11" subtotal="count" baseField="0" baseItem="0"/>
    <dataField name="Есмарт АРМ   " fld="19" subtotal="count" baseField="0" baseItem="0"/>
    <dataField name="Общее   " fld="12" subtotal="count" baseField="0" baseItem="0"/>
    <dataField name="Есмарт    " fld="13" subtotal="count" baseField="0" baseItem="0"/>
    <dataField name="Рутокен    " fld="14" subtotal="count" baseField="0" baseItem="0"/>
    <dataField name="Есмарт АРМ    " fld="20" subtotal="count" baseField="0" baseItem="0"/>
    <dataField name="Общее    " fld="15" subtotal="count" baseField="0" baseItem="0"/>
  </dataFields>
  <formats count="56">
    <format dxfId="454">
      <pivotArea outline="0" collapsedLevelsAreSubtotals="1" fieldPosition="0"/>
    </format>
    <format dxfId="453">
      <pivotArea dataOnly="0" labelOnly="1" outline="0" fieldPosition="0">
        <references count="1">
          <reference field="4294967294" count="15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45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5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50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44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448">
      <pivotArea outline="0" collapsedLevelsAreSubtotals="1" fieldPosition="0">
        <references count="1">
          <reference field="4294967294" count="1" selected="0">
            <x v="16"/>
          </reference>
        </references>
      </pivotArea>
    </format>
    <format dxfId="447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446">
      <pivotArea outline="0" collapsedLevelsAreSubtotals="1" fieldPosition="0">
        <references count="1">
          <reference field="4294967294" count="1" selected="0">
            <x v="13"/>
          </reference>
        </references>
      </pivotArea>
    </format>
    <format dxfId="44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444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44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42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41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40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439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438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437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36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35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434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433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432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431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430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429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428">
      <pivotArea outline="0" collapsedLevelsAreSubtotals="1" fieldPosition="0">
        <references count="1">
          <reference field="4294967294" count="3" selected="0">
            <x v="16"/>
            <x v="17"/>
            <x v="19"/>
          </reference>
        </references>
      </pivotArea>
    </format>
    <format dxfId="427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426">
      <pivotArea field="0" grandRow="1" outline="0" collapsedLevelsAreSubtotals="1" axis="axisRow" fieldPosition="0">
        <references count="1">
          <reference field="4294967294" count="14" selected="0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</reference>
        </references>
      </pivotArea>
    </format>
    <format dxfId="425">
      <pivotArea dataOnly="0" labelOnly="1" grandRow="1" outline="0" fieldPosition="0"/>
    </format>
    <format dxfId="42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23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422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42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420">
      <pivotArea dataOnly="0" labelOnly="1" fieldPosition="0">
        <references count="1">
          <reference field="0" count="0"/>
        </references>
      </pivotArea>
    </format>
    <format dxfId="419">
      <pivotArea dataOnly="0" labelOnly="1" grandRow="1" outline="0" fieldPosition="0"/>
    </format>
    <format dxfId="418">
      <pivotArea outline="0" collapsedLevelsAreSubtotals="1" fieldPosition="0"/>
    </format>
    <format dxfId="41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416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415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41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13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412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411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410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409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408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407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406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405">
      <pivotArea collapsedLevelsAreSubtotals="1" fieldPosition="0">
        <references count="2">
          <reference field="4294967294" count="3" selected="0">
            <x v="0"/>
            <x v="1"/>
            <x v="2"/>
          </reference>
          <reference field="0" count="0"/>
        </references>
      </pivotArea>
    </format>
    <format dxfId="40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403">
      <pivotArea outline="0" collapsedLevelsAreSubtotals="1" fieldPosition="0">
        <references count="1">
          <reference field="4294967294" count="3" selected="0">
            <x v="4"/>
            <x v="5"/>
            <x v="6"/>
          </reference>
        </references>
      </pivotArea>
    </format>
    <format dxfId="402">
      <pivotArea outline="0" collapsedLevelsAreSubtotals="1" fieldPosition="0">
        <references count="1">
          <reference field="4294967294" count="3" selected="0">
            <x v="8"/>
            <x v="9"/>
            <x v="10"/>
          </reference>
        </references>
      </pivotArea>
    </format>
    <format dxfId="401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400">
      <pivotArea outline="0" collapsedLevelsAreSubtotals="1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399">
      <pivotArea grandRow="1" outline="0" collapsedLevelsAreSubtotals="1" fieldPosition="0"/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 caption="Есмарт АРМ "/>
    <pivotHierarchy dragToRow="0" dragToCol="0" dragToPage="0" dragToData="1" caption="Есмарт АРМ  "/>
    <pivotHierarchy dragToRow="0" dragToCol="0" dragToPage="0" dragToData="1" caption="Есмарт АРМ   "/>
    <pivotHierarchy dragToRow="0" dragToCol="0" dragToPage="0"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32A9F-03AF-4FA2-8BE3-1BA3E1C59CA5}" name="Сводная таблица1" cacheId="3" applyNumberFormats="0" applyBorderFormats="0" applyFontFormats="0" applyPatternFormats="0" applyAlignmentFormats="0" applyWidthHeightFormats="1" dataCaption="Значения" tag="f40f7197-1580-4ce5-9c5a-200d03a81d48" updatedVersion="8" minRefreshableVersion="3" showDrill="0" subtotalHiddenItems="1" rowGrandTotals="0" colGrandTotals="0" itemPrintTitles="1" createdVersion="7" indent="0" showHeaders="0" outline="1" outlineData="1" multipleFieldFilters="0" chartFormat="5" rowHeaderCaption="Продажи по дням">
  <location ref="R34:X39" firstHeaderRow="0" firstDataRow="1" firstDataCol="1"/>
  <pivotFields count="7">
    <pivotField axis="axisRow" allDrilled="1" subtotalTop="0" showAll="0" sortType="ascending" defaultSubtotal="0" defaultAttributeDrillState="1">
      <items count="5">
        <item x="1"/>
        <item x="0"/>
        <item x="3"/>
        <item x="4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Новак" fld="2" subtotal="count" baseField="0" baseItem="0"/>
    <dataField name="Засекина" fld="3" subtotal="count" baseField="0" baseItem="0"/>
    <dataField name="Тольятти" fld="4" subtotal="count" baseField="0" baseItem="0"/>
    <dataField name="Мичурина" fld="5" subtotal="count" baseField="0" baseItem="0"/>
    <dataField name="Сызрань" fld="6" subtotal="count" baseField="0" baseItem="0"/>
    <dataField name="Общие" fld="1" subtotal="count" baseField="0" baseItem="0"/>
  </dataFields>
  <formats count="11">
    <format dxfId="465">
      <pivotArea collapsedLevelsAreSubtotals="1" fieldPosition="0">
        <references count="2">
          <reference field="4294967294" count="1" selected="0">
            <x v="5"/>
          </reference>
          <reference field="0" count="0"/>
        </references>
      </pivotArea>
    </format>
    <format dxfId="464">
      <pivotArea dataOnly="0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63">
      <pivotArea collapsedLevelsAreSubtotals="1" fieldPosition="0">
        <references count="2">
          <reference field="4294967294" count="1" selected="0">
            <x v="5"/>
          </reference>
          <reference field="0" count="0"/>
        </references>
      </pivotArea>
    </format>
    <format dxfId="462">
      <pivotArea outline="0" fieldPosition="0">
        <references count="1">
          <reference field="4294967294" count="1">
            <x v="0"/>
          </reference>
        </references>
      </pivotArea>
    </format>
    <format dxfId="461">
      <pivotArea outline="0" fieldPosition="0">
        <references count="1">
          <reference field="4294967294" count="1">
            <x v="1"/>
          </reference>
        </references>
      </pivotArea>
    </format>
    <format dxfId="460">
      <pivotArea outline="0" fieldPosition="0">
        <references count="1">
          <reference field="4294967294" count="1">
            <x v="2"/>
          </reference>
        </references>
      </pivotArea>
    </format>
    <format dxfId="459">
      <pivotArea outline="0" fieldPosition="0">
        <references count="1">
          <reference field="4294967294" count="1">
            <x v="3"/>
          </reference>
        </references>
      </pivotArea>
    </format>
    <format dxfId="458">
      <pivotArea outline="0" fieldPosition="0">
        <references count="1">
          <reference field="4294967294" count="1">
            <x v="4"/>
          </reference>
        </references>
      </pivotArea>
    </format>
    <format dxfId="457">
      <pivotArea outline="0" fieldPosition="0">
        <references count="1">
          <reference field="4294967294" count="1">
            <x v="5"/>
          </reference>
        </references>
      </pivotArea>
    </format>
    <format dxfId="4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5">
      <pivotArea dataOnly="0" labelOnly="1" fieldPosition="0">
        <references count="1">
          <reference field="0" count="0"/>
        </references>
      </pivotArea>
    </format>
  </formats>
  <conditionalFormats count="6">
    <conditionalFormat priority="4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Новак"/>
    <pivotHierarchy dragToRow="0" dragToCol="0" dragToPage="0" dragToData="1"/>
    <pivotHierarchy dragToRow="0" dragToCol="0" dragToPage="0" dragToData="1"/>
    <pivotHierarchy dragToRow="0" dragToCol="0" dragToPage="0" dragToData="1" caption="Засекина"/>
    <pivotHierarchy dragToRow="0" dragToCol="0" dragToPage="0" dragToData="1"/>
    <pivotHierarchy dragToRow="0" dragToCol="0" dragToPage="0" dragToData="1"/>
    <pivotHierarchy dragToRow="0" dragToCol="0" dragToPage="0" dragToData="1" caption="Тольятти"/>
    <pivotHierarchy dragToRow="0" dragToCol="0" dragToPage="0" dragToData="1"/>
    <pivotHierarchy dragToRow="0" dragToCol="0" dragToPage="0" dragToData="1"/>
    <pivotHierarchy dragToRow="0" dragToCol="0" dragToPage="0" dragToData="1" caption="Мичурина"/>
    <pivotHierarchy dragToRow="0" dragToCol="0" dragToPage="0" dragToData="1"/>
    <pivotHierarchy dragToRow="0" dragToCol="0" dragToPage="0" dragToData="1"/>
    <pivotHierarchy dragToRow="0" dragToCol="0" dragToPage="0" dragToData="1" caption="Сызрань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Общи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3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ADB06-3642-40F2-9EFD-A869D2FD076E}" name="Сводная_Прибыль" cacheId="8" applyNumberFormats="0" applyBorderFormats="0" applyFontFormats="0" applyPatternFormats="0" applyAlignmentFormats="0" applyWidthHeightFormats="1" dataCaption="Значения" tag="21fcb559-7fd9-4622-89e4-3617b72ee9fa" updatedVersion="8" minRefreshableVersion="3" showDrill="0" subtotalHiddenItems="1" rowGrandTotals="0" colGrandTotals="0" itemPrintTitles="1" createdVersion="5" indent="0" showHeaders="0" outline="1" outlineData="1" multipleFieldFilters="0">
  <location ref="A2:P79" firstHeaderRow="0" firstDataRow="1" firstDataCol="1"/>
  <pivotFields count="17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sortType="descending" defaultAttributeDrillState="1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axis="axisRow" allDrilled="1" subtotalTop="0" showAll="0" sortType="descending" defaultAttributeDrillState="1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2">
    <field x="10"/>
    <field x="13"/>
  </rowFields>
  <rowItems count="77">
    <i>
      <x/>
    </i>
    <i r="1">
      <x/>
    </i>
    <i t="default">
      <x/>
    </i>
    <i>
      <x v="1"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</i>
    <i r="1">
      <x v="6"/>
    </i>
    <i r="1">
      <x v="7"/>
    </i>
    <i r="1">
      <x v="8"/>
    </i>
    <i r="1">
      <x v="9"/>
    </i>
    <i r="1">
      <x v="10"/>
    </i>
    <i t="default">
      <x v="2"/>
    </i>
    <i>
      <x v="3"/>
    </i>
    <i r="1">
      <x v="11"/>
    </i>
    <i r="1">
      <x v="12"/>
    </i>
    <i r="1">
      <x v="13"/>
    </i>
    <i r="1">
      <x v="14"/>
    </i>
    <i r="1">
      <x v="15"/>
    </i>
    <i t="default">
      <x v="3"/>
    </i>
    <i>
      <x v="4"/>
    </i>
    <i r="1">
      <x v="16"/>
    </i>
    <i r="1">
      <x v="17"/>
    </i>
    <i r="1">
      <x v="18"/>
    </i>
    <i r="1">
      <x v="19"/>
    </i>
    <i r="1">
      <x v="20"/>
    </i>
    <i t="default">
      <x v="4"/>
    </i>
    <i>
      <x v="5"/>
    </i>
    <i r="1">
      <x v="21"/>
    </i>
    <i r="1">
      <x v="22"/>
    </i>
    <i r="1">
      <x v="23"/>
    </i>
    <i r="1">
      <x v="24"/>
    </i>
    <i r="1">
      <x v="25"/>
    </i>
    <i t="default">
      <x v="5"/>
    </i>
    <i>
      <x v="6"/>
    </i>
    <i r="1">
      <x v="26"/>
    </i>
    <i r="1">
      <x v="27"/>
    </i>
    <i r="1">
      <x v="28"/>
    </i>
    <i r="1">
      <x v="29"/>
    </i>
    <i r="1">
      <x v="30"/>
    </i>
    <i t="default">
      <x v="6"/>
    </i>
    <i>
      <x v="7"/>
    </i>
    <i r="1">
      <x v="31"/>
    </i>
    <i r="1">
      <x v="32"/>
    </i>
    <i r="1">
      <x v="33"/>
    </i>
    <i r="1">
      <x v="34"/>
    </i>
    <i r="1">
      <x v="35"/>
    </i>
    <i t="default">
      <x v="7"/>
    </i>
    <i>
      <x v="8"/>
    </i>
    <i r="1">
      <x v="36"/>
    </i>
    <i r="1">
      <x v="37"/>
    </i>
    <i r="1">
      <x v="38"/>
    </i>
    <i r="1">
      <x v="39"/>
    </i>
    <i r="1">
      <x v="40"/>
    </i>
    <i t="default">
      <x v="8"/>
    </i>
    <i>
      <x v="9"/>
    </i>
    <i r="1">
      <x v="41"/>
    </i>
    <i r="1">
      <x v="42"/>
    </i>
    <i r="1">
      <x v="43"/>
    </i>
    <i r="1">
      <x v="44"/>
    </i>
    <i r="1">
      <x v="45"/>
    </i>
    <i t="default">
      <x v="9"/>
    </i>
    <i>
      <x v="10"/>
    </i>
    <i r="1">
      <x v="46"/>
    </i>
    <i r="1">
      <x v="47"/>
    </i>
    <i r="1">
      <x v="48"/>
    </i>
    <i r="1">
      <x v="49"/>
    </i>
    <i r="1">
      <x v="50"/>
    </i>
    <i t="default">
      <x v="10"/>
    </i>
    <i>
      <x v="11"/>
    </i>
    <i r="1">
      <x v="51"/>
    </i>
    <i r="1">
      <x v="52"/>
    </i>
    <i t="default">
      <x v="11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0" baseField="13" baseItem="3" numFmtId="178"/>
    <dataField name="Рутокен" fld="1" baseField="13" baseItem="2" numFmtId="178"/>
    <dataField name="Есмарт АРМ" fld="15" baseField="13" baseItem="3" numFmtId="178"/>
    <dataField name="Есмарт " fld="2" baseField="13" baseItem="2" numFmtId="178"/>
    <dataField name="Рутокен " fld="3" baseField="13" baseItem="2" numFmtId="178"/>
    <dataField name="Есмарт АРМ " fld="16" baseField="13" baseItem="3" numFmtId="178"/>
    <dataField name="Есмарт  " fld="4" baseField="13" baseItem="3" numFmtId="178"/>
    <dataField name="Рутокен  " fld="5" baseField="13" baseItem="2" numFmtId="178"/>
    <dataField name="Есмарт АРМ  " fld="14" baseField="13" baseItem="3" numFmtId="178"/>
    <dataField name="Есмарт   " fld="6" baseField="13" baseItem="1" numFmtId="178"/>
    <dataField name="Рутокен   " fld="7" baseField="13" baseItem="2" numFmtId="178"/>
    <dataField name="Есмарт АРМ   " fld="12" baseField="13" baseItem="1" numFmtId="178"/>
    <dataField name="Есмарт    " fld="8" baseField="13" baseItem="0" numFmtId="178"/>
    <dataField name="Рутокен    " fld="9" baseField="13" baseItem="2" numFmtId="178"/>
    <dataField name="Есмарт АРМ    " fld="11" baseField="13" baseItem="0" numFmtId="178"/>
  </dataFields>
  <formats count="38">
    <format dxfId="168">
      <pivotArea type="all" dataOnly="0" outline="0" fieldPosition="0"/>
    </format>
    <format dxfId="167">
      <pivotArea outline="0" collapsedLevelsAreSubtotals="1" fieldPosition="0"/>
    </format>
    <format dxfId="166">
      <pivotArea dataOnly="0" labelOnly="1" grandRow="1" outline="0" fieldPosition="0"/>
    </format>
    <format dxfId="165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164">
      <pivotArea outline="0" collapsedLevelsAreSubtotals="1" fieldPosition="0"/>
    </format>
    <format dxfId="163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16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6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6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5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5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56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55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54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15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52">
      <pivotArea outline="0" collapsedLevelsAreSubtotals="1" fieldPosition="0"/>
    </format>
    <format dxfId="151">
      <pivotArea outline="0" fieldPosition="0">
        <references count="1">
          <reference field="4294967294" count="1">
            <x v="1"/>
          </reference>
        </references>
      </pivotArea>
    </format>
    <format dxfId="150">
      <pivotArea outline="0" fieldPosition="0">
        <references count="1">
          <reference field="4294967294" count="1">
            <x v="0"/>
          </reference>
        </references>
      </pivotArea>
    </format>
    <format dxfId="149">
      <pivotArea outline="0" fieldPosition="0">
        <references count="1">
          <reference field="4294967294" count="1">
            <x v="2"/>
          </reference>
        </references>
      </pivotArea>
    </format>
    <format dxfId="148">
      <pivotArea outline="0" fieldPosition="0">
        <references count="1">
          <reference field="4294967294" count="1">
            <x v="3"/>
          </reference>
        </references>
      </pivotArea>
    </format>
    <format dxfId="147">
      <pivotArea outline="0" fieldPosition="0">
        <references count="1">
          <reference field="4294967294" count="1">
            <x v="4"/>
          </reference>
        </references>
      </pivotArea>
    </format>
    <format dxfId="146">
      <pivotArea outline="0" fieldPosition="0">
        <references count="1">
          <reference field="4294967294" count="1">
            <x v="5"/>
          </reference>
        </references>
      </pivotArea>
    </format>
    <format dxfId="145">
      <pivotArea outline="0" fieldPosition="0">
        <references count="1">
          <reference field="4294967294" count="1">
            <x v="6"/>
          </reference>
        </references>
      </pivotArea>
    </format>
    <format dxfId="144">
      <pivotArea outline="0" fieldPosition="0">
        <references count="1">
          <reference field="4294967294" count="1">
            <x v="7"/>
          </reference>
        </references>
      </pivotArea>
    </format>
    <format dxfId="143">
      <pivotArea outline="0" fieldPosition="0">
        <references count="1">
          <reference field="4294967294" count="1">
            <x v="8"/>
          </reference>
        </references>
      </pivotArea>
    </format>
    <format dxfId="142">
      <pivotArea outline="0" fieldPosition="0">
        <references count="1">
          <reference field="4294967294" count="1">
            <x v="9"/>
          </reference>
        </references>
      </pivotArea>
    </format>
    <format dxfId="141">
      <pivotArea outline="0" fieldPosition="0">
        <references count="1">
          <reference field="4294967294" count="1">
            <x v="10"/>
          </reference>
        </references>
      </pivotArea>
    </format>
    <format dxfId="140">
      <pivotArea outline="0" fieldPosition="0">
        <references count="1">
          <reference field="4294967294" count="1">
            <x v="11"/>
          </reference>
        </references>
      </pivotArea>
    </format>
    <format dxfId="139">
      <pivotArea outline="0" fieldPosition="0">
        <references count="1">
          <reference field="4294967294" count="1">
            <x v="12"/>
          </reference>
        </references>
      </pivotArea>
    </format>
    <format dxfId="138">
      <pivotArea outline="0" fieldPosition="0">
        <references count="1">
          <reference field="4294967294" count="1">
            <x v="13"/>
          </reference>
        </references>
      </pivotArea>
    </format>
    <format dxfId="137">
      <pivotArea outline="0" fieldPosition="0">
        <references count="1">
          <reference field="4294967294" count="1">
            <x v="14"/>
          </reference>
        </references>
      </pivotArea>
    </format>
    <format dxfId="136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135">
      <pivotArea outline="0" collapsedLevelsAreSubtotals="1" fieldPosition="0"/>
    </format>
    <format dxfId="13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3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1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1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</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/>
    <pivotHierarchy dragToData="1" caption="Есмарт "/>
    <pivotHierarchy dragToData="1" caption="Рутокен "/>
    <pivotHierarchy dragToData="1" caption="Есмарт  "/>
    <pivotHierarchy dragToData="1" caption="Рутокен  "/>
    <pivotHierarchy dragToData="1" caption="Есмарт   "/>
    <pivotHierarchy dragToData="1" caption="Рутокен   "/>
    <pivotHierarchy dragToData="1" caption="Есмарт    "/>
    <pivotHierarchy dragToData="1" caption="Рутокен 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4E9E-91B4-431A-B21D-AE05EA6E6298}" name="Сводная_Прибыль_без_Новака" cacheId="6" applyNumberFormats="0" applyBorderFormats="0" applyFontFormats="0" applyPatternFormats="0" applyAlignmentFormats="0" applyWidthHeightFormats="1" dataCaption="Значения" grandTotalCaption="Итог" tag="99191983-03a8-4dee-85e3-11224c8f948b" updatedVersion="8" minRefreshableVersion="3" showDrill="0" subtotalHiddenItems="1" itemPrintTitles="1" createdVersion="7" indent="0" showHeaders="0" outline="1" outlineData="1" multipleFieldFilters="0" chartFormat="10" rowHeaderCaption="Марж.Прибыль">
  <location ref="R18:V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2" numFmtId="177"/>
    <dataField name="Общая" fld="3" subtotal="count" baseField="0" baseItem="0"/>
  </dataFields>
  <formats count="19">
    <format dxfId="187">
      <pivotArea dataOnly="0" labelOnly="1" outline="0" axis="axisValues" fieldPosition="0"/>
    </format>
    <format dxfId="186">
      <pivotArea dataOnly="0" labelOnly="1" grandRow="1" outline="0" fieldPosition="0"/>
    </format>
    <format dxfId="185">
      <pivotArea outline="0" collapsedLevelsAreSubtotals="1" fieldPosition="0"/>
    </format>
    <format dxfId="184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8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82">
      <pivotArea type="all" dataOnly="0" outline="0" fieldPosition="0"/>
    </format>
    <format dxfId="181">
      <pivotArea outline="0" collapsedLevelsAreSubtotals="1" fieldPosition="0"/>
    </format>
    <format dxfId="180">
      <pivotArea field="0" type="button" dataOnly="0" labelOnly="1" outline="0" axis="axisRow" fieldPosition="0"/>
    </format>
    <format dxfId="179">
      <pivotArea dataOnly="0" labelOnly="1" fieldPosition="0">
        <references count="1">
          <reference field="0" count="0"/>
        </references>
      </pivotArea>
    </format>
    <format dxfId="178">
      <pivotArea dataOnly="0" labelOnly="1" grandRow="1" outline="0" fieldPosition="0"/>
    </format>
    <format dxfId="177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76">
      <pivotArea grandRow="1" outline="0" collapsedLevelsAreSubtotals="1" fieldPosition="0"/>
    </format>
    <format dxfId="175">
      <pivotArea dataOnly="0" labelOnly="1" grandRow="1" outline="0" fieldPosition="0"/>
    </format>
    <format dxfId="174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173">
      <pivotArea dataOnly="0" labelOnly="1" fieldPosition="0">
        <references count="1">
          <reference field="0" count="0"/>
        </references>
      </pivotArea>
    </format>
    <format dxfId="172">
      <pivotArea dataOnly="0" labelOnly="1" grandRow="1" outline="0" fieldPosition="0"/>
    </format>
    <format dxfId="171">
      <pivotArea dataOnly="0" labelOnly="1" fieldPosition="0">
        <references count="1">
          <reference field="0" count="0"/>
        </references>
      </pivotArea>
    </format>
    <format dxfId="170">
      <pivotArea dataOnly="0" labelOnly="1" grandRow="1" outline="0" fieldPosition="0"/>
    </format>
    <format dxfId="169">
      <pivotArea outline="0" fieldPosition="0">
        <references count="1">
          <reference field="4294967294" count="1">
            <x v="2"/>
          </reference>
        </references>
      </pivotArea>
    </format>
  </formats>
  <chartFormats count="8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0F2AB-0887-481F-BF18-75E36F592B45}" name="Сводная_Прибыль_Мес" cacheId="7" applyNumberFormats="0" applyBorderFormats="0" applyFontFormats="0" applyPatternFormats="0" applyAlignmentFormats="0" applyWidthHeightFormats="1" dataCaption="Значения" grandTotalCaption="Итог" tag="f54c6a92-f879-4177-bc31-60d532328e80" updatedVersion="8" minRefreshableVersion="3" showDrill="0" subtotalHiddenItems="1" itemPrintTitles="1" createdVersion="7" indent="0" showHeaders="0" outline="1" outlineData="1" multipleFieldFilters="0" chartFormat="7" rowHeaderCaption="Марж.Прибыль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16" baseField="0" baseItem="1" numFmtId="177"/>
    <dataField fld="15" subtotal="count" baseField="0" baseItem="0"/>
    <dataField name="Есмарт " fld="3" subtotal="count" baseField="0" baseItem="0"/>
    <dataField name="Рутокен " fld="4" subtotal="count" baseField="0" baseItem="0"/>
    <dataField name="Есмарт АРМ " fld="17" baseField="0" baseItem="1" numFmtId="177"/>
    <dataField name="Общая " fld="5" subtotal="count" baseField="0" baseItem="0"/>
    <dataField name="Есмарт  " fld="6" subtotal="count" baseField="0" baseItem="0"/>
    <dataField name="Рутокен  " fld="7" subtotal="count" baseField="0" baseItem="0"/>
    <dataField name=" Есмарт АРМ  " fld="20" baseField="0" baseItem="1" numFmtId="177"/>
    <dataField name="Общая  " fld="8" subtotal="count" baseField="0" baseItem="0"/>
    <dataField name="Есмарт   " fld="9" subtotal="count" baseField="0" baseItem="0"/>
    <dataField name="Рутокен   " fld="10" subtotal="count" baseField="0" baseItem="0"/>
    <dataField name="Есмарт АРМ   " fld="18" baseField="0" baseItem="1" numFmtId="177"/>
    <dataField name="Общая   " fld="11" subtotal="count" baseField="0" baseItem="0"/>
    <dataField name="Есмарт    " fld="12" subtotal="count" baseField="0" baseItem="0"/>
    <dataField name="Рутокен    " fld="13" subtotal="count" baseField="0" baseItem="0"/>
    <dataField name="Есмарт АРМ    " fld="19" baseField="0" baseItem="1" numFmtId="177"/>
    <dataField name="Общая    " fld="14" subtotal="count" baseField="0" baseItem="0"/>
  </dataFields>
  <formats count="57">
    <format dxfId="244">
      <pivotArea dataOnly="0" labelOnly="1" outline="0" axis="axisValues" fieldPosition="0"/>
    </format>
    <format dxfId="243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24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41">
      <pivotArea outline="0" collapsedLevelsAreSubtotals="1" fieldPosition="0"/>
    </format>
    <format dxfId="240">
      <pivotArea dataOnly="0" labelOnly="1" outline="0" fieldPosition="0">
        <references count="1">
          <reference field="4294967294" count="14">
            <x v="0"/>
            <x v="1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2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3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237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236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35">
      <pivotArea outline="0" collapsedLevelsAreSubtotals="1" fieldPosition="0">
        <references count="1">
          <reference field="4294967294" count="1" selected="0">
            <x v="16"/>
          </reference>
        </references>
      </pivotArea>
    </format>
    <format dxfId="234">
      <pivotArea outline="0" collapsedLevelsAreSubtotals="1" fieldPosition="0">
        <references count="1">
          <reference field="4294967294" count="1" selected="0">
            <x v="13"/>
          </reference>
        </references>
      </pivotArea>
    </format>
    <format dxfId="233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32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31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29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228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227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26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225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224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223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22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22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20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19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18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17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216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215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214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213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212">
      <pivotArea grandRow="1" outline="0" collapsedLevelsAreSubtotals="1" fieldPosition="0"/>
    </format>
    <format dxfId="211">
      <pivotArea dataOnly="0" labelOnly="1" grandRow="1" outline="0" fieldPosition="0"/>
    </format>
    <format dxfId="210">
      <pivotArea collapsedLevelsAreSubtotals="1" fieldPosition="0">
        <references count="2">
          <reference field="4294967294" count="1" selected="0">
            <x v="19"/>
          </reference>
          <reference field="0" count="0"/>
        </references>
      </pivotArea>
    </format>
    <format dxfId="20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08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207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206">
      <pivotArea outline="0" collapsedLevelsAreSubtotals="1" fieldPosition="0"/>
    </format>
    <format dxfId="205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204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20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02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201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200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199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198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197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196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195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194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9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192">
      <pivotArea outline="0" fieldPosition="0">
        <references count="1">
          <reference field="4294967294" count="1">
            <x v="2"/>
          </reference>
        </references>
      </pivotArea>
    </format>
    <format dxfId="191">
      <pivotArea outline="0" fieldPosition="0">
        <references count="1">
          <reference field="4294967294" count="1">
            <x v="6"/>
          </reference>
        </references>
      </pivotArea>
    </format>
    <format dxfId="190">
      <pivotArea outline="0" fieldPosition="0">
        <references count="1">
          <reference field="4294967294" count="1">
            <x v="10"/>
          </reference>
        </references>
      </pivotArea>
    </format>
    <format dxfId="189">
      <pivotArea outline="0" fieldPosition="0">
        <references count="1">
          <reference field="4294967294" count="1">
            <x v="14"/>
          </reference>
        </references>
      </pivotArea>
    </format>
    <format dxfId="188">
      <pivotArea outline="0" fieldPosition="0">
        <references count="1">
          <reference field="4294967294" count="1">
            <x v="18"/>
          </reference>
        </references>
      </pivotArea>
    </format>
  </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1DCA6-5AB4-419D-AA25-35CDD94EBB2E}" name="Продажи_Новак" displayName="Продажи_Новак" ref="A29:F98" totalsRowShown="0">
  <tableColumns count="6">
    <tableColumn id="1" xr3:uid="{578868DD-B2E9-4ED0-ABF3-0C44B1D02A9B}" name="Дата" dataDxfId="130"/>
    <tableColumn id="2" xr3:uid="{60F96626-B596-4FFF-AD8A-3B7B4AA11C9A}" name="Товар"/>
    <tableColumn id="3" xr3:uid="{48933181-6AE5-4D72-AEE3-2E97605EC6D1}" name="Кол-во"/>
    <tableColumn id="4" xr3:uid="{436A2121-8146-4666-A260-AA7EFFC7F1DA}" name="Выручка" dataDxfId="129">
      <calculatedColumnFormula array="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calculatedColumnFormula>
    </tableColumn>
    <tableColumn id="5" xr3:uid="{2D79F1CE-9C30-4AF9-9D66-DDF897E3F186}" name="Закупка 1шт" dataDxfId="128"/>
    <tableColumn id="6" xr3:uid="{BFFC3C43-597E-4E17-AFF0-3EC379816C8A}" name="Прибыль" dataDxfId="127">
      <calculatedColumnFormula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calculatedColumnFormula>
    </tableColumn>
  </tableColumns>
  <tableStyleInfo name="Столь ФНС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64429F-5536-4988-9F3E-043C6C5C7A0D}" name="КолНовак" displayName="КолНовак" ref="I29:M42" totalsRowShown="0" headerRowDxfId="126" headerRowBorderDxfId="125" tableBorderDxfId="124" totalsRowBorderDxfId="123">
  <autoFilter ref="I29:M42" xr:uid="{7364429F-5536-4988-9F3E-043C6C5C7A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1986CDA-3004-4F69-BF7C-EC2C062B95A6}" name="Месяц" dataDxfId="122"/>
    <tableColumn id="2" xr3:uid="{0FF96616-40FC-4B9F-8152-F882FF0AE5F5}" name="Есмарт" dataDxfId="121"/>
    <tableColumn id="3" xr3:uid="{1A5D24C2-722C-43FF-BD64-462B553B252E}" name="Рутокен" dataDxfId="120">
      <calculatedColumnFormula array="1">SUMPRODUCT(IFERROR(SEARCH(КолНовак[[#This Row],[Месяц]],TEXT(Продажи_Новак[Дата],"ММММ")),0),--(Продажи_Новак[Товар]=КолНовак[[#Headers],[Рутокен]]),Продажи_Новак[Кол-во])</calculatedColumnFormula>
    </tableColumn>
    <tableColumn id="4" xr3:uid="{779F567D-F909-4A42-BB60-F2A7C50BABCB}" name="Есмарт АРМ" dataDxfId="119">
      <calculatedColumnFormula array="1">SUMPRODUCT(IFERROR(SEARCH(КолНовак[[#This Row],[Месяц]],TEXT(Продажи_Новак[Дата],"ММММ")),0),--(Продажи_Новак[Товар]=КолНовак[[#Headers],[Есмарт АРМ]]),Продажи_Новак[Кол-во])</calculatedColumnFormula>
    </tableColumn>
    <tableColumn id="5" xr3:uid="{03D75B5E-C1AF-446C-A0E9-2D8B729E8672}" name="Итого" dataDxfId="118">
      <calculatedColumnFormula>SUM(J30:L30)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71232-BA35-494E-9ADA-111E8DC4FC77}" name="СреднееНовак" displayName="СреднееНовак" ref="I46:M59" totalsRowShown="0" headerRowDxfId="117" headerRowBorderDxfId="116" tableBorderDxfId="115" totalsRowBorderDxfId="114">
  <autoFilter ref="I46:M59" xr:uid="{11071232-BA35-494E-9ADA-111E8DC4FC7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73E365-0930-4A01-80AE-9C2439E4503B}" name="Месяц" dataDxfId="113"/>
    <tableColumn id="2" xr3:uid="{BDC040E1-88F3-462B-9C2A-254E0D4A315D}" name="Есмарт" dataDxfId="112">
      <calculatedColumnFormula array="1">IFERROR(J30/SUMPRODUCT(IF(TEXT(Продажи_Новак[Дата],"ММММ")=$I47,1,0),IF(Продажи_Новак[Товар]="Есмарт",1,0)),"")</calculatedColumnFormula>
    </tableColumn>
    <tableColumn id="3" xr3:uid="{596A714B-B7CB-4B37-93CD-5FAADCBD3109}" name="Рутокен" dataDxfId="111"/>
    <tableColumn id="4" xr3:uid="{3F1CBD3E-8CFC-42A2-87BD-692ABD86CADF}" name="Есмарт АРМ" dataDxfId="110">
      <calculatedColumnFormula array="1">IFERROR(L30/SUMPRODUCT(IF(TEXT(_xlfn.UNIQUE(Продажи_Новак[Дата]),"ММММ")=$I47,1,0)),"")</calculatedColumnFormula>
    </tableColumn>
    <tableColumn id="5" xr3:uid="{319D418F-162A-4A23-BB2E-C298938370E8}" name="Итого" dataDxfId="109">
      <calculatedColumnFormula>SUM(СреднееНовак[[#This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C6177-AED7-4185-BF01-BAAEAB8009DA}" name="Продажи_Засек" displayName="Продажи_Засек" ref="A29:F106" totalsRowShown="0">
  <tableColumns count="6">
    <tableColumn id="1" xr3:uid="{8B680714-4F66-4C1D-AE97-763539AB22C7}" name="Дата" dataDxfId="108"/>
    <tableColumn id="2" xr3:uid="{0AE67E32-6325-416B-8E36-CA815D309C37}" name="Товар"/>
    <tableColumn id="3" xr3:uid="{F514E6FC-CF44-4196-85AB-1F81EA481E9C}" name="Кол-во"/>
    <tableColumn id="4" xr3:uid="{6D563000-4B29-4299-A5B0-B3513A427ECF}" name="Выручка" dataDxfId="107">
      <calculatedColumnFormula array="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calculatedColumnFormula>
    </tableColumn>
    <tableColumn id="5" xr3:uid="{75E479D8-FEAF-4A7C-A294-E9E4ED0FA6B2}" name="Закупка 1шт" dataDxfId="106"/>
    <tableColumn id="6" xr3:uid="{F8BC74DC-C236-4B3E-B887-23B4E7B44D7B}" name="Прибыль" dataDxfId="105">
      <calculatedColumnFormula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calculatedColumnFormula>
    </tableColumn>
  </tableColumns>
  <tableStyleInfo name="Столь ФНС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A9BBE-73B6-4807-B088-57E6999F6C7F}" name="КолЗасек" displayName="КолЗасек" ref="I29:M42" totalsRowShown="0" headerRowDxfId="104" headerRowBorderDxfId="103" tableBorderDxfId="102" totalsRowBorderDxfId="101">
  <tableColumns count="5">
    <tableColumn id="1" xr3:uid="{4875B3A7-AB2B-4DC5-9DA7-D810B26376D9}" name="Месяц" dataDxfId="100"/>
    <tableColumn id="2" xr3:uid="{718B888B-B95E-444F-8C25-E8B636E2A0DF}" name="Есмарт" dataDxfId="99"/>
    <tableColumn id="3" xr3:uid="{9F4A7E7B-5783-4982-80C3-79DD798A4A1B}" name="Рутокен" dataDxfId="98"/>
    <tableColumn id="4" xr3:uid="{05328864-D680-452A-8DAC-118A76670F5B}" name="Есмарт АРМ" dataDxfId="97"/>
    <tableColumn id="5" xr3:uid="{C1FC0CDC-BEA1-46BC-9CF9-1A46A78D3921}" name="Итого" dataDxfId="96">
      <calculatedColumnFormula>SUM(J30:L30)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61947-B9F9-4533-8FB3-AA3AE32BB9C2}" name="СреднееЗасек" displayName="СреднееЗасек" ref="I46:M59" totalsRowShown="0" headerRowDxfId="95" headerRowBorderDxfId="94" tableBorderDxfId="93" totalsRowBorderDxfId="92">
  <tableColumns count="5">
    <tableColumn id="1" xr3:uid="{411632BC-79BB-4928-91F6-CEB5AFB64CFB}" name="Месяц" dataDxfId="91"/>
    <tableColumn id="2" xr3:uid="{B20EF4E5-09B5-448B-AC5D-61A05ADFA4C5}" name="Есмарт" dataDxfId="90">
      <calculatedColumnFormula array="1">IFERROR(J30/SUMPRODUCT(IF(TEXT(Продажи_Новак[Дата],"ММММ")=$I47,1,0),IF(Продажи_Новак[Товар]="Есмарт",1,0)),"")</calculatedColumnFormula>
    </tableColumn>
    <tableColumn id="3" xr3:uid="{AC2F3E30-F41F-43D9-85B7-D8FE532A4F7A}" name="Рутокен" dataDxfId="89"/>
    <tableColumn id="4" xr3:uid="{1FA2C02E-6382-44E4-A6EA-24EB244F3A2F}" name="Есмарт АРМ" dataDxfId="88">
      <calculatedColumnFormula>L30/COUNT(_xlfn.UNIQUE(Продажи_Засек[Дата]))</calculatedColumnFormula>
    </tableColumn>
    <tableColumn id="5" xr3:uid="{55D7AC60-84B5-4816-AA9F-FE0BE0543A5C}" name="Итого" dataDxfId="87">
      <calculatedColumnFormula>SUM(СреднееЗасек[[#This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ABF7E-445C-49DB-9ED3-30A8E4D4A513}" name="Продажи_Тол" displayName="Продажи_Тол" ref="A29:F111" totalsRowShown="0">
  <autoFilter ref="A29:F111" xr:uid="{59CABF7E-445C-49DB-9ED3-30A8E4D4A513}"/>
  <tableColumns count="6">
    <tableColumn id="1" xr3:uid="{8FA63E1D-54FD-4524-9E3D-FF57C4DE4A1C}" name="Дата" dataDxfId="86"/>
    <tableColumn id="2" xr3:uid="{141C6C4F-6957-428F-BE3A-AC7AE03B9C9D}" name="Товар"/>
    <tableColumn id="3" xr3:uid="{6C573979-BF99-470E-9C93-707D383CF2EB}" name="Кол-во"/>
    <tableColumn id="4" xr3:uid="{3904AD69-4052-4F9D-89E8-E8CA8A5F82E7}" name="Выручка" dataDxfId="85" dataCellStyle="Денежный">
      <calculatedColumnFormula array="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calculatedColumnFormula>
    </tableColumn>
    <tableColumn id="5" xr3:uid="{3753B733-9950-4B8C-9C65-550A3F43B542}" name="Закупка 1шт" dataDxfId="84" dataCellStyle="Денежный"/>
    <tableColumn id="6" xr3:uid="{67AE912A-7D80-4A69-9260-CCF1D823F003}" name="Прибыль" dataDxfId="83" dataCellStyle="Денежный">
      <calculatedColumnFormula>Продажи_Тол[[#This Row],[Выручка]]-Продажи_Тол[[#This Row],[Выручка]]*$Q$3-Продажи_Тол[[#This Row],[Закупка 1шт]]*Продажи_Тол[[#This Row],[Кол-во]]-Продажи_Тол[[#This Row],[Кол-во]]*8.7</calculatedColumnFormula>
    </tableColumn>
  </tableColumns>
  <tableStyleInfo name="Столь ФНС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93E8B7-544A-48D0-AF08-5AEBAA2300C0}" name="КолТол" displayName="КолТол" ref="I29:M42" totalsRowShown="0" headerRowDxfId="82" headerRowBorderDxfId="81" tableBorderDxfId="80" totalsRowBorderDxfId="79">
  <tableColumns count="5">
    <tableColumn id="1" xr3:uid="{2DF2ED2D-F807-4EF1-B881-6CA9D8CE18A5}" name="Месяц" dataDxfId="78"/>
    <tableColumn id="2" xr3:uid="{7EB21553-EC99-4EE6-9F39-CD8F0BB0C427}" name="Есмарт" dataDxfId="77"/>
    <tableColumn id="3" xr3:uid="{0F4C75FB-2AAC-4B4E-A845-9E168C0B71D9}" name="Рутокен" dataDxfId="76"/>
    <tableColumn id="4" xr3:uid="{9BB0851E-66D9-4C32-A820-9C732488173C}" name="Есмарт АРМ" dataDxfId="75"/>
    <tableColumn id="5" xr3:uid="{6771DE05-8948-452C-9F08-F6215911A908}" name="Итого" dataDxfId="74">
      <calculatedColumnFormula>SUM(J30:L30)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01DE50-40DA-4F38-869E-1F20520DF25B}" name="СреднееТол" displayName="СреднееТол" ref="I46:M59" totalsRowShown="0" headerRowDxfId="73" headerRowBorderDxfId="72" tableBorderDxfId="71" totalsRowBorderDxfId="70">
  <tableColumns count="5">
    <tableColumn id="1" xr3:uid="{1384CF9A-C0EC-4338-80E2-4FDC74EB4071}" name="Месяц" dataDxfId="69"/>
    <tableColumn id="2" xr3:uid="{ED9CC583-D03A-4D31-A38F-2429DAF27D18}" name="Есмарт" dataDxfId="68">
      <calculatedColumnFormula array="1">IFERROR(J30/SUMPRODUCT(IF(TEXT(Продажи_Новак[Дата],"ММММ")=$I47,1,0),IF(Продажи_Новак[Товар]="Есмарт",1,0)),"")</calculatedColumnFormula>
    </tableColumn>
    <tableColumn id="3" xr3:uid="{566FBEDF-F4AF-4D0D-90C0-675C8053E4C0}" name="Рутокен" dataDxfId="67"/>
    <tableColumn id="4" xr3:uid="{FA888281-56D0-4318-928C-24AB1885E989}" name="Есмарт АРМ" dataDxfId="66">
      <calculatedColumnFormula>L30/COUNT(_xlfn.UNIQUE(Продажи_Тол[Дата]))</calculatedColumnFormula>
    </tableColumn>
    <tableColumn id="5" xr3:uid="{A6C872EF-91BA-4C31-97CC-FA6F2A81D92D}" name="Итого" dataDxfId="65">
      <calculatedColumnFormula>SUM(СреднееТол[[#This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3FE766-42E4-49D5-A367-B60827302560}" name="Продажи_Мичурина" displayName="Продажи_Мичурина" ref="A29:F108" totalsRowShown="0">
  <autoFilter ref="A29:F108" xr:uid="{1A3FE766-42E4-49D5-A367-B60827302560}"/>
  <tableColumns count="6">
    <tableColumn id="1" xr3:uid="{925A267B-060C-4AC2-B467-C71EFB4EF449}" name="Дата" dataDxfId="64"/>
    <tableColumn id="2" xr3:uid="{A6B42263-3E05-49D7-B16B-2DBC80B4E741}" name="Товар"/>
    <tableColumn id="3" xr3:uid="{AA378AE1-20F6-4DD7-9A4B-9D2729981CBB}" name="Кол-во"/>
    <tableColumn id="4" xr3:uid="{621891FA-FB7F-473D-B3FD-8D9B59364BE4}" name="Выручка" dataDxfId="63" dataCellStyle="Денежный">
      <calculatedColumnFormula array="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calculatedColumnFormula>
    </tableColumn>
    <tableColumn id="5" xr3:uid="{DF4DC419-F07E-49ED-8CB0-787EC0974441}" name="Закупка 1шт" dataDxfId="62" dataCellStyle="Денежный"/>
    <tableColumn id="6" xr3:uid="{9171D262-C4F8-4024-9494-C1E006D4A591}" name="Прибыль" dataDxfId="61" dataCellStyle="Денежный">
      <calculatedColumnFormula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calculatedColumnFormula>
    </tableColumn>
  </tableColumns>
  <tableStyleInfo name="Столь ФНС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2C1181-61F8-4DBD-BBDD-65B964085D66}" name="КолМичурина" displayName="КолМичурина" ref="I29:M42" totalsRowShown="0" headerRowDxfId="60" headerRowBorderDxfId="59" tableBorderDxfId="58" totalsRowBorderDxfId="57">
  <tableColumns count="5">
    <tableColumn id="1" xr3:uid="{F522F438-710E-43DA-97BA-1924F9F9EBD4}" name="Месяц" dataDxfId="56"/>
    <tableColumn id="2" xr3:uid="{F7165B55-FA18-4A02-8D0A-920D11D49180}" name="Есмарт" dataDxfId="55"/>
    <tableColumn id="3" xr3:uid="{54164829-97FD-4CC5-9351-3FB0697B865B}" name="Рутокен" dataDxfId="54"/>
    <tableColumn id="4" xr3:uid="{12CCDE76-569E-48BD-B1A4-A12F8CE547CF}" name="Есмарт АРМ" dataDxfId="53"/>
    <tableColumn id="5" xr3:uid="{1B38A4EA-0E7C-4D13-9F1C-18055D71F437}" name="Итого" dataDxfId="52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97E730-F2E5-403F-BD37-47F1AB7EC944}" name="СреднееМичурина" displayName="СреднееМичурина" ref="I46:M59" totalsRowShown="0" headerRowDxfId="51" headerRowBorderDxfId="50" tableBorderDxfId="49" totalsRowBorderDxfId="48">
  <tableColumns count="5">
    <tableColumn id="1" xr3:uid="{5F2FC28C-2DC8-49A3-917C-AABFE61B7630}" name="Месяц" dataDxfId="47"/>
    <tableColumn id="2" xr3:uid="{89DD3F05-90DC-4457-B5E8-31EAF9DA8AA1}" name="Есмарт" dataDxfId="46">
      <calculatedColumnFormula array="1">IFERROR(J30/SUMPRODUCT(IF(TEXT(Продажи_Новак[Дата],"ММММ")=$I47,1,0),IF(Продажи_Новак[Товар]="Есмарт",1,0)),"")</calculatedColumnFormula>
    </tableColumn>
    <tableColumn id="3" xr3:uid="{588111ED-D614-41DA-8878-261C58B5AEEF}" name="Рутокен" dataDxfId="45"/>
    <tableColumn id="4" xr3:uid="{729E609A-B8E6-4092-8762-A104ACF743D2}" name="Есмарт АРМ" dataDxfId="44">
      <calculatedColumnFormula>L30/COUNT(_xlfn.UNIQUE(Продажи_Мичурина[Дата]))</calculatedColumnFormula>
    </tableColumn>
    <tableColumn id="5" xr3:uid="{A854AD21-5F16-45A0-A430-1EC890240FE6}" name="Итого" dataDxfId="43">
      <calculatedColumnFormula>SUM(СреднееМичурина[[#This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499C7FB-B2EE-434B-9DBA-8AEE200D62CD}" name="Продажи_Сызрань" displayName="Продажи_Сызрань" ref="A29:F96" totalsRowShown="0" headerRowDxfId="42">
  <autoFilter ref="A29:F96" xr:uid="{0499C7FB-B2EE-434B-9DBA-8AEE200D62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1A26834-02DB-434D-AF34-7C582769DE53}" name="Дата" dataDxfId="41"/>
    <tableColumn id="2" xr3:uid="{8927202A-B655-4F2F-AB6E-442F9D68CE74}" name="Товар"/>
    <tableColumn id="3" xr3:uid="{220E5E89-3618-4816-9726-3DB44F66C280}" name="Кол-во"/>
    <tableColumn id="4" xr3:uid="{E9E7ABAA-E6A5-4E38-90F4-316DEC02129F}" name="Выручка" dataDxfId="40" dataCellStyle="Денежный">
      <calculatedColumnFormula array="1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calculatedColumnFormula>
    </tableColumn>
    <tableColumn id="5" xr3:uid="{758DEE2E-E40A-4CB8-B360-461686233EA8}" name="Закупка 1шт" dataDxfId="39" dataCellStyle="Денежный"/>
    <tableColumn id="6" xr3:uid="{A1E56A85-BE96-49C7-8CAD-9D916CDCCDD2}" name="Прибыль" dataDxfId="38" dataCellStyle="Денежный">
      <calculatedColumnFormula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calculatedColumnFormula>
    </tableColumn>
  </tableColumns>
  <tableStyleInfo name="Столь ФНС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8DC8CFD-752A-498D-BD38-B9B40934422A}" name="КолСызрань" displayName="КолСызрань" ref="I29:M42" totalsRowShown="0" headerRowDxfId="37" headerRowBorderDxfId="36" tableBorderDxfId="35" totalsRowBorderDxfId="34">
  <tableColumns count="5">
    <tableColumn id="1" xr3:uid="{D7ABD01A-F8DF-4F3A-BD06-E103CC800E7A}" name="Месяц" dataDxfId="33"/>
    <tableColumn id="2" xr3:uid="{8CC0187E-C9B4-4614-9E58-7F0CC2B40E67}" name="Есмарт" dataDxfId="32"/>
    <tableColumn id="3" xr3:uid="{29475E88-7E21-4E04-AE3A-FC32C9480A54}" name="Рутокен" dataDxfId="31"/>
    <tableColumn id="4" xr3:uid="{451C5C02-3BBA-491C-9BC7-BF314089378D}" name="Есмарт АРМ" dataDxfId="30"/>
    <tableColumn id="5" xr3:uid="{469B0013-91F3-4DAB-8490-A010DBA5C267}" name="Итого" dataDxfId="29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B524AC-A42C-4532-8AF6-7242CE23758F}" name="СреднееСызрань" displayName="СреднееСызрань" ref="I46:M59" totalsRowShown="0" headerRowDxfId="28" headerRowBorderDxfId="27" tableBorderDxfId="26" totalsRowBorderDxfId="25">
  <tableColumns count="5">
    <tableColumn id="1" xr3:uid="{E17B3862-2881-4089-B849-7D0F0E54F6CC}" name="Месяц" dataDxfId="24"/>
    <tableColumn id="2" xr3:uid="{0E110E67-73E2-400F-8D60-0CCBA8FFC1E0}" name="Есмарт" dataDxfId="23">
      <calculatedColumnFormula array="1">IFERROR(J30/SUMPRODUCT(IF(TEXT(Продажи_Новак[Дата],"ММММ")=$I47,1,0),IF(Продажи_Новак[Товар]="Есмарт",1,0)),"")</calculatedColumnFormula>
    </tableColumn>
    <tableColumn id="3" xr3:uid="{45CFBC40-B5AE-49A7-9FCF-71A9B9092AAF}" name="Рутокен" dataDxfId="22"/>
    <tableColumn id="4" xr3:uid="{FCFC2C38-86EA-45D0-A660-2184552DAD15}" name="Есмарт АРМ" dataDxfId="21">
      <calculatedColumnFormula>L30/COUNT(_xlfn.UNIQUE(Продажи_Сызрань[Дата]))</calculatedColumnFormula>
    </tableColumn>
    <tableColumn id="5" xr3:uid="{683FA009-8487-428D-8586-0C3F6FC7878E}" name="Итого" dataDxfId="20">
      <calculatedColumnFormula>SUM(СреднееСызрань[[#This Row],[Есмарт]:[Есмарт АРМ]])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3.vml"/><Relationship Id="rId5" Type="http://schemas.openxmlformats.org/officeDocument/2006/relationships/comments" Target="../comments3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4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5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B99F-107F-462D-87F8-09E68AF138FB}">
  <sheetPr codeName="Лист1"/>
  <dimension ref="A1"/>
  <sheetViews>
    <sheetView showGridLines="0" tabSelected="1" topLeftCell="A5" zoomScale="90" zoomScaleNormal="90" workbookViewId="0">
      <selection activeCell="AE17" sqref="AE17"/>
    </sheetView>
  </sheetViews>
  <sheetFormatPr defaultRowHeight="15" x14ac:dyDescent="0.25"/>
  <cols>
    <col min="4" max="4" width="10.28515625" customWidth="1"/>
    <col min="5" max="13" width="10.28515625"/>
    <col min="14" max="14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C83B-0C03-4E5B-AB8D-9CFC3A744F37}">
  <sheetPr codeName="Лист2"/>
  <dimension ref="A1:AS168"/>
  <sheetViews>
    <sheetView workbookViewId="0">
      <selection activeCell="Q13" sqref="Q13"/>
    </sheetView>
  </sheetViews>
  <sheetFormatPr defaultRowHeight="15" x14ac:dyDescent="0.25"/>
  <cols>
    <col min="1" max="1" width="17.28515625" bestFit="1" customWidth="1"/>
    <col min="2" max="3" width="9.5703125" style="105" customWidth="1"/>
    <col min="4" max="4" width="11.85546875" style="105" bestFit="1" customWidth="1"/>
    <col min="5" max="5" width="10.5703125" style="105" customWidth="1"/>
    <col min="6" max="6" width="8.7109375" style="105" customWidth="1"/>
    <col min="7" max="7" width="12.28515625" style="105" bestFit="1" customWidth="1"/>
    <col min="8" max="8" width="10.28515625" style="105" customWidth="1"/>
    <col min="9" max="9" width="9.7109375" style="105" bestFit="1" customWidth="1"/>
    <col min="10" max="11" width="13.28515625" style="105" bestFit="1" customWidth="1"/>
    <col min="12" max="12" width="10.140625" style="106" bestFit="1" customWidth="1"/>
    <col min="13" max="13" width="13.7109375" style="106" bestFit="1" customWidth="1"/>
    <col min="14" max="16" width="13.7109375" style="106" customWidth="1"/>
    <col min="17" max="17" width="10.140625" customWidth="1"/>
    <col min="18" max="18" width="17.28515625" bestFit="1" customWidth="1"/>
    <col min="19" max="19" width="8.42578125" customWidth="1"/>
    <col min="20" max="20" width="9.5703125" customWidth="1"/>
    <col min="21" max="21" width="11.85546875" bestFit="1" customWidth="1"/>
    <col min="22" max="22" width="10.42578125" bestFit="1" customWidth="1"/>
    <col min="23" max="24" width="8.85546875" bestFit="1" customWidth="1"/>
    <col min="25" max="25" width="12.28515625" bestFit="1" customWidth="1"/>
    <col min="26" max="26" width="7.85546875" bestFit="1" customWidth="1"/>
    <col min="27" max="27" width="9" customWidth="1"/>
    <col min="28" max="28" width="8.28515625" customWidth="1"/>
    <col min="29" max="29" width="12.7109375" bestFit="1" customWidth="1"/>
    <col min="30" max="30" width="8.28515625" bestFit="1" customWidth="1"/>
    <col min="31" max="31" width="8.7109375" customWidth="1"/>
    <col min="32" max="32" width="9.7109375" customWidth="1"/>
    <col min="33" max="33" width="13.28515625" bestFit="1" customWidth="1"/>
    <col min="34" max="34" width="8.7109375" bestFit="1" customWidth="1"/>
    <col min="35" max="35" width="9" bestFit="1" customWidth="1"/>
    <col min="36" max="36" width="10.140625" bestFit="1" customWidth="1"/>
    <col min="37" max="37" width="13.7109375" bestFit="1" customWidth="1"/>
    <col min="38" max="39" width="8.42578125" customWidth="1"/>
    <col min="40" max="40" width="13.28515625" customWidth="1"/>
    <col min="41" max="41" width="11.42578125" customWidth="1"/>
    <col min="42" max="42" width="13.42578125" customWidth="1"/>
    <col min="43" max="43" width="13.28515625" customWidth="1"/>
    <col min="44" max="54" width="20.85546875" bestFit="1" customWidth="1"/>
    <col min="55" max="55" width="11.85546875" bestFit="1" customWidth="1"/>
  </cols>
  <sheetData>
    <row r="1" spans="1:45" ht="16.5" thickBot="1" x14ac:dyDescent="0.3">
      <c r="A1" s="84"/>
      <c r="B1" s="252" t="s">
        <v>0</v>
      </c>
      <c r="C1" s="253"/>
      <c r="D1" s="254"/>
      <c r="E1" s="252" t="s">
        <v>1</v>
      </c>
      <c r="F1" s="253"/>
      <c r="G1" s="254"/>
      <c r="H1" s="252" t="s">
        <v>2</v>
      </c>
      <c r="I1" s="253"/>
      <c r="J1" s="254"/>
      <c r="K1" s="252" t="s">
        <v>3</v>
      </c>
      <c r="L1" s="253"/>
      <c r="M1" s="254"/>
      <c r="N1" s="252" t="s">
        <v>4</v>
      </c>
      <c r="O1" s="253"/>
      <c r="P1" s="254"/>
      <c r="R1" s="132" t="s">
        <v>5</v>
      </c>
      <c r="S1" s="249" t="s">
        <v>0</v>
      </c>
      <c r="T1" s="250"/>
      <c r="U1" s="250"/>
      <c r="V1" s="251"/>
      <c r="W1" s="246" t="s">
        <v>1</v>
      </c>
      <c r="X1" s="247"/>
      <c r="Y1" s="247"/>
      <c r="Z1" s="248"/>
      <c r="AA1" s="249" t="s">
        <v>2</v>
      </c>
      <c r="AB1" s="250"/>
      <c r="AC1" s="250"/>
      <c r="AD1" s="251"/>
      <c r="AE1" s="249" t="s">
        <v>3</v>
      </c>
      <c r="AF1" s="250"/>
      <c r="AG1" s="250"/>
      <c r="AH1" s="251"/>
      <c r="AI1" s="246" t="s">
        <v>4</v>
      </c>
      <c r="AJ1" s="247"/>
      <c r="AK1" s="247"/>
      <c r="AL1" s="248"/>
      <c r="AN1" s="244" t="s">
        <v>6</v>
      </c>
      <c r="AO1" s="245"/>
      <c r="AP1" s="245"/>
      <c r="AQ1" s="245"/>
      <c r="AR1" s="245"/>
      <c r="AS1" s="89"/>
    </row>
    <row r="2" spans="1:45" ht="15.75" thickBot="1" x14ac:dyDescent="0.3">
      <c r="B2" s="231" t="s">
        <v>7</v>
      </c>
      <c r="C2" s="105" t="s">
        <v>8</v>
      </c>
      <c r="D2" s="39" t="s">
        <v>125</v>
      </c>
      <c r="E2" s="231" t="s">
        <v>9</v>
      </c>
      <c r="F2" s="105" t="s">
        <v>10</v>
      </c>
      <c r="G2" s="39" t="s">
        <v>148</v>
      </c>
      <c r="H2" s="231" t="s">
        <v>11</v>
      </c>
      <c r="I2" s="105" t="s">
        <v>12</v>
      </c>
      <c r="J2" s="39" t="s">
        <v>145</v>
      </c>
      <c r="K2" s="231" t="s">
        <v>13</v>
      </c>
      <c r="L2" s="105" t="s">
        <v>14</v>
      </c>
      <c r="M2" s="239" t="s">
        <v>127</v>
      </c>
      <c r="N2" s="231" t="s">
        <v>15</v>
      </c>
      <c r="O2" s="105" t="s">
        <v>16</v>
      </c>
      <c r="P2" s="240" t="s">
        <v>126</v>
      </c>
      <c r="S2" s="141" t="s">
        <v>7</v>
      </c>
      <c r="T2" s="142" t="s">
        <v>8</v>
      </c>
      <c r="U2" s="142" t="s">
        <v>125</v>
      </c>
      <c r="V2" s="144" t="s">
        <v>17</v>
      </c>
      <c r="W2" s="141" t="s">
        <v>9</v>
      </c>
      <c r="X2" s="142" t="s">
        <v>10</v>
      </c>
      <c r="Y2" s="153" t="s">
        <v>148</v>
      </c>
      <c r="Z2" s="144" t="s">
        <v>18</v>
      </c>
      <c r="AA2" s="141" t="s">
        <v>11</v>
      </c>
      <c r="AB2" s="142" t="s">
        <v>12</v>
      </c>
      <c r="AC2" s="153" t="s">
        <v>145</v>
      </c>
      <c r="AD2" s="144" t="s">
        <v>19</v>
      </c>
      <c r="AE2" s="141" t="s">
        <v>13</v>
      </c>
      <c r="AF2" s="142" t="s">
        <v>14</v>
      </c>
      <c r="AG2" s="153" t="s">
        <v>127</v>
      </c>
      <c r="AH2" s="144" t="s">
        <v>20</v>
      </c>
      <c r="AI2" s="141" t="s">
        <v>15</v>
      </c>
      <c r="AJ2" s="142" t="s">
        <v>16</v>
      </c>
      <c r="AK2" s="145" t="s">
        <v>126</v>
      </c>
      <c r="AL2" s="144" t="s">
        <v>21</v>
      </c>
      <c r="AM2" s="129"/>
      <c r="AN2" s="89"/>
      <c r="AO2" s="92" t="s">
        <v>7</v>
      </c>
      <c r="AP2" s="135" t="s">
        <v>8</v>
      </c>
      <c r="AQ2" s="93" t="s">
        <v>125</v>
      </c>
      <c r="AR2" s="133" t="s">
        <v>17</v>
      </c>
    </row>
    <row r="3" spans="1:45" x14ac:dyDescent="0.25">
      <c r="A3" s="122" t="s">
        <v>150</v>
      </c>
      <c r="B3" s="232"/>
      <c r="C3" s="206"/>
      <c r="D3" s="233"/>
      <c r="E3" s="232"/>
      <c r="F3" s="206"/>
      <c r="G3" s="237"/>
      <c r="H3" s="232"/>
      <c r="I3" s="206"/>
      <c r="J3" s="233"/>
      <c r="K3" s="232"/>
      <c r="L3" s="206"/>
      <c r="M3" s="233"/>
      <c r="N3" s="232"/>
      <c r="O3" s="206"/>
      <c r="P3" s="233"/>
      <c r="Q3" s="103"/>
      <c r="R3" s="118" t="s">
        <v>22</v>
      </c>
      <c r="S3" s="155">
        <v>10</v>
      </c>
      <c r="T3" s="156">
        <v>9</v>
      </c>
      <c r="U3" s="157">
        <v>0</v>
      </c>
      <c r="V3" s="152">
        <v>19</v>
      </c>
      <c r="W3" s="155">
        <v>76</v>
      </c>
      <c r="X3" s="156">
        <v>0</v>
      </c>
      <c r="Y3" s="157">
        <v>0</v>
      </c>
      <c r="Z3" s="152">
        <v>76</v>
      </c>
      <c r="AA3" s="155">
        <v>90</v>
      </c>
      <c r="AB3" s="156">
        <v>0</v>
      </c>
      <c r="AC3" s="157">
        <v>0</v>
      </c>
      <c r="AD3" s="152">
        <v>90</v>
      </c>
      <c r="AE3" s="155">
        <v>113</v>
      </c>
      <c r="AF3" s="156">
        <v>0</v>
      </c>
      <c r="AG3" s="157">
        <v>0</v>
      </c>
      <c r="AH3" s="152">
        <v>113</v>
      </c>
      <c r="AI3" s="155">
        <v>27</v>
      </c>
      <c r="AJ3" s="156">
        <v>0</v>
      </c>
      <c r="AK3" s="157">
        <v>0</v>
      </c>
      <c r="AL3" s="152">
        <v>27</v>
      </c>
      <c r="AM3" s="130"/>
      <c r="AN3" s="113" t="s">
        <v>22</v>
      </c>
      <c r="AO3" s="170">
        <v>306</v>
      </c>
      <c r="AP3" s="130">
        <v>0</v>
      </c>
      <c r="AQ3" s="171">
        <v>0</v>
      </c>
      <c r="AR3" s="98">
        <v>306</v>
      </c>
    </row>
    <row r="4" spans="1:45" x14ac:dyDescent="0.25">
      <c r="A4" s="83">
        <v>45740</v>
      </c>
      <c r="B4" s="234">
        <v>2</v>
      </c>
      <c r="C4" s="235">
        <v>1</v>
      </c>
      <c r="D4" s="236">
        <v>0</v>
      </c>
      <c r="E4" s="234">
        <v>3</v>
      </c>
      <c r="F4" s="235">
        <v>1</v>
      </c>
      <c r="G4" s="238">
        <v>0</v>
      </c>
      <c r="H4" s="234">
        <v>0</v>
      </c>
      <c r="I4" s="235">
        <v>2</v>
      </c>
      <c r="J4" s="236">
        <v>1</v>
      </c>
      <c r="K4" s="234">
        <v>7</v>
      </c>
      <c r="L4" s="235">
        <v>3</v>
      </c>
      <c r="M4" s="236">
        <v>0</v>
      </c>
      <c r="N4" s="234">
        <v>1</v>
      </c>
      <c r="O4" s="235">
        <v>1</v>
      </c>
      <c r="P4" s="236">
        <v>0</v>
      </c>
      <c r="Q4" s="103"/>
      <c r="R4" s="118" t="s">
        <v>23</v>
      </c>
      <c r="S4" s="158">
        <v>23</v>
      </c>
      <c r="T4" s="159">
        <v>6</v>
      </c>
      <c r="U4" s="160">
        <v>0</v>
      </c>
      <c r="V4" s="146">
        <v>29</v>
      </c>
      <c r="W4" s="158">
        <v>42</v>
      </c>
      <c r="X4" s="159">
        <v>23</v>
      </c>
      <c r="Y4" s="160">
        <v>0</v>
      </c>
      <c r="Z4" s="146">
        <v>65</v>
      </c>
      <c r="AA4" s="158">
        <v>40</v>
      </c>
      <c r="AB4" s="159">
        <v>44</v>
      </c>
      <c r="AC4" s="160">
        <v>0</v>
      </c>
      <c r="AD4" s="146">
        <v>84</v>
      </c>
      <c r="AE4" s="158">
        <v>54</v>
      </c>
      <c r="AF4" s="159">
        <v>39</v>
      </c>
      <c r="AG4" s="160">
        <v>0</v>
      </c>
      <c r="AH4" s="146">
        <v>93</v>
      </c>
      <c r="AI4" s="158">
        <v>29</v>
      </c>
      <c r="AJ4" s="159">
        <v>10</v>
      </c>
      <c r="AK4" s="160">
        <v>0</v>
      </c>
      <c r="AL4" s="146">
        <v>39</v>
      </c>
      <c r="AM4" s="130"/>
      <c r="AN4" s="113" t="s">
        <v>23</v>
      </c>
      <c r="AO4" s="170">
        <v>165</v>
      </c>
      <c r="AP4" s="130">
        <v>116</v>
      </c>
      <c r="AQ4" s="171">
        <v>0</v>
      </c>
      <c r="AR4" s="98">
        <v>281</v>
      </c>
    </row>
    <row r="5" spans="1:45" ht="15.75" thickBot="1" x14ac:dyDescent="0.3">
      <c r="A5" s="82" t="s">
        <v>151</v>
      </c>
      <c r="B5" s="206">
        <v>2</v>
      </c>
      <c r="C5" s="206">
        <v>1</v>
      </c>
      <c r="D5" s="206">
        <v>0</v>
      </c>
      <c r="E5" s="206">
        <v>3</v>
      </c>
      <c r="F5" s="206">
        <v>1</v>
      </c>
      <c r="G5" s="229">
        <v>0</v>
      </c>
      <c r="H5" s="206">
        <v>0</v>
      </c>
      <c r="I5" s="206">
        <v>2</v>
      </c>
      <c r="J5" s="206">
        <v>1</v>
      </c>
      <c r="K5" s="206">
        <v>7</v>
      </c>
      <c r="L5" s="206">
        <v>3</v>
      </c>
      <c r="M5" s="206">
        <v>0</v>
      </c>
      <c r="N5" s="206">
        <v>1</v>
      </c>
      <c r="O5" s="206">
        <v>1</v>
      </c>
      <c r="P5" s="206">
        <v>0</v>
      </c>
      <c r="Q5" s="103"/>
      <c r="R5" s="118" t="s">
        <v>67</v>
      </c>
      <c r="S5" s="158">
        <v>27</v>
      </c>
      <c r="T5" s="159">
        <v>9</v>
      </c>
      <c r="U5" s="160">
        <v>2</v>
      </c>
      <c r="V5" s="146">
        <v>38</v>
      </c>
      <c r="W5" s="158">
        <v>28</v>
      </c>
      <c r="X5" s="159">
        <v>27</v>
      </c>
      <c r="Y5" s="160">
        <v>4</v>
      </c>
      <c r="Z5" s="146">
        <v>59</v>
      </c>
      <c r="AA5" s="158">
        <v>44</v>
      </c>
      <c r="AB5" s="159">
        <v>32</v>
      </c>
      <c r="AC5" s="160">
        <v>4</v>
      </c>
      <c r="AD5" s="146">
        <v>80</v>
      </c>
      <c r="AE5" s="158">
        <v>32</v>
      </c>
      <c r="AF5" s="159">
        <v>40</v>
      </c>
      <c r="AG5" s="160">
        <v>3</v>
      </c>
      <c r="AH5" s="146">
        <v>75</v>
      </c>
      <c r="AI5" s="158">
        <v>24</v>
      </c>
      <c r="AJ5" s="159">
        <v>9</v>
      </c>
      <c r="AK5" s="160">
        <v>1</v>
      </c>
      <c r="AL5" s="146">
        <v>34</v>
      </c>
      <c r="AM5" s="130"/>
      <c r="AN5" s="114" t="s">
        <v>67</v>
      </c>
      <c r="AO5" s="170">
        <v>128</v>
      </c>
      <c r="AP5" s="130">
        <v>108</v>
      </c>
      <c r="AQ5" s="171">
        <v>12</v>
      </c>
      <c r="AR5" s="98">
        <v>248</v>
      </c>
    </row>
    <row r="6" spans="1:45" ht="16.5" thickBot="1" x14ac:dyDescent="0.3">
      <c r="A6" s="122" t="s">
        <v>146</v>
      </c>
      <c r="B6" s="206"/>
      <c r="C6" s="206"/>
      <c r="D6" s="206"/>
      <c r="E6" s="206"/>
      <c r="F6" s="206"/>
      <c r="G6" s="229"/>
      <c r="H6" s="206"/>
      <c r="I6" s="206"/>
      <c r="J6" s="206"/>
      <c r="K6" s="206"/>
      <c r="L6" s="206"/>
      <c r="M6" s="206"/>
      <c r="N6" s="206"/>
      <c r="O6" s="206"/>
      <c r="P6" s="206"/>
      <c r="Q6" s="103"/>
      <c r="R6" s="119" t="s">
        <v>24</v>
      </c>
      <c r="S6" s="147">
        <v>60</v>
      </c>
      <c r="T6" s="148">
        <v>24</v>
      </c>
      <c r="U6" s="149">
        <v>2</v>
      </c>
      <c r="V6" s="150">
        <v>86</v>
      </c>
      <c r="W6" s="147">
        <v>146</v>
      </c>
      <c r="X6" s="148">
        <v>50</v>
      </c>
      <c r="Y6" s="149">
        <v>4</v>
      </c>
      <c r="Z6" s="150">
        <v>200</v>
      </c>
      <c r="AA6" s="147">
        <v>174</v>
      </c>
      <c r="AB6" s="148">
        <v>76</v>
      </c>
      <c r="AC6" s="149">
        <v>4</v>
      </c>
      <c r="AD6" s="150">
        <v>254</v>
      </c>
      <c r="AE6" s="147">
        <v>199</v>
      </c>
      <c r="AF6" s="148">
        <v>79</v>
      </c>
      <c r="AG6" s="149">
        <v>3</v>
      </c>
      <c r="AH6" s="150">
        <v>281</v>
      </c>
      <c r="AI6" s="147">
        <v>80</v>
      </c>
      <c r="AJ6" s="148">
        <v>19</v>
      </c>
      <c r="AK6" s="149">
        <v>1</v>
      </c>
      <c r="AL6" s="150">
        <v>100</v>
      </c>
      <c r="AM6" s="131"/>
      <c r="AN6" s="115" t="s">
        <v>24</v>
      </c>
      <c r="AO6" s="96">
        <v>599</v>
      </c>
      <c r="AP6" s="97">
        <v>224</v>
      </c>
      <c r="AQ6" s="134">
        <v>12</v>
      </c>
      <c r="AR6" s="172">
        <v>835</v>
      </c>
    </row>
    <row r="7" spans="1:45" x14ac:dyDescent="0.25">
      <c r="A7" s="83">
        <v>45737</v>
      </c>
      <c r="B7" s="206">
        <v>3</v>
      </c>
      <c r="C7" s="206">
        <v>0</v>
      </c>
      <c r="D7" s="206">
        <v>0</v>
      </c>
      <c r="E7" s="206">
        <v>1</v>
      </c>
      <c r="F7" s="206">
        <v>0</v>
      </c>
      <c r="G7" s="229">
        <v>0</v>
      </c>
      <c r="H7" s="206">
        <v>2</v>
      </c>
      <c r="I7" s="206">
        <v>4</v>
      </c>
      <c r="J7" s="206">
        <v>0</v>
      </c>
      <c r="K7" s="206">
        <v>1</v>
      </c>
      <c r="L7" s="206">
        <v>0</v>
      </c>
      <c r="M7" s="206">
        <v>0</v>
      </c>
      <c r="N7" s="206">
        <v>1</v>
      </c>
      <c r="O7" s="206">
        <v>0</v>
      </c>
      <c r="P7" s="206">
        <v>0</v>
      </c>
      <c r="Q7" s="103"/>
      <c r="AQ7" s="90"/>
    </row>
    <row r="8" spans="1:45" x14ac:dyDescent="0.25">
      <c r="A8" s="83">
        <v>45736</v>
      </c>
      <c r="B8" s="206">
        <v>0</v>
      </c>
      <c r="C8" s="206">
        <v>0</v>
      </c>
      <c r="D8" s="206">
        <v>0</v>
      </c>
      <c r="E8" s="206">
        <v>0</v>
      </c>
      <c r="F8" s="206">
        <v>3</v>
      </c>
      <c r="G8" s="229">
        <v>2</v>
      </c>
      <c r="H8" s="206">
        <v>3</v>
      </c>
      <c r="I8" s="206">
        <v>1</v>
      </c>
      <c r="J8" s="206">
        <v>1</v>
      </c>
      <c r="K8" s="206">
        <v>1</v>
      </c>
      <c r="L8" s="206">
        <v>2</v>
      </c>
      <c r="M8" s="206">
        <v>1</v>
      </c>
      <c r="N8" s="206">
        <v>2</v>
      </c>
      <c r="O8" s="206">
        <v>1</v>
      </c>
      <c r="P8" s="206">
        <v>0</v>
      </c>
      <c r="Q8" s="103"/>
    </row>
    <row r="9" spans="1:45" x14ac:dyDescent="0.25">
      <c r="A9" s="83">
        <v>45735</v>
      </c>
      <c r="B9" s="206">
        <v>4</v>
      </c>
      <c r="C9" s="206">
        <v>0</v>
      </c>
      <c r="D9" s="206">
        <v>0</v>
      </c>
      <c r="E9" s="206">
        <v>1</v>
      </c>
      <c r="F9" s="206">
        <v>1</v>
      </c>
      <c r="G9" s="229">
        <v>1</v>
      </c>
      <c r="H9" s="206">
        <v>2</v>
      </c>
      <c r="I9" s="206">
        <v>1</v>
      </c>
      <c r="J9" s="206">
        <v>0</v>
      </c>
      <c r="K9" s="206">
        <v>4</v>
      </c>
      <c r="L9" s="206">
        <v>2</v>
      </c>
      <c r="M9" s="206">
        <v>1</v>
      </c>
      <c r="N9" s="206">
        <v>1</v>
      </c>
      <c r="O9" s="206">
        <v>0</v>
      </c>
      <c r="P9" s="206">
        <v>0</v>
      </c>
      <c r="Q9" s="103"/>
    </row>
    <row r="10" spans="1:45" x14ac:dyDescent="0.25">
      <c r="A10" s="83">
        <v>45734</v>
      </c>
      <c r="B10" s="206">
        <v>1</v>
      </c>
      <c r="C10" s="206">
        <v>1</v>
      </c>
      <c r="D10" s="206">
        <v>1</v>
      </c>
      <c r="E10" s="206">
        <v>0</v>
      </c>
      <c r="F10" s="206">
        <v>1</v>
      </c>
      <c r="G10" s="229">
        <v>1</v>
      </c>
      <c r="H10" s="206">
        <v>3</v>
      </c>
      <c r="I10" s="206">
        <v>2</v>
      </c>
      <c r="J10" s="206">
        <v>1</v>
      </c>
      <c r="K10" s="206">
        <v>2</v>
      </c>
      <c r="L10" s="206">
        <v>3</v>
      </c>
      <c r="M10" s="206">
        <v>0</v>
      </c>
      <c r="N10" s="206">
        <v>1</v>
      </c>
      <c r="O10" s="206">
        <v>0</v>
      </c>
      <c r="P10" s="206">
        <v>0</v>
      </c>
      <c r="Q10" s="103"/>
    </row>
    <row r="11" spans="1:45" x14ac:dyDescent="0.25">
      <c r="A11" s="83">
        <v>45733</v>
      </c>
      <c r="B11" s="206">
        <v>1</v>
      </c>
      <c r="C11" s="206">
        <v>0</v>
      </c>
      <c r="D11" s="206">
        <v>1</v>
      </c>
      <c r="E11" s="206">
        <v>2</v>
      </c>
      <c r="F11" s="206">
        <v>2</v>
      </c>
      <c r="G11" s="229">
        <v>0</v>
      </c>
      <c r="H11" s="206">
        <v>3</v>
      </c>
      <c r="I11" s="206">
        <v>1</v>
      </c>
      <c r="J11" s="206">
        <v>0</v>
      </c>
      <c r="K11" s="206">
        <v>2</v>
      </c>
      <c r="L11" s="206">
        <v>0</v>
      </c>
      <c r="M11" s="206">
        <v>0</v>
      </c>
      <c r="N11" s="206">
        <v>2</v>
      </c>
      <c r="O11" s="206">
        <v>0</v>
      </c>
      <c r="P11" s="206">
        <v>0</v>
      </c>
      <c r="Q11" s="103"/>
    </row>
    <row r="12" spans="1:45" x14ac:dyDescent="0.25">
      <c r="A12" s="82" t="s">
        <v>147</v>
      </c>
      <c r="B12" s="206">
        <v>9</v>
      </c>
      <c r="C12" s="206">
        <v>1</v>
      </c>
      <c r="D12" s="206">
        <v>2</v>
      </c>
      <c r="E12" s="206">
        <v>4</v>
      </c>
      <c r="F12" s="206">
        <v>7</v>
      </c>
      <c r="G12" s="229">
        <v>4</v>
      </c>
      <c r="H12" s="206">
        <v>13</v>
      </c>
      <c r="I12" s="206">
        <v>9</v>
      </c>
      <c r="J12" s="206">
        <v>2</v>
      </c>
      <c r="K12" s="206">
        <v>10</v>
      </c>
      <c r="L12" s="206">
        <v>7</v>
      </c>
      <c r="M12" s="206">
        <v>2</v>
      </c>
      <c r="N12" s="206">
        <v>7</v>
      </c>
      <c r="O12" s="206">
        <v>1</v>
      </c>
      <c r="P12" s="206">
        <v>0</v>
      </c>
      <c r="Q12" s="103"/>
    </row>
    <row r="13" spans="1:45" x14ac:dyDescent="0.25">
      <c r="A13" s="122" t="s">
        <v>123</v>
      </c>
      <c r="B13" s="206"/>
      <c r="C13" s="206"/>
      <c r="D13" s="206"/>
      <c r="E13" s="206"/>
      <c r="F13" s="206"/>
      <c r="G13" s="229"/>
      <c r="H13" s="206"/>
      <c r="I13" s="206"/>
      <c r="J13" s="206"/>
      <c r="K13" s="206"/>
      <c r="L13" s="206"/>
      <c r="M13" s="206"/>
      <c r="N13" s="206"/>
      <c r="O13" s="206"/>
      <c r="P13" s="206"/>
      <c r="Q13" s="103"/>
    </row>
    <row r="14" spans="1:45" x14ac:dyDescent="0.25">
      <c r="A14" s="83">
        <v>45730</v>
      </c>
      <c r="B14" s="206">
        <v>3</v>
      </c>
      <c r="C14" s="206">
        <v>1</v>
      </c>
      <c r="D14" s="206">
        <v>0</v>
      </c>
      <c r="E14" s="206">
        <v>4</v>
      </c>
      <c r="F14" s="206">
        <v>1</v>
      </c>
      <c r="G14" s="229">
        <v>0</v>
      </c>
      <c r="H14" s="206">
        <v>3</v>
      </c>
      <c r="I14" s="206">
        <v>5</v>
      </c>
      <c r="J14" s="206">
        <v>1</v>
      </c>
      <c r="K14" s="206">
        <v>1</v>
      </c>
      <c r="L14" s="206">
        <v>0</v>
      </c>
      <c r="M14" s="206">
        <v>0</v>
      </c>
      <c r="N14" s="206">
        <v>1</v>
      </c>
      <c r="O14" s="206">
        <v>0</v>
      </c>
      <c r="P14" s="206">
        <v>0</v>
      </c>
      <c r="Q14" s="103"/>
    </row>
    <row r="15" spans="1:45" x14ac:dyDescent="0.25">
      <c r="A15" s="83">
        <v>45729</v>
      </c>
      <c r="B15" s="206">
        <v>1</v>
      </c>
      <c r="C15" s="206">
        <v>0</v>
      </c>
      <c r="D15" s="206">
        <v>0</v>
      </c>
      <c r="E15" s="206">
        <v>3</v>
      </c>
      <c r="F15" s="206">
        <v>2</v>
      </c>
      <c r="G15" s="229">
        <v>0</v>
      </c>
      <c r="H15" s="206">
        <v>1</v>
      </c>
      <c r="I15" s="206">
        <v>2</v>
      </c>
      <c r="J15" s="206">
        <v>0</v>
      </c>
      <c r="K15" s="206">
        <v>3</v>
      </c>
      <c r="L15" s="206">
        <v>3</v>
      </c>
      <c r="M15" s="206">
        <v>1</v>
      </c>
      <c r="N15" s="206">
        <v>1</v>
      </c>
      <c r="O15" s="206">
        <v>2</v>
      </c>
      <c r="P15" s="206">
        <v>0</v>
      </c>
      <c r="Q15" s="103"/>
    </row>
    <row r="16" spans="1:45" ht="15.75" thickBot="1" x14ac:dyDescent="0.3">
      <c r="A16" s="83">
        <v>45728</v>
      </c>
      <c r="B16" s="206">
        <v>1</v>
      </c>
      <c r="C16" s="206">
        <v>0</v>
      </c>
      <c r="D16" s="206">
        <v>0</v>
      </c>
      <c r="E16" s="206">
        <v>0</v>
      </c>
      <c r="F16" s="206">
        <v>2</v>
      </c>
      <c r="G16" s="229">
        <v>0</v>
      </c>
      <c r="H16" s="206">
        <v>5</v>
      </c>
      <c r="I16" s="206">
        <v>2</v>
      </c>
      <c r="J16" s="206">
        <v>0</v>
      </c>
      <c r="K16" s="206">
        <v>1</v>
      </c>
      <c r="L16" s="206">
        <v>3</v>
      </c>
      <c r="M16" s="206">
        <v>0</v>
      </c>
      <c r="N16" s="206">
        <v>3</v>
      </c>
      <c r="O16" s="206">
        <v>1</v>
      </c>
      <c r="P16" s="206">
        <v>0</v>
      </c>
      <c r="Q16" s="103"/>
      <c r="AQ16" s="106"/>
    </row>
    <row r="17" spans="1:44" ht="16.5" thickBot="1" x14ac:dyDescent="0.3">
      <c r="A17" s="83">
        <v>45727</v>
      </c>
      <c r="B17" s="206">
        <v>2</v>
      </c>
      <c r="C17" s="206">
        <v>0</v>
      </c>
      <c r="D17" s="206">
        <v>0</v>
      </c>
      <c r="E17" s="206">
        <v>4</v>
      </c>
      <c r="F17" s="206">
        <v>3</v>
      </c>
      <c r="G17" s="229">
        <v>0</v>
      </c>
      <c r="H17" s="206">
        <v>2</v>
      </c>
      <c r="I17" s="206">
        <v>2</v>
      </c>
      <c r="J17" s="206">
        <v>0</v>
      </c>
      <c r="K17" s="206">
        <v>1</v>
      </c>
      <c r="L17" s="206">
        <v>4</v>
      </c>
      <c r="M17" s="206">
        <v>0</v>
      </c>
      <c r="N17" s="206">
        <v>3</v>
      </c>
      <c r="O17" s="206">
        <v>2</v>
      </c>
      <c r="P17" s="206">
        <v>1</v>
      </c>
      <c r="Q17" s="103"/>
      <c r="R17" s="132" t="s">
        <v>25</v>
      </c>
      <c r="S17" s="249" t="s">
        <v>0</v>
      </c>
      <c r="T17" s="250"/>
      <c r="U17" s="250"/>
      <c r="V17" s="250"/>
      <c r="W17" s="249" t="s">
        <v>1</v>
      </c>
      <c r="X17" s="250"/>
      <c r="Y17" s="250"/>
      <c r="Z17" s="251"/>
      <c r="AA17" s="249" t="s">
        <v>2</v>
      </c>
      <c r="AB17" s="250"/>
      <c r="AC17" s="250"/>
      <c r="AD17" s="251"/>
      <c r="AE17" s="249" t="s">
        <v>3</v>
      </c>
      <c r="AF17" s="250"/>
      <c r="AG17" s="250"/>
      <c r="AH17" s="251"/>
      <c r="AI17" s="249" t="s">
        <v>4</v>
      </c>
      <c r="AJ17" s="250"/>
      <c r="AK17" s="250"/>
      <c r="AL17" s="251"/>
      <c r="AN17" s="241" t="s">
        <v>128</v>
      </c>
      <c r="AO17" s="242"/>
      <c r="AP17" s="242"/>
      <c r="AQ17" s="242"/>
      <c r="AR17" s="243"/>
    </row>
    <row r="18" spans="1:44" ht="15.75" thickBot="1" x14ac:dyDescent="0.3">
      <c r="A18" s="83">
        <v>45726</v>
      </c>
      <c r="B18" s="206">
        <v>1</v>
      </c>
      <c r="C18" s="206">
        <v>1</v>
      </c>
      <c r="D18" s="206">
        <v>0</v>
      </c>
      <c r="E18" s="206">
        <v>1</v>
      </c>
      <c r="F18" s="206">
        <v>5</v>
      </c>
      <c r="G18" s="229">
        <v>0</v>
      </c>
      <c r="H18" s="206">
        <v>3</v>
      </c>
      <c r="I18" s="206">
        <v>2</v>
      </c>
      <c r="J18" s="206">
        <v>0</v>
      </c>
      <c r="K18" s="206">
        <v>0</v>
      </c>
      <c r="L18" s="206">
        <v>6</v>
      </c>
      <c r="M18" s="206">
        <v>0</v>
      </c>
      <c r="N18" s="206">
        <v>3</v>
      </c>
      <c r="O18" s="206">
        <v>0</v>
      </c>
      <c r="P18" s="206">
        <v>0</v>
      </c>
      <c r="Q18" s="103"/>
      <c r="S18" s="141" t="s">
        <v>7</v>
      </c>
      <c r="T18" s="142" t="s">
        <v>8</v>
      </c>
      <c r="U18" s="143" t="s">
        <v>125</v>
      </c>
      <c r="V18" s="144" t="s">
        <v>26</v>
      </c>
      <c r="W18" s="141" t="s">
        <v>9</v>
      </c>
      <c r="X18" s="142" t="s">
        <v>10</v>
      </c>
      <c r="Y18" s="143" t="s">
        <v>148</v>
      </c>
      <c r="Z18" s="144" t="s">
        <v>27</v>
      </c>
      <c r="AA18" s="141" t="s">
        <v>11</v>
      </c>
      <c r="AB18" s="142" t="s">
        <v>12</v>
      </c>
      <c r="AC18" s="143" t="s">
        <v>145</v>
      </c>
      <c r="AD18" s="144" t="s">
        <v>28</v>
      </c>
      <c r="AE18" s="141" t="s">
        <v>13</v>
      </c>
      <c r="AF18" s="142" t="s">
        <v>14</v>
      </c>
      <c r="AG18" s="143" t="s">
        <v>127</v>
      </c>
      <c r="AH18" s="144" t="s">
        <v>29</v>
      </c>
      <c r="AI18" s="141" t="s">
        <v>15</v>
      </c>
      <c r="AJ18" s="142" t="s">
        <v>16</v>
      </c>
      <c r="AK18" s="145" t="s">
        <v>126</v>
      </c>
      <c r="AL18" s="144" t="s">
        <v>30</v>
      </c>
      <c r="AN18" s="124"/>
      <c r="AO18" s="86" t="s">
        <v>7</v>
      </c>
      <c r="AP18" s="87" t="s">
        <v>8</v>
      </c>
      <c r="AQ18" s="126" t="s">
        <v>125</v>
      </c>
      <c r="AR18" s="180" t="s">
        <v>31</v>
      </c>
    </row>
    <row r="19" spans="1:44" x14ac:dyDescent="0.25">
      <c r="A19" s="82" t="s">
        <v>124</v>
      </c>
      <c r="B19" s="206">
        <v>8</v>
      </c>
      <c r="C19" s="206">
        <v>2</v>
      </c>
      <c r="D19" s="206">
        <v>0</v>
      </c>
      <c r="E19" s="206">
        <v>12</v>
      </c>
      <c r="F19" s="206">
        <v>13</v>
      </c>
      <c r="G19" s="229">
        <v>0</v>
      </c>
      <c r="H19" s="206">
        <v>14</v>
      </c>
      <c r="I19" s="206">
        <v>13</v>
      </c>
      <c r="J19" s="206">
        <v>1</v>
      </c>
      <c r="K19" s="206">
        <v>6</v>
      </c>
      <c r="L19" s="206">
        <v>16</v>
      </c>
      <c r="M19" s="206">
        <v>1</v>
      </c>
      <c r="N19" s="206">
        <v>11</v>
      </c>
      <c r="O19" s="206">
        <v>5</v>
      </c>
      <c r="P19" s="206">
        <v>1</v>
      </c>
      <c r="Q19" s="103"/>
      <c r="R19" s="118" t="s">
        <v>22</v>
      </c>
      <c r="S19" s="161">
        <v>0.58823529411764708</v>
      </c>
      <c r="T19" s="162">
        <v>0.52941176470588236</v>
      </c>
      <c r="U19" s="163">
        <v>0</v>
      </c>
      <c r="V19" s="151">
        <v>1.1176470588235294</v>
      </c>
      <c r="W19" s="161">
        <v>4.4705882352941178</v>
      </c>
      <c r="X19" s="162">
        <v>0</v>
      </c>
      <c r="Y19" s="163">
        <v>0</v>
      </c>
      <c r="Z19" s="151">
        <v>4.4705882352941178</v>
      </c>
      <c r="AA19" s="161">
        <v>5.2941176470588234</v>
      </c>
      <c r="AB19" s="162">
        <v>0</v>
      </c>
      <c r="AC19" s="163">
        <v>0</v>
      </c>
      <c r="AD19" s="151">
        <v>5.2941176470588234</v>
      </c>
      <c r="AE19" s="161">
        <v>6.6470588235294121</v>
      </c>
      <c r="AF19" s="162">
        <v>0</v>
      </c>
      <c r="AG19" s="163">
        <v>0</v>
      </c>
      <c r="AH19" s="151">
        <v>6.6470588235294121</v>
      </c>
      <c r="AI19" s="161">
        <v>1.588235294117647</v>
      </c>
      <c r="AJ19" s="162">
        <v>0</v>
      </c>
      <c r="AK19" s="163">
        <v>0</v>
      </c>
      <c r="AL19" s="151">
        <v>1.588235294117647</v>
      </c>
      <c r="AN19" s="182" t="s">
        <v>22</v>
      </c>
      <c r="AO19" s="184">
        <v>18</v>
      </c>
      <c r="AP19" s="185">
        <v>0</v>
      </c>
      <c r="AQ19" s="186">
        <v>0</v>
      </c>
      <c r="AR19" s="181">
        <v>18</v>
      </c>
    </row>
    <row r="20" spans="1:44" x14ac:dyDescent="0.25">
      <c r="A20" s="122" t="s">
        <v>120</v>
      </c>
      <c r="B20" s="206"/>
      <c r="C20" s="206"/>
      <c r="D20" s="206"/>
      <c r="E20" s="206"/>
      <c r="F20" s="206"/>
      <c r="G20" s="229"/>
      <c r="H20" s="206"/>
      <c r="I20" s="206"/>
      <c r="J20" s="206"/>
      <c r="K20" s="206"/>
      <c r="L20" s="206"/>
      <c r="M20" s="206"/>
      <c r="N20" s="206"/>
      <c r="O20" s="206"/>
      <c r="P20" s="206"/>
      <c r="Q20" s="103"/>
      <c r="R20" s="118" t="s">
        <v>23</v>
      </c>
      <c r="S20" s="164">
        <v>1.1499999999999999</v>
      </c>
      <c r="T20" s="165">
        <v>0.3</v>
      </c>
      <c r="U20" s="166">
        <v>0</v>
      </c>
      <c r="V20" s="136">
        <v>1.45</v>
      </c>
      <c r="W20" s="164">
        <v>2.1</v>
      </c>
      <c r="X20" s="165">
        <v>1.1499999999999999</v>
      </c>
      <c r="Y20" s="166">
        <v>0</v>
      </c>
      <c r="Z20" s="136">
        <v>3.25</v>
      </c>
      <c r="AA20" s="164">
        <v>2</v>
      </c>
      <c r="AB20" s="165">
        <v>2.2000000000000002</v>
      </c>
      <c r="AC20" s="166">
        <v>0</v>
      </c>
      <c r="AD20" s="136">
        <v>4.2</v>
      </c>
      <c r="AE20" s="164">
        <v>2.7</v>
      </c>
      <c r="AF20" s="165">
        <v>1.95</v>
      </c>
      <c r="AG20" s="166">
        <v>0</v>
      </c>
      <c r="AH20" s="136">
        <v>4.6500000000000004</v>
      </c>
      <c r="AI20" s="164">
        <v>1.45</v>
      </c>
      <c r="AJ20" s="165">
        <v>0.5</v>
      </c>
      <c r="AK20" s="166">
        <v>0</v>
      </c>
      <c r="AL20" s="136">
        <v>1.95</v>
      </c>
      <c r="AN20" s="120" t="s">
        <v>23</v>
      </c>
      <c r="AO20" s="167">
        <v>8.25</v>
      </c>
      <c r="AP20" s="168">
        <v>5.8</v>
      </c>
      <c r="AQ20" s="169">
        <v>0</v>
      </c>
      <c r="AR20" s="99">
        <v>14.05</v>
      </c>
    </row>
    <row r="21" spans="1:44" ht="15.75" thickBot="1" x14ac:dyDescent="0.3">
      <c r="A21" s="83">
        <v>45723</v>
      </c>
      <c r="B21" s="206">
        <v>3</v>
      </c>
      <c r="C21" s="206">
        <v>0</v>
      </c>
      <c r="D21" s="206">
        <v>0</v>
      </c>
      <c r="E21" s="206">
        <v>0</v>
      </c>
      <c r="F21" s="206">
        <v>1</v>
      </c>
      <c r="G21" s="229">
        <v>0</v>
      </c>
      <c r="H21" s="206">
        <v>0</v>
      </c>
      <c r="I21" s="206">
        <v>1</v>
      </c>
      <c r="J21" s="206">
        <v>0</v>
      </c>
      <c r="K21" s="206">
        <v>0</v>
      </c>
      <c r="L21" s="206">
        <v>1</v>
      </c>
      <c r="M21" s="206">
        <v>0</v>
      </c>
      <c r="N21" s="206">
        <v>0</v>
      </c>
      <c r="O21" s="206">
        <v>0</v>
      </c>
      <c r="P21" s="206">
        <v>0</v>
      </c>
      <c r="Q21" s="103"/>
      <c r="R21" s="118" t="s">
        <v>67</v>
      </c>
      <c r="S21" s="164">
        <v>1.6875</v>
      </c>
      <c r="T21" s="165">
        <v>0.5625</v>
      </c>
      <c r="U21" s="166">
        <v>0.125</v>
      </c>
      <c r="V21" s="136">
        <v>2.375</v>
      </c>
      <c r="W21" s="164">
        <v>1.75</v>
      </c>
      <c r="X21" s="165">
        <v>1.6875</v>
      </c>
      <c r="Y21" s="166">
        <v>0.25</v>
      </c>
      <c r="Z21" s="136">
        <v>3.6875</v>
      </c>
      <c r="AA21" s="164">
        <v>2.75</v>
      </c>
      <c r="AB21" s="165">
        <v>2</v>
      </c>
      <c r="AC21" s="166">
        <v>0.25</v>
      </c>
      <c r="AD21" s="136">
        <v>5</v>
      </c>
      <c r="AE21" s="164">
        <v>2</v>
      </c>
      <c r="AF21" s="165">
        <v>2.5</v>
      </c>
      <c r="AG21" s="166">
        <v>0.1875</v>
      </c>
      <c r="AH21" s="136">
        <v>4.6875</v>
      </c>
      <c r="AI21" s="164">
        <v>1.5</v>
      </c>
      <c r="AJ21" s="165">
        <v>0.5625</v>
      </c>
      <c r="AK21" s="166">
        <v>6.25E-2</v>
      </c>
      <c r="AL21" s="136">
        <v>2.125</v>
      </c>
      <c r="AN21" s="121" t="s">
        <v>67</v>
      </c>
      <c r="AO21" s="167">
        <v>8</v>
      </c>
      <c r="AP21" s="168">
        <v>6.75</v>
      </c>
      <c r="AQ21" s="169">
        <v>0.75</v>
      </c>
      <c r="AR21" s="99">
        <v>15.5</v>
      </c>
    </row>
    <row r="22" spans="1:44" ht="16.5" thickBot="1" x14ac:dyDescent="0.3">
      <c r="A22" s="83">
        <v>45722</v>
      </c>
      <c r="B22" s="206">
        <v>1</v>
      </c>
      <c r="C22" s="206">
        <v>1</v>
      </c>
      <c r="D22" s="206">
        <v>0</v>
      </c>
      <c r="E22" s="206">
        <v>4</v>
      </c>
      <c r="F22" s="206">
        <v>1</v>
      </c>
      <c r="G22" s="229">
        <v>0</v>
      </c>
      <c r="H22" s="206">
        <v>3</v>
      </c>
      <c r="I22" s="206">
        <v>2</v>
      </c>
      <c r="J22" s="206">
        <v>0</v>
      </c>
      <c r="K22" s="206">
        <v>2</v>
      </c>
      <c r="L22" s="206">
        <v>1</v>
      </c>
      <c r="M22" s="206">
        <v>0</v>
      </c>
      <c r="N22" s="206">
        <v>1</v>
      </c>
      <c r="O22" s="206">
        <v>1</v>
      </c>
      <c r="P22" s="206">
        <v>0</v>
      </c>
      <c r="Q22" s="103"/>
      <c r="R22" s="119" t="s">
        <v>32</v>
      </c>
      <c r="S22" s="137">
        <v>1.1320754716981132</v>
      </c>
      <c r="T22" s="138">
        <v>0.45283018867924529</v>
      </c>
      <c r="U22" s="139">
        <v>3.7735849056603772E-2</v>
      </c>
      <c r="V22" s="140">
        <v>1.6226415094339623</v>
      </c>
      <c r="W22" s="137">
        <v>2.7547169811320753</v>
      </c>
      <c r="X22" s="138">
        <v>0.94339622641509435</v>
      </c>
      <c r="Y22" s="139">
        <v>7.5471698113207544E-2</v>
      </c>
      <c r="Z22" s="140">
        <v>3.7735849056603774</v>
      </c>
      <c r="AA22" s="137">
        <v>3.2830188679245285</v>
      </c>
      <c r="AB22" s="138">
        <v>1.4339622641509433</v>
      </c>
      <c r="AC22" s="139">
        <v>7.5471698113207544E-2</v>
      </c>
      <c r="AD22" s="140">
        <v>4.7924528301886795</v>
      </c>
      <c r="AE22" s="137">
        <v>3.7547169811320753</v>
      </c>
      <c r="AF22" s="138">
        <v>1.4905660377358489</v>
      </c>
      <c r="AG22" s="139">
        <v>5.6603773584905662E-2</v>
      </c>
      <c r="AH22" s="140">
        <v>5.3018867924528301</v>
      </c>
      <c r="AI22" s="137">
        <v>1.5094339622641511</v>
      </c>
      <c r="AJ22" s="138">
        <v>0.35849056603773582</v>
      </c>
      <c r="AK22" s="139">
        <v>1.8867924528301886E-2</v>
      </c>
      <c r="AL22" s="140">
        <v>1.8867924528301887</v>
      </c>
      <c r="AN22" s="183" t="s">
        <v>24</v>
      </c>
      <c r="AO22" s="100">
        <v>11.30188679245283</v>
      </c>
      <c r="AP22" s="101">
        <v>4.2264150943396226</v>
      </c>
      <c r="AQ22" s="154">
        <v>0.22641509433962265</v>
      </c>
      <c r="AR22" s="173">
        <v>15.754716981132075</v>
      </c>
    </row>
    <row r="23" spans="1:44" x14ac:dyDescent="0.25">
      <c r="A23" s="83">
        <v>45721</v>
      </c>
      <c r="B23" s="206">
        <v>1</v>
      </c>
      <c r="C23" s="206">
        <v>0</v>
      </c>
      <c r="D23" s="206">
        <v>0</v>
      </c>
      <c r="E23" s="206">
        <v>3</v>
      </c>
      <c r="F23" s="206">
        <v>0</v>
      </c>
      <c r="G23" s="229">
        <v>0</v>
      </c>
      <c r="H23" s="206">
        <v>8</v>
      </c>
      <c r="I23" s="206">
        <v>2</v>
      </c>
      <c r="J23" s="206">
        <v>0</v>
      </c>
      <c r="K23" s="206">
        <v>2</v>
      </c>
      <c r="L23" s="206">
        <v>5</v>
      </c>
      <c r="M23" s="206">
        <v>0</v>
      </c>
      <c r="N23" s="206">
        <v>1</v>
      </c>
      <c r="O23" s="206">
        <v>1</v>
      </c>
      <c r="P23" s="206">
        <v>0</v>
      </c>
      <c r="Q23" s="103"/>
    </row>
    <row r="24" spans="1:44" x14ac:dyDescent="0.25">
      <c r="A24" s="83">
        <v>45720</v>
      </c>
      <c r="B24" s="206">
        <v>3</v>
      </c>
      <c r="C24" s="206">
        <v>3</v>
      </c>
      <c r="D24" s="206">
        <v>0</v>
      </c>
      <c r="E24" s="206">
        <v>2</v>
      </c>
      <c r="F24" s="206">
        <v>3</v>
      </c>
      <c r="G24" s="229">
        <v>0</v>
      </c>
      <c r="H24" s="206">
        <v>4</v>
      </c>
      <c r="I24" s="206">
        <v>2</v>
      </c>
      <c r="J24" s="206">
        <v>0</v>
      </c>
      <c r="K24" s="206">
        <v>4</v>
      </c>
      <c r="L24" s="206">
        <v>3</v>
      </c>
      <c r="M24" s="206">
        <v>0</v>
      </c>
      <c r="N24" s="206">
        <v>0</v>
      </c>
      <c r="O24" s="206">
        <v>0</v>
      </c>
      <c r="P24" s="206">
        <v>0</v>
      </c>
      <c r="Q24" s="103"/>
    </row>
    <row r="25" spans="1:44" x14ac:dyDescent="0.25">
      <c r="A25" s="83">
        <v>45719</v>
      </c>
      <c r="B25" s="206">
        <v>0</v>
      </c>
      <c r="C25" s="206">
        <v>1</v>
      </c>
      <c r="D25" s="206">
        <v>0</v>
      </c>
      <c r="E25" s="206">
        <v>0</v>
      </c>
      <c r="F25" s="206">
        <v>1</v>
      </c>
      <c r="G25" s="229">
        <v>0</v>
      </c>
      <c r="H25" s="206">
        <v>2</v>
      </c>
      <c r="I25" s="206">
        <v>1</v>
      </c>
      <c r="J25" s="206">
        <v>0</v>
      </c>
      <c r="K25" s="206">
        <v>1</v>
      </c>
      <c r="L25" s="206">
        <v>4</v>
      </c>
      <c r="M25" s="206">
        <v>0</v>
      </c>
      <c r="N25" s="206">
        <v>3</v>
      </c>
      <c r="O25" s="206">
        <v>0</v>
      </c>
      <c r="P25" s="206">
        <v>0</v>
      </c>
      <c r="Q25" s="103"/>
    </row>
    <row r="26" spans="1:44" x14ac:dyDescent="0.25">
      <c r="A26" s="82" t="s">
        <v>121</v>
      </c>
      <c r="B26" s="206">
        <v>8</v>
      </c>
      <c r="C26" s="206">
        <v>5</v>
      </c>
      <c r="D26" s="206">
        <v>0</v>
      </c>
      <c r="E26" s="206">
        <v>9</v>
      </c>
      <c r="F26" s="206">
        <v>6</v>
      </c>
      <c r="G26" s="229">
        <v>0</v>
      </c>
      <c r="H26" s="206">
        <v>17</v>
      </c>
      <c r="I26" s="206">
        <v>8</v>
      </c>
      <c r="J26" s="206">
        <v>0</v>
      </c>
      <c r="K26" s="206">
        <v>9</v>
      </c>
      <c r="L26" s="206">
        <v>14</v>
      </c>
      <c r="M26" s="206">
        <v>0</v>
      </c>
      <c r="N26" s="206">
        <v>5</v>
      </c>
      <c r="O26" s="206">
        <v>2</v>
      </c>
      <c r="P26" s="206">
        <v>0</v>
      </c>
      <c r="Q26" s="103"/>
    </row>
    <row r="27" spans="1:44" x14ac:dyDescent="0.25">
      <c r="A27" s="122" t="s">
        <v>129</v>
      </c>
      <c r="B27" s="206"/>
      <c r="C27" s="206"/>
      <c r="D27" s="206"/>
      <c r="E27" s="206"/>
      <c r="F27" s="206"/>
      <c r="G27" s="229"/>
      <c r="H27" s="206"/>
      <c r="I27" s="206"/>
      <c r="J27" s="206"/>
      <c r="K27" s="206"/>
      <c r="L27" s="206"/>
      <c r="M27" s="206"/>
      <c r="N27" s="206"/>
      <c r="O27" s="206"/>
      <c r="P27" s="206"/>
      <c r="Q27" s="103"/>
    </row>
    <row r="28" spans="1:44" x14ac:dyDescent="0.25">
      <c r="A28" s="83">
        <v>45716</v>
      </c>
      <c r="B28" s="206">
        <v>0</v>
      </c>
      <c r="C28" s="206">
        <v>0</v>
      </c>
      <c r="D28" s="206">
        <v>0</v>
      </c>
      <c r="E28" s="206">
        <v>5</v>
      </c>
      <c r="F28" s="206">
        <v>3</v>
      </c>
      <c r="G28" s="229">
        <v>0</v>
      </c>
      <c r="H28" s="206">
        <v>2</v>
      </c>
      <c r="I28" s="206">
        <v>7</v>
      </c>
      <c r="J28" s="206">
        <v>0</v>
      </c>
      <c r="K28" s="206">
        <v>0</v>
      </c>
      <c r="L28" s="206">
        <v>3</v>
      </c>
      <c r="M28" s="206">
        <v>0</v>
      </c>
      <c r="N28" s="206">
        <v>1</v>
      </c>
      <c r="O28" s="206">
        <v>1</v>
      </c>
      <c r="P28" s="206">
        <v>0</v>
      </c>
      <c r="Q28" s="103"/>
    </row>
    <row r="29" spans="1:44" x14ac:dyDescent="0.25">
      <c r="A29" s="83">
        <v>45715</v>
      </c>
      <c r="B29" s="206">
        <v>3</v>
      </c>
      <c r="C29" s="206">
        <v>0</v>
      </c>
      <c r="D29" s="206">
        <v>0</v>
      </c>
      <c r="E29" s="206">
        <v>2</v>
      </c>
      <c r="F29" s="206">
        <v>1</v>
      </c>
      <c r="G29" s="229">
        <v>0</v>
      </c>
      <c r="H29" s="206">
        <v>0</v>
      </c>
      <c r="I29" s="206">
        <v>2</v>
      </c>
      <c r="J29" s="206">
        <v>0</v>
      </c>
      <c r="K29" s="206">
        <v>3</v>
      </c>
      <c r="L29" s="206">
        <v>3</v>
      </c>
      <c r="M29" s="206">
        <v>0</v>
      </c>
      <c r="N29" s="206">
        <v>3</v>
      </c>
      <c r="O29" s="206">
        <v>0</v>
      </c>
      <c r="P29" s="206">
        <v>0</v>
      </c>
      <c r="Q29" s="103"/>
    </row>
    <row r="30" spans="1:44" x14ac:dyDescent="0.25">
      <c r="A30" s="83">
        <v>45714</v>
      </c>
      <c r="B30" s="206">
        <v>1</v>
      </c>
      <c r="C30" s="206">
        <v>1</v>
      </c>
      <c r="D30" s="206">
        <v>0</v>
      </c>
      <c r="E30" s="206">
        <v>2</v>
      </c>
      <c r="F30" s="206">
        <v>1</v>
      </c>
      <c r="G30" s="229">
        <v>0</v>
      </c>
      <c r="H30" s="206">
        <v>1</v>
      </c>
      <c r="I30" s="206">
        <v>2</v>
      </c>
      <c r="J30" s="206">
        <v>0</v>
      </c>
      <c r="K30" s="206">
        <v>0</v>
      </c>
      <c r="L30" s="206">
        <v>1</v>
      </c>
      <c r="M30" s="206">
        <v>0</v>
      </c>
      <c r="N30" s="206">
        <v>3</v>
      </c>
      <c r="O30" s="206">
        <v>1</v>
      </c>
      <c r="P30" s="206">
        <v>0</v>
      </c>
      <c r="Q30" s="103"/>
    </row>
    <row r="31" spans="1:44" x14ac:dyDescent="0.25">
      <c r="A31" s="83">
        <v>45713</v>
      </c>
      <c r="B31" s="206">
        <v>2</v>
      </c>
      <c r="C31" s="206">
        <v>0</v>
      </c>
      <c r="D31" s="206">
        <v>0</v>
      </c>
      <c r="E31" s="206">
        <v>1</v>
      </c>
      <c r="F31" s="206">
        <v>2</v>
      </c>
      <c r="G31" s="229">
        <v>0</v>
      </c>
      <c r="H31" s="206">
        <v>0</v>
      </c>
      <c r="I31" s="206">
        <v>3</v>
      </c>
      <c r="J31" s="206">
        <v>0</v>
      </c>
      <c r="K31" s="206">
        <v>1</v>
      </c>
      <c r="L31" s="206">
        <v>1</v>
      </c>
      <c r="M31" s="206">
        <v>0</v>
      </c>
      <c r="N31" s="206">
        <v>2</v>
      </c>
      <c r="O31" s="206">
        <v>0</v>
      </c>
      <c r="P31" s="206">
        <v>0</v>
      </c>
      <c r="Q31" s="103"/>
    </row>
    <row r="32" spans="1:44" x14ac:dyDescent="0.25">
      <c r="A32" s="83">
        <v>45712</v>
      </c>
      <c r="B32" s="206">
        <v>0</v>
      </c>
      <c r="C32" s="206">
        <v>0</v>
      </c>
      <c r="D32" s="206">
        <v>0</v>
      </c>
      <c r="E32" s="206">
        <v>2</v>
      </c>
      <c r="F32" s="206">
        <v>2</v>
      </c>
      <c r="G32" s="229">
        <v>0</v>
      </c>
      <c r="H32" s="206">
        <v>0</v>
      </c>
      <c r="I32" s="206">
        <v>2</v>
      </c>
      <c r="J32" s="206">
        <v>0</v>
      </c>
      <c r="K32" s="206">
        <v>1</v>
      </c>
      <c r="L32" s="206">
        <v>6</v>
      </c>
      <c r="M32" s="206">
        <v>0</v>
      </c>
      <c r="N32" s="206">
        <v>3</v>
      </c>
      <c r="O32" s="206">
        <v>1</v>
      </c>
      <c r="P32" s="206">
        <v>0</v>
      </c>
      <c r="Q32" s="103"/>
    </row>
    <row r="33" spans="1:24" x14ac:dyDescent="0.25">
      <c r="A33" s="82" t="s">
        <v>137</v>
      </c>
      <c r="B33" s="206">
        <v>6</v>
      </c>
      <c r="C33" s="206">
        <v>1</v>
      </c>
      <c r="D33" s="206">
        <v>0</v>
      </c>
      <c r="E33" s="206">
        <v>12</v>
      </c>
      <c r="F33" s="206">
        <v>9</v>
      </c>
      <c r="G33" s="229">
        <v>0</v>
      </c>
      <c r="H33" s="206">
        <v>3</v>
      </c>
      <c r="I33" s="206">
        <v>16</v>
      </c>
      <c r="J33" s="206">
        <v>0</v>
      </c>
      <c r="K33" s="206">
        <v>5</v>
      </c>
      <c r="L33" s="206">
        <v>14</v>
      </c>
      <c r="M33" s="206">
        <v>0</v>
      </c>
      <c r="N33" s="206">
        <v>12</v>
      </c>
      <c r="O33" s="206">
        <v>3</v>
      </c>
      <c r="P33" s="206">
        <v>0</v>
      </c>
      <c r="Q33" s="103"/>
    </row>
    <row r="34" spans="1:24" x14ac:dyDescent="0.25">
      <c r="A34" s="122" t="s">
        <v>130</v>
      </c>
      <c r="B34" s="206"/>
      <c r="C34" s="206"/>
      <c r="D34" s="206"/>
      <c r="E34" s="206"/>
      <c r="F34" s="206"/>
      <c r="G34" s="229"/>
      <c r="H34" s="206"/>
      <c r="I34" s="206"/>
      <c r="J34" s="206"/>
      <c r="K34" s="206"/>
      <c r="L34" s="206"/>
      <c r="M34" s="206"/>
      <c r="N34" s="206"/>
      <c r="O34" s="206"/>
      <c r="P34" s="206"/>
      <c r="Q34" s="103"/>
      <c r="S34" s="111" t="s">
        <v>0</v>
      </c>
      <c r="T34" s="111" t="s">
        <v>1</v>
      </c>
      <c r="U34" s="111" t="s">
        <v>2</v>
      </c>
      <c r="V34" s="111" t="s">
        <v>3</v>
      </c>
      <c r="W34" s="111" t="s">
        <v>4</v>
      </c>
      <c r="X34" s="111" t="s">
        <v>115</v>
      </c>
    </row>
    <row r="35" spans="1:24" x14ac:dyDescent="0.25">
      <c r="A35" s="83">
        <v>45709</v>
      </c>
      <c r="B35" s="206">
        <v>2</v>
      </c>
      <c r="C35" s="206">
        <v>0</v>
      </c>
      <c r="D35" s="206">
        <v>0</v>
      </c>
      <c r="E35" s="206">
        <v>1</v>
      </c>
      <c r="F35" s="206">
        <v>2</v>
      </c>
      <c r="G35" s="229">
        <v>0</v>
      </c>
      <c r="H35" s="206">
        <v>0</v>
      </c>
      <c r="I35" s="206">
        <v>3</v>
      </c>
      <c r="J35" s="206">
        <v>0</v>
      </c>
      <c r="K35" s="206">
        <v>2</v>
      </c>
      <c r="L35" s="206">
        <v>3</v>
      </c>
      <c r="M35" s="206">
        <v>0</v>
      </c>
      <c r="N35" s="206">
        <v>0</v>
      </c>
      <c r="O35" s="206">
        <v>0</v>
      </c>
      <c r="P35" s="206">
        <v>0</v>
      </c>
      <c r="Q35" s="103"/>
      <c r="R35" s="112" t="s">
        <v>111</v>
      </c>
      <c r="S35" s="103">
        <v>13</v>
      </c>
      <c r="T35" s="103">
        <v>41</v>
      </c>
      <c r="U35" s="103">
        <v>39</v>
      </c>
      <c r="V35" s="103">
        <v>73</v>
      </c>
      <c r="W35" s="103">
        <v>21</v>
      </c>
      <c r="X35" s="104">
        <v>187</v>
      </c>
    </row>
    <row r="36" spans="1:24" x14ac:dyDescent="0.25">
      <c r="A36" s="83">
        <v>45708</v>
      </c>
      <c r="B36" s="206">
        <v>1</v>
      </c>
      <c r="C36" s="206">
        <v>0</v>
      </c>
      <c r="D36" s="206">
        <v>0</v>
      </c>
      <c r="E36" s="206">
        <v>4</v>
      </c>
      <c r="F36" s="206">
        <v>1</v>
      </c>
      <c r="G36" s="229">
        <v>0</v>
      </c>
      <c r="H36" s="206">
        <v>2</v>
      </c>
      <c r="I36" s="206">
        <v>1</v>
      </c>
      <c r="J36" s="206">
        <v>0</v>
      </c>
      <c r="K36" s="206">
        <v>0</v>
      </c>
      <c r="L36" s="206">
        <v>4</v>
      </c>
      <c r="M36" s="206">
        <v>0</v>
      </c>
      <c r="N36" s="206">
        <v>4</v>
      </c>
      <c r="O36" s="206">
        <v>2</v>
      </c>
      <c r="P36" s="206">
        <v>0</v>
      </c>
      <c r="Q36" s="103"/>
      <c r="R36" s="112" t="s">
        <v>110</v>
      </c>
      <c r="S36" s="103">
        <v>25</v>
      </c>
      <c r="T36" s="103">
        <v>40</v>
      </c>
      <c r="U36" s="103">
        <v>58</v>
      </c>
      <c r="V36" s="103">
        <v>51</v>
      </c>
      <c r="W36" s="103">
        <v>16</v>
      </c>
      <c r="X36" s="104">
        <v>190</v>
      </c>
    </row>
    <row r="37" spans="1:24" x14ac:dyDescent="0.25">
      <c r="A37" s="83">
        <v>45707</v>
      </c>
      <c r="B37" s="206">
        <v>1</v>
      </c>
      <c r="C37" s="206">
        <v>0</v>
      </c>
      <c r="D37" s="206">
        <v>0</v>
      </c>
      <c r="E37" s="206">
        <v>4</v>
      </c>
      <c r="F37" s="206">
        <v>2</v>
      </c>
      <c r="G37" s="229">
        <v>0</v>
      </c>
      <c r="H37" s="206">
        <v>1</v>
      </c>
      <c r="I37" s="206">
        <v>1</v>
      </c>
      <c r="J37" s="206">
        <v>0</v>
      </c>
      <c r="K37" s="206">
        <v>4</v>
      </c>
      <c r="L37" s="206">
        <v>2</v>
      </c>
      <c r="M37" s="206">
        <v>0</v>
      </c>
      <c r="N37" s="206">
        <v>4</v>
      </c>
      <c r="O37" s="206">
        <v>0</v>
      </c>
      <c r="P37" s="206">
        <v>0</v>
      </c>
      <c r="Q37" s="103"/>
      <c r="R37" s="112" t="s">
        <v>113</v>
      </c>
      <c r="S37" s="103">
        <v>15</v>
      </c>
      <c r="T37" s="103">
        <v>31</v>
      </c>
      <c r="U37" s="103">
        <v>51</v>
      </c>
      <c r="V37" s="103">
        <v>56</v>
      </c>
      <c r="W37" s="103">
        <v>22</v>
      </c>
      <c r="X37" s="104">
        <v>175</v>
      </c>
    </row>
    <row r="38" spans="1:24" x14ac:dyDescent="0.25">
      <c r="A38" s="83">
        <v>45706</v>
      </c>
      <c r="B38" s="206">
        <v>2</v>
      </c>
      <c r="C38" s="206">
        <v>1</v>
      </c>
      <c r="D38" s="206">
        <v>0</v>
      </c>
      <c r="E38" s="206">
        <v>2</v>
      </c>
      <c r="F38" s="206">
        <v>3</v>
      </c>
      <c r="G38" s="229">
        <v>0</v>
      </c>
      <c r="H38" s="206">
        <v>3</v>
      </c>
      <c r="I38" s="206">
        <v>3</v>
      </c>
      <c r="J38" s="206">
        <v>0</v>
      </c>
      <c r="K38" s="206">
        <v>0</v>
      </c>
      <c r="L38" s="206">
        <v>3</v>
      </c>
      <c r="M38" s="206">
        <v>0</v>
      </c>
      <c r="N38" s="206">
        <v>1</v>
      </c>
      <c r="O38" s="206">
        <v>0</v>
      </c>
      <c r="P38" s="206">
        <v>0</v>
      </c>
      <c r="Q38" s="103"/>
      <c r="R38" s="112" t="s">
        <v>114</v>
      </c>
      <c r="S38" s="103">
        <v>17</v>
      </c>
      <c r="T38" s="103">
        <v>41</v>
      </c>
      <c r="U38" s="103">
        <v>49</v>
      </c>
      <c r="V38" s="103">
        <v>53</v>
      </c>
      <c r="W38" s="103">
        <v>26</v>
      </c>
      <c r="X38" s="104">
        <v>186</v>
      </c>
    </row>
    <row r="39" spans="1:24" x14ac:dyDescent="0.25">
      <c r="A39" s="83">
        <v>45705</v>
      </c>
      <c r="B39" s="206">
        <v>1</v>
      </c>
      <c r="C39" s="206">
        <v>1</v>
      </c>
      <c r="D39" s="206">
        <v>0</v>
      </c>
      <c r="E39" s="206">
        <v>3</v>
      </c>
      <c r="F39" s="206">
        <v>1</v>
      </c>
      <c r="G39" s="229">
        <v>0</v>
      </c>
      <c r="H39" s="206">
        <v>2</v>
      </c>
      <c r="I39" s="206">
        <v>0</v>
      </c>
      <c r="J39" s="206">
        <v>0</v>
      </c>
      <c r="K39" s="206">
        <v>2</v>
      </c>
      <c r="L39" s="206">
        <v>2</v>
      </c>
      <c r="M39" s="206">
        <v>0</v>
      </c>
      <c r="N39" s="206">
        <v>1</v>
      </c>
      <c r="O39" s="206">
        <v>0</v>
      </c>
      <c r="P39" s="206">
        <v>0</v>
      </c>
      <c r="Q39" s="103"/>
      <c r="R39" s="112" t="s">
        <v>112</v>
      </c>
      <c r="S39" s="103">
        <v>16</v>
      </c>
      <c r="T39" s="103">
        <v>47</v>
      </c>
      <c r="U39" s="103">
        <v>57</v>
      </c>
      <c r="V39" s="103">
        <v>48</v>
      </c>
      <c r="W39" s="103">
        <v>15</v>
      </c>
      <c r="X39" s="104">
        <v>183</v>
      </c>
    </row>
    <row r="40" spans="1:24" x14ac:dyDescent="0.25">
      <c r="A40" s="82" t="s">
        <v>138</v>
      </c>
      <c r="B40" s="206">
        <v>7</v>
      </c>
      <c r="C40" s="206">
        <v>2</v>
      </c>
      <c r="D40" s="206">
        <v>0</v>
      </c>
      <c r="E40" s="206">
        <v>14</v>
      </c>
      <c r="F40" s="206">
        <v>9</v>
      </c>
      <c r="G40" s="229">
        <v>0</v>
      </c>
      <c r="H40" s="206">
        <v>8</v>
      </c>
      <c r="I40" s="206">
        <v>8</v>
      </c>
      <c r="J40" s="206">
        <v>0</v>
      </c>
      <c r="K40" s="206">
        <v>8</v>
      </c>
      <c r="L40" s="206">
        <v>14</v>
      </c>
      <c r="M40" s="206">
        <v>0</v>
      </c>
      <c r="N40" s="206">
        <v>10</v>
      </c>
      <c r="O40" s="206">
        <v>2</v>
      </c>
      <c r="P40" s="206">
        <v>0</v>
      </c>
      <c r="Q40" s="103"/>
    </row>
    <row r="41" spans="1:24" x14ac:dyDescent="0.25">
      <c r="A41" s="122" t="s">
        <v>131</v>
      </c>
      <c r="B41" s="206"/>
      <c r="C41" s="206"/>
      <c r="D41" s="206"/>
      <c r="E41" s="206"/>
      <c r="F41" s="206"/>
      <c r="G41" s="229"/>
      <c r="H41" s="206"/>
      <c r="I41" s="206"/>
      <c r="J41" s="206"/>
      <c r="K41" s="206"/>
      <c r="L41" s="206"/>
      <c r="M41" s="206"/>
      <c r="N41" s="206"/>
      <c r="O41" s="206"/>
      <c r="P41" s="206"/>
      <c r="Q41" s="103"/>
    </row>
    <row r="42" spans="1:24" x14ac:dyDescent="0.25">
      <c r="A42" s="83">
        <v>45702</v>
      </c>
      <c r="B42" s="206">
        <v>1</v>
      </c>
      <c r="C42" s="206">
        <v>0</v>
      </c>
      <c r="D42" s="206">
        <v>0</v>
      </c>
      <c r="E42" s="206">
        <v>3</v>
      </c>
      <c r="F42" s="206">
        <v>2</v>
      </c>
      <c r="G42" s="229">
        <v>0</v>
      </c>
      <c r="H42" s="206">
        <v>3</v>
      </c>
      <c r="I42" s="206">
        <v>1</v>
      </c>
      <c r="J42" s="206">
        <v>0</v>
      </c>
      <c r="K42" s="206">
        <v>4</v>
      </c>
      <c r="L42" s="206">
        <v>4</v>
      </c>
      <c r="M42" s="206">
        <v>0</v>
      </c>
      <c r="N42" s="206">
        <v>1</v>
      </c>
      <c r="O42" s="206">
        <v>0</v>
      </c>
      <c r="P42" s="206">
        <v>0</v>
      </c>
      <c r="Q42" s="103"/>
    </row>
    <row r="43" spans="1:24" x14ac:dyDescent="0.25">
      <c r="A43" s="83">
        <v>45701</v>
      </c>
      <c r="B43" s="206">
        <v>1</v>
      </c>
      <c r="C43" s="206">
        <v>0</v>
      </c>
      <c r="D43" s="206">
        <v>0</v>
      </c>
      <c r="E43" s="206">
        <v>1</v>
      </c>
      <c r="F43" s="206">
        <v>0</v>
      </c>
      <c r="G43" s="229">
        <v>0</v>
      </c>
      <c r="H43" s="206">
        <v>3</v>
      </c>
      <c r="I43" s="206">
        <v>8</v>
      </c>
      <c r="J43" s="206">
        <v>0</v>
      </c>
      <c r="K43" s="206">
        <v>5</v>
      </c>
      <c r="L43" s="206">
        <v>0</v>
      </c>
      <c r="M43" s="206">
        <v>0</v>
      </c>
      <c r="N43" s="206">
        <v>0</v>
      </c>
      <c r="O43" s="206">
        <v>0</v>
      </c>
      <c r="P43" s="206">
        <v>0</v>
      </c>
      <c r="Q43" s="103"/>
    </row>
    <row r="44" spans="1:24" x14ac:dyDescent="0.25">
      <c r="A44" s="83">
        <v>45700</v>
      </c>
      <c r="B44" s="206">
        <v>2</v>
      </c>
      <c r="C44" s="206">
        <v>0</v>
      </c>
      <c r="D44" s="206">
        <v>0</v>
      </c>
      <c r="E44" s="206">
        <v>2</v>
      </c>
      <c r="F44" s="206">
        <v>1</v>
      </c>
      <c r="G44" s="229">
        <v>0</v>
      </c>
      <c r="H44" s="206">
        <v>2</v>
      </c>
      <c r="I44" s="206">
        <v>3</v>
      </c>
      <c r="J44" s="206">
        <v>0</v>
      </c>
      <c r="K44" s="206">
        <v>2</v>
      </c>
      <c r="L44" s="206">
        <v>2</v>
      </c>
      <c r="M44" s="206">
        <v>0</v>
      </c>
      <c r="N44" s="206">
        <v>1</v>
      </c>
      <c r="O44" s="206">
        <v>4</v>
      </c>
      <c r="P44" s="206">
        <v>0</v>
      </c>
      <c r="Q44" s="103"/>
    </row>
    <row r="45" spans="1:24" x14ac:dyDescent="0.25">
      <c r="A45" s="83">
        <v>45699</v>
      </c>
      <c r="B45" s="206">
        <v>1</v>
      </c>
      <c r="C45" s="206">
        <v>1</v>
      </c>
      <c r="D45" s="206">
        <v>0</v>
      </c>
      <c r="E45" s="206">
        <v>2</v>
      </c>
      <c r="F45" s="206">
        <v>0</v>
      </c>
      <c r="G45" s="229">
        <v>0</v>
      </c>
      <c r="H45" s="206">
        <v>3</v>
      </c>
      <c r="I45" s="206">
        <v>4</v>
      </c>
      <c r="J45" s="206">
        <v>0</v>
      </c>
      <c r="K45" s="206">
        <v>6</v>
      </c>
      <c r="L45" s="206">
        <v>1</v>
      </c>
      <c r="M45" s="206">
        <v>0</v>
      </c>
      <c r="N45" s="206">
        <v>1</v>
      </c>
      <c r="O45" s="206">
        <v>0</v>
      </c>
      <c r="P45" s="206">
        <v>0</v>
      </c>
      <c r="Q45" s="103"/>
    </row>
    <row r="46" spans="1:24" x14ac:dyDescent="0.25">
      <c r="A46" s="83">
        <v>45698</v>
      </c>
      <c r="B46" s="206">
        <v>1</v>
      </c>
      <c r="C46" s="206">
        <v>0</v>
      </c>
      <c r="D46" s="206">
        <v>0</v>
      </c>
      <c r="E46" s="206">
        <v>0</v>
      </c>
      <c r="F46" s="206">
        <v>0</v>
      </c>
      <c r="G46" s="229">
        <v>0</v>
      </c>
      <c r="H46" s="206">
        <v>4</v>
      </c>
      <c r="I46" s="206">
        <v>3</v>
      </c>
      <c r="J46" s="206">
        <v>0</v>
      </c>
      <c r="K46" s="206">
        <v>4</v>
      </c>
      <c r="L46" s="206">
        <v>1</v>
      </c>
      <c r="M46" s="206">
        <v>0</v>
      </c>
      <c r="N46" s="206">
        <v>1</v>
      </c>
      <c r="O46" s="206">
        <v>1</v>
      </c>
      <c r="P46" s="206">
        <v>0</v>
      </c>
      <c r="Q46" s="103"/>
    </row>
    <row r="47" spans="1:24" x14ac:dyDescent="0.25">
      <c r="A47" s="82" t="s">
        <v>139</v>
      </c>
      <c r="B47" s="206">
        <v>6</v>
      </c>
      <c r="C47" s="206">
        <v>1</v>
      </c>
      <c r="D47" s="206">
        <v>0</v>
      </c>
      <c r="E47" s="206">
        <v>8</v>
      </c>
      <c r="F47" s="206">
        <v>3</v>
      </c>
      <c r="G47" s="229">
        <v>0</v>
      </c>
      <c r="H47" s="206">
        <v>15</v>
      </c>
      <c r="I47" s="206">
        <v>19</v>
      </c>
      <c r="J47" s="206">
        <v>0</v>
      </c>
      <c r="K47" s="206">
        <v>21</v>
      </c>
      <c r="L47" s="206">
        <v>8</v>
      </c>
      <c r="M47" s="206">
        <v>0</v>
      </c>
      <c r="N47" s="206">
        <v>4</v>
      </c>
      <c r="O47" s="206">
        <v>5</v>
      </c>
      <c r="P47" s="206">
        <v>0</v>
      </c>
      <c r="Q47" s="103"/>
    </row>
    <row r="48" spans="1:24" x14ac:dyDescent="0.25">
      <c r="A48" s="122" t="s">
        <v>132</v>
      </c>
      <c r="B48" s="206"/>
      <c r="C48" s="206"/>
      <c r="D48" s="206"/>
      <c r="E48" s="206"/>
      <c r="F48" s="206"/>
      <c r="G48" s="229"/>
      <c r="H48" s="206"/>
      <c r="I48" s="206"/>
      <c r="J48" s="206"/>
      <c r="K48" s="206"/>
      <c r="L48" s="206"/>
      <c r="M48" s="206"/>
      <c r="N48" s="206"/>
      <c r="O48" s="206"/>
      <c r="P48" s="206"/>
      <c r="Q48" s="103"/>
    </row>
    <row r="49" spans="1:17" x14ac:dyDescent="0.25">
      <c r="A49" s="83">
        <v>45695</v>
      </c>
      <c r="B49" s="206">
        <v>0</v>
      </c>
      <c r="C49" s="206">
        <v>0</v>
      </c>
      <c r="D49" s="206">
        <v>0</v>
      </c>
      <c r="E49" s="206">
        <v>2</v>
      </c>
      <c r="F49" s="206">
        <v>0</v>
      </c>
      <c r="G49" s="229">
        <v>0</v>
      </c>
      <c r="H49" s="206">
        <v>1</v>
      </c>
      <c r="I49" s="206">
        <v>0</v>
      </c>
      <c r="J49" s="206">
        <v>0</v>
      </c>
      <c r="K49" s="206">
        <v>1</v>
      </c>
      <c r="L49" s="206">
        <v>2</v>
      </c>
      <c r="M49" s="206">
        <v>0</v>
      </c>
      <c r="N49" s="206">
        <v>0</v>
      </c>
      <c r="O49" s="206">
        <v>0</v>
      </c>
      <c r="P49" s="206">
        <v>0</v>
      </c>
      <c r="Q49" s="103"/>
    </row>
    <row r="50" spans="1:17" x14ac:dyDescent="0.25">
      <c r="A50" s="83">
        <v>45694</v>
      </c>
      <c r="B50" s="206">
        <v>2</v>
      </c>
      <c r="C50" s="206">
        <v>2</v>
      </c>
      <c r="D50" s="206">
        <v>0</v>
      </c>
      <c r="E50" s="206">
        <v>0</v>
      </c>
      <c r="F50" s="206">
        <v>2</v>
      </c>
      <c r="G50" s="229">
        <v>0</v>
      </c>
      <c r="H50" s="206">
        <v>2</v>
      </c>
      <c r="I50" s="206">
        <v>1</v>
      </c>
      <c r="J50" s="206">
        <v>0</v>
      </c>
      <c r="K50" s="206">
        <v>3</v>
      </c>
      <c r="L50" s="206">
        <v>1</v>
      </c>
      <c r="M50" s="206">
        <v>0</v>
      </c>
      <c r="N50" s="206">
        <v>0</v>
      </c>
      <c r="O50" s="206">
        <v>0</v>
      </c>
      <c r="P50" s="206">
        <v>0</v>
      </c>
      <c r="Q50" s="103"/>
    </row>
    <row r="51" spans="1:17" x14ac:dyDescent="0.25">
      <c r="A51" s="83">
        <v>45693</v>
      </c>
      <c r="B51" s="206">
        <v>1</v>
      </c>
      <c r="C51" s="206">
        <v>0</v>
      </c>
      <c r="D51" s="206">
        <v>0</v>
      </c>
      <c r="E51" s="206">
        <v>1</v>
      </c>
      <c r="F51" s="206">
        <v>0</v>
      </c>
      <c r="G51" s="229">
        <v>0</v>
      </c>
      <c r="H51" s="206">
        <v>6</v>
      </c>
      <c r="I51" s="206">
        <v>0</v>
      </c>
      <c r="J51" s="206">
        <v>0</v>
      </c>
      <c r="K51" s="206">
        <v>3</v>
      </c>
      <c r="L51" s="206">
        <v>0</v>
      </c>
      <c r="M51" s="206">
        <v>0</v>
      </c>
      <c r="N51" s="206">
        <v>2</v>
      </c>
      <c r="O51" s="206">
        <v>0</v>
      </c>
      <c r="P51" s="206">
        <v>0</v>
      </c>
      <c r="Q51" s="103"/>
    </row>
    <row r="52" spans="1:17" x14ac:dyDescent="0.25">
      <c r="A52" s="83">
        <v>45692</v>
      </c>
      <c r="B52" s="206">
        <v>1</v>
      </c>
      <c r="C52" s="206">
        <v>0</v>
      </c>
      <c r="D52" s="206">
        <v>0</v>
      </c>
      <c r="E52" s="206">
        <v>4</v>
      </c>
      <c r="F52" s="206">
        <v>0</v>
      </c>
      <c r="G52" s="229">
        <v>0</v>
      </c>
      <c r="H52" s="206">
        <v>4</v>
      </c>
      <c r="I52" s="206">
        <v>0</v>
      </c>
      <c r="J52" s="206">
        <v>0</v>
      </c>
      <c r="K52" s="206">
        <v>6</v>
      </c>
      <c r="L52" s="206">
        <v>0</v>
      </c>
      <c r="M52" s="206">
        <v>0</v>
      </c>
      <c r="N52" s="206">
        <v>1</v>
      </c>
      <c r="O52" s="206">
        <v>0</v>
      </c>
      <c r="P52" s="206">
        <v>0</v>
      </c>
      <c r="Q52" s="103"/>
    </row>
    <row r="53" spans="1:17" x14ac:dyDescent="0.25">
      <c r="A53" s="83">
        <v>45691</v>
      </c>
      <c r="B53" s="206">
        <v>0</v>
      </c>
      <c r="C53" s="206">
        <v>0</v>
      </c>
      <c r="D53" s="206">
        <v>0</v>
      </c>
      <c r="E53" s="206">
        <v>1</v>
      </c>
      <c r="F53" s="206">
        <v>0</v>
      </c>
      <c r="G53" s="229">
        <v>0</v>
      </c>
      <c r="H53" s="206">
        <v>1</v>
      </c>
      <c r="I53" s="206">
        <v>0</v>
      </c>
      <c r="J53" s="206">
        <v>0</v>
      </c>
      <c r="K53" s="206">
        <v>7</v>
      </c>
      <c r="L53" s="206">
        <v>0</v>
      </c>
      <c r="M53" s="206">
        <v>0</v>
      </c>
      <c r="N53" s="206">
        <v>0</v>
      </c>
      <c r="O53" s="206">
        <v>0</v>
      </c>
      <c r="P53" s="206">
        <v>0</v>
      </c>
      <c r="Q53" s="103"/>
    </row>
    <row r="54" spans="1:17" x14ac:dyDescent="0.25">
      <c r="A54" s="82" t="s">
        <v>140</v>
      </c>
      <c r="B54" s="206">
        <v>4</v>
      </c>
      <c r="C54" s="206">
        <v>2</v>
      </c>
      <c r="D54" s="206">
        <v>0</v>
      </c>
      <c r="E54" s="206">
        <v>8</v>
      </c>
      <c r="F54" s="206">
        <v>2</v>
      </c>
      <c r="G54" s="229">
        <v>0</v>
      </c>
      <c r="H54" s="206">
        <v>14</v>
      </c>
      <c r="I54" s="206">
        <v>1</v>
      </c>
      <c r="J54" s="206">
        <v>0</v>
      </c>
      <c r="K54" s="206">
        <v>20</v>
      </c>
      <c r="L54" s="206">
        <v>3</v>
      </c>
      <c r="M54" s="206">
        <v>0</v>
      </c>
      <c r="N54" s="206">
        <v>3</v>
      </c>
      <c r="O54" s="206">
        <v>0</v>
      </c>
      <c r="P54" s="206">
        <v>0</v>
      </c>
      <c r="Q54" s="103"/>
    </row>
    <row r="55" spans="1:17" x14ac:dyDescent="0.25">
      <c r="A55" s="122" t="s">
        <v>133</v>
      </c>
      <c r="B55" s="206"/>
      <c r="C55" s="206"/>
      <c r="D55" s="206"/>
      <c r="E55" s="206"/>
      <c r="F55" s="206"/>
      <c r="G55" s="229"/>
      <c r="H55" s="206"/>
      <c r="I55" s="206"/>
      <c r="J55" s="206"/>
      <c r="K55" s="206"/>
      <c r="L55" s="206"/>
      <c r="M55" s="206"/>
      <c r="N55" s="206"/>
      <c r="O55" s="206"/>
      <c r="P55" s="206"/>
      <c r="Q55" s="103"/>
    </row>
    <row r="56" spans="1:17" x14ac:dyDescent="0.25">
      <c r="A56" s="83">
        <v>45688</v>
      </c>
      <c r="B56" s="206">
        <v>0</v>
      </c>
      <c r="C56" s="206">
        <v>0</v>
      </c>
      <c r="D56" s="206">
        <v>0</v>
      </c>
      <c r="E56" s="206">
        <v>6</v>
      </c>
      <c r="F56" s="206">
        <v>0</v>
      </c>
      <c r="G56" s="229">
        <v>0</v>
      </c>
      <c r="H56" s="206">
        <v>2</v>
      </c>
      <c r="I56" s="206">
        <v>0</v>
      </c>
      <c r="J56" s="206">
        <v>0</v>
      </c>
      <c r="K56" s="206">
        <v>5</v>
      </c>
      <c r="L56" s="206">
        <v>0</v>
      </c>
      <c r="M56" s="206">
        <v>0</v>
      </c>
      <c r="N56" s="206">
        <v>0</v>
      </c>
      <c r="O56" s="206">
        <v>0</v>
      </c>
      <c r="P56" s="206">
        <v>0</v>
      </c>
      <c r="Q56" s="103"/>
    </row>
    <row r="57" spans="1:17" x14ac:dyDescent="0.25">
      <c r="A57" s="83">
        <v>45687</v>
      </c>
      <c r="B57" s="206">
        <v>1</v>
      </c>
      <c r="C57" s="206">
        <v>0</v>
      </c>
      <c r="D57" s="206">
        <v>0</v>
      </c>
      <c r="E57" s="206">
        <v>1</v>
      </c>
      <c r="F57" s="206">
        <v>0</v>
      </c>
      <c r="G57" s="229">
        <v>0</v>
      </c>
      <c r="H57" s="206">
        <v>4</v>
      </c>
      <c r="I57" s="206">
        <v>0</v>
      </c>
      <c r="J57" s="206">
        <v>0</v>
      </c>
      <c r="K57" s="206">
        <v>2</v>
      </c>
      <c r="L57" s="206">
        <v>0</v>
      </c>
      <c r="M57" s="206">
        <v>0</v>
      </c>
      <c r="N57" s="206">
        <v>1</v>
      </c>
      <c r="O57" s="206">
        <v>0</v>
      </c>
      <c r="P57" s="206">
        <v>0</v>
      </c>
      <c r="Q57" s="103"/>
    </row>
    <row r="58" spans="1:17" x14ac:dyDescent="0.25">
      <c r="A58" s="83">
        <v>45686</v>
      </c>
      <c r="B58" s="206">
        <v>1</v>
      </c>
      <c r="C58" s="206">
        <v>0</v>
      </c>
      <c r="D58" s="206">
        <v>0</v>
      </c>
      <c r="E58" s="206">
        <v>3</v>
      </c>
      <c r="F58" s="206">
        <v>0</v>
      </c>
      <c r="G58" s="229">
        <v>0</v>
      </c>
      <c r="H58" s="206">
        <v>3</v>
      </c>
      <c r="I58" s="206">
        <v>0</v>
      </c>
      <c r="J58" s="206">
        <v>0</v>
      </c>
      <c r="K58" s="206">
        <v>7</v>
      </c>
      <c r="L58" s="206">
        <v>0</v>
      </c>
      <c r="M58" s="206">
        <v>0</v>
      </c>
      <c r="N58" s="206">
        <v>0</v>
      </c>
      <c r="O58" s="206">
        <v>0</v>
      </c>
      <c r="P58" s="206">
        <v>0</v>
      </c>
      <c r="Q58" s="103"/>
    </row>
    <row r="59" spans="1:17" x14ac:dyDescent="0.25">
      <c r="A59" s="83">
        <v>45685</v>
      </c>
      <c r="B59" s="206">
        <v>2</v>
      </c>
      <c r="C59" s="206">
        <v>0</v>
      </c>
      <c r="D59" s="206">
        <v>0</v>
      </c>
      <c r="E59" s="206">
        <v>7</v>
      </c>
      <c r="F59" s="206">
        <v>0</v>
      </c>
      <c r="G59" s="229">
        <v>0</v>
      </c>
      <c r="H59" s="206">
        <v>9</v>
      </c>
      <c r="I59" s="206">
        <v>0</v>
      </c>
      <c r="J59" s="206">
        <v>0</v>
      </c>
      <c r="K59" s="206">
        <v>4</v>
      </c>
      <c r="L59" s="206">
        <v>0</v>
      </c>
      <c r="M59" s="206">
        <v>0</v>
      </c>
      <c r="N59" s="206">
        <v>1</v>
      </c>
      <c r="O59" s="206">
        <v>0</v>
      </c>
      <c r="P59" s="206">
        <v>0</v>
      </c>
      <c r="Q59" s="103"/>
    </row>
    <row r="60" spans="1:17" x14ac:dyDescent="0.25">
      <c r="A60" s="83">
        <v>45684</v>
      </c>
      <c r="B60" s="206">
        <v>0</v>
      </c>
      <c r="C60" s="206">
        <v>0</v>
      </c>
      <c r="D60" s="206">
        <v>0</v>
      </c>
      <c r="E60" s="206">
        <v>3</v>
      </c>
      <c r="F60" s="206">
        <v>0</v>
      </c>
      <c r="G60" s="229">
        <v>0</v>
      </c>
      <c r="H60" s="206">
        <v>5</v>
      </c>
      <c r="I60" s="206">
        <v>0</v>
      </c>
      <c r="J60" s="206">
        <v>0</v>
      </c>
      <c r="K60" s="206">
        <v>14</v>
      </c>
      <c r="L60" s="206">
        <v>0</v>
      </c>
      <c r="M60" s="206">
        <v>0</v>
      </c>
      <c r="N60" s="206">
        <v>2</v>
      </c>
      <c r="O60" s="206">
        <v>0</v>
      </c>
      <c r="P60" s="206">
        <v>0</v>
      </c>
      <c r="Q60" s="103"/>
    </row>
    <row r="61" spans="1:17" x14ac:dyDescent="0.25">
      <c r="A61" s="82" t="s">
        <v>141</v>
      </c>
      <c r="B61" s="206">
        <v>4</v>
      </c>
      <c r="C61" s="206">
        <v>0</v>
      </c>
      <c r="D61" s="206">
        <v>0</v>
      </c>
      <c r="E61" s="206">
        <v>20</v>
      </c>
      <c r="F61" s="206">
        <v>0</v>
      </c>
      <c r="G61" s="229">
        <v>0</v>
      </c>
      <c r="H61" s="206">
        <v>23</v>
      </c>
      <c r="I61" s="206">
        <v>0</v>
      </c>
      <c r="J61" s="206">
        <v>0</v>
      </c>
      <c r="K61" s="206">
        <v>32</v>
      </c>
      <c r="L61" s="206">
        <v>0</v>
      </c>
      <c r="M61" s="206">
        <v>0</v>
      </c>
      <c r="N61" s="206">
        <v>4</v>
      </c>
      <c r="O61" s="206">
        <v>0</v>
      </c>
      <c r="P61" s="206">
        <v>0</v>
      </c>
      <c r="Q61" s="103"/>
    </row>
    <row r="62" spans="1:17" x14ac:dyDescent="0.25">
      <c r="A62" s="122" t="s">
        <v>134</v>
      </c>
      <c r="B62" s="206"/>
      <c r="C62" s="206"/>
      <c r="D62" s="206"/>
      <c r="E62" s="206"/>
      <c r="F62" s="206"/>
      <c r="G62" s="229"/>
      <c r="H62" s="206"/>
      <c r="I62" s="206"/>
      <c r="J62" s="206"/>
      <c r="K62" s="206"/>
      <c r="L62" s="206"/>
      <c r="M62" s="206"/>
      <c r="N62" s="206"/>
      <c r="O62" s="206"/>
      <c r="P62" s="206"/>
      <c r="Q62" s="103"/>
    </row>
    <row r="63" spans="1:17" x14ac:dyDescent="0.25">
      <c r="A63" s="83">
        <v>45681</v>
      </c>
      <c r="B63" s="206">
        <v>1</v>
      </c>
      <c r="C63" s="206">
        <v>0</v>
      </c>
      <c r="D63" s="206">
        <v>0</v>
      </c>
      <c r="E63" s="206">
        <v>7</v>
      </c>
      <c r="F63" s="206">
        <v>0</v>
      </c>
      <c r="G63" s="229">
        <v>0</v>
      </c>
      <c r="H63" s="206">
        <v>6</v>
      </c>
      <c r="I63" s="206">
        <v>0</v>
      </c>
      <c r="J63" s="206">
        <v>0</v>
      </c>
      <c r="K63" s="206">
        <v>9</v>
      </c>
      <c r="L63" s="206">
        <v>0</v>
      </c>
      <c r="M63" s="206">
        <v>0</v>
      </c>
      <c r="N63" s="206">
        <v>4</v>
      </c>
      <c r="O63" s="206">
        <v>0</v>
      </c>
      <c r="P63" s="206">
        <v>0</v>
      </c>
      <c r="Q63" s="103"/>
    </row>
    <row r="64" spans="1:17" x14ac:dyDescent="0.25">
      <c r="A64" s="83">
        <v>45680</v>
      </c>
      <c r="B64" s="206">
        <v>0</v>
      </c>
      <c r="C64" s="206">
        <v>2</v>
      </c>
      <c r="D64" s="206">
        <v>0</v>
      </c>
      <c r="E64" s="206">
        <v>5</v>
      </c>
      <c r="F64" s="206">
        <v>0</v>
      </c>
      <c r="G64" s="229">
        <v>0</v>
      </c>
      <c r="H64" s="206">
        <v>4</v>
      </c>
      <c r="I64" s="206">
        <v>0</v>
      </c>
      <c r="J64" s="206">
        <v>0</v>
      </c>
      <c r="K64" s="206">
        <v>5</v>
      </c>
      <c r="L64" s="206">
        <v>0</v>
      </c>
      <c r="M64" s="206">
        <v>0</v>
      </c>
      <c r="N64" s="206">
        <v>3</v>
      </c>
      <c r="O64" s="206">
        <v>0</v>
      </c>
      <c r="P64" s="206">
        <v>0</v>
      </c>
      <c r="Q64" s="103"/>
    </row>
    <row r="65" spans="1:17" x14ac:dyDescent="0.25">
      <c r="A65" s="83">
        <v>45679</v>
      </c>
      <c r="B65" s="206">
        <v>1</v>
      </c>
      <c r="C65" s="206">
        <v>0</v>
      </c>
      <c r="D65" s="206">
        <v>0</v>
      </c>
      <c r="E65" s="206">
        <v>4</v>
      </c>
      <c r="F65" s="206">
        <v>0</v>
      </c>
      <c r="G65" s="229">
        <v>0</v>
      </c>
      <c r="H65" s="206">
        <v>5</v>
      </c>
      <c r="I65" s="206">
        <v>0</v>
      </c>
      <c r="J65" s="206">
        <v>0</v>
      </c>
      <c r="K65" s="206">
        <v>6</v>
      </c>
      <c r="L65" s="206">
        <v>0</v>
      </c>
      <c r="M65" s="206">
        <v>0</v>
      </c>
      <c r="N65" s="206">
        <v>0</v>
      </c>
      <c r="O65" s="206">
        <v>0</v>
      </c>
      <c r="P65" s="206">
        <v>0</v>
      </c>
      <c r="Q65" s="103"/>
    </row>
    <row r="66" spans="1:17" x14ac:dyDescent="0.25">
      <c r="A66" s="83">
        <v>45678</v>
      </c>
      <c r="B66" s="206">
        <v>1</v>
      </c>
      <c r="C66" s="206">
        <v>1</v>
      </c>
      <c r="D66" s="206">
        <v>0</v>
      </c>
      <c r="E66" s="206">
        <v>2</v>
      </c>
      <c r="F66" s="206">
        <v>0</v>
      </c>
      <c r="G66" s="229">
        <v>0</v>
      </c>
      <c r="H66" s="206">
        <v>4</v>
      </c>
      <c r="I66" s="206">
        <v>0</v>
      </c>
      <c r="J66" s="206">
        <v>0</v>
      </c>
      <c r="K66" s="206">
        <v>6</v>
      </c>
      <c r="L66" s="206">
        <v>0</v>
      </c>
      <c r="M66" s="206">
        <v>0</v>
      </c>
      <c r="N66" s="206">
        <v>1</v>
      </c>
      <c r="O66" s="206">
        <v>0</v>
      </c>
      <c r="P66" s="206">
        <v>0</v>
      </c>
      <c r="Q66" s="103"/>
    </row>
    <row r="67" spans="1:17" x14ac:dyDescent="0.25">
      <c r="A67" s="83">
        <v>45677</v>
      </c>
      <c r="B67" s="206">
        <v>0</v>
      </c>
      <c r="C67" s="206">
        <v>0</v>
      </c>
      <c r="D67" s="206">
        <v>0</v>
      </c>
      <c r="E67" s="206">
        <v>9</v>
      </c>
      <c r="F67" s="206">
        <v>0</v>
      </c>
      <c r="G67" s="229">
        <v>0</v>
      </c>
      <c r="H67" s="206">
        <v>6</v>
      </c>
      <c r="I67" s="206">
        <v>0</v>
      </c>
      <c r="J67" s="206">
        <v>0</v>
      </c>
      <c r="K67" s="206">
        <v>8</v>
      </c>
      <c r="L67" s="206">
        <v>0</v>
      </c>
      <c r="M67" s="206">
        <v>0</v>
      </c>
      <c r="N67" s="206">
        <v>1</v>
      </c>
      <c r="O67" s="206">
        <v>0</v>
      </c>
      <c r="P67" s="206">
        <v>0</v>
      </c>
    </row>
    <row r="68" spans="1:17" x14ac:dyDescent="0.25">
      <c r="A68" s="82" t="s">
        <v>142</v>
      </c>
      <c r="B68" s="206">
        <v>3</v>
      </c>
      <c r="C68" s="206">
        <v>3</v>
      </c>
      <c r="D68" s="206">
        <v>0</v>
      </c>
      <c r="E68" s="206">
        <v>27</v>
      </c>
      <c r="F68" s="206">
        <v>0</v>
      </c>
      <c r="G68" s="229">
        <v>0</v>
      </c>
      <c r="H68" s="206">
        <v>25</v>
      </c>
      <c r="I68" s="206">
        <v>0</v>
      </c>
      <c r="J68" s="206">
        <v>0</v>
      </c>
      <c r="K68" s="206">
        <v>34</v>
      </c>
      <c r="L68" s="206">
        <v>0</v>
      </c>
      <c r="M68" s="206">
        <v>0</v>
      </c>
      <c r="N68" s="206">
        <v>9</v>
      </c>
      <c r="O68" s="206">
        <v>0</v>
      </c>
      <c r="P68" s="206">
        <v>0</v>
      </c>
    </row>
    <row r="69" spans="1:17" x14ac:dyDescent="0.25">
      <c r="A69" s="122" t="s">
        <v>135</v>
      </c>
      <c r="B69" s="206"/>
      <c r="C69" s="206"/>
      <c r="D69" s="206"/>
      <c r="E69" s="206"/>
      <c r="F69" s="206"/>
      <c r="G69" s="229"/>
      <c r="H69" s="206"/>
      <c r="I69" s="206"/>
      <c r="J69" s="206"/>
      <c r="K69" s="206"/>
      <c r="L69" s="206"/>
      <c r="M69" s="206"/>
      <c r="N69" s="206"/>
      <c r="O69" s="206"/>
      <c r="P69" s="206"/>
    </row>
    <row r="70" spans="1:17" x14ac:dyDescent="0.25">
      <c r="A70" s="83">
        <v>45674</v>
      </c>
      <c r="B70" s="206">
        <v>1</v>
      </c>
      <c r="C70" s="206">
        <v>0</v>
      </c>
      <c r="D70" s="206">
        <v>0</v>
      </c>
      <c r="E70" s="206">
        <v>4</v>
      </c>
      <c r="F70" s="206">
        <v>0</v>
      </c>
      <c r="G70" s="229">
        <v>0</v>
      </c>
      <c r="H70" s="206">
        <v>7</v>
      </c>
      <c r="I70" s="206">
        <v>0</v>
      </c>
      <c r="J70" s="206">
        <v>0</v>
      </c>
      <c r="K70" s="206">
        <v>10</v>
      </c>
      <c r="L70" s="206">
        <v>0</v>
      </c>
      <c r="M70" s="206">
        <v>0</v>
      </c>
      <c r="N70" s="206">
        <v>6</v>
      </c>
      <c r="O70" s="206">
        <v>0</v>
      </c>
      <c r="P70" s="206">
        <v>0</v>
      </c>
    </row>
    <row r="71" spans="1:17" x14ac:dyDescent="0.25">
      <c r="A71" s="83">
        <v>45673</v>
      </c>
      <c r="B71" s="206">
        <v>1</v>
      </c>
      <c r="C71" s="206">
        <v>1</v>
      </c>
      <c r="D71" s="206">
        <v>0</v>
      </c>
      <c r="E71" s="206">
        <v>4</v>
      </c>
      <c r="F71" s="206">
        <v>0</v>
      </c>
      <c r="G71" s="229">
        <v>0</v>
      </c>
      <c r="H71" s="206">
        <v>6</v>
      </c>
      <c r="I71" s="206">
        <v>0</v>
      </c>
      <c r="J71" s="206">
        <v>0</v>
      </c>
      <c r="K71" s="206">
        <v>9</v>
      </c>
      <c r="L71" s="206">
        <v>0</v>
      </c>
      <c r="M71" s="206">
        <v>0</v>
      </c>
      <c r="N71" s="206">
        <v>3</v>
      </c>
      <c r="O71" s="206">
        <v>0</v>
      </c>
      <c r="P71" s="206">
        <v>0</v>
      </c>
    </row>
    <row r="72" spans="1:17" x14ac:dyDescent="0.25">
      <c r="A72" s="83">
        <v>45672</v>
      </c>
      <c r="B72" s="206">
        <v>0</v>
      </c>
      <c r="C72" s="206">
        <v>1</v>
      </c>
      <c r="D72" s="206">
        <v>0</v>
      </c>
      <c r="E72" s="206">
        <v>3</v>
      </c>
      <c r="F72" s="206">
        <v>0</v>
      </c>
      <c r="G72" s="229">
        <v>0</v>
      </c>
      <c r="H72" s="206">
        <v>7</v>
      </c>
      <c r="I72" s="206">
        <v>0</v>
      </c>
      <c r="J72" s="206">
        <v>0</v>
      </c>
      <c r="K72" s="206">
        <v>11</v>
      </c>
      <c r="L72" s="206">
        <v>0</v>
      </c>
      <c r="M72" s="206">
        <v>0</v>
      </c>
      <c r="N72" s="206">
        <v>0</v>
      </c>
      <c r="O72" s="206">
        <v>0</v>
      </c>
      <c r="P72" s="206">
        <v>0</v>
      </c>
    </row>
    <row r="73" spans="1:17" x14ac:dyDescent="0.25">
      <c r="A73" s="83">
        <v>45671</v>
      </c>
      <c r="B73" s="206">
        <v>0</v>
      </c>
      <c r="C73" s="206">
        <v>2</v>
      </c>
      <c r="D73" s="206">
        <v>0</v>
      </c>
      <c r="E73" s="206">
        <v>3</v>
      </c>
      <c r="F73" s="206">
        <v>0</v>
      </c>
      <c r="G73" s="229">
        <v>0</v>
      </c>
      <c r="H73" s="206">
        <v>9</v>
      </c>
      <c r="I73" s="206">
        <v>0</v>
      </c>
      <c r="J73" s="206">
        <v>0</v>
      </c>
      <c r="K73" s="206">
        <v>6</v>
      </c>
      <c r="L73" s="206">
        <v>0</v>
      </c>
      <c r="M73" s="206">
        <v>0</v>
      </c>
      <c r="N73" s="206">
        <v>2</v>
      </c>
      <c r="O73" s="206">
        <v>0</v>
      </c>
      <c r="P73" s="206">
        <v>0</v>
      </c>
    </row>
    <row r="74" spans="1:17" x14ac:dyDescent="0.25">
      <c r="A74" s="83">
        <v>45670</v>
      </c>
      <c r="B74" s="206">
        <v>1</v>
      </c>
      <c r="C74" s="206">
        <v>1</v>
      </c>
      <c r="D74" s="206">
        <v>0</v>
      </c>
      <c r="E74" s="206">
        <v>5</v>
      </c>
      <c r="F74" s="206">
        <v>0</v>
      </c>
      <c r="G74" s="229">
        <v>0</v>
      </c>
      <c r="H74" s="206">
        <v>1</v>
      </c>
      <c r="I74" s="206">
        <v>0</v>
      </c>
      <c r="J74" s="206">
        <v>0</v>
      </c>
      <c r="K74" s="206">
        <v>5</v>
      </c>
      <c r="L74" s="206">
        <v>0</v>
      </c>
      <c r="M74" s="206">
        <v>0</v>
      </c>
      <c r="N74" s="206">
        <v>1</v>
      </c>
      <c r="O74" s="206">
        <v>0</v>
      </c>
      <c r="P74" s="206">
        <v>0</v>
      </c>
    </row>
    <row r="75" spans="1:17" x14ac:dyDescent="0.25">
      <c r="A75" s="82" t="s">
        <v>143</v>
      </c>
      <c r="B75" s="206">
        <v>3</v>
      </c>
      <c r="C75" s="206">
        <v>5</v>
      </c>
      <c r="D75" s="206">
        <v>0</v>
      </c>
      <c r="E75" s="206">
        <v>19</v>
      </c>
      <c r="F75" s="206">
        <v>0</v>
      </c>
      <c r="G75" s="229">
        <v>0</v>
      </c>
      <c r="H75" s="206">
        <v>30</v>
      </c>
      <c r="I75" s="206">
        <v>0</v>
      </c>
      <c r="J75" s="206">
        <v>0</v>
      </c>
      <c r="K75" s="206">
        <v>41</v>
      </c>
      <c r="L75" s="206">
        <v>0</v>
      </c>
      <c r="M75" s="206">
        <v>0</v>
      </c>
      <c r="N75" s="206">
        <v>12</v>
      </c>
      <c r="O75" s="206">
        <v>0</v>
      </c>
      <c r="P75" s="206">
        <v>0</v>
      </c>
    </row>
    <row r="76" spans="1:17" x14ac:dyDescent="0.25">
      <c r="A76" s="122" t="s">
        <v>136</v>
      </c>
      <c r="B76" s="206"/>
      <c r="C76" s="206"/>
      <c r="D76" s="206"/>
      <c r="E76" s="206"/>
      <c r="F76" s="206"/>
      <c r="G76" s="229"/>
      <c r="H76" s="206"/>
      <c r="I76" s="206"/>
      <c r="J76" s="206"/>
      <c r="K76" s="206"/>
      <c r="L76" s="206"/>
      <c r="M76" s="206"/>
      <c r="N76" s="206"/>
      <c r="O76" s="206"/>
      <c r="P76" s="206"/>
    </row>
    <row r="77" spans="1:17" x14ac:dyDescent="0.25">
      <c r="A77" s="83">
        <v>45667</v>
      </c>
      <c r="B77" s="206">
        <v>0</v>
      </c>
      <c r="C77" s="206">
        <v>1</v>
      </c>
      <c r="D77" s="206">
        <v>0</v>
      </c>
      <c r="E77" s="206">
        <v>5</v>
      </c>
      <c r="F77" s="206">
        <v>0</v>
      </c>
      <c r="G77" s="229">
        <v>0</v>
      </c>
      <c r="H77" s="206">
        <v>9</v>
      </c>
      <c r="I77" s="206">
        <v>0</v>
      </c>
      <c r="J77" s="206">
        <v>0</v>
      </c>
      <c r="K77" s="206">
        <v>2</v>
      </c>
      <c r="L77" s="206">
        <v>0</v>
      </c>
      <c r="M77" s="206">
        <v>0</v>
      </c>
      <c r="N77" s="206">
        <v>0</v>
      </c>
      <c r="O77" s="206">
        <v>0</v>
      </c>
      <c r="P77" s="206">
        <v>0</v>
      </c>
    </row>
    <row r="78" spans="1:17" x14ac:dyDescent="0.25">
      <c r="A78" s="83">
        <v>45666</v>
      </c>
      <c r="B78" s="206">
        <v>0</v>
      </c>
      <c r="C78" s="206">
        <v>0</v>
      </c>
      <c r="D78" s="206">
        <v>0</v>
      </c>
      <c r="E78" s="206">
        <v>5</v>
      </c>
      <c r="F78" s="206">
        <v>0</v>
      </c>
      <c r="G78" s="229">
        <v>0</v>
      </c>
      <c r="H78" s="206">
        <v>3</v>
      </c>
      <c r="I78" s="206">
        <v>0</v>
      </c>
      <c r="J78" s="206">
        <v>0</v>
      </c>
      <c r="K78" s="206">
        <v>4</v>
      </c>
      <c r="L78" s="206">
        <v>0</v>
      </c>
      <c r="M78" s="206">
        <v>0</v>
      </c>
      <c r="N78" s="206">
        <v>2</v>
      </c>
      <c r="O78" s="206">
        <v>0</v>
      </c>
      <c r="P78" s="206">
        <v>0</v>
      </c>
    </row>
    <row r="79" spans="1:17" x14ac:dyDescent="0.25">
      <c r="A79" s="82" t="s">
        <v>144</v>
      </c>
      <c r="B79" s="206">
        <v>0</v>
      </c>
      <c r="C79" s="206">
        <v>1</v>
      </c>
      <c r="D79" s="206">
        <v>0</v>
      </c>
      <c r="E79" s="206">
        <v>10</v>
      </c>
      <c r="F79" s="206">
        <v>0</v>
      </c>
      <c r="G79" s="229">
        <v>0</v>
      </c>
      <c r="H79" s="206">
        <v>12</v>
      </c>
      <c r="I79" s="206">
        <v>0</v>
      </c>
      <c r="J79" s="206">
        <v>0</v>
      </c>
      <c r="K79" s="206">
        <v>6</v>
      </c>
      <c r="L79" s="206">
        <v>0</v>
      </c>
      <c r="M79" s="206">
        <v>0</v>
      </c>
      <c r="N79" s="206">
        <v>2</v>
      </c>
      <c r="O79" s="206">
        <v>0</v>
      </c>
      <c r="P79" s="206">
        <v>0</v>
      </c>
    </row>
    <row r="80" spans="1:17" x14ac:dyDescent="0.25">
      <c r="B80" s="106"/>
      <c r="C80" s="106"/>
      <c r="D80" s="106"/>
      <c r="E80" s="106"/>
      <c r="F80" s="106"/>
      <c r="G80" s="106"/>
      <c r="H80" s="106"/>
      <c r="I80" s="106"/>
      <c r="J80" s="106"/>
      <c r="K80" s="106"/>
    </row>
    <row r="81" spans="2:11" x14ac:dyDescent="0.25">
      <c r="B81" s="106"/>
      <c r="C81" s="106"/>
      <c r="D81" s="106"/>
      <c r="E81" s="106"/>
      <c r="F81" s="106"/>
      <c r="G81" s="106"/>
      <c r="H81" s="106"/>
      <c r="I81" s="106"/>
      <c r="J81" s="106"/>
      <c r="K81" s="106"/>
    </row>
    <row r="82" spans="2:11" x14ac:dyDescent="0.25">
      <c r="B82" s="106"/>
      <c r="C82" s="106"/>
      <c r="D82" s="106"/>
      <c r="E82" s="106"/>
      <c r="F82" s="106"/>
      <c r="G82" s="106"/>
      <c r="H82" s="106"/>
      <c r="I82" s="106"/>
      <c r="J82" s="106"/>
      <c r="K82" s="106"/>
    </row>
    <row r="83" spans="2:11" x14ac:dyDescent="0.25">
      <c r="B83" s="106"/>
      <c r="C83" s="106"/>
      <c r="D83" s="106"/>
      <c r="E83" s="106"/>
      <c r="F83" s="106"/>
      <c r="G83" s="106"/>
      <c r="H83" s="106"/>
      <c r="I83" s="106"/>
      <c r="J83" s="106"/>
      <c r="K83" s="106"/>
    </row>
    <row r="84" spans="2:11" x14ac:dyDescent="0.25">
      <c r="B84" s="106"/>
      <c r="C84" s="106"/>
      <c r="D84" s="106"/>
      <c r="E84" s="106"/>
      <c r="F84" s="106"/>
      <c r="G84" s="106"/>
      <c r="H84" s="106"/>
      <c r="I84" s="106"/>
      <c r="J84" s="106"/>
      <c r="K84" s="106"/>
    </row>
    <row r="85" spans="2:11" x14ac:dyDescent="0.25">
      <c r="B85" s="106"/>
      <c r="C85" s="106"/>
      <c r="D85" s="106"/>
      <c r="E85" s="106"/>
      <c r="F85" s="106"/>
      <c r="G85" s="106"/>
      <c r="H85" s="106"/>
      <c r="I85" s="106"/>
      <c r="J85" s="106"/>
      <c r="K85" s="106"/>
    </row>
    <row r="86" spans="2:11" x14ac:dyDescent="0.25">
      <c r="B86" s="106"/>
      <c r="C86" s="106"/>
      <c r="D86" s="106"/>
      <c r="E86" s="106"/>
      <c r="F86" s="106"/>
      <c r="G86" s="106"/>
      <c r="H86" s="106"/>
      <c r="I86" s="106"/>
      <c r="J86" s="106"/>
      <c r="K86" s="106"/>
    </row>
    <row r="87" spans="2:11" x14ac:dyDescent="0.25">
      <c r="B87" s="106"/>
      <c r="C87" s="106"/>
      <c r="D87" s="106"/>
      <c r="E87" s="106"/>
      <c r="F87" s="106"/>
      <c r="G87" s="106"/>
      <c r="H87" s="106"/>
      <c r="I87" s="106"/>
      <c r="J87" s="106"/>
      <c r="K87" s="106"/>
    </row>
    <row r="88" spans="2:11" x14ac:dyDescent="0.25">
      <c r="B88" s="106"/>
      <c r="C88" s="106"/>
      <c r="D88" s="106"/>
      <c r="E88" s="106"/>
      <c r="F88" s="106"/>
      <c r="G88" s="106"/>
      <c r="H88" s="106"/>
      <c r="I88" s="106"/>
      <c r="J88" s="106"/>
      <c r="K88" s="106"/>
    </row>
    <row r="89" spans="2:11" x14ac:dyDescent="0.25">
      <c r="B89" s="106"/>
      <c r="C89" s="106"/>
      <c r="D89" s="106"/>
      <c r="E89" s="106"/>
      <c r="F89" s="106"/>
      <c r="G89" s="106"/>
      <c r="H89" s="106"/>
      <c r="I89" s="106"/>
      <c r="J89" s="106"/>
      <c r="K89" s="106"/>
    </row>
    <row r="90" spans="2:11" x14ac:dyDescent="0.25">
      <c r="B90" s="106"/>
      <c r="C90" s="106"/>
      <c r="D90" s="106"/>
      <c r="E90" s="106"/>
      <c r="F90" s="106"/>
      <c r="G90" s="106"/>
      <c r="H90" s="106"/>
      <c r="I90" s="106"/>
      <c r="J90" s="106"/>
      <c r="K90" s="106"/>
    </row>
    <row r="91" spans="2:11" x14ac:dyDescent="0.25">
      <c r="B91" s="106"/>
      <c r="C91" s="106"/>
      <c r="D91" s="106"/>
      <c r="E91" s="106"/>
      <c r="F91" s="106"/>
      <c r="G91" s="106"/>
      <c r="H91" s="106"/>
      <c r="I91" s="106"/>
      <c r="J91" s="106"/>
      <c r="K91" s="106"/>
    </row>
    <row r="92" spans="2:11" x14ac:dyDescent="0.25">
      <c r="B92" s="106"/>
      <c r="C92" s="106"/>
      <c r="D92" s="106"/>
      <c r="E92" s="106"/>
      <c r="F92" s="106"/>
      <c r="G92" s="106"/>
      <c r="H92" s="106"/>
      <c r="I92" s="106"/>
      <c r="J92" s="106"/>
      <c r="K92" s="106"/>
    </row>
    <row r="93" spans="2:11" x14ac:dyDescent="0.25">
      <c r="B93" s="106"/>
      <c r="C93" s="106"/>
      <c r="D93" s="106"/>
      <c r="E93" s="106"/>
      <c r="F93" s="106"/>
      <c r="G93" s="106"/>
      <c r="H93" s="106"/>
      <c r="I93" s="106"/>
      <c r="J93" s="106"/>
      <c r="K93" s="106"/>
    </row>
    <row r="94" spans="2:11" x14ac:dyDescent="0.25">
      <c r="B94" s="106"/>
      <c r="C94" s="106"/>
      <c r="D94" s="106"/>
      <c r="E94" s="106"/>
      <c r="F94" s="106"/>
      <c r="G94" s="106"/>
      <c r="H94" s="106"/>
      <c r="I94" s="106"/>
      <c r="J94" s="106"/>
      <c r="K94" s="106"/>
    </row>
    <row r="95" spans="2:11" x14ac:dyDescent="0.25">
      <c r="B95" s="106"/>
      <c r="C95" s="106"/>
      <c r="D95" s="106"/>
      <c r="E95" s="106"/>
      <c r="F95" s="106"/>
      <c r="G95" s="106"/>
      <c r="H95" s="106"/>
      <c r="I95" s="106"/>
      <c r="J95" s="106"/>
      <c r="K95" s="106"/>
    </row>
    <row r="96" spans="2:11" x14ac:dyDescent="0.25">
      <c r="B96" s="106"/>
      <c r="C96" s="106"/>
      <c r="D96" s="106"/>
      <c r="E96" s="106"/>
      <c r="F96" s="106"/>
      <c r="G96" s="106"/>
      <c r="H96" s="106"/>
      <c r="I96" s="106"/>
      <c r="J96" s="106"/>
      <c r="K96" s="106"/>
    </row>
    <row r="97" spans="2:11" x14ac:dyDescent="0.25">
      <c r="B97" s="106"/>
      <c r="C97" s="106"/>
      <c r="D97" s="106"/>
      <c r="E97" s="106"/>
      <c r="F97" s="106"/>
      <c r="G97" s="106"/>
      <c r="H97" s="106"/>
      <c r="I97" s="106"/>
      <c r="J97" s="106"/>
      <c r="K97" s="106"/>
    </row>
    <row r="98" spans="2:11" x14ac:dyDescent="0.25">
      <c r="B98" s="106"/>
      <c r="C98" s="106"/>
      <c r="D98" s="106"/>
      <c r="E98" s="106"/>
      <c r="F98" s="106"/>
      <c r="G98" s="106"/>
      <c r="H98" s="106"/>
      <c r="I98" s="106"/>
      <c r="J98" s="106"/>
      <c r="K98" s="106"/>
    </row>
    <row r="99" spans="2:11" x14ac:dyDescent="0.25">
      <c r="B99" s="106"/>
      <c r="C99" s="106"/>
      <c r="D99" s="106"/>
      <c r="E99" s="106"/>
      <c r="F99" s="106"/>
      <c r="G99" s="106"/>
      <c r="H99" s="106"/>
      <c r="I99" s="106"/>
      <c r="J99" s="106"/>
      <c r="K99" s="106"/>
    </row>
    <row r="100" spans="2:11" x14ac:dyDescent="0.25"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</row>
    <row r="101" spans="2:11" x14ac:dyDescent="0.25"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</row>
    <row r="102" spans="2:11" x14ac:dyDescent="0.25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</row>
    <row r="103" spans="2:1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</row>
    <row r="104" spans="2:11" x14ac:dyDescent="0.25"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</row>
    <row r="105" spans="2:11" x14ac:dyDescent="0.25"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</row>
    <row r="106" spans="2:11" x14ac:dyDescent="0.25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</row>
    <row r="107" spans="2:11" x14ac:dyDescent="0.25"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</row>
    <row r="108" spans="2:11" x14ac:dyDescent="0.25"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</row>
    <row r="109" spans="2:11" x14ac:dyDescent="0.25"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</row>
    <row r="110" spans="2:11" x14ac:dyDescent="0.25"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</row>
    <row r="111" spans="2:11" x14ac:dyDescent="0.25"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</row>
    <row r="112" spans="2:11" x14ac:dyDescent="0.25"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</row>
    <row r="113" spans="2:11" x14ac:dyDescent="0.25"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</row>
    <row r="114" spans="2:11" x14ac:dyDescent="0.25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</row>
    <row r="115" spans="2:11" x14ac:dyDescent="0.25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</row>
    <row r="116" spans="2:11" x14ac:dyDescent="0.25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</row>
    <row r="117" spans="2:11" x14ac:dyDescent="0.25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</row>
    <row r="118" spans="2:11" x14ac:dyDescent="0.25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</row>
    <row r="119" spans="2:11" x14ac:dyDescent="0.25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</row>
    <row r="120" spans="2:11" x14ac:dyDescent="0.25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</row>
    <row r="121" spans="2:11" x14ac:dyDescent="0.25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</row>
    <row r="122" spans="2:11" x14ac:dyDescent="0.25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</row>
    <row r="123" spans="2:11" x14ac:dyDescent="0.25"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</row>
    <row r="124" spans="2:11" x14ac:dyDescent="0.25"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</row>
    <row r="125" spans="2:11" x14ac:dyDescent="0.25"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</row>
    <row r="126" spans="2:11" x14ac:dyDescent="0.25"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</row>
    <row r="127" spans="2:11" x14ac:dyDescent="0.25"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</row>
    <row r="128" spans="2:11" x14ac:dyDescent="0.25"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</row>
    <row r="129" spans="2:11" x14ac:dyDescent="0.25"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</row>
    <row r="130" spans="2:11" x14ac:dyDescent="0.25"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</row>
    <row r="131" spans="2:11" x14ac:dyDescent="0.25"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</row>
    <row r="132" spans="2:11" x14ac:dyDescent="0.25"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</row>
    <row r="133" spans="2:11" x14ac:dyDescent="0.25"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</row>
    <row r="134" spans="2:11" x14ac:dyDescent="0.25"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</row>
    <row r="135" spans="2:11" x14ac:dyDescent="0.25"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</row>
    <row r="136" spans="2:11" x14ac:dyDescent="0.25"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</row>
    <row r="137" spans="2:11" x14ac:dyDescent="0.25"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</row>
    <row r="138" spans="2:11" x14ac:dyDescent="0.25"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</row>
    <row r="139" spans="2:11" x14ac:dyDescent="0.25"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</row>
    <row r="140" spans="2:11" x14ac:dyDescent="0.25"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2:11" x14ac:dyDescent="0.25"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</row>
    <row r="142" spans="2:11" x14ac:dyDescent="0.25"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</row>
    <row r="143" spans="2:11" x14ac:dyDescent="0.25"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</row>
    <row r="144" spans="2:11" x14ac:dyDescent="0.25"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</row>
    <row r="145" spans="2:11" x14ac:dyDescent="0.25"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</row>
    <row r="146" spans="2:11" x14ac:dyDescent="0.25"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</row>
    <row r="147" spans="2:11" x14ac:dyDescent="0.25"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</row>
    <row r="148" spans="2:11" x14ac:dyDescent="0.25"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</row>
    <row r="149" spans="2:11" x14ac:dyDescent="0.25"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</row>
    <row r="150" spans="2:11" x14ac:dyDescent="0.25"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</row>
    <row r="151" spans="2:11" x14ac:dyDescent="0.25"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</row>
    <row r="152" spans="2:11" x14ac:dyDescent="0.25"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</row>
    <row r="153" spans="2:11" x14ac:dyDescent="0.25"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</row>
    <row r="154" spans="2:11" x14ac:dyDescent="0.25"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</row>
    <row r="155" spans="2:11" x14ac:dyDescent="0.25"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</row>
    <row r="156" spans="2:11" x14ac:dyDescent="0.25"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</row>
    <row r="157" spans="2:11" x14ac:dyDescent="0.25"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</row>
    <row r="158" spans="2:11" x14ac:dyDescent="0.25"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</row>
    <row r="159" spans="2:11" x14ac:dyDescent="0.25"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</row>
    <row r="160" spans="2:11" x14ac:dyDescent="0.25"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</row>
    <row r="161" spans="2:11" x14ac:dyDescent="0.25"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</row>
    <row r="162" spans="2:11" x14ac:dyDescent="0.25"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</row>
    <row r="163" spans="2:11" x14ac:dyDescent="0.25"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</row>
    <row r="164" spans="2:11" x14ac:dyDescent="0.25"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</row>
    <row r="165" spans="2:11" x14ac:dyDescent="0.25"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</row>
    <row r="166" spans="2:11" x14ac:dyDescent="0.25"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</row>
    <row r="167" spans="2:11" x14ac:dyDescent="0.25"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</row>
    <row r="168" spans="2:11" x14ac:dyDescent="0.25"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</row>
  </sheetData>
  <mergeCells count="17">
    <mergeCell ref="B1:D1"/>
    <mergeCell ref="N1:P1"/>
    <mergeCell ref="K1:M1"/>
    <mergeCell ref="H1:J1"/>
    <mergeCell ref="E1:G1"/>
    <mergeCell ref="AN17:AR17"/>
    <mergeCell ref="AN1:AR1"/>
    <mergeCell ref="AI1:AL1"/>
    <mergeCell ref="S17:V17"/>
    <mergeCell ref="W17:Z17"/>
    <mergeCell ref="AA17:AD17"/>
    <mergeCell ref="AE17:AH17"/>
    <mergeCell ref="AI17:AL17"/>
    <mergeCell ref="S1:V1"/>
    <mergeCell ref="W1:Z1"/>
    <mergeCell ref="AA1:AD1"/>
    <mergeCell ref="AE1:AH1"/>
  </mergeCells>
  <phoneticPr fontId="11" type="noConversion"/>
  <conditionalFormatting pivot="1" sqref="S35:S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T35:T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U35:U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V35:V3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W35:W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X35:X3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3:P79">
    <cfRule type="expression" dxfId="468" priority="2">
      <formula>B3&gt;0</formula>
    </cfRule>
  </conditionalFormatting>
  <conditionalFormatting pivot="1" sqref="B3:P79">
    <cfRule type="expression" dxfId="467" priority="3">
      <formula>B3=0</formula>
    </cfRule>
  </conditionalFormatting>
  <conditionalFormatting pivot="1" sqref="D3:D79 G3:G79 J3:J79 M3:M79 P3:P79">
    <cfRule type="expression" dxfId="466" priority="1">
      <formula>ISNUMBER($A3)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5183ABEC-5D8F-42F3-97DD-2EE255421FA3}">
          <x14:colorSeries theme="1" tint="0.499984740745262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'Общее кол-во'!S35:S39</xm:f>
              <xm:sqref>S40</xm:sqref>
            </x14:sparkline>
            <x14:sparkline>
              <xm:f>'Общее кол-во'!T35:T39</xm:f>
              <xm:sqref>T40</xm:sqref>
            </x14:sparkline>
            <x14:sparkline>
              <xm:f>'Общее кол-во'!U35:U39</xm:f>
              <xm:sqref>U40</xm:sqref>
            </x14:sparkline>
            <x14:sparkline>
              <xm:f>'Общее кол-во'!V35:V39</xm:f>
              <xm:sqref>V40</xm:sqref>
            </x14:sparkline>
            <x14:sparkline>
              <xm:f>'Общее кол-во'!W35:W39</xm:f>
              <xm:sqref>W40</xm:sqref>
            </x14:sparkline>
            <x14:sparkline>
              <xm:f>'Общее кол-во'!X35:X39</xm:f>
              <xm:sqref>X40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A678-5C81-40FF-9423-654AAB4D8B7C}">
  <sheetPr codeName="Лист3"/>
  <dimension ref="A1:AL79"/>
  <sheetViews>
    <sheetView workbookViewId="0">
      <selection activeCell="F22" sqref="F22"/>
    </sheetView>
  </sheetViews>
  <sheetFormatPr defaultRowHeight="15" x14ac:dyDescent="0.25"/>
  <cols>
    <col min="1" max="1" width="17.28515625" customWidth="1"/>
    <col min="2" max="2" width="13" customWidth="1"/>
    <col min="3" max="3" width="13.5703125" customWidth="1"/>
    <col min="4" max="4" width="11.85546875" bestFit="1" customWidth="1"/>
    <col min="5" max="6" width="13.28515625" customWidth="1"/>
    <col min="7" max="7" width="12.42578125" customWidth="1"/>
    <col min="8" max="8" width="11.85546875" customWidth="1"/>
    <col min="9" max="9" width="12.5703125" customWidth="1"/>
    <col min="10" max="10" width="12.28515625" customWidth="1"/>
    <col min="11" max="13" width="13.42578125" customWidth="1"/>
    <col min="14" max="16" width="13.7109375" bestFit="1" customWidth="1"/>
    <col min="17" max="17" width="7.5703125" customWidth="1"/>
    <col min="18" max="18" width="17.28515625" bestFit="1" customWidth="1"/>
    <col min="19" max="20" width="10.5703125" bestFit="1" customWidth="1"/>
    <col min="21" max="21" width="11.85546875" bestFit="1" customWidth="1"/>
    <col min="22" max="22" width="10.5703125" bestFit="1" customWidth="1"/>
    <col min="23" max="23" width="11.85546875" customWidth="1"/>
    <col min="24" max="24" width="9.5703125" bestFit="1" customWidth="1"/>
    <col min="25" max="25" width="12.28515625" bestFit="1" customWidth="1"/>
    <col min="26" max="26" width="12" bestFit="1" customWidth="1"/>
    <col min="27" max="27" width="10.5703125" bestFit="1" customWidth="1"/>
    <col min="28" max="28" width="9.5703125" bestFit="1" customWidth="1"/>
    <col min="29" max="29" width="13.28515625" bestFit="1" customWidth="1"/>
    <col min="30" max="30" width="12" bestFit="1" customWidth="1"/>
    <col min="31" max="31" width="10.5703125" bestFit="1" customWidth="1"/>
    <col min="32" max="32" width="9.7109375" bestFit="1" customWidth="1"/>
    <col min="33" max="33" width="13.28515625" bestFit="1" customWidth="1"/>
    <col min="34" max="34" width="12" bestFit="1" customWidth="1"/>
    <col min="35" max="35" width="9.5703125" bestFit="1" customWidth="1"/>
    <col min="36" max="36" width="10.140625" bestFit="1" customWidth="1"/>
    <col min="37" max="37" width="13.7109375" bestFit="1" customWidth="1"/>
    <col min="38" max="38" width="12" bestFit="1" customWidth="1"/>
  </cols>
  <sheetData>
    <row r="1" spans="1:38" ht="16.5" thickBot="1" x14ac:dyDescent="0.3">
      <c r="B1" s="255" t="s">
        <v>0</v>
      </c>
      <c r="C1" s="256"/>
      <c r="D1" s="257"/>
      <c r="E1" s="256" t="s">
        <v>1</v>
      </c>
      <c r="F1" s="256"/>
      <c r="G1" s="266"/>
      <c r="H1" s="255" t="s">
        <v>2</v>
      </c>
      <c r="I1" s="256"/>
      <c r="J1" s="257"/>
      <c r="K1" s="255" t="s">
        <v>3</v>
      </c>
      <c r="L1" s="256"/>
      <c r="M1" s="257"/>
      <c r="N1" s="264" t="s">
        <v>4</v>
      </c>
      <c r="O1" s="264"/>
      <c r="P1" s="265"/>
      <c r="R1" s="116" t="s">
        <v>33</v>
      </c>
      <c r="S1" s="258" t="s">
        <v>0</v>
      </c>
      <c r="T1" s="259"/>
      <c r="U1" s="259"/>
      <c r="V1" s="260"/>
      <c r="W1" s="258" t="s">
        <v>1</v>
      </c>
      <c r="X1" s="259"/>
      <c r="Y1" s="259"/>
      <c r="Z1" s="260"/>
      <c r="AA1" s="246" t="s">
        <v>2</v>
      </c>
      <c r="AB1" s="247"/>
      <c r="AC1" s="247"/>
      <c r="AD1" s="248"/>
      <c r="AE1" s="246" t="s">
        <v>3</v>
      </c>
      <c r="AF1" s="247"/>
      <c r="AG1" s="247"/>
      <c r="AH1" s="248"/>
      <c r="AI1" s="246" t="s">
        <v>4</v>
      </c>
      <c r="AJ1" s="247"/>
      <c r="AK1" s="247"/>
      <c r="AL1" s="248"/>
    </row>
    <row r="2" spans="1:38" ht="15.75" thickBot="1" x14ac:dyDescent="0.3">
      <c r="A2" s="106"/>
      <c r="B2" s="127" t="s">
        <v>7</v>
      </c>
      <c r="C2" s="105" t="s">
        <v>8</v>
      </c>
      <c r="D2" s="128" t="s">
        <v>125</v>
      </c>
      <c r="E2" s="105" t="s">
        <v>9</v>
      </c>
      <c r="F2" s="105" t="s">
        <v>10</v>
      </c>
      <c r="G2" s="106" t="s">
        <v>148</v>
      </c>
      <c r="H2" s="127" t="s">
        <v>11</v>
      </c>
      <c r="I2" s="105" t="s">
        <v>12</v>
      </c>
      <c r="J2" s="128" t="s">
        <v>145</v>
      </c>
      <c r="K2" s="127" t="s">
        <v>13</v>
      </c>
      <c r="L2" s="105" t="s">
        <v>14</v>
      </c>
      <c r="M2" s="230" t="s">
        <v>127</v>
      </c>
      <c r="N2" s="187" t="s">
        <v>15</v>
      </c>
      <c r="O2" s="187" t="s">
        <v>16</v>
      </c>
      <c r="P2" s="188" t="s">
        <v>126</v>
      </c>
      <c r="Q2" s="105"/>
      <c r="S2" s="174" t="s">
        <v>7</v>
      </c>
      <c r="T2" s="175" t="s">
        <v>8</v>
      </c>
      <c r="U2" s="176" t="s">
        <v>125</v>
      </c>
      <c r="V2" s="177" t="s">
        <v>34</v>
      </c>
      <c r="W2" s="174" t="s">
        <v>9</v>
      </c>
      <c r="X2" s="175" t="s">
        <v>10</v>
      </c>
      <c r="Y2" s="176" t="s">
        <v>148</v>
      </c>
      <c r="Z2" s="178" t="s">
        <v>35</v>
      </c>
      <c r="AA2" s="174" t="s">
        <v>11</v>
      </c>
      <c r="AB2" s="175" t="s">
        <v>12</v>
      </c>
      <c r="AC2" s="176" t="s">
        <v>149</v>
      </c>
      <c r="AD2" s="178" t="s">
        <v>36</v>
      </c>
      <c r="AE2" s="174" t="s">
        <v>13</v>
      </c>
      <c r="AF2" s="175" t="s">
        <v>14</v>
      </c>
      <c r="AG2" s="176" t="s">
        <v>127</v>
      </c>
      <c r="AH2" s="178" t="s">
        <v>37</v>
      </c>
      <c r="AI2" s="174" t="s">
        <v>15</v>
      </c>
      <c r="AJ2" s="175" t="s">
        <v>16</v>
      </c>
      <c r="AK2" s="176" t="s">
        <v>126</v>
      </c>
      <c r="AL2" s="178" t="s">
        <v>38</v>
      </c>
    </row>
    <row r="3" spans="1:38" x14ac:dyDescent="0.25">
      <c r="A3" s="107" t="s">
        <v>150</v>
      </c>
      <c r="B3" s="196"/>
      <c r="C3" s="195"/>
      <c r="D3" s="197"/>
      <c r="E3" s="198"/>
      <c r="F3" s="195"/>
      <c r="G3" s="195"/>
      <c r="H3" s="196"/>
      <c r="I3" s="195"/>
      <c r="J3" s="197"/>
      <c r="K3" s="196"/>
      <c r="L3" s="199"/>
      <c r="M3" s="197"/>
      <c r="N3" s="200"/>
      <c r="O3" s="200"/>
      <c r="P3" s="202"/>
      <c r="Q3" s="123"/>
      <c r="R3" s="82" t="s">
        <v>22</v>
      </c>
      <c r="S3" s="217">
        <v>11440</v>
      </c>
      <c r="T3" s="218">
        <v>10178.1</v>
      </c>
      <c r="U3" s="193">
        <v>0</v>
      </c>
      <c r="V3" s="219">
        <v>21618.1</v>
      </c>
      <c r="W3" s="217">
        <v>89142</v>
      </c>
      <c r="X3" s="218">
        <v>0</v>
      </c>
      <c r="Y3" s="193">
        <v>0</v>
      </c>
      <c r="Z3" s="224">
        <v>89142</v>
      </c>
      <c r="AA3" s="217">
        <v>106782</v>
      </c>
      <c r="AB3" s="218">
        <v>0</v>
      </c>
      <c r="AC3" s="193">
        <v>0</v>
      </c>
      <c r="AD3" s="224">
        <v>106782</v>
      </c>
      <c r="AE3" s="217">
        <v>135305</v>
      </c>
      <c r="AF3" s="218">
        <v>0</v>
      </c>
      <c r="AG3" s="193">
        <v>0</v>
      </c>
      <c r="AH3" s="224">
        <v>135305</v>
      </c>
      <c r="AI3" s="217">
        <v>29869.1</v>
      </c>
      <c r="AJ3" s="218">
        <v>0</v>
      </c>
      <c r="AK3" s="193">
        <v>0</v>
      </c>
      <c r="AL3" s="224">
        <v>29869.1</v>
      </c>
    </row>
    <row r="4" spans="1:38" x14ac:dyDescent="0.25">
      <c r="A4" s="108">
        <v>45740</v>
      </c>
      <c r="B4" s="196">
        <v>2288</v>
      </c>
      <c r="C4" s="195">
        <v>1130.9000000000001</v>
      </c>
      <c r="D4" s="197">
        <v>0</v>
      </c>
      <c r="E4" s="198">
        <v>3652</v>
      </c>
      <c r="F4" s="195">
        <v>979.2</v>
      </c>
      <c r="G4" s="195">
        <v>0</v>
      </c>
      <c r="H4" s="196">
        <v>0</v>
      </c>
      <c r="I4" s="195">
        <v>1958.4</v>
      </c>
      <c r="J4" s="197">
        <v>1249.21</v>
      </c>
      <c r="K4" s="196">
        <v>8521</v>
      </c>
      <c r="L4" s="199">
        <v>2937.6</v>
      </c>
      <c r="M4" s="197">
        <v>0</v>
      </c>
      <c r="N4" s="195">
        <v>1217.3</v>
      </c>
      <c r="O4" s="195">
        <v>979.2</v>
      </c>
      <c r="P4" s="203">
        <v>0</v>
      </c>
      <c r="Q4" s="123"/>
      <c r="R4" s="82" t="s">
        <v>23</v>
      </c>
      <c r="S4" s="220">
        <v>26312</v>
      </c>
      <c r="T4" s="216">
        <v>6785.4</v>
      </c>
      <c r="U4" s="192">
        <v>0</v>
      </c>
      <c r="V4" s="221">
        <v>33097.4</v>
      </c>
      <c r="W4" s="220">
        <v>51127</v>
      </c>
      <c r="X4" s="216">
        <v>22521.599999999999</v>
      </c>
      <c r="Y4" s="192">
        <v>0</v>
      </c>
      <c r="Z4" s="225">
        <v>73648.600000000006</v>
      </c>
      <c r="AA4" s="220">
        <v>48693</v>
      </c>
      <c r="AB4" s="216">
        <v>43084.800000000003</v>
      </c>
      <c r="AC4" s="192">
        <v>0</v>
      </c>
      <c r="AD4" s="225">
        <v>91777.8</v>
      </c>
      <c r="AE4" s="220">
        <v>65734</v>
      </c>
      <c r="AF4" s="216">
        <v>38188.800000000003</v>
      </c>
      <c r="AG4" s="192">
        <v>0</v>
      </c>
      <c r="AH4" s="225">
        <v>103922.8</v>
      </c>
      <c r="AI4" s="220">
        <v>34701.699999999997</v>
      </c>
      <c r="AJ4" s="216">
        <v>9792</v>
      </c>
      <c r="AK4" s="192">
        <v>0</v>
      </c>
      <c r="AL4" s="225">
        <v>44493.7</v>
      </c>
    </row>
    <row r="5" spans="1:38" x14ac:dyDescent="0.25">
      <c r="A5" s="107" t="s">
        <v>151</v>
      </c>
      <c r="B5" s="196">
        <v>2288</v>
      </c>
      <c r="C5" s="195">
        <v>1130.9000000000001</v>
      </c>
      <c r="D5" s="197">
        <v>0</v>
      </c>
      <c r="E5" s="198">
        <v>3652</v>
      </c>
      <c r="F5" s="195">
        <v>979.2</v>
      </c>
      <c r="G5" s="195">
        <v>0</v>
      </c>
      <c r="H5" s="196">
        <v>0</v>
      </c>
      <c r="I5" s="195">
        <v>1958.4</v>
      </c>
      <c r="J5" s="197">
        <v>1249.21</v>
      </c>
      <c r="K5" s="196">
        <v>8521</v>
      </c>
      <c r="L5" s="199">
        <v>2937.6</v>
      </c>
      <c r="M5" s="197">
        <v>0</v>
      </c>
      <c r="N5" s="195">
        <v>1217.3</v>
      </c>
      <c r="O5" s="195">
        <v>979.2</v>
      </c>
      <c r="P5" s="203">
        <v>0</v>
      </c>
      <c r="Q5" s="123"/>
      <c r="R5" s="82" t="s">
        <v>67</v>
      </c>
      <c r="S5" s="220">
        <v>30888</v>
      </c>
      <c r="T5" s="216">
        <v>10178.1</v>
      </c>
      <c r="U5" s="192">
        <v>2501.8199999999997</v>
      </c>
      <c r="V5" s="221">
        <v>43567.92</v>
      </c>
      <c r="W5" s="220">
        <v>34084</v>
      </c>
      <c r="X5" s="216">
        <v>26438.400000000001</v>
      </c>
      <c r="Y5" s="192">
        <v>4996.8399999999992</v>
      </c>
      <c r="Z5" s="225">
        <v>65519.24</v>
      </c>
      <c r="AA5" s="220">
        <v>53562</v>
      </c>
      <c r="AB5" s="216">
        <v>31334.400000000001</v>
      </c>
      <c r="AC5" s="192">
        <v>4996.84</v>
      </c>
      <c r="AD5" s="225">
        <v>89893.239999999991</v>
      </c>
      <c r="AE5" s="220">
        <v>38953</v>
      </c>
      <c r="AF5" s="216">
        <v>39168</v>
      </c>
      <c r="AG5" s="192">
        <v>3747.63</v>
      </c>
      <c r="AH5" s="225">
        <v>81868.63</v>
      </c>
      <c r="AI5" s="220">
        <v>29215.200000000001</v>
      </c>
      <c r="AJ5" s="216">
        <v>8812.7999999999993</v>
      </c>
      <c r="AK5" s="192">
        <v>1249.21</v>
      </c>
      <c r="AL5" s="225">
        <v>39277.21</v>
      </c>
    </row>
    <row r="6" spans="1:38" ht="16.5" thickBot="1" x14ac:dyDescent="0.3">
      <c r="A6" s="107" t="s">
        <v>146</v>
      </c>
      <c r="B6" s="196"/>
      <c r="C6" s="195"/>
      <c r="D6" s="197"/>
      <c r="E6" s="198"/>
      <c r="F6" s="195"/>
      <c r="G6" s="195"/>
      <c r="H6" s="196"/>
      <c r="I6" s="195"/>
      <c r="J6" s="197"/>
      <c r="K6" s="196"/>
      <c r="L6" s="199"/>
      <c r="M6" s="197"/>
      <c r="N6" s="195"/>
      <c r="O6" s="195"/>
      <c r="P6" s="203"/>
      <c r="Q6" s="123"/>
      <c r="R6" s="95" t="s">
        <v>39</v>
      </c>
      <c r="S6" s="222">
        <v>68640</v>
      </c>
      <c r="T6" s="223">
        <v>27141.599999999999</v>
      </c>
      <c r="U6" s="194">
        <v>2501.8199999999997</v>
      </c>
      <c r="V6" s="228">
        <v>98283.420000000013</v>
      </c>
      <c r="W6" s="222">
        <v>174353</v>
      </c>
      <c r="X6" s="223">
        <v>48960</v>
      </c>
      <c r="Y6" s="194">
        <v>4996.8399999999992</v>
      </c>
      <c r="Z6" s="226">
        <v>228309.84</v>
      </c>
      <c r="AA6" s="222">
        <v>209037</v>
      </c>
      <c r="AB6" s="227">
        <v>74419.199999999997</v>
      </c>
      <c r="AC6" s="194">
        <v>4996.84</v>
      </c>
      <c r="AD6" s="226">
        <v>288453.04000000004</v>
      </c>
      <c r="AE6" s="222">
        <v>239992</v>
      </c>
      <c r="AF6" s="223">
        <v>77356.800000000003</v>
      </c>
      <c r="AG6" s="194">
        <v>3747.63</v>
      </c>
      <c r="AH6" s="226">
        <v>321096.43</v>
      </c>
      <c r="AI6" s="222">
        <v>93786</v>
      </c>
      <c r="AJ6" s="223">
        <v>18604.8</v>
      </c>
      <c r="AK6" s="194">
        <v>1249.21</v>
      </c>
      <c r="AL6" s="226">
        <v>113640.01000000001</v>
      </c>
    </row>
    <row r="7" spans="1:38" x14ac:dyDescent="0.25">
      <c r="A7" s="108">
        <v>45737</v>
      </c>
      <c r="B7" s="196">
        <v>3432</v>
      </c>
      <c r="C7" s="195">
        <v>0</v>
      </c>
      <c r="D7" s="197">
        <v>0</v>
      </c>
      <c r="E7" s="198">
        <v>1217</v>
      </c>
      <c r="F7" s="195">
        <v>0</v>
      </c>
      <c r="G7" s="195">
        <v>0</v>
      </c>
      <c r="H7" s="196">
        <v>2435</v>
      </c>
      <c r="I7" s="195">
        <v>3916.8</v>
      </c>
      <c r="J7" s="197">
        <v>0</v>
      </c>
      <c r="K7" s="196">
        <v>1217</v>
      </c>
      <c r="L7" s="199">
        <v>0</v>
      </c>
      <c r="M7" s="197">
        <v>0</v>
      </c>
      <c r="N7" s="195">
        <v>1217.3</v>
      </c>
      <c r="O7" s="195">
        <v>0</v>
      </c>
      <c r="P7" s="203">
        <v>0</v>
      </c>
      <c r="Q7" s="123"/>
    </row>
    <row r="8" spans="1:38" x14ac:dyDescent="0.25">
      <c r="A8" s="108">
        <v>45736</v>
      </c>
      <c r="B8" s="196">
        <v>0</v>
      </c>
      <c r="C8" s="195">
        <v>0</v>
      </c>
      <c r="D8" s="197">
        <v>0</v>
      </c>
      <c r="E8" s="198">
        <v>0</v>
      </c>
      <c r="F8" s="195">
        <v>2937.6</v>
      </c>
      <c r="G8" s="195">
        <v>2498.4199999999996</v>
      </c>
      <c r="H8" s="196">
        <v>3652</v>
      </c>
      <c r="I8" s="195">
        <v>979.2</v>
      </c>
      <c r="J8" s="197">
        <v>1249.21</v>
      </c>
      <c r="K8" s="196">
        <v>1217</v>
      </c>
      <c r="L8" s="199">
        <v>1958.4</v>
      </c>
      <c r="M8" s="197">
        <v>1249.21</v>
      </c>
      <c r="N8" s="195">
        <v>2434.6</v>
      </c>
      <c r="O8" s="195">
        <v>979.2</v>
      </c>
      <c r="P8" s="203">
        <v>0</v>
      </c>
      <c r="Q8" s="123"/>
    </row>
    <row r="9" spans="1:38" x14ac:dyDescent="0.25">
      <c r="A9" s="108">
        <v>45735</v>
      </c>
      <c r="B9" s="196">
        <v>4576</v>
      </c>
      <c r="C9" s="195">
        <v>0</v>
      </c>
      <c r="D9" s="197">
        <v>0</v>
      </c>
      <c r="E9" s="198">
        <v>1217</v>
      </c>
      <c r="F9" s="195">
        <v>979.2</v>
      </c>
      <c r="G9" s="195">
        <v>1249.2099999999998</v>
      </c>
      <c r="H9" s="196">
        <v>2435</v>
      </c>
      <c r="I9" s="195">
        <v>979.2</v>
      </c>
      <c r="J9" s="197">
        <v>0</v>
      </c>
      <c r="K9" s="196">
        <v>4869</v>
      </c>
      <c r="L9" s="199">
        <v>1958.4</v>
      </c>
      <c r="M9" s="197">
        <v>1249.21</v>
      </c>
      <c r="N9" s="195">
        <v>1217.3</v>
      </c>
      <c r="O9" s="195">
        <v>0</v>
      </c>
      <c r="P9" s="203">
        <v>0</v>
      </c>
      <c r="Q9" s="123"/>
    </row>
    <row r="10" spans="1:38" x14ac:dyDescent="0.25">
      <c r="A10" s="108">
        <v>45734</v>
      </c>
      <c r="B10" s="196">
        <v>1144</v>
      </c>
      <c r="C10" s="195">
        <v>1130.9000000000001</v>
      </c>
      <c r="D10" s="197">
        <v>1250.9099999999999</v>
      </c>
      <c r="E10" s="198">
        <v>0</v>
      </c>
      <c r="F10" s="195">
        <v>979.2</v>
      </c>
      <c r="G10" s="195">
        <v>1249.2099999999998</v>
      </c>
      <c r="H10" s="196">
        <v>3652</v>
      </c>
      <c r="I10" s="195">
        <v>1958.4</v>
      </c>
      <c r="J10" s="197">
        <v>1249.21</v>
      </c>
      <c r="K10" s="196">
        <v>2435</v>
      </c>
      <c r="L10" s="199">
        <v>2937.6</v>
      </c>
      <c r="M10" s="197">
        <v>0</v>
      </c>
      <c r="N10" s="195">
        <v>1217.3</v>
      </c>
      <c r="O10" s="195">
        <v>0</v>
      </c>
      <c r="P10" s="203">
        <v>0</v>
      </c>
      <c r="Q10" s="123"/>
    </row>
    <row r="11" spans="1:38" x14ac:dyDescent="0.25">
      <c r="A11" s="108">
        <v>45733</v>
      </c>
      <c r="B11" s="196">
        <v>1144</v>
      </c>
      <c r="C11" s="195">
        <v>0</v>
      </c>
      <c r="D11" s="197">
        <v>1250.9099999999999</v>
      </c>
      <c r="E11" s="198">
        <v>2435</v>
      </c>
      <c r="F11" s="195">
        <v>1958.4</v>
      </c>
      <c r="G11" s="195">
        <v>0</v>
      </c>
      <c r="H11" s="196">
        <v>3652</v>
      </c>
      <c r="I11" s="195">
        <v>979.2</v>
      </c>
      <c r="J11" s="197">
        <v>0</v>
      </c>
      <c r="K11" s="196">
        <v>2435</v>
      </c>
      <c r="L11" s="199">
        <v>0</v>
      </c>
      <c r="M11" s="197">
        <v>0</v>
      </c>
      <c r="N11" s="195">
        <v>2434.6</v>
      </c>
      <c r="O11" s="195">
        <v>0</v>
      </c>
      <c r="P11" s="203">
        <v>0</v>
      </c>
      <c r="Q11" s="123"/>
    </row>
    <row r="12" spans="1:38" x14ac:dyDescent="0.25">
      <c r="A12" s="107" t="s">
        <v>147</v>
      </c>
      <c r="B12" s="196">
        <v>10296</v>
      </c>
      <c r="C12" s="195">
        <v>1130.9000000000001</v>
      </c>
      <c r="D12" s="197">
        <v>2501.8199999999997</v>
      </c>
      <c r="E12" s="198">
        <v>4869</v>
      </c>
      <c r="F12" s="195">
        <v>6854.4</v>
      </c>
      <c r="G12" s="195">
        <v>4996.8399999999992</v>
      </c>
      <c r="H12" s="196">
        <v>15826</v>
      </c>
      <c r="I12" s="195">
        <v>8812.7999999999993</v>
      </c>
      <c r="J12" s="197">
        <v>2498.42</v>
      </c>
      <c r="K12" s="196">
        <v>12173</v>
      </c>
      <c r="L12" s="199">
        <v>6854.4</v>
      </c>
      <c r="M12" s="197">
        <v>2498.42</v>
      </c>
      <c r="N12" s="195">
        <v>8521.1</v>
      </c>
      <c r="O12" s="195">
        <v>979.2</v>
      </c>
      <c r="P12" s="203">
        <v>0</v>
      </c>
      <c r="Q12" s="123"/>
    </row>
    <row r="13" spans="1:38" x14ac:dyDescent="0.25">
      <c r="A13" s="107" t="s">
        <v>123</v>
      </c>
      <c r="B13" s="196"/>
      <c r="C13" s="195"/>
      <c r="D13" s="197"/>
      <c r="E13" s="198"/>
      <c r="F13" s="195"/>
      <c r="G13" s="195"/>
      <c r="H13" s="196"/>
      <c r="I13" s="195"/>
      <c r="J13" s="197"/>
      <c r="K13" s="196"/>
      <c r="L13" s="199"/>
      <c r="M13" s="197"/>
      <c r="N13" s="195"/>
      <c r="O13" s="195"/>
      <c r="P13" s="203"/>
      <c r="Q13" s="123"/>
    </row>
    <row r="14" spans="1:38" x14ac:dyDescent="0.25">
      <c r="A14" s="108">
        <v>45730</v>
      </c>
      <c r="B14" s="196">
        <v>3432</v>
      </c>
      <c r="C14" s="195">
        <v>1130.9000000000001</v>
      </c>
      <c r="D14" s="197">
        <v>0</v>
      </c>
      <c r="E14" s="198">
        <v>4869</v>
      </c>
      <c r="F14" s="195">
        <v>979.2</v>
      </c>
      <c r="G14" s="195">
        <v>0</v>
      </c>
      <c r="H14" s="196">
        <v>3652</v>
      </c>
      <c r="I14" s="195">
        <v>4896</v>
      </c>
      <c r="J14" s="197">
        <v>1249.21</v>
      </c>
      <c r="K14" s="196">
        <v>1217</v>
      </c>
      <c r="L14" s="199">
        <v>0</v>
      </c>
      <c r="M14" s="197">
        <v>0</v>
      </c>
      <c r="N14" s="195">
        <v>1217.3</v>
      </c>
      <c r="O14" s="195">
        <v>0</v>
      </c>
      <c r="P14" s="203">
        <v>0</v>
      </c>
      <c r="Q14" s="123"/>
    </row>
    <row r="15" spans="1:38" x14ac:dyDescent="0.25">
      <c r="A15" s="108">
        <v>45729</v>
      </c>
      <c r="B15" s="196">
        <v>1144</v>
      </c>
      <c r="C15" s="195">
        <v>0</v>
      </c>
      <c r="D15" s="197">
        <v>0</v>
      </c>
      <c r="E15" s="198">
        <v>3652</v>
      </c>
      <c r="F15" s="195">
        <v>1958.4</v>
      </c>
      <c r="G15" s="195">
        <v>0</v>
      </c>
      <c r="H15" s="196">
        <v>1217</v>
      </c>
      <c r="I15" s="195">
        <v>1958.4</v>
      </c>
      <c r="J15" s="197">
        <v>0</v>
      </c>
      <c r="K15" s="196">
        <v>3652</v>
      </c>
      <c r="L15" s="199">
        <v>2937.6</v>
      </c>
      <c r="M15" s="197">
        <v>1249.21</v>
      </c>
      <c r="N15" s="195">
        <v>1217.3</v>
      </c>
      <c r="O15" s="195">
        <v>1958.4</v>
      </c>
      <c r="P15" s="203">
        <v>0</v>
      </c>
      <c r="Q15" s="123"/>
    </row>
    <row r="16" spans="1:38" ht="15.75" thickBot="1" x14ac:dyDescent="0.3">
      <c r="A16" s="108">
        <v>45728</v>
      </c>
      <c r="B16" s="196">
        <v>1144</v>
      </c>
      <c r="C16" s="195">
        <v>0</v>
      </c>
      <c r="D16" s="197">
        <v>0</v>
      </c>
      <c r="E16" s="198">
        <v>0</v>
      </c>
      <c r="F16" s="195">
        <v>1958.4</v>
      </c>
      <c r="G16" s="195">
        <v>0</v>
      </c>
      <c r="H16" s="196">
        <v>6086</v>
      </c>
      <c r="I16" s="195">
        <v>1958.4</v>
      </c>
      <c r="J16" s="197">
        <v>0</v>
      </c>
      <c r="K16" s="196">
        <v>1217</v>
      </c>
      <c r="L16" s="199">
        <v>2937.6</v>
      </c>
      <c r="M16" s="197">
        <v>0</v>
      </c>
      <c r="N16" s="195">
        <v>3651.9</v>
      </c>
      <c r="O16" s="195">
        <v>979.2</v>
      </c>
      <c r="P16" s="203">
        <v>0</v>
      </c>
      <c r="Q16" s="123"/>
    </row>
    <row r="17" spans="1:22" ht="15.75" thickBot="1" x14ac:dyDescent="0.3">
      <c r="A17" s="108">
        <v>45727</v>
      </c>
      <c r="B17" s="196">
        <v>2288</v>
      </c>
      <c r="C17" s="195">
        <v>0</v>
      </c>
      <c r="D17" s="197">
        <v>0</v>
      </c>
      <c r="E17" s="198">
        <v>4869</v>
      </c>
      <c r="F17" s="195">
        <v>2937.6</v>
      </c>
      <c r="G17" s="195">
        <v>0</v>
      </c>
      <c r="H17" s="196">
        <v>2435</v>
      </c>
      <c r="I17" s="195">
        <v>1958.4</v>
      </c>
      <c r="J17" s="197">
        <v>0</v>
      </c>
      <c r="K17" s="196">
        <v>1217</v>
      </c>
      <c r="L17" s="199">
        <v>3916.8</v>
      </c>
      <c r="M17" s="197">
        <v>0</v>
      </c>
      <c r="N17" s="195">
        <v>3651.9</v>
      </c>
      <c r="O17" s="195">
        <v>1958.4</v>
      </c>
      <c r="P17" s="203">
        <v>1249.21</v>
      </c>
      <c r="Q17" s="123"/>
      <c r="R17" s="117" t="s">
        <v>33</v>
      </c>
      <c r="S17" s="261" t="s">
        <v>40</v>
      </c>
      <c r="T17" s="262"/>
      <c r="U17" s="262"/>
      <c r="V17" s="263"/>
    </row>
    <row r="18" spans="1:22" ht="15.75" thickBot="1" x14ac:dyDescent="0.3">
      <c r="A18" s="108">
        <v>45726</v>
      </c>
      <c r="B18" s="196">
        <v>1144</v>
      </c>
      <c r="C18" s="195">
        <v>1130.9000000000001</v>
      </c>
      <c r="D18" s="197">
        <v>0</v>
      </c>
      <c r="E18" s="198">
        <v>1217</v>
      </c>
      <c r="F18" s="195">
        <v>4896</v>
      </c>
      <c r="G18" s="195">
        <v>0</v>
      </c>
      <c r="H18" s="196">
        <v>3652</v>
      </c>
      <c r="I18" s="195">
        <v>1958.4</v>
      </c>
      <c r="J18" s="197">
        <v>0</v>
      </c>
      <c r="K18" s="196">
        <v>0</v>
      </c>
      <c r="L18" s="199">
        <v>5875.2</v>
      </c>
      <c r="M18" s="197">
        <v>0</v>
      </c>
      <c r="N18" s="195">
        <v>3651.9</v>
      </c>
      <c r="O18" s="195">
        <v>0</v>
      </c>
      <c r="P18" s="203">
        <v>0</v>
      </c>
      <c r="Q18" s="123"/>
      <c r="R18" s="124"/>
      <c r="S18" s="86" t="s">
        <v>7</v>
      </c>
      <c r="T18" s="87" t="s">
        <v>8</v>
      </c>
      <c r="U18" s="179" t="s">
        <v>125</v>
      </c>
      <c r="V18" s="180" t="s">
        <v>34</v>
      </c>
    </row>
    <row r="19" spans="1:22" x14ac:dyDescent="0.25">
      <c r="A19" s="107" t="s">
        <v>124</v>
      </c>
      <c r="B19" s="196">
        <v>9152</v>
      </c>
      <c r="C19" s="195">
        <v>2261.8000000000002</v>
      </c>
      <c r="D19" s="197">
        <v>0</v>
      </c>
      <c r="E19" s="198">
        <v>14607</v>
      </c>
      <c r="F19" s="195">
        <v>12729.6</v>
      </c>
      <c r="G19" s="195">
        <v>0</v>
      </c>
      <c r="H19" s="196">
        <v>17042</v>
      </c>
      <c r="I19" s="195">
        <v>12729.6</v>
      </c>
      <c r="J19" s="197">
        <v>1249.21</v>
      </c>
      <c r="K19" s="196">
        <v>7303</v>
      </c>
      <c r="L19" s="199">
        <v>15667.2</v>
      </c>
      <c r="M19" s="197">
        <v>1249.21</v>
      </c>
      <c r="N19" s="195">
        <v>13390.3</v>
      </c>
      <c r="O19" s="195">
        <v>4896</v>
      </c>
      <c r="P19" s="203">
        <v>1249.21</v>
      </c>
      <c r="Q19" s="123"/>
      <c r="R19" s="125" t="s">
        <v>22</v>
      </c>
      <c r="S19" s="208">
        <v>361098.1</v>
      </c>
      <c r="T19" s="209">
        <v>0</v>
      </c>
      <c r="U19" s="190">
        <v>0</v>
      </c>
      <c r="V19" s="214">
        <v>361098.1</v>
      </c>
    </row>
    <row r="20" spans="1:22" x14ac:dyDescent="0.25">
      <c r="A20" s="107" t="s">
        <v>120</v>
      </c>
      <c r="B20" s="196"/>
      <c r="C20" s="195"/>
      <c r="D20" s="197"/>
      <c r="E20" s="198"/>
      <c r="F20" s="195"/>
      <c r="G20" s="195"/>
      <c r="H20" s="196"/>
      <c r="I20" s="195"/>
      <c r="J20" s="197"/>
      <c r="K20" s="196"/>
      <c r="L20" s="199"/>
      <c r="M20" s="197"/>
      <c r="N20" s="195"/>
      <c r="O20" s="195"/>
      <c r="P20" s="203"/>
      <c r="Q20" s="123"/>
      <c r="R20" s="91" t="s">
        <v>23</v>
      </c>
      <c r="S20" s="210">
        <v>200255.7</v>
      </c>
      <c r="T20" s="207">
        <v>113587.2</v>
      </c>
      <c r="U20" s="189">
        <v>0</v>
      </c>
      <c r="V20" s="215">
        <v>313842.90000000002</v>
      </c>
    </row>
    <row r="21" spans="1:22" ht="15.75" thickBot="1" x14ac:dyDescent="0.3">
      <c r="A21" s="108">
        <v>45723</v>
      </c>
      <c r="B21" s="196">
        <v>3432</v>
      </c>
      <c r="C21" s="195">
        <v>0</v>
      </c>
      <c r="D21" s="197">
        <v>0</v>
      </c>
      <c r="E21" s="198">
        <v>0</v>
      </c>
      <c r="F21" s="195">
        <v>979.2</v>
      </c>
      <c r="G21" s="195">
        <v>0</v>
      </c>
      <c r="H21" s="196">
        <v>0</v>
      </c>
      <c r="I21" s="195">
        <v>979.2</v>
      </c>
      <c r="J21" s="197">
        <v>0</v>
      </c>
      <c r="K21" s="196">
        <v>0</v>
      </c>
      <c r="L21" s="199">
        <v>979.2</v>
      </c>
      <c r="M21" s="197">
        <v>0</v>
      </c>
      <c r="N21" s="195">
        <v>0</v>
      </c>
      <c r="O21" s="195">
        <v>0</v>
      </c>
      <c r="P21" s="203">
        <v>0</v>
      </c>
      <c r="Q21" s="123"/>
      <c r="R21" s="85" t="s">
        <v>67</v>
      </c>
      <c r="S21" s="210">
        <v>155814.20000000001</v>
      </c>
      <c r="T21" s="207">
        <v>105753.60000000001</v>
      </c>
      <c r="U21" s="189">
        <v>14990.52</v>
      </c>
      <c r="V21" s="215">
        <v>276558.31999999995</v>
      </c>
    </row>
    <row r="22" spans="1:22" ht="15.75" thickBot="1" x14ac:dyDescent="0.3">
      <c r="A22" s="108">
        <v>45722</v>
      </c>
      <c r="B22" s="196">
        <v>1144</v>
      </c>
      <c r="C22" s="195">
        <v>1130.9000000000001</v>
      </c>
      <c r="D22" s="197">
        <v>0</v>
      </c>
      <c r="E22" s="198">
        <v>4869</v>
      </c>
      <c r="F22" s="195">
        <v>979.2</v>
      </c>
      <c r="G22" s="195">
        <v>0</v>
      </c>
      <c r="H22" s="196">
        <v>3652</v>
      </c>
      <c r="I22" s="195">
        <v>1958.4</v>
      </c>
      <c r="J22" s="197">
        <v>0</v>
      </c>
      <c r="K22" s="196">
        <v>2435</v>
      </c>
      <c r="L22" s="199">
        <v>979.2</v>
      </c>
      <c r="M22" s="197">
        <v>0</v>
      </c>
      <c r="N22" s="195">
        <v>1217.3</v>
      </c>
      <c r="O22" s="195">
        <v>979.2</v>
      </c>
      <c r="P22" s="203">
        <v>0</v>
      </c>
      <c r="Q22" s="123"/>
      <c r="R22" s="94" t="s">
        <v>39</v>
      </c>
      <c r="S22" s="211">
        <v>717168</v>
      </c>
      <c r="T22" s="212">
        <v>219340.79999999999</v>
      </c>
      <c r="U22" s="191">
        <v>14990.52</v>
      </c>
      <c r="V22" s="213">
        <v>951499.32000000007</v>
      </c>
    </row>
    <row r="23" spans="1:22" x14ac:dyDescent="0.25">
      <c r="A23" s="108">
        <v>45721</v>
      </c>
      <c r="B23" s="196">
        <v>1144</v>
      </c>
      <c r="C23" s="195">
        <v>0</v>
      </c>
      <c r="D23" s="197">
        <v>0</v>
      </c>
      <c r="E23" s="198">
        <v>3652</v>
      </c>
      <c r="F23" s="195">
        <v>0</v>
      </c>
      <c r="G23" s="195">
        <v>0</v>
      </c>
      <c r="H23" s="196">
        <v>9738</v>
      </c>
      <c r="I23" s="195">
        <v>1958.4</v>
      </c>
      <c r="J23" s="197">
        <v>0</v>
      </c>
      <c r="K23" s="196">
        <v>2435</v>
      </c>
      <c r="L23" s="199">
        <v>4896</v>
      </c>
      <c r="M23" s="197">
        <v>0</v>
      </c>
      <c r="N23" s="195">
        <v>1217.3</v>
      </c>
      <c r="O23" s="195">
        <v>979.2</v>
      </c>
      <c r="P23" s="203">
        <v>0</v>
      </c>
      <c r="Q23" s="123"/>
    </row>
    <row r="24" spans="1:22" x14ac:dyDescent="0.25">
      <c r="A24" s="108">
        <v>45720</v>
      </c>
      <c r="B24" s="196">
        <v>3432</v>
      </c>
      <c r="C24" s="195">
        <v>3392.7</v>
      </c>
      <c r="D24" s="197">
        <v>0</v>
      </c>
      <c r="E24" s="198">
        <v>2435</v>
      </c>
      <c r="F24" s="195">
        <v>2937.6</v>
      </c>
      <c r="G24" s="195">
        <v>0</v>
      </c>
      <c r="H24" s="196">
        <v>4869</v>
      </c>
      <c r="I24" s="195">
        <v>1958.4</v>
      </c>
      <c r="J24" s="197">
        <v>0</v>
      </c>
      <c r="K24" s="196">
        <v>4869</v>
      </c>
      <c r="L24" s="199">
        <v>2937.6</v>
      </c>
      <c r="M24" s="197">
        <v>0</v>
      </c>
      <c r="N24" s="195">
        <v>0</v>
      </c>
      <c r="O24" s="195">
        <v>0</v>
      </c>
      <c r="P24" s="203">
        <v>0</v>
      </c>
      <c r="Q24" s="123"/>
    </row>
    <row r="25" spans="1:22" x14ac:dyDescent="0.25">
      <c r="A25" s="108">
        <v>45719</v>
      </c>
      <c r="B25" s="196">
        <v>0</v>
      </c>
      <c r="C25" s="195">
        <v>1130.9000000000001</v>
      </c>
      <c r="D25" s="197">
        <v>0</v>
      </c>
      <c r="E25" s="198">
        <v>0</v>
      </c>
      <c r="F25" s="195">
        <v>979.2</v>
      </c>
      <c r="G25" s="195">
        <v>0</v>
      </c>
      <c r="H25" s="196">
        <v>2435</v>
      </c>
      <c r="I25" s="195">
        <v>979.2</v>
      </c>
      <c r="J25" s="197">
        <v>0</v>
      </c>
      <c r="K25" s="196">
        <v>1217</v>
      </c>
      <c r="L25" s="199">
        <v>3916.8</v>
      </c>
      <c r="M25" s="197">
        <v>0</v>
      </c>
      <c r="N25" s="195">
        <v>3651.9</v>
      </c>
      <c r="O25" s="195">
        <v>0</v>
      </c>
      <c r="P25" s="203">
        <v>0</v>
      </c>
      <c r="Q25" s="123"/>
    </row>
    <row r="26" spans="1:22" x14ac:dyDescent="0.25">
      <c r="A26" s="107" t="s">
        <v>121</v>
      </c>
      <c r="B26" s="196">
        <v>9152</v>
      </c>
      <c r="C26" s="195">
        <v>5654.5</v>
      </c>
      <c r="D26" s="197">
        <v>0</v>
      </c>
      <c r="E26" s="198">
        <v>10956</v>
      </c>
      <c r="F26" s="195">
        <v>5875.2</v>
      </c>
      <c r="G26" s="195">
        <v>0</v>
      </c>
      <c r="H26" s="196">
        <v>20694</v>
      </c>
      <c r="I26" s="195">
        <v>7833.6</v>
      </c>
      <c r="J26" s="197">
        <v>0</v>
      </c>
      <c r="K26" s="196">
        <v>10956</v>
      </c>
      <c r="L26" s="199">
        <v>13708.8</v>
      </c>
      <c r="M26" s="197">
        <v>0</v>
      </c>
      <c r="N26" s="195">
        <v>6086.5</v>
      </c>
      <c r="O26" s="195">
        <v>1958.4</v>
      </c>
      <c r="P26" s="203">
        <v>0</v>
      </c>
      <c r="Q26" s="123"/>
    </row>
    <row r="27" spans="1:22" x14ac:dyDescent="0.25">
      <c r="A27" s="107" t="s">
        <v>129</v>
      </c>
      <c r="B27" s="196"/>
      <c r="C27" s="195"/>
      <c r="D27" s="197"/>
      <c r="E27" s="198"/>
      <c r="F27" s="195"/>
      <c r="G27" s="195"/>
      <c r="H27" s="196"/>
      <c r="I27" s="195"/>
      <c r="J27" s="197"/>
      <c r="K27" s="196"/>
      <c r="L27" s="199"/>
      <c r="M27" s="197"/>
      <c r="N27" s="195"/>
      <c r="O27" s="195"/>
      <c r="P27" s="203"/>
      <c r="Q27" s="123"/>
    </row>
    <row r="28" spans="1:22" x14ac:dyDescent="0.25">
      <c r="A28" s="108">
        <v>45716</v>
      </c>
      <c r="B28" s="196">
        <v>0</v>
      </c>
      <c r="C28" s="195">
        <v>0</v>
      </c>
      <c r="D28" s="197">
        <v>0</v>
      </c>
      <c r="E28" s="198">
        <v>6086</v>
      </c>
      <c r="F28" s="195">
        <v>2937.6</v>
      </c>
      <c r="G28" s="195">
        <v>0</v>
      </c>
      <c r="H28" s="196">
        <v>2435</v>
      </c>
      <c r="I28" s="195">
        <v>6854.4</v>
      </c>
      <c r="J28" s="197">
        <v>0</v>
      </c>
      <c r="K28" s="196">
        <v>0</v>
      </c>
      <c r="L28" s="199">
        <v>2937.6</v>
      </c>
      <c r="M28" s="197">
        <v>0</v>
      </c>
      <c r="N28" s="195">
        <v>1217.3</v>
      </c>
      <c r="O28" s="195">
        <v>979.2</v>
      </c>
      <c r="P28" s="203">
        <v>0</v>
      </c>
      <c r="Q28" s="123"/>
    </row>
    <row r="29" spans="1:22" x14ac:dyDescent="0.25">
      <c r="A29" s="108">
        <v>45715</v>
      </c>
      <c r="B29" s="196">
        <v>3432</v>
      </c>
      <c r="C29" s="195">
        <v>0</v>
      </c>
      <c r="D29" s="197">
        <v>0</v>
      </c>
      <c r="E29" s="198">
        <v>2435</v>
      </c>
      <c r="F29" s="195">
        <v>979.2</v>
      </c>
      <c r="G29" s="195">
        <v>0</v>
      </c>
      <c r="H29" s="196">
        <v>0</v>
      </c>
      <c r="I29" s="195">
        <v>1958.4</v>
      </c>
      <c r="J29" s="197">
        <v>0</v>
      </c>
      <c r="K29" s="196">
        <v>3652</v>
      </c>
      <c r="L29" s="199">
        <v>2937.6</v>
      </c>
      <c r="M29" s="197">
        <v>0</v>
      </c>
      <c r="N29" s="195">
        <v>3651.9</v>
      </c>
      <c r="O29" s="195">
        <v>0</v>
      </c>
      <c r="P29" s="203">
        <v>0</v>
      </c>
      <c r="Q29" s="123"/>
    </row>
    <row r="30" spans="1:22" x14ac:dyDescent="0.25">
      <c r="A30" s="108">
        <v>45714</v>
      </c>
      <c r="B30" s="196">
        <v>1144</v>
      </c>
      <c r="C30" s="195">
        <v>1130.9000000000001</v>
      </c>
      <c r="D30" s="197">
        <v>0</v>
      </c>
      <c r="E30" s="198">
        <v>2435</v>
      </c>
      <c r="F30" s="195">
        <v>979.2</v>
      </c>
      <c r="G30" s="195">
        <v>0</v>
      </c>
      <c r="H30" s="196">
        <v>1217</v>
      </c>
      <c r="I30" s="195">
        <v>1958.4</v>
      </c>
      <c r="J30" s="197">
        <v>0</v>
      </c>
      <c r="K30" s="196">
        <v>0</v>
      </c>
      <c r="L30" s="199">
        <v>979.2</v>
      </c>
      <c r="M30" s="197">
        <v>0</v>
      </c>
      <c r="N30" s="195">
        <v>3651.9</v>
      </c>
      <c r="O30" s="195">
        <v>979.2</v>
      </c>
      <c r="P30" s="203">
        <v>0</v>
      </c>
      <c r="Q30" s="123"/>
    </row>
    <row r="31" spans="1:22" x14ac:dyDescent="0.25">
      <c r="A31" s="108">
        <v>45713</v>
      </c>
      <c r="B31" s="196">
        <v>2288</v>
      </c>
      <c r="C31" s="195">
        <v>0</v>
      </c>
      <c r="D31" s="197">
        <v>0</v>
      </c>
      <c r="E31" s="198">
        <v>1217</v>
      </c>
      <c r="F31" s="195">
        <v>1958.4</v>
      </c>
      <c r="G31" s="195">
        <v>0</v>
      </c>
      <c r="H31" s="196">
        <v>0</v>
      </c>
      <c r="I31" s="195">
        <v>2937.6</v>
      </c>
      <c r="J31" s="197">
        <v>0</v>
      </c>
      <c r="K31" s="196">
        <v>1217</v>
      </c>
      <c r="L31" s="199">
        <v>979.2</v>
      </c>
      <c r="M31" s="197">
        <v>0</v>
      </c>
      <c r="N31" s="195">
        <v>2434.6</v>
      </c>
      <c r="O31" s="195">
        <v>0</v>
      </c>
      <c r="P31" s="203">
        <v>0</v>
      </c>
      <c r="Q31" s="123"/>
    </row>
    <row r="32" spans="1:22" x14ac:dyDescent="0.25">
      <c r="A32" s="108">
        <v>45712</v>
      </c>
      <c r="B32" s="196">
        <v>0</v>
      </c>
      <c r="C32" s="195">
        <v>0</v>
      </c>
      <c r="D32" s="197">
        <v>0</v>
      </c>
      <c r="E32" s="198">
        <v>2435</v>
      </c>
      <c r="F32" s="195">
        <v>1958.4</v>
      </c>
      <c r="G32" s="195">
        <v>0</v>
      </c>
      <c r="H32" s="196">
        <v>0</v>
      </c>
      <c r="I32" s="195">
        <v>1958.4</v>
      </c>
      <c r="J32" s="197">
        <v>0</v>
      </c>
      <c r="K32" s="196">
        <v>1217</v>
      </c>
      <c r="L32" s="199">
        <v>5875.2</v>
      </c>
      <c r="M32" s="197">
        <v>0</v>
      </c>
      <c r="N32" s="195">
        <v>3651.9</v>
      </c>
      <c r="O32" s="195">
        <v>979.2</v>
      </c>
      <c r="P32" s="203">
        <v>0</v>
      </c>
      <c r="Q32" s="123"/>
    </row>
    <row r="33" spans="1:17" x14ac:dyDescent="0.25">
      <c r="A33" s="107" t="s">
        <v>137</v>
      </c>
      <c r="B33" s="196">
        <v>6864</v>
      </c>
      <c r="C33" s="195">
        <v>1130.9000000000001</v>
      </c>
      <c r="D33" s="197">
        <v>0</v>
      </c>
      <c r="E33" s="198">
        <v>14608</v>
      </c>
      <c r="F33" s="195">
        <v>8812.7999999999993</v>
      </c>
      <c r="G33" s="195">
        <v>0</v>
      </c>
      <c r="H33" s="196">
        <v>3652</v>
      </c>
      <c r="I33" s="195">
        <v>15667.2</v>
      </c>
      <c r="J33" s="197">
        <v>0</v>
      </c>
      <c r="K33" s="196">
        <v>6086</v>
      </c>
      <c r="L33" s="199">
        <v>13708.8</v>
      </c>
      <c r="M33" s="197">
        <v>0</v>
      </c>
      <c r="N33" s="195">
        <v>14607.6</v>
      </c>
      <c r="O33" s="195">
        <v>2937.6</v>
      </c>
      <c r="P33" s="203">
        <v>0</v>
      </c>
      <c r="Q33" s="123"/>
    </row>
    <row r="34" spans="1:17" x14ac:dyDescent="0.25">
      <c r="A34" s="107" t="s">
        <v>130</v>
      </c>
      <c r="B34" s="196"/>
      <c r="C34" s="195"/>
      <c r="D34" s="197"/>
      <c r="E34" s="198"/>
      <c r="F34" s="195"/>
      <c r="G34" s="195"/>
      <c r="H34" s="196"/>
      <c r="I34" s="195"/>
      <c r="J34" s="197"/>
      <c r="K34" s="196"/>
      <c r="L34" s="199"/>
      <c r="M34" s="197"/>
      <c r="N34" s="195"/>
      <c r="O34" s="195"/>
      <c r="P34" s="203"/>
      <c r="Q34" s="123"/>
    </row>
    <row r="35" spans="1:17" x14ac:dyDescent="0.25">
      <c r="A35" s="108">
        <v>45709</v>
      </c>
      <c r="B35" s="196">
        <v>2288</v>
      </c>
      <c r="C35" s="195">
        <v>0</v>
      </c>
      <c r="D35" s="197">
        <v>0</v>
      </c>
      <c r="E35" s="198">
        <v>1217</v>
      </c>
      <c r="F35" s="195">
        <v>1958.4</v>
      </c>
      <c r="G35" s="195">
        <v>0</v>
      </c>
      <c r="H35" s="196">
        <v>0</v>
      </c>
      <c r="I35" s="195">
        <v>2937.6</v>
      </c>
      <c r="J35" s="197">
        <v>0</v>
      </c>
      <c r="K35" s="196">
        <v>2435</v>
      </c>
      <c r="L35" s="199">
        <v>2937.6</v>
      </c>
      <c r="M35" s="197">
        <v>0</v>
      </c>
      <c r="N35" s="195">
        <v>0</v>
      </c>
      <c r="O35" s="195">
        <v>0</v>
      </c>
      <c r="P35" s="203">
        <v>0</v>
      </c>
      <c r="Q35" s="123"/>
    </row>
    <row r="36" spans="1:17" x14ac:dyDescent="0.25">
      <c r="A36" s="108">
        <v>45708</v>
      </c>
      <c r="B36" s="196">
        <v>1144</v>
      </c>
      <c r="C36" s="195">
        <v>0</v>
      </c>
      <c r="D36" s="197">
        <v>0</v>
      </c>
      <c r="E36" s="198">
        <v>4869</v>
      </c>
      <c r="F36" s="195">
        <v>979.2</v>
      </c>
      <c r="G36" s="195">
        <v>0</v>
      </c>
      <c r="H36" s="196">
        <v>2435</v>
      </c>
      <c r="I36" s="195">
        <v>979.2</v>
      </c>
      <c r="J36" s="197">
        <v>0</v>
      </c>
      <c r="K36" s="196">
        <v>0</v>
      </c>
      <c r="L36" s="199">
        <v>3916.8</v>
      </c>
      <c r="M36" s="197">
        <v>0</v>
      </c>
      <c r="N36" s="195">
        <v>4869.2</v>
      </c>
      <c r="O36" s="195">
        <v>1958.4</v>
      </c>
      <c r="P36" s="203">
        <v>0</v>
      </c>
      <c r="Q36" s="123"/>
    </row>
    <row r="37" spans="1:17" x14ac:dyDescent="0.25">
      <c r="A37" s="108">
        <v>45707</v>
      </c>
      <c r="B37" s="196">
        <v>1144</v>
      </c>
      <c r="C37" s="195">
        <v>0</v>
      </c>
      <c r="D37" s="197">
        <v>0</v>
      </c>
      <c r="E37" s="198">
        <v>4869</v>
      </c>
      <c r="F37" s="195">
        <v>1958.4</v>
      </c>
      <c r="G37" s="195">
        <v>0</v>
      </c>
      <c r="H37" s="196">
        <v>1217</v>
      </c>
      <c r="I37" s="195">
        <v>979.2</v>
      </c>
      <c r="J37" s="197">
        <v>0</v>
      </c>
      <c r="K37" s="196">
        <v>4869</v>
      </c>
      <c r="L37" s="199">
        <v>1958.4</v>
      </c>
      <c r="M37" s="197">
        <v>0</v>
      </c>
      <c r="N37" s="195">
        <v>4869.2</v>
      </c>
      <c r="O37" s="195">
        <v>0</v>
      </c>
      <c r="P37" s="203">
        <v>0</v>
      </c>
      <c r="Q37" s="123"/>
    </row>
    <row r="38" spans="1:17" x14ac:dyDescent="0.25">
      <c r="A38" s="108">
        <v>45706</v>
      </c>
      <c r="B38" s="196">
        <v>2288</v>
      </c>
      <c r="C38" s="195">
        <v>1130.9000000000001</v>
      </c>
      <c r="D38" s="197">
        <v>0</v>
      </c>
      <c r="E38" s="198">
        <v>2435</v>
      </c>
      <c r="F38" s="195">
        <v>2937.6</v>
      </c>
      <c r="G38" s="195">
        <v>0</v>
      </c>
      <c r="H38" s="196">
        <v>3652</v>
      </c>
      <c r="I38" s="195">
        <v>2937.6</v>
      </c>
      <c r="J38" s="197">
        <v>0</v>
      </c>
      <c r="K38" s="196">
        <v>0</v>
      </c>
      <c r="L38" s="199">
        <v>2937.6</v>
      </c>
      <c r="M38" s="197">
        <v>0</v>
      </c>
      <c r="N38" s="195">
        <v>1217.3</v>
      </c>
      <c r="O38" s="195">
        <v>0</v>
      </c>
      <c r="P38" s="203">
        <v>0</v>
      </c>
      <c r="Q38" s="123"/>
    </row>
    <row r="39" spans="1:17" x14ac:dyDescent="0.25">
      <c r="A39" s="108">
        <v>45705</v>
      </c>
      <c r="B39" s="196">
        <v>1144</v>
      </c>
      <c r="C39" s="195">
        <v>1130.9000000000001</v>
      </c>
      <c r="D39" s="197">
        <v>0</v>
      </c>
      <c r="E39" s="198">
        <v>3652</v>
      </c>
      <c r="F39" s="195">
        <v>979.2</v>
      </c>
      <c r="G39" s="195">
        <v>0</v>
      </c>
      <c r="H39" s="196">
        <v>2435</v>
      </c>
      <c r="I39" s="195">
        <v>0</v>
      </c>
      <c r="J39" s="197">
        <v>0</v>
      </c>
      <c r="K39" s="196">
        <v>2435</v>
      </c>
      <c r="L39" s="199">
        <v>1958.4</v>
      </c>
      <c r="M39" s="197">
        <v>0</v>
      </c>
      <c r="N39" s="195">
        <v>1142.3</v>
      </c>
      <c r="O39" s="195">
        <v>0</v>
      </c>
      <c r="P39" s="203">
        <v>0</v>
      </c>
      <c r="Q39" s="123"/>
    </row>
    <row r="40" spans="1:17" x14ac:dyDescent="0.25">
      <c r="A40" s="107" t="s">
        <v>138</v>
      </c>
      <c r="B40" s="196">
        <v>8008</v>
      </c>
      <c r="C40" s="195">
        <v>2261.8000000000002</v>
      </c>
      <c r="D40" s="197">
        <v>0</v>
      </c>
      <c r="E40" s="198">
        <v>17042</v>
      </c>
      <c r="F40" s="195">
        <v>8812.7999999999993</v>
      </c>
      <c r="G40" s="195">
        <v>0</v>
      </c>
      <c r="H40" s="196">
        <v>9739</v>
      </c>
      <c r="I40" s="195">
        <v>7833.6</v>
      </c>
      <c r="J40" s="197">
        <v>0</v>
      </c>
      <c r="K40" s="196">
        <v>9739</v>
      </c>
      <c r="L40" s="199">
        <v>13708.8</v>
      </c>
      <c r="M40" s="197">
        <v>0</v>
      </c>
      <c r="N40" s="195">
        <v>12098</v>
      </c>
      <c r="O40" s="195">
        <v>1958.4</v>
      </c>
      <c r="P40" s="203">
        <v>0</v>
      </c>
      <c r="Q40" s="123"/>
    </row>
    <row r="41" spans="1:17" x14ac:dyDescent="0.25">
      <c r="A41" s="107" t="s">
        <v>131</v>
      </c>
      <c r="B41" s="196"/>
      <c r="C41" s="195"/>
      <c r="D41" s="197"/>
      <c r="E41" s="198"/>
      <c r="F41" s="195"/>
      <c r="G41" s="195"/>
      <c r="H41" s="196"/>
      <c r="I41" s="195"/>
      <c r="J41" s="197"/>
      <c r="K41" s="196"/>
      <c r="L41" s="199"/>
      <c r="M41" s="197"/>
      <c r="N41" s="195"/>
      <c r="O41" s="195"/>
      <c r="P41" s="203"/>
      <c r="Q41" s="123"/>
    </row>
    <row r="42" spans="1:17" x14ac:dyDescent="0.25">
      <c r="A42" s="108">
        <v>45702</v>
      </c>
      <c r="B42" s="196">
        <v>1144</v>
      </c>
      <c r="C42" s="195">
        <v>0</v>
      </c>
      <c r="D42" s="197">
        <v>0</v>
      </c>
      <c r="E42" s="198">
        <v>3652</v>
      </c>
      <c r="F42" s="195">
        <v>1958.4</v>
      </c>
      <c r="G42" s="195">
        <v>0</v>
      </c>
      <c r="H42" s="196">
        <v>3652</v>
      </c>
      <c r="I42" s="195">
        <v>979.2</v>
      </c>
      <c r="J42" s="197">
        <v>0</v>
      </c>
      <c r="K42" s="196">
        <v>4869</v>
      </c>
      <c r="L42" s="199">
        <v>3916.8</v>
      </c>
      <c r="M42" s="197">
        <v>0</v>
      </c>
      <c r="N42" s="195">
        <v>1142.3</v>
      </c>
      <c r="O42" s="195">
        <v>0</v>
      </c>
      <c r="P42" s="203">
        <v>0</v>
      </c>
      <c r="Q42" s="123"/>
    </row>
    <row r="43" spans="1:17" x14ac:dyDescent="0.25">
      <c r="A43" s="108">
        <v>45701</v>
      </c>
      <c r="B43" s="196">
        <v>1144</v>
      </c>
      <c r="C43" s="195">
        <v>0</v>
      </c>
      <c r="D43" s="197">
        <v>0</v>
      </c>
      <c r="E43" s="198">
        <v>1217</v>
      </c>
      <c r="F43" s="195">
        <v>0</v>
      </c>
      <c r="G43" s="195">
        <v>0</v>
      </c>
      <c r="H43" s="196">
        <v>3652</v>
      </c>
      <c r="I43" s="195">
        <v>7833.6</v>
      </c>
      <c r="J43" s="197">
        <v>0</v>
      </c>
      <c r="K43" s="196">
        <v>6086</v>
      </c>
      <c r="L43" s="199">
        <v>0</v>
      </c>
      <c r="M43" s="197">
        <v>0</v>
      </c>
      <c r="N43" s="195">
        <v>0</v>
      </c>
      <c r="O43" s="195">
        <v>0</v>
      </c>
      <c r="P43" s="203">
        <v>0</v>
      </c>
      <c r="Q43" s="123"/>
    </row>
    <row r="44" spans="1:17" x14ac:dyDescent="0.25">
      <c r="A44" s="108">
        <v>45700</v>
      </c>
      <c r="B44" s="196">
        <v>2288</v>
      </c>
      <c r="C44" s="195">
        <v>0</v>
      </c>
      <c r="D44" s="197">
        <v>0</v>
      </c>
      <c r="E44" s="198">
        <v>2435</v>
      </c>
      <c r="F44" s="195">
        <v>979.2</v>
      </c>
      <c r="G44" s="195">
        <v>0</v>
      </c>
      <c r="H44" s="196">
        <v>2435</v>
      </c>
      <c r="I44" s="195">
        <v>2937.6</v>
      </c>
      <c r="J44" s="197">
        <v>0</v>
      </c>
      <c r="K44" s="196">
        <v>2435</v>
      </c>
      <c r="L44" s="199">
        <v>1958.4</v>
      </c>
      <c r="M44" s="197">
        <v>0</v>
      </c>
      <c r="N44" s="195">
        <v>1142.3</v>
      </c>
      <c r="O44" s="195">
        <v>3916.8</v>
      </c>
      <c r="P44" s="203">
        <v>0</v>
      </c>
      <c r="Q44" s="123"/>
    </row>
    <row r="45" spans="1:17" x14ac:dyDescent="0.25">
      <c r="A45" s="108">
        <v>45699</v>
      </c>
      <c r="B45" s="196">
        <v>1144</v>
      </c>
      <c r="C45" s="195">
        <v>1130.9000000000001</v>
      </c>
      <c r="D45" s="197">
        <v>0</v>
      </c>
      <c r="E45" s="198">
        <v>2435</v>
      </c>
      <c r="F45" s="195">
        <v>0</v>
      </c>
      <c r="G45" s="195">
        <v>0</v>
      </c>
      <c r="H45" s="196">
        <v>3652</v>
      </c>
      <c r="I45" s="195">
        <v>3916.8</v>
      </c>
      <c r="J45" s="197">
        <v>0</v>
      </c>
      <c r="K45" s="196">
        <v>7304</v>
      </c>
      <c r="L45" s="199">
        <v>979.2</v>
      </c>
      <c r="M45" s="197">
        <v>0</v>
      </c>
      <c r="N45" s="195">
        <v>1142.3</v>
      </c>
      <c r="O45" s="195">
        <v>0</v>
      </c>
      <c r="P45" s="203">
        <v>0</v>
      </c>
      <c r="Q45" s="123"/>
    </row>
    <row r="46" spans="1:17" x14ac:dyDescent="0.25">
      <c r="A46" s="108">
        <v>45698</v>
      </c>
      <c r="B46" s="196">
        <v>1144</v>
      </c>
      <c r="C46" s="195">
        <v>0</v>
      </c>
      <c r="D46" s="197">
        <v>0</v>
      </c>
      <c r="E46" s="198">
        <v>0</v>
      </c>
      <c r="F46" s="195">
        <v>0</v>
      </c>
      <c r="G46" s="195">
        <v>0</v>
      </c>
      <c r="H46" s="196">
        <v>4869</v>
      </c>
      <c r="I46" s="195">
        <v>2937.6</v>
      </c>
      <c r="J46" s="197">
        <v>0</v>
      </c>
      <c r="K46" s="196">
        <v>4869</v>
      </c>
      <c r="L46" s="199">
        <v>979.2</v>
      </c>
      <c r="M46" s="197">
        <v>0</v>
      </c>
      <c r="N46" s="195">
        <v>1142.3</v>
      </c>
      <c r="O46" s="195">
        <v>979.2</v>
      </c>
      <c r="P46" s="203">
        <v>0</v>
      </c>
      <c r="Q46" s="123"/>
    </row>
    <row r="47" spans="1:17" x14ac:dyDescent="0.25">
      <c r="A47" s="107" t="s">
        <v>139</v>
      </c>
      <c r="B47" s="196">
        <v>6864</v>
      </c>
      <c r="C47" s="195">
        <v>1130.9000000000001</v>
      </c>
      <c r="D47" s="197">
        <v>0</v>
      </c>
      <c r="E47" s="198">
        <v>9739</v>
      </c>
      <c r="F47" s="195">
        <v>2937.6</v>
      </c>
      <c r="G47" s="195">
        <v>0</v>
      </c>
      <c r="H47" s="196">
        <v>18260</v>
      </c>
      <c r="I47" s="195">
        <v>18604.8</v>
      </c>
      <c r="J47" s="197">
        <v>0</v>
      </c>
      <c r="K47" s="196">
        <v>25563</v>
      </c>
      <c r="L47" s="199">
        <v>7833.6</v>
      </c>
      <c r="M47" s="197">
        <v>0</v>
      </c>
      <c r="N47" s="195">
        <v>4569.2</v>
      </c>
      <c r="O47" s="195">
        <v>4896</v>
      </c>
      <c r="P47" s="203">
        <v>0</v>
      </c>
      <c r="Q47" s="123"/>
    </row>
    <row r="48" spans="1:17" x14ac:dyDescent="0.25">
      <c r="A48" s="107" t="s">
        <v>132</v>
      </c>
      <c r="B48" s="196"/>
      <c r="C48" s="195"/>
      <c r="D48" s="197"/>
      <c r="E48" s="198"/>
      <c r="F48" s="195"/>
      <c r="G48" s="195"/>
      <c r="H48" s="196"/>
      <c r="I48" s="195"/>
      <c r="J48" s="197"/>
      <c r="K48" s="196"/>
      <c r="L48" s="199"/>
      <c r="M48" s="197"/>
      <c r="N48" s="195"/>
      <c r="O48" s="195"/>
      <c r="P48" s="203"/>
      <c r="Q48" s="123"/>
    </row>
    <row r="49" spans="1:17" x14ac:dyDescent="0.25">
      <c r="A49" s="108">
        <v>45695</v>
      </c>
      <c r="B49" s="196">
        <v>0</v>
      </c>
      <c r="C49" s="195">
        <v>0</v>
      </c>
      <c r="D49" s="197">
        <v>0</v>
      </c>
      <c r="E49" s="198">
        <v>2435</v>
      </c>
      <c r="F49" s="195">
        <v>0</v>
      </c>
      <c r="G49" s="195">
        <v>0</v>
      </c>
      <c r="H49" s="196">
        <v>1217</v>
      </c>
      <c r="I49" s="195">
        <v>0</v>
      </c>
      <c r="J49" s="197">
        <v>0</v>
      </c>
      <c r="K49" s="196">
        <v>1217</v>
      </c>
      <c r="L49" s="199">
        <v>1958.4</v>
      </c>
      <c r="M49" s="197">
        <v>0</v>
      </c>
      <c r="N49" s="195">
        <v>0</v>
      </c>
      <c r="O49" s="195">
        <v>0</v>
      </c>
      <c r="P49" s="203">
        <v>0</v>
      </c>
      <c r="Q49" s="123"/>
    </row>
    <row r="50" spans="1:17" x14ac:dyDescent="0.25">
      <c r="A50" s="108">
        <v>45694</v>
      </c>
      <c r="B50" s="196">
        <v>2288</v>
      </c>
      <c r="C50" s="195">
        <v>2261.8000000000002</v>
      </c>
      <c r="D50" s="197">
        <v>0</v>
      </c>
      <c r="E50" s="198">
        <v>0</v>
      </c>
      <c r="F50" s="195">
        <v>1958.4</v>
      </c>
      <c r="G50" s="195">
        <v>0</v>
      </c>
      <c r="H50" s="196">
        <v>2435</v>
      </c>
      <c r="I50" s="195">
        <v>979.2</v>
      </c>
      <c r="J50" s="197">
        <v>0</v>
      </c>
      <c r="K50" s="196">
        <v>3652</v>
      </c>
      <c r="L50" s="199">
        <v>979.2</v>
      </c>
      <c r="M50" s="197">
        <v>0</v>
      </c>
      <c r="N50" s="195">
        <v>0</v>
      </c>
      <c r="O50" s="195">
        <v>0</v>
      </c>
      <c r="P50" s="203">
        <v>0</v>
      </c>
      <c r="Q50" s="123"/>
    </row>
    <row r="51" spans="1:17" x14ac:dyDescent="0.25">
      <c r="A51" s="108">
        <v>45693</v>
      </c>
      <c r="B51" s="196">
        <v>1144</v>
      </c>
      <c r="C51" s="195">
        <v>0</v>
      </c>
      <c r="D51" s="197">
        <v>0</v>
      </c>
      <c r="E51" s="198">
        <v>1217</v>
      </c>
      <c r="F51" s="195">
        <v>0</v>
      </c>
      <c r="G51" s="195">
        <v>0</v>
      </c>
      <c r="H51" s="196">
        <v>7304</v>
      </c>
      <c r="I51" s="195">
        <v>0</v>
      </c>
      <c r="J51" s="197">
        <v>0</v>
      </c>
      <c r="K51" s="196">
        <v>3652</v>
      </c>
      <c r="L51" s="199">
        <v>0</v>
      </c>
      <c r="M51" s="197">
        <v>0</v>
      </c>
      <c r="N51" s="195">
        <v>2284.6</v>
      </c>
      <c r="O51" s="195">
        <v>0</v>
      </c>
      <c r="P51" s="203">
        <v>0</v>
      </c>
      <c r="Q51" s="123"/>
    </row>
    <row r="52" spans="1:17" x14ac:dyDescent="0.25">
      <c r="A52" s="108">
        <v>45692</v>
      </c>
      <c r="B52" s="196">
        <v>1144</v>
      </c>
      <c r="C52" s="195">
        <v>0</v>
      </c>
      <c r="D52" s="197">
        <v>0</v>
      </c>
      <c r="E52" s="198">
        <v>4869</v>
      </c>
      <c r="F52" s="195">
        <v>0</v>
      </c>
      <c r="G52" s="195">
        <v>0</v>
      </c>
      <c r="H52" s="196">
        <v>4869</v>
      </c>
      <c r="I52" s="195">
        <v>0</v>
      </c>
      <c r="J52" s="197">
        <v>0</v>
      </c>
      <c r="K52" s="196">
        <v>7304</v>
      </c>
      <c r="L52" s="199">
        <v>0</v>
      </c>
      <c r="M52" s="197">
        <v>0</v>
      </c>
      <c r="N52" s="195">
        <v>1142.3</v>
      </c>
      <c r="O52" s="195">
        <v>0</v>
      </c>
      <c r="P52" s="203">
        <v>0</v>
      </c>
      <c r="Q52" s="123"/>
    </row>
    <row r="53" spans="1:17" x14ac:dyDescent="0.25">
      <c r="A53" s="108">
        <v>45691</v>
      </c>
      <c r="B53" s="196">
        <v>0</v>
      </c>
      <c r="C53" s="195">
        <v>0</v>
      </c>
      <c r="D53" s="197">
        <v>0</v>
      </c>
      <c r="E53" s="198">
        <v>1217</v>
      </c>
      <c r="F53" s="195">
        <v>0</v>
      </c>
      <c r="G53" s="195">
        <v>0</v>
      </c>
      <c r="H53" s="196">
        <v>1217</v>
      </c>
      <c r="I53" s="195">
        <v>0</v>
      </c>
      <c r="J53" s="197">
        <v>0</v>
      </c>
      <c r="K53" s="196">
        <v>8521</v>
      </c>
      <c r="L53" s="199">
        <v>0</v>
      </c>
      <c r="M53" s="197">
        <v>0</v>
      </c>
      <c r="N53" s="195">
        <v>0</v>
      </c>
      <c r="O53" s="195">
        <v>0</v>
      </c>
      <c r="P53" s="203">
        <v>0</v>
      </c>
      <c r="Q53" s="123"/>
    </row>
    <row r="54" spans="1:17" x14ac:dyDescent="0.25">
      <c r="A54" s="107" t="s">
        <v>140</v>
      </c>
      <c r="B54" s="196">
        <v>4576</v>
      </c>
      <c r="C54" s="195">
        <v>2261.8000000000002</v>
      </c>
      <c r="D54" s="197">
        <v>0</v>
      </c>
      <c r="E54" s="198">
        <v>9738</v>
      </c>
      <c r="F54" s="195">
        <v>1958.4</v>
      </c>
      <c r="G54" s="195">
        <v>0</v>
      </c>
      <c r="H54" s="196">
        <v>17042</v>
      </c>
      <c r="I54" s="195">
        <v>979.2</v>
      </c>
      <c r="J54" s="197">
        <v>0</v>
      </c>
      <c r="K54" s="196">
        <v>24346</v>
      </c>
      <c r="L54" s="199">
        <v>2937.6</v>
      </c>
      <c r="M54" s="197">
        <v>0</v>
      </c>
      <c r="N54" s="195">
        <v>3426.9</v>
      </c>
      <c r="O54" s="195">
        <v>0</v>
      </c>
      <c r="P54" s="203">
        <v>0</v>
      </c>
      <c r="Q54" s="123"/>
    </row>
    <row r="55" spans="1:17" x14ac:dyDescent="0.25">
      <c r="A55" s="107" t="s">
        <v>133</v>
      </c>
      <c r="B55" s="196"/>
      <c r="C55" s="195"/>
      <c r="D55" s="197"/>
      <c r="E55" s="198"/>
      <c r="F55" s="195"/>
      <c r="G55" s="195"/>
      <c r="H55" s="196"/>
      <c r="I55" s="195"/>
      <c r="J55" s="197"/>
      <c r="K55" s="196"/>
      <c r="L55" s="199"/>
      <c r="M55" s="197"/>
      <c r="N55" s="195"/>
      <c r="O55" s="195"/>
      <c r="P55" s="203"/>
      <c r="Q55" s="123"/>
    </row>
    <row r="56" spans="1:17" x14ac:dyDescent="0.25">
      <c r="A56" s="108">
        <v>45688</v>
      </c>
      <c r="B56" s="196">
        <v>0</v>
      </c>
      <c r="C56" s="195">
        <v>0</v>
      </c>
      <c r="D56" s="197">
        <v>0</v>
      </c>
      <c r="E56" s="198">
        <v>7304</v>
      </c>
      <c r="F56" s="195">
        <v>0</v>
      </c>
      <c r="G56" s="195">
        <v>0</v>
      </c>
      <c r="H56" s="196">
        <v>2435</v>
      </c>
      <c r="I56" s="195">
        <v>0</v>
      </c>
      <c r="J56" s="197">
        <v>0</v>
      </c>
      <c r="K56" s="196">
        <v>6086</v>
      </c>
      <c r="L56" s="199">
        <v>0</v>
      </c>
      <c r="M56" s="197">
        <v>0</v>
      </c>
      <c r="N56" s="195">
        <v>0</v>
      </c>
      <c r="O56" s="195">
        <v>0</v>
      </c>
      <c r="P56" s="203">
        <v>0</v>
      </c>
      <c r="Q56" s="123"/>
    </row>
    <row r="57" spans="1:17" x14ac:dyDescent="0.25">
      <c r="A57" s="108">
        <v>45687</v>
      </c>
      <c r="B57" s="196">
        <v>1144</v>
      </c>
      <c r="C57" s="195">
        <v>0</v>
      </c>
      <c r="D57" s="197">
        <v>0</v>
      </c>
      <c r="E57" s="198">
        <v>1217</v>
      </c>
      <c r="F57" s="195">
        <v>0</v>
      </c>
      <c r="G57" s="195">
        <v>0</v>
      </c>
      <c r="H57" s="196">
        <v>4869</v>
      </c>
      <c r="I57" s="195">
        <v>0</v>
      </c>
      <c r="J57" s="197">
        <v>0</v>
      </c>
      <c r="K57" s="196">
        <v>2435</v>
      </c>
      <c r="L57" s="199">
        <v>0</v>
      </c>
      <c r="M57" s="197">
        <v>0</v>
      </c>
      <c r="N57" s="195">
        <v>1142.3</v>
      </c>
      <c r="O57" s="195">
        <v>0</v>
      </c>
      <c r="P57" s="203">
        <v>0</v>
      </c>
      <c r="Q57" s="123"/>
    </row>
    <row r="58" spans="1:17" x14ac:dyDescent="0.25">
      <c r="A58" s="108">
        <v>45686</v>
      </c>
      <c r="B58" s="196">
        <v>1144</v>
      </c>
      <c r="C58" s="195">
        <v>0</v>
      </c>
      <c r="D58" s="197">
        <v>0</v>
      </c>
      <c r="E58" s="198">
        <v>3652</v>
      </c>
      <c r="F58" s="195">
        <v>0</v>
      </c>
      <c r="G58" s="195">
        <v>0</v>
      </c>
      <c r="H58" s="196">
        <v>3652</v>
      </c>
      <c r="I58" s="195">
        <v>0</v>
      </c>
      <c r="J58" s="197">
        <v>0</v>
      </c>
      <c r="K58" s="196">
        <v>8521</v>
      </c>
      <c r="L58" s="199">
        <v>0</v>
      </c>
      <c r="M58" s="197">
        <v>0</v>
      </c>
      <c r="N58" s="195">
        <v>0</v>
      </c>
      <c r="O58" s="195">
        <v>0</v>
      </c>
      <c r="P58" s="203">
        <v>0</v>
      </c>
      <c r="Q58" s="123"/>
    </row>
    <row r="59" spans="1:17" x14ac:dyDescent="0.25">
      <c r="A59" s="108">
        <v>45685</v>
      </c>
      <c r="B59" s="196">
        <v>2288</v>
      </c>
      <c r="C59" s="195">
        <v>0</v>
      </c>
      <c r="D59" s="197">
        <v>0</v>
      </c>
      <c r="E59" s="198">
        <v>8521</v>
      </c>
      <c r="F59" s="195">
        <v>0</v>
      </c>
      <c r="G59" s="195">
        <v>0</v>
      </c>
      <c r="H59" s="196">
        <v>10956</v>
      </c>
      <c r="I59" s="195">
        <v>0</v>
      </c>
      <c r="J59" s="197">
        <v>0</v>
      </c>
      <c r="K59" s="196">
        <v>4869</v>
      </c>
      <c r="L59" s="199">
        <v>0</v>
      </c>
      <c r="M59" s="197">
        <v>0</v>
      </c>
      <c r="N59" s="195">
        <v>1142.3</v>
      </c>
      <c r="O59" s="195">
        <v>0</v>
      </c>
      <c r="P59" s="203">
        <v>0</v>
      </c>
      <c r="Q59" s="123"/>
    </row>
    <row r="60" spans="1:17" x14ac:dyDescent="0.25">
      <c r="A60" s="108">
        <v>45684</v>
      </c>
      <c r="B60" s="196">
        <v>0</v>
      </c>
      <c r="C60" s="195">
        <v>0</v>
      </c>
      <c r="D60" s="197">
        <v>0</v>
      </c>
      <c r="E60" s="198">
        <v>3652</v>
      </c>
      <c r="F60" s="195">
        <v>0</v>
      </c>
      <c r="G60" s="195">
        <v>0</v>
      </c>
      <c r="H60" s="196">
        <v>6086</v>
      </c>
      <c r="I60" s="195">
        <v>0</v>
      </c>
      <c r="J60" s="197">
        <v>0</v>
      </c>
      <c r="K60" s="196">
        <v>17042</v>
      </c>
      <c r="L60" s="199">
        <v>0</v>
      </c>
      <c r="M60" s="197">
        <v>0</v>
      </c>
      <c r="N60" s="195">
        <v>2284.6</v>
      </c>
      <c r="O60" s="195">
        <v>0</v>
      </c>
      <c r="P60" s="203">
        <v>0</v>
      </c>
      <c r="Q60" s="123"/>
    </row>
    <row r="61" spans="1:17" x14ac:dyDescent="0.25">
      <c r="A61" s="107" t="s">
        <v>141</v>
      </c>
      <c r="B61" s="196">
        <v>4576</v>
      </c>
      <c r="C61" s="195">
        <v>0</v>
      </c>
      <c r="D61" s="197">
        <v>0</v>
      </c>
      <c r="E61" s="198">
        <v>24346</v>
      </c>
      <c r="F61" s="195">
        <v>0</v>
      </c>
      <c r="G61" s="195">
        <v>0</v>
      </c>
      <c r="H61" s="196">
        <v>27998</v>
      </c>
      <c r="I61" s="195">
        <v>0</v>
      </c>
      <c r="J61" s="197">
        <v>0</v>
      </c>
      <c r="K61" s="196">
        <v>38953</v>
      </c>
      <c r="L61" s="199">
        <v>0</v>
      </c>
      <c r="M61" s="197">
        <v>0</v>
      </c>
      <c r="N61" s="195">
        <v>4569.2</v>
      </c>
      <c r="O61" s="195">
        <v>0</v>
      </c>
      <c r="P61" s="203">
        <v>0</v>
      </c>
      <c r="Q61" s="123"/>
    </row>
    <row r="62" spans="1:17" x14ac:dyDescent="0.25">
      <c r="A62" s="107" t="s">
        <v>134</v>
      </c>
      <c r="B62" s="196"/>
      <c r="C62" s="195"/>
      <c r="D62" s="197"/>
      <c r="E62" s="198"/>
      <c r="F62" s="195"/>
      <c r="G62" s="195"/>
      <c r="H62" s="196"/>
      <c r="I62" s="195"/>
      <c r="J62" s="197"/>
      <c r="K62" s="196"/>
      <c r="L62" s="199"/>
      <c r="M62" s="197"/>
      <c r="N62" s="195"/>
      <c r="O62" s="195"/>
      <c r="P62" s="203"/>
      <c r="Q62" s="123"/>
    </row>
    <row r="63" spans="1:17" x14ac:dyDescent="0.25">
      <c r="A63" s="108">
        <v>45681</v>
      </c>
      <c r="B63" s="196">
        <v>1144</v>
      </c>
      <c r="C63" s="195">
        <v>0</v>
      </c>
      <c r="D63" s="197">
        <v>0</v>
      </c>
      <c r="E63" s="198">
        <v>8521</v>
      </c>
      <c r="F63" s="195">
        <v>0</v>
      </c>
      <c r="G63" s="195">
        <v>0</v>
      </c>
      <c r="H63" s="196">
        <v>7304</v>
      </c>
      <c r="I63" s="195">
        <v>0</v>
      </c>
      <c r="J63" s="197">
        <v>0</v>
      </c>
      <c r="K63" s="196">
        <v>10956</v>
      </c>
      <c r="L63" s="199">
        <v>0</v>
      </c>
      <c r="M63" s="197">
        <v>0</v>
      </c>
      <c r="N63" s="195">
        <v>4569.2</v>
      </c>
      <c r="O63" s="195">
        <v>0</v>
      </c>
      <c r="P63" s="203">
        <v>0</v>
      </c>
      <c r="Q63" s="123"/>
    </row>
    <row r="64" spans="1:17" x14ac:dyDescent="0.25">
      <c r="A64" s="108">
        <v>45680</v>
      </c>
      <c r="B64" s="196">
        <v>0</v>
      </c>
      <c r="C64" s="195">
        <v>2261.8000000000002</v>
      </c>
      <c r="D64" s="197">
        <v>0</v>
      </c>
      <c r="E64" s="198">
        <v>6012</v>
      </c>
      <c r="F64" s="195">
        <v>0</v>
      </c>
      <c r="G64" s="195">
        <v>0</v>
      </c>
      <c r="H64" s="196">
        <v>4869</v>
      </c>
      <c r="I64" s="195">
        <v>0</v>
      </c>
      <c r="J64" s="197">
        <v>0</v>
      </c>
      <c r="K64" s="196">
        <v>6086</v>
      </c>
      <c r="L64" s="199">
        <v>0</v>
      </c>
      <c r="M64" s="197">
        <v>0</v>
      </c>
      <c r="N64" s="195">
        <v>3426.9</v>
      </c>
      <c r="O64" s="195">
        <v>0</v>
      </c>
      <c r="P64" s="203">
        <v>0</v>
      </c>
      <c r="Q64" s="123"/>
    </row>
    <row r="65" spans="1:17" x14ac:dyDescent="0.25">
      <c r="A65" s="108">
        <v>45679</v>
      </c>
      <c r="B65" s="196">
        <v>1144</v>
      </c>
      <c r="C65" s="195">
        <v>0</v>
      </c>
      <c r="D65" s="197">
        <v>0</v>
      </c>
      <c r="E65" s="198">
        <v>4569</v>
      </c>
      <c r="F65" s="195">
        <v>0</v>
      </c>
      <c r="G65" s="195">
        <v>0</v>
      </c>
      <c r="H65" s="196">
        <v>6086</v>
      </c>
      <c r="I65" s="195">
        <v>0</v>
      </c>
      <c r="J65" s="197">
        <v>0</v>
      </c>
      <c r="K65" s="196">
        <v>7304</v>
      </c>
      <c r="L65" s="199">
        <v>0</v>
      </c>
      <c r="M65" s="197">
        <v>0</v>
      </c>
      <c r="N65" s="195">
        <v>0</v>
      </c>
      <c r="O65" s="195">
        <v>0</v>
      </c>
      <c r="P65" s="203">
        <v>0</v>
      </c>
      <c r="Q65" s="123"/>
    </row>
    <row r="66" spans="1:17" x14ac:dyDescent="0.25">
      <c r="A66" s="108">
        <v>45678</v>
      </c>
      <c r="B66" s="196">
        <v>1144</v>
      </c>
      <c r="C66" s="195">
        <v>1130.9000000000001</v>
      </c>
      <c r="D66" s="197">
        <v>0</v>
      </c>
      <c r="E66" s="198">
        <v>2285</v>
      </c>
      <c r="F66" s="195">
        <v>0</v>
      </c>
      <c r="G66" s="195">
        <v>0</v>
      </c>
      <c r="H66" s="196">
        <v>4869</v>
      </c>
      <c r="I66" s="195">
        <v>0</v>
      </c>
      <c r="J66" s="197">
        <v>0</v>
      </c>
      <c r="K66" s="196">
        <v>7304</v>
      </c>
      <c r="L66" s="199">
        <v>0</v>
      </c>
      <c r="M66" s="197">
        <v>0</v>
      </c>
      <c r="N66" s="195">
        <v>1142.3</v>
      </c>
      <c r="O66" s="195">
        <v>0</v>
      </c>
      <c r="P66" s="203">
        <v>0</v>
      </c>
      <c r="Q66" s="123"/>
    </row>
    <row r="67" spans="1:17" x14ac:dyDescent="0.25">
      <c r="A67" s="108">
        <v>45677</v>
      </c>
      <c r="B67" s="196">
        <v>0</v>
      </c>
      <c r="C67" s="195">
        <v>0</v>
      </c>
      <c r="D67" s="197">
        <v>0</v>
      </c>
      <c r="E67" s="198">
        <v>10281</v>
      </c>
      <c r="F67" s="195">
        <v>0</v>
      </c>
      <c r="G67" s="195">
        <v>0</v>
      </c>
      <c r="H67" s="196">
        <v>7304</v>
      </c>
      <c r="I67" s="195">
        <v>0</v>
      </c>
      <c r="J67" s="197">
        <v>0</v>
      </c>
      <c r="K67" s="196">
        <v>9738</v>
      </c>
      <c r="L67" s="199">
        <v>0</v>
      </c>
      <c r="M67" s="197">
        <v>0</v>
      </c>
      <c r="N67" s="195">
        <v>1142.3</v>
      </c>
      <c r="O67" s="195">
        <v>0</v>
      </c>
      <c r="P67" s="203">
        <v>0</v>
      </c>
      <c r="Q67" s="123"/>
    </row>
    <row r="68" spans="1:17" x14ac:dyDescent="0.25">
      <c r="A68" s="107" t="s">
        <v>142</v>
      </c>
      <c r="B68" s="196">
        <v>3432</v>
      </c>
      <c r="C68" s="195">
        <v>3392.7</v>
      </c>
      <c r="D68" s="197">
        <v>0</v>
      </c>
      <c r="E68" s="198">
        <v>31668</v>
      </c>
      <c r="F68" s="195">
        <v>0</v>
      </c>
      <c r="G68" s="195">
        <v>0</v>
      </c>
      <c r="H68" s="196">
        <v>30432</v>
      </c>
      <c r="I68" s="195">
        <v>0</v>
      </c>
      <c r="J68" s="197">
        <v>0</v>
      </c>
      <c r="K68" s="196">
        <v>41388</v>
      </c>
      <c r="L68" s="199">
        <v>0</v>
      </c>
      <c r="M68" s="197">
        <v>0</v>
      </c>
      <c r="N68" s="195">
        <v>10280.700000000001</v>
      </c>
      <c r="O68" s="195">
        <v>0</v>
      </c>
      <c r="P68" s="203">
        <v>0</v>
      </c>
      <c r="Q68" s="123"/>
    </row>
    <row r="69" spans="1:17" x14ac:dyDescent="0.25">
      <c r="A69" s="107" t="s">
        <v>135</v>
      </c>
      <c r="B69" s="196"/>
      <c r="C69" s="195"/>
      <c r="D69" s="197"/>
      <c r="E69" s="198"/>
      <c r="F69" s="195"/>
      <c r="G69" s="195"/>
      <c r="H69" s="196"/>
      <c r="I69" s="195"/>
      <c r="J69" s="197"/>
      <c r="K69" s="196"/>
      <c r="L69" s="199"/>
      <c r="M69" s="197"/>
      <c r="N69" s="195"/>
      <c r="O69" s="195"/>
      <c r="P69" s="203"/>
      <c r="Q69" s="123"/>
    </row>
    <row r="70" spans="1:17" x14ac:dyDescent="0.25">
      <c r="A70" s="108">
        <v>45674</v>
      </c>
      <c r="B70" s="196">
        <v>1144</v>
      </c>
      <c r="C70" s="195">
        <v>0</v>
      </c>
      <c r="D70" s="197">
        <v>0</v>
      </c>
      <c r="E70" s="198">
        <v>4569</v>
      </c>
      <c r="F70" s="195">
        <v>0</v>
      </c>
      <c r="G70" s="195">
        <v>0</v>
      </c>
      <c r="H70" s="196">
        <v>8371</v>
      </c>
      <c r="I70" s="195">
        <v>0</v>
      </c>
      <c r="J70" s="197">
        <v>0</v>
      </c>
      <c r="K70" s="196">
        <v>12173</v>
      </c>
      <c r="L70" s="199">
        <v>0</v>
      </c>
      <c r="M70" s="197">
        <v>0</v>
      </c>
      <c r="N70" s="195">
        <v>6853.8</v>
      </c>
      <c r="O70" s="195">
        <v>0</v>
      </c>
      <c r="P70" s="203">
        <v>0</v>
      </c>
      <c r="Q70" s="123"/>
    </row>
    <row r="71" spans="1:17" x14ac:dyDescent="0.25">
      <c r="A71" s="108">
        <v>45673</v>
      </c>
      <c r="B71" s="196">
        <v>1144</v>
      </c>
      <c r="C71" s="195">
        <v>1130.9000000000001</v>
      </c>
      <c r="D71" s="197">
        <v>0</v>
      </c>
      <c r="E71" s="198">
        <v>4569</v>
      </c>
      <c r="F71" s="195">
        <v>0</v>
      </c>
      <c r="G71" s="195">
        <v>0</v>
      </c>
      <c r="H71" s="196">
        <v>6854</v>
      </c>
      <c r="I71" s="195">
        <v>0</v>
      </c>
      <c r="J71" s="197">
        <v>0</v>
      </c>
      <c r="K71" s="196">
        <v>10806</v>
      </c>
      <c r="L71" s="199">
        <v>0</v>
      </c>
      <c r="M71" s="197">
        <v>0</v>
      </c>
      <c r="N71" s="195">
        <v>3426.9</v>
      </c>
      <c r="O71" s="195">
        <v>0</v>
      </c>
      <c r="P71" s="203">
        <v>0</v>
      </c>
      <c r="Q71" s="123"/>
    </row>
    <row r="72" spans="1:17" x14ac:dyDescent="0.25">
      <c r="A72" s="108">
        <v>45672</v>
      </c>
      <c r="B72" s="196">
        <v>0</v>
      </c>
      <c r="C72" s="195">
        <v>1130.9000000000001</v>
      </c>
      <c r="D72" s="197">
        <v>0</v>
      </c>
      <c r="E72" s="198">
        <v>3427</v>
      </c>
      <c r="F72" s="195">
        <v>0</v>
      </c>
      <c r="G72" s="195">
        <v>0</v>
      </c>
      <c r="H72" s="196">
        <v>7996</v>
      </c>
      <c r="I72" s="195">
        <v>0</v>
      </c>
      <c r="J72" s="197">
        <v>0</v>
      </c>
      <c r="K72" s="196">
        <v>12565</v>
      </c>
      <c r="L72" s="199">
        <v>0</v>
      </c>
      <c r="M72" s="197">
        <v>0</v>
      </c>
      <c r="N72" s="195">
        <v>0</v>
      </c>
      <c r="O72" s="195">
        <v>0</v>
      </c>
      <c r="P72" s="203">
        <v>0</v>
      </c>
      <c r="Q72" s="123"/>
    </row>
    <row r="73" spans="1:17" x14ac:dyDescent="0.25">
      <c r="A73" s="108">
        <v>45671</v>
      </c>
      <c r="B73" s="196">
        <v>0</v>
      </c>
      <c r="C73" s="195">
        <v>2261.8000000000002</v>
      </c>
      <c r="D73" s="197">
        <v>0</v>
      </c>
      <c r="E73" s="198">
        <v>3427</v>
      </c>
      <c r="F73" s="195">
        <v>0</v>
      </c>
      <c r="G73" s="195">
        <v>0</v>
      </c>
      <c r="H73" s="196">
        <v>10281</v>
      </c>
      <c r="I73" s="195">
        <v>0</v>
      </c>
      <c r="J73" s="197">
        <v>0</v>
      </c>
      <c r="K73" s="196">
        <v>6854</v>
      </c>
      <c r="L73" s="199">
        <v>0</v>
      </c>
      <c r="M73" s="197">
        <v>0</v>
      </c>
      <c r="N73" s="195">
        <v>1895.4</v>
      </c>
      <c r="O73" s="195">
        <v>0</v>
      </c>
      <c r="P73" s="203">
        <v>0</v>
      </c>
    </row>
    <row r="74" spans="1:17" x14ac:dyDescent="0.25">
      <c r="A74" s="108">
        <v>45670</v>
      </c>
      <c r="B74" s="196">
        <v>1144</v>
      </c>
      <c r="C74" s="195">
        <v>1130.9000000000001</v>
      </c>
      <c r="D74" s="197">
        <v>0</v>
      </c>
      <c r="E74" s="198">
        <v>5712</v>
      </c>
      <c r="F74" s="195">
        <v>0</v>
      </c>
      <c r="G74" s="195">
        <v>0</v>
      </c>
      <c r="H74" s="196">
        <v>1142</v>
      </c>
      <c r="I74" s="195">
        <v>0</v>
      </c>
      <c r="J74" s="197">
        <v>0</v>
      </c>
      <c r="K74" s="196">
        <v>5712</v>
      </c>
      <c r="L74" s="199">
        <v>0</v>
      </c>
      <c r="M74" s="197">
        <v>0</v>
      </c>
      <c r="N74" s="195">
        <v>947.7</v>
      </c>
      <c r="O74" s="195">
        <v>0</v>
      </c>
      <c r="P74" s="203">
        <v>0</v>
      </c>
    </row>
    <row r="75" spans="1:17" x14ac:dyDescent="0.25">
      <c r="A75" s="107" t="s">
        <v>143</v>
      </c>
      <c r="B75" s="196">
        <v>3432</v>
      </c>
      <c r="C75" s="195">
        <v>5654.5</v>
      </c>
      <c r="D75" s="197">
        <v>0</v>
      </c>
      <c r="E75" s="198">
        <v>21704</v>
      </c>
      <c r="F75" s="195">
        <v>0</v>
      </c>
      <c r="G75" s="195">
        <v>0</v>
      </c>
      <c r="H75" s="196">
        <v>34644</v>
      </c>
      <c r="I75" s="195">
        <v>0</v>
      </c>
      <c r="J75" s="197">
        <v>0</v>
      </c>
      <c r="K75" s="196">
        <v>48110</v>
      </c>
      <c r="L75" s="199">
        <v>0</v>
      </c>
      <c r="M75" s="197">
        <v>0</v>
      </c>
      <c r="N75" s="195">
        <v>13123.8</v>
      </c>
      <c r="O75" s="195">
        <v>0</v>
      </c>
      <c r="P75" s="203">
        <v>0</v>
      </c>
    </row>
    <row r="76" spans="1:17" x14ac:dyDescent="0.25">
      <c r="A76" s="107" t="s">
        <v>136</v>
      </c>
      <c r="B76" s="196"/>
      <c r="C76" s="195"/>
      <c r="D76" s="197"/>
      <c r="E76" s="198"/>
      <c r="F76" s="195"/>
      <c r="G76" s="195"/>
      <c r="H76" s="196"/>
      <c r="I76" s="195"/>
      <c r="J76" s="197"/>
      <c r="K76" s="196"/>
      <c r="L76" s="199"/>
      <c r="M76" s="197"/>
      <c r="N76" s="195"/>
      <c r="O76" s="195"/>
      <c r="P76" s="203"/>
    </row>
    <row r="77" spans="1:17" x14ac:dyDescent="0.25">
      <c r="A77" s="108">
        <v>45667</v>
      </c>
      <c r="B77" s="196">
        <v>0</v>
      </c>
      <c r="C77" s="195">
        <v>1130.9000000000001</v>
      </c>
      <c r="D77" s="197">
        <v>0</v>
      </c>
      <c r="E77" s="198">
        <v>5712</v>
      </c>
      <c r="F77" s="195">
        <v>0</v>
      </c>
      <c r="G77" s="195">
        <v>0</v>
      </c>
      <c r="H77" s="196">
        <v>10281</v>
      </c>
      <c r="I77" s="195">
        <v>0</v>
      </c>
      <c r="J77" s="197">
        <v>0</v>
      </c>
      <c r="K77" s="196">
        <v>2285</v>
      </c>
      <c r="L77" s="199">
        <v>0</v>
      </c>
      <c r="M77" s="197">
        <v>0</v>
      </c>
      <c r="N77" s="195">
        <v>0</v>
      </c>
      <c r="O77" s="195">
        <v>0</v>
      </c>
      <c r="P77" s="203">
        <v>0</v>
      </c>
    </row>
    <row r="78" spans="1:17" x14ac:dyDescent="0.25">
      <c r="A78" s="108">
        <v>45666</v>
      </c>
      <c r="B78" s="196">
        <v>0</v>
      </c>
      <c r="C78" s="195">
        <v>0</v>
      </c>
      <c r="D78" s="197">
        <v>0</v>
      </c>
      <c r="E78" s="198">
        <v>5712</v>
      </c>
      <c r="F78" s="195">
        <v>0</v>
      </c>
      <c r="G78" s="195">
        <v>0</v>
      </c>
      <c r="H78" s="196">
        <v>3427</v>
      </c>
      <c r="I78" s="195">
        <v>0</v>
      </c>
      <c r="J78" s="197">
        <v>0</v>
      </c>
      <c r="K78" s="196">
        <v>4569</v>
      </c>
      <c r="L78" s="199">
        <v>0</v>
      </c>
      <c r="M78" s="197">
        <v>0</v>
      </c>
      <c r="N78" s="195">
        <v>1895.4</v>
      </c>
      <c r="O78" s="195">
        <v>0</v>
      </c>
      <c r="P78" s="203">
        <v>0</v>
      </c>
    </row>
    <row r="79" spans="1:17" ht="15.75" thickBot="1" x14ac:dyDescent="0.3">
      <c r="A79" s="107" t="s">
        <v>144</v>
      </c>
      <c r="B79" s="196">
        <v>0</v>
      </c>
      <c r="C79" s="195">
        <v>1130.9000000000001</v>
      </c>
      <c r="D79" s="197">
        <v>0</v>
      </c>
      <c r="E79" s="198">
        <v>11424</v>
      </c>
      <c r="F79" s="195">
        <v>0</v>
      </c>
      <c r="G79" s="195">
        <v>0</v>
      </c>
      <c r="H79" s="196">
        <v>13708</v>
      </c>
      <c r="I79" s="195">
        <v>0</v>
      </c>
      <c r="J79" s="197">
        <v>0</v>
      </c>
      <c r="K79" s="196">
        <v>6854</v>
      </c>
      <c r="L79" s="199">
        <v>0</v>
      </c>
      <c r="M79" s="197">
        <v>0</v>
      </c>
      <c r="N79" s="201">
        <v>1895.4</v>
      </c>
      <c r="O79" s="201">
        <v>0</v>
      </c>
      <c r="P79" s="204">
        <v>0</v>
      </c>
    </row>
  </sheetData>
  <mergeCells count="11">
    <mergeCell ref="S17:V17"/>
    <mergeCell ref="N1:P1"/>
    <mergeCell ref="K1:M1"/>
    <mergeCell ref="H1:J1"/>
    <mergeCell ref="E1:G1"/>
    <mergeCell ref="AI1:AL1"/>
    <mergeCell ref="B1:D1"/>
    <mergeCell ref="W1:Z1"/>
    <mergeCell ref="S1:V1"/>
    <mergeCell ref="AA1:AD1"/>
    <mergeCell ref="AE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/>
  <dimension ref="A1:V98"/>
  <sheetViews>
    <sheetView topLeftCell="A20" zoomScale="90" zoomScaleNormal="90" workbookViewId="0">
      <selection activeCell="H54" sqref="H54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5" bestFit="1" customWidth="1"/>
    <col min="10" max="10" width="12.5703125" customWidth="1"/>
    <col min="11" max="11" width="13.85546875" bestFit="1" customWidth="1"/>
    <col min="12" max="12" width="13.28515625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1.57031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ht="15.75" thickBot="1" x14ac:dyDescent="0.3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I1" s="45" t="s">
        <v>46</v>
      </c>
      <c r="J1" s="46"/>
      <c r="K1" s="32">
        <v>50239.580000000016</v>
      </c>
      <c r="L1" s="22"/>
      <c r="N1" s="8" t="s">
        <v>47</v>
      </c>
      <c r="P1" s="9" t="s">
        <v>48</v>
      </c>
      <c r="Q1" t="s">
        <v>49</v>
      </c>
      <c r="S1" t="s">
        <v>50</v>
      </c>
    </row>
    <row r="2" spans="1:22" ht="15.75" thickBot="1" x14ac:dyDescent="0.3">
      <c r="A2" s="2">
        <f>SUMIF($C$13:$C$26,E2,$B$13:$B$26)</f>
        <v>129</v>
      </c>
      <c r="B2" s="2">
        <f>SUMIF(Продажи_Новак[Товар],E2,Продажи_Новак[Кол-во])</f>
        <v>60</v>
      </c>
      <c r="C2" s="2">
        <f>A2-B2</f>
        <v>69</v>
      </c>
      <c r="D2" s="76">
        <v>795</v>
      </c>
      <c r="E2" s="2" t="s">
        <v>7</v>
      </c>
      <c r="N2" s="67">
        <f>K1+(K16-(K16*Q3))-SUM(Q21:R30)-SUM(P6:V17)-T3-U3-V3-R3</f>
        <v>47310.000000000029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>SUMIF($C$13:$C$26,E3,$B$13:$B$26)</f>
        <v>110</v>
      </c>
      <c r="B3" s="2">
        <f>SUMIF(Продажи_Новак[Товар],E3,Продажи_Новак[Кол-во])</f>
        <v>24</v>
      </c>
      <c r="C3" s="2">
        <f t="shared" ref="C3:C4" si="0">A3-B3</f>
        <v>86</v>
      </c>
      <c r="D3" s="76">
        <v>1100</v>
      </c>
      <c r="E3" s="2" t="s">
        <v>8</v>
      </c>
      <c r="I3" s="33" t="s">
        <v>56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>SUMIF($C$13:$C$26,E4,$B$13:$B$26)</f>
        <v>20</v>
      </c>
      <c r="B4" s="2">
        <f>SUMIF(Продажи_Новак[Товар],E4,Продажи_Новак[Кол-во])</f>
        <v>2</v>
      </c>
      <c r="C4" s="2">
        <f t="shared" si="0"/>
        <v>18</v>
      </c>
      <c r="D4" s="76">
        <v>1340</v>
      </c>
      <c r="E4" s="2" t="s">
        <v>125</v>
      </c>
      <c r="I4" s="34">
        <v>190</v>
      </c>
      <c r="J4" s="2" t="s">
        <v>22</v>
      </c>
      <c r="K4" s="74" cm="1">
        <f t="array" ref="K4">SUMPRODUCT(1*ISNUMBER(SEARCH(J4,TEXT(Продажи_Новак[Дата],"ММММ"))),Продажи_Новак[Выручка])</f>
        <v>40700</v>
      </c>
      <c r="L4" s="64" cm="1">
        <f t="array" ref="L4">SUMPRODUCT(IFERROR(SEARCH($J4,TEXT(Продажи_Новак[Дата],"ММММ")),0),Продажи_Новак[Прибыль])-SUM(Q6:R6,U6:V6)</f>
        <v>-698.38000000000102</v>
      </c>
    </row>
    <row r="5" spans="1:22" ht="15" customHeight="1" x14ac:dyDescent="0.25">
      <c r="I5" s="34">
        <v>215</v>
      </c>
      <c r="J5" s="2" t="s">
        <v>23</v>
      </c>
      <c r="K5" s="74" cm="1">
        <f t="array" ref="K5">SUMPRODUCT(1*ISNUMBER(SEARCH(J5,TEXT(Продажи_Новак[Дата],"ММММ"))),Продажи_Новак[Выручка])</f>
        <v>59800</v>
      </c>
      <c r="L5" s="64" cm="1">
        <f t="array" ref="L5">SUMPRODUCT(IFERROR(SEARCH($J5,TEXT(Продажи_Новак[Дата],"ММММ")),0),Продажи_Новак[Прибыль])-SUM(Q7:R7,U7:V7)</f>
        <v>11108.140000000003</v>
      </c>
      <c r="P5" s="14"/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7" t="s">
        <v>65</v>
      </c>
    </row>
    <row r="6" spans="1:22" x14ac:dyDescent="0.25">
      <c r="A6" s="25" t="s">
        <v>66</v>
      </c>
      <c r="B6" s="25" t="s">
        <v>44</v>
      </c>
      <c r="C6" s="44" t="s">
        <v>45</v>
      </c>
      <c r="I6" s="34"/>
      <c r="J6" s="2" t="s">
        <v>67</v>
      </c>
      <c r="K6" s="74" cm="1">
        <f t="array" ref="K6">SUMPRODUCT(1*ISNUMBER(SEARCH(J6,TEXT(Продажи_Новак[Дата],"ММММ"))),Продажи_Новак[Выручка])</f>
        <v>80040</v>
      </c>
      <c r="L6" s="64" cm="1">
        <f t="array" ref="L6">SUMPRODUCT(IFERROR(SEARCH($J6,TEXT(Продажи_Новак[Дата],"ММММ")),0),Продажи_Новак[Прибыль])-SUM(Q8:R8,U8:V8)</f>
        <v>21273.660000000007</v>
      </c>
      <c r="P6" s="12" t="s">
        <v>22</v>
      </c>
      <c r="Q6" s="68">
        <v>900</v>
      </c>
      <c r="R6" s="64">
        <v>1059.26</v>
      </c>
      <c r="S6" s="68">
        <v>15000</v>
      </c>
      <c r="T6" s="68"/>
      <c r="U6" s="68">
        <v>20000</v>
      </c>
      <c r="V6" s="69">
        <v>357.22</v>
      </c>
    </row>
    <row r="7" spans="1:22" x14ac:dyDescent="0.25">
      <c r="A7" s="2"/>
      <c r="B7" s="2">
        <v>795</v>
      </c>
      <c r="C7" s="2" t="s">
        <v>7</v>
      </c>
      <c r="I7" s="34"/>
      <c r="J7" s="2" t="s">
        <v>68</v>
      </c>
      <c r="K7" s="74" cm="1">
        <f t="array" ref="K7">SUMPRODUCT(1*ISNUMBER(SEARCH(J7,TEXT(Продажи_Новак[Дата],"ММММ"))),Продажи_Новак[Выручка])</f>
        <v>0</v>
      </c>
      <c r="L7" s="64" cm="1">
        <f t="array" ref="L7">SUMPRODUCT(IFERROR(SEARCH($J7,TEXT(Продажи_Новак[Дата],"ММММ")),0),Продажи_Новак[Прибыль])-SUM(Q9:R9,U9:V9)</f>
        <v>0</v>
      </c>
      <c r="P7" s="12" t="s">
        <v>23</v>
      </c>
      <c r="Q7" s="70">
        <v>900</v>
      </c>
      <c r="R7" s="64">
        <v>1059.26</v>
      </c>
      <c r="S7" s="68">
        <v>54530</v>
      </c>
      <c r="T7" s="68"/>
      <c r="U7" s="68">
        <v>20030</v>
      </c>
      <c r="V7" s="69"/>
    </row>
    <row r="8" spans="1:22" x14ac:dyDescent="0.25">
      <c r="A8" s="2">
        <v>200</v>
      </c>
      <c r="B8" s="2">
        <v>1100</v>
      </c>
      <c r="C8" s="2" t="s">
        <v>8</v>
      </c>
      <c r="I8" s="34"/>
      <c r="J8" s="2" t="s">
        <v>69</v>
      </c>
      <c r="K8" s="74" cm="1">
        <f t="array" ref="K8">SUMPRODUCT(1*ISNUMBER(SEARCH(J8,TEXT(Продажи_Новак[Дата],"ММММ"))),Продажи_Новак[Выручка])</f>
        <v>0</v>
      </c>
      <c r="L8" s="64" cm="1">
        <f t="array" ref="L8">SUMPRODUCT(IFERROR(SEARCH($J8,TEXT(Продажи_Новак[Дата],"ММММ")),0),Продажи_Новак[Прибыль])-SUM(Q10:R10,U10:V10)</f>
        <v>0</v>
      </c>
      <c r="P8" s="12" t="s">
        <v>67</v>
      </c>
      <c r="Q8" s="68">
        <v>900</v>
      </c>
      <c r="R8" s="64">
        <v>1059.26</v>
      </c>
      <c r="S8" s="70">
        <v>5184</v>
      </c>
      <c r="T8" s="70">
        <v>700</v>
      </c>
      <c r="U8" s="70">
        <v>20000</v>
      </c>
      <c r="V8" s="69">
        <v>335</v>
      </c>
    </row>
    <row r="9" spans="1:22" x14ac:dyDescent="0.25">
      <c r="A9" s="2"/>
      <c r="B9" s="2">
        <v>1340</v>
      </c>
      <c r="C9" s="2" t="s">
        <v>125</v>
      </c>
      <c r="I9" s="34"/>
      <c r="J9" s="2" t="s">
        <v>70</v>
      </c>
      <c r="K9" s="74" cm="1">
        <f t="array" ref="K9">SUMPRODUCT(1*ISNUMBER(SEARCH(J9,TEXT(Продажи_Новак[Дата],"ММММ"))),Продажи_Новак[Выручка])</f>
        <v>0</v>
      </c>
      <c r="L9" s="64" cm="1">
        <f t="array" ref="L9">SUMPRODUCT(IFERROR(SEARCH($J9,TEXT(Продажи_Новак[Дата],"ММММ")),0),Продажи_Новак[Прибыль])-SUM(Q11:R11,U11:V11)</f>
        <v>0</v>
      </c>
      <c r="P9" s="12" t="s">
        <v>68</v>
      </c>
      <c r="Q9" s="68"/>
      <c r="R9" s="64"/>
      <c r="S9" s="68"/>
      <c r="T9" s="68"/>
      <c r="U9" s="68"/>
      <c r="V9" s="69"/>
    </row>
    <row r="10" spans="1:22" x14ac:dyDescent="0.25">
      <c r="I10" s="34"/>
      <c r="J10" s="2" t="s">
        <v>71</v>
      </c>
      <c r="K10" s="74" cm="1">
        <f t="array" ref="K10">SUMPRODUCT(1*ISNUMBER(SEARCH(J10,TEXT(Продажи_Новак[Дата],"ММММ"))),Продажи_Новак[Выручка])</f>
        <v>0</v>
      </c>
      <c r="L10" s="64" cm="1">
        <f t="array" ref="L10">SUMPRODUCT(IFERROR(SEARCH($J10,TEXT(Продажи_Новак[Дата],"ММММ")),0),Продажи_Новак[Прибыль])-SUM(Q12:R12,U12:V12)</f>
        <v>0</v>
      </c>
      <c r="P10" s="12" t="s">
        <v>69</v>
      </c>
      <c r="Q10" s="68"/>
      <c r="R10" s="64"/>
      <c r="S10" s="68"/>
      <c r="T10" s="68"/>
      <c r="U10" s="68"/>
      <c r="V10" s="69"/>
    </row>
    <row r="11" spans="1:22" ht="15.75" thickBot="1" x14ac:dyDescent="0.3">
      <c r="I11" s="34"/>
      <c r="J11" s="2" t="s">
        <v>72</v>
      </c>
      <c r="K11" s="74" cm="1">
        <f t="array" ref="K11">SUMPRODUCT(1*ISNUMBER(SEARCH(J11,TEXT(Продажи_Новак[Дата],"ММММ"))),Продажи_Новак[Выручка])</f>
        <v>0</v>
      </c>
      <c r="L11" s="64" cm="1">
        <f t="array" ref="L11">SUMPRODUCT(IFERROR(SEARCH($J11,TEXT(Продажи_Новак[Дата],"ММММ")),0),Продажи_Новак[Прибыль])-SUM(Q13:R13,U13:V13)</f>
        <v>0</v>
      </c>
      <c r="P11" s="12" t="s">
        <v>70</v>
      </c>
      <c r="Q11" s="68"/>
      <c r="R11" s="64"/>
      <c r="S11" s="68"/>
      <c r="T11" s="68"/>
      <c r="U11" s="68"/>
      <c r="V11" s="69"/>
    </row>
    <row r="12" spans="1:22" x14ac:dyDescent="0.25">
      <c r="A12" s="5" t="s">
        <v>73</v>
      </c>
      <c r="B12" s="47" t="s">
        <v>74</v>
      </c>
      <c r="C12" s="25" t="s">
        <v>45</v>
      </c>
      <c r="D12" s="25" t="s">
        <v>44</v>
      </c>
      <c r="E12" s="25" t="s">
        <v>75</v>
      </c>
      <c r="I12" s="34"/>
      <c r="J12" s="2" t="s">
        <v>76</v>
      </c>
      <c r="K12" s="74" cm="1">
        <f t="array" ref="K12">SUMPRODUCT(1*ISNUMBER(SEARCH(J12,TEXT(Продажи_Новак[Дата],"ММММ"))),Продажи_Новак[Выручка])</f>
        <v>0</v>
      </c>
      <c r="L12" s="64" cm="1">
        <f t="array" ref="L12">SUMPRODUCT(IFERROR(SEARCH($J12,TEXT(Продажи_Новак[Дата],"ММММ")),0),Продажи_Новак[Прибыль])-SUM(Q14:R14,U14:V14)</f>
        <v>0</v>
      </c>
      <c r="P12" s="12" t="s">
        <v>71</v>
      </c>
      <c r="Q12" s="68"/>
      <c r="R12" s="64"/>
      <c r="S12" s="68"/>
      <c r="T12" s="68"/>
      <c r="U12" s="68"/>
      <c r="V12" s="69"/>
    </row>
    <row r="13" spans="1:22" x14ac:dyDescent="0.25">
      <c r="A13" s="23" t="s">
        <v>77</v>
      </c>
      <c r="B13" s="15">
        <v>60</v>
      </c>
      <c r="C13" s="2" t="s">
        <v>8</v>
      </c>
      <c r="D13" s="76">
        <v>1100</v>
      </c>
      <c r="E13" s="2"/>
      <c r="I13" s="34"/>
      <c r="J13" s="2" t="s">
        <v>78</v>
      </c>
      <c r="K13" s="74" cm="1">
        <f t="array" ref="K13">SUMPRODUCT(1*ISNUMBER(SEARCH(J13,TEXT(Продажи_Новак[Дата],"ММММ"))),Продажи_Новак[Выручка])</f>
        <v>0</v>
      </c>
      <c r="L13" s="64" cm="1">
        <f t="array" ref="L13">SUMPRODUCT(IFERROR(SEARCH($J13,TEXT(Продажи_Новак[Дата],"ММММ")),0),Продажи_Новак[Прибыль])-SUM(Q15:R15,U15:V15)</f>
        <v>0</v>
      </c>
      <c r="P13" s="12" t="s">
        <v>72</v>
      </c>
      <c r="Q13" s="68"/>
      <c r="R13" s="64"/>
      <c r="S13" s="68"/>
      <c r="T13" s="68"/>
      <c r="U13" s="68"/>
      <c r="V13" s="69"/>
    </row>
    <row r="14" spans="1:22" x14ac:dyDescent="0.25">
      <c r="A14" s="23" t="s">
        <v>77</v>
      </c>
      <c r="B14">
        <v>29</v>
      </c>
      <c r="C14" s="2" t="s">
        <v>7</v>
      </c>
      <c r="D14" s="76">
        <v>795</v>
      </c>
      <c r="E14" s="2"/>
      <c r="I14" s="34"/>
      <c r="J14" s="2" t="s">
        <v>79</v>
      </c>
      <c r="K14" s="74" cm="1">
        <f t="array" ref="K14">SUMPRODUCT(1*ISNUMBER(SEARCH(J14,TEXT(Продажи_Новак[Дата],"ММММ"))),Продажи_Новак[Выручка])</f>
        <v>0</v>
      </c>
      <c r="L14" s="64" cm="1">
        <f t="array" ref="L14">SUMPRODUCT(IFERROR(SEARCH($J14,TEXT(Продажи_Новак[Дата],"ММММ")),0),Продажи_Новак[Прибыль])-SUM(Q16:R16,U16:V16)</f>
        <v>0</v>
      </c>
      <c r="P14" s="12" t="s">
        <v>76</v>
      </c>
      <c r="Q14" s="68"/>
      <c r="R14" s="64"/>
      <c r="S14" s="68"/>
      <c r="T14" s="68"/>
      <c r="U14" s="68"/>
      <c r="V14" s="69"/>
    </row>
    <row r="15" spans="1:22" x14ac:dyDescent="0.25">
      <c r="A15" s="4">
        <v>45327</v>
      </c>
      <c r="B15" s="2">
        <v>50</v>
      </c>
      <c r="C15" s="2" t="s">
        <v>8</v>
      </c>
      <c r="D15" s="76">
        <v>1100</v>
      </c>
      <c r="E15" s="2"/>
      <c r="I15" s="34"/>
      <c r="J15" s="2" t="s">
        <v>80</v>
      </c>
      <c r="K15" s="74" cm="1">
        <f t="array" ref="K15">SUMPRODUCT(1*ISNUMBER(SEARCH(J15,TEXT(Продажи_Новак[Дата],"ММММ"))),Продажи_Новак[Выручка])</f>
        <v>0</v>
      </c>
      <c r="L15" s="64" cm="1">
        <f t="array" ref="L15">SUMPRODUCT(IFERROR(SEARCH($J15,TEXT(Продажи_Новак[Дата],"ММММ")),0),Продажи_Новак[Прибыль])-SUM(Q17:R17,U17:V17)</f>
        <v>0</v>
      </c>
      <c r="P15" s="12" t="s">
        <v>78</v>
      </c>
      <c r="Q15" s="68"/>
      <c r="R15" s="64"/>
      <c r="S15" s="68"/>
      <c r="T15" s="68"/>
      <c r="U15" s="68"/>
      <c r="V15" s="69"/>
    </row>
    <row r="16" spans="1:22" x14ac:dyDescent="0.25">
      <c r="A16" s="4">
        <v>45327</v>
      </c>
      <c r="B16" s="2">
        <v>50</v>
      </c>
      <c r="C16" s="2" t="s">
        <v>7</v>
      </c>
      <c r="D16" s="76">
        <v>795</v>
      </c>
      <c r="E16" s="2"/>
      <c r="I16" s="34"/>
      <c r="J16" s="2" t="s">
        <v>81</v>
      </c>
      <c r="K16" s="74">
        <f>SUM(K4:K15)</f>
        <v>180540</v>
      </c>
      <c r="L16" s="74">
        <f>SUM(L4:L15)</f>
        <v>31683.420000000009</v>
      </c>
      <c r="P16" s="12" t="s">
        <v>79</v>
      </c>
      <c r="Q16" s="68"/>
      <c r="R16" s="64"/>
      <c r="S16" s="68"/>
      <c r="T16" s="68"/>
      <c r="U16" s="68"/>
      <c r="V16" s="69"/>
    </row>
    <row r="17" spans="1:22" ht="15.75" thickBot="1" x14ac:dyDescent="0.3">
      <c r="A17" s="4">
        <v>45728</v>
      </c>
      <c r="B17" s="2">
        <v>50</v>
      </c>
      <c r="C17" s="2" t="s">
        <v>7</v>
      </c>
      <c r="D17" s="76">
        <v>795</v>
      </c>
      <c r="E17" s="2"/>
      <c r="P17" s="13" t="s">
        <v>80</v>
      </c>
      <c r="Q17" s="71"/>
      <c r="R17" s="65"/>
      <c r="S17" s="71"/>
      <c r="T17" s="71"/>
      <c r="U17" s="71"/>
      <c r="V17" s="66"/>
    </row>
    <row r="18" spans="1:22" ht="15.75" thickBot="1" x14ac:dyDescent="0.3">
      <c r="A18" s="4">
        <v>45728</v>
      </c>
      <c r="B18" s="2">
        <v>20</v>
      </c>
      <c r="C18" s="2" t="s">
        <v>125</v>
      </c>
      <c r="D18" s="76">
        <v>1340</v>
      </c>
      <c r="E18" s="2"/>
    </row>
    <row r="19" spans="1:22" x14ac:dyDescent="0.25">
      <c r="A19" s="4"/>
      <c r="B19" s="2"/>
      <c r="C19" s="2"/>
      <c r="D19" s="76"/>
      <c r="E19" s="2"/>
      <c r="P19" s="5" t="s">
        <v>82</v>
      </c>
      <c r="Q19" s="10"/>
      <c r="R19" s="11"/>
      <c r="T19" s="35" t="s">
        <v>117</v>
      </c>
      <c r="U19" s="36">
        <f>SUM(U20:U26)-N2</f>
        <v>14689.999999999971</v>
      </c>
      <c r="V19" s="37">
        <f>U19/2050</f>
        <v>7.1658536585365713</v>
      </c>
    </row>
    <row r="20" spans="1:22" ht="15.75" thickBot="1" x14ac:dyDescent="0.3">
      <c r="A20" s="4"/>
      <c r="B20" s="2"/>
      <c r="C20" s="2"/>
      <c r="D20" s="76"/>
      <c r="E20" s="2"/>
      <c r="P20" s="18" t="s">
        <v>83</v>
      </c>
      <c r="Q20" s="1" t="s">
        <v>84</v>
      </c>
      <c r="R20" s="19" t="s">
        <v>85</v>
      </c>
      <c r="T20" s="38" t="s">
        <v>86</v>
      </c>
      <c r="V20" s="39"/>
    </row>
    <row r="21" spans="1:22" x14ac:dyDescent="0.25">
      <c r="A21" s="2"/>
      <c r="B21" s="2"/>
      <c r="C21" s="2"/>
      <c r="D21" s="76"/>
      <c r="E21" s="2"/>
      <c r="P21" s="20">
        <v>45674</v>
      </c>
      <c r="Q21" s="72">
        <v>27000</v>
      </c>
      <c r="R21" s="73">
        <v>30</v>
      </c>
      <c r="T21" s="38" t="s">
        <v>87</v>
      </c>
      <c r="V21" s="39"/>
    </row>
    <row r="22" spans="1:22" x14ac:dyDescent="0.25">
      <c r="A22" s="2"/>
      <c r="B22" s="2"/>
      <c r="C22" s="2"/>
      <c r="D22" s="76"/>
      <c r="E22" s="2"/>
      <c r="P22" s="3">
        <v>45727</v>
      </c>
      <c r="Q22" s="64">
        <v>9521</v>
      </c>
      <c r="R22" s="69">
        <v>30</v>
      </c>
      <c r="T22" s="38" t="s">
        <v>88</v>
      </c>
      <c r="V22" s="39"/>
    </row>
    <row r="23" spans="1:22" x14ac:dyDescent="0.25">
      <c r="A23" s="4"/>
      <c r="B23" s="2"/>
      <c r="C23" s="2"/>
      <c r="D23" s="76"/>
      <c r="E23" s="2"/>
      <c r="P23" s="3"/>
      <c r="Q23" s="64"/>
      <c r="R23" s="69"/>
      <c r="T23" s="38" t="s">
        <v>89</v>
      </c>
      <c r="V23" s="39"/>
    </row>
    <row r="24" spans="1:22" x14ac:dyDescent="0.25">
      <c r="A24" s="4"/>
      <c r="B24" s="2"/>
      <c r="C24" s="28"/>
      <c r="D24" s="76"/>
      <c r="E24" s="2"/>
      <c r="P24" s="3"/>
      <c r="Q24" s="64"/>
      <c r="R24" s="69"/>
      <c r="T24" s="38" t="s">
        <v>118</v>
      </c>
      <c r="U24">
        <v>62000</v>
      </c>
      <c r="V24" s="39"/>
    </row>
    <row r="25" spans="1:22" x14ac:dyDescent="0.25">
      <c r="A25" s="4"/>
      <c r="B25" s="2"/>
      <c r="C25" s="2"/>
      <c r="D25" s="76"/>
      <c r="E25" s="2"/>
      <c r="P25" s="3"/>
      <c r="Q25" s="64"/>
      <c r="R25" s="69"/>
      <c r="T25" s="38" t="s">
        <v>65</v>
      </c>
      <c r="V25" s="39"/>
    </row>
    <row r="26" spans="1:22" x14ac:dyDescent="0.25">
      <c r="A26" s="16"/>
      <c r="C26" s="43"/>
      <c r="P26" s="3"/>
      <c r="Q26" s="64"/>
      <c r="R26" s="69"/>
      <c r="T26" s="88" t="s">
        <v>61</v>
      </c>
      <c r="V26" s="39"/>
    </row>
    <row r="27" spans="1:22" x14ac:dyDescent="0.25">
      <c r="P27" s="3"/>
      <c r="Q27" s="64"/>
      <c r="R27" s="69"/>
      <c r="T27" s="38" t="s">
        <v>119</v>
      </c>
      <c r="V27" s="39"/>
    </row>
    <row r="28" spans="1:22" ht="15.75" x14ac:dyDescent="0.25">
      <c r="I28" s="53" t="s">
        <v>74</v>
      </c>
      <c r="P28" s="3"/>
      <c r="Q28" s="64"/>
      <c r="R28" s="69"/>
      <c r="T28" s="40" t="s">
        <v>90</v>
      </c>
      <c r="V28" s="39"/>
    </row>
    <row r="29" spans="1:22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  <c r="P29" s="3"/>
      <c r="Q29" s="64"/>
      <c r="R29" s="69"/>
      <c r="T29" s="40"/>
      <c r="V29" s="39"/>
    </row>
    <row r="30" spans="1:22" ht="15.75" thickBot="1" x14ac:dyDescent="0.3">
      <c r="A30" s="59">
        <v>45666</v>
      </c>
      <c r="B30" t="s">
        <v>93</v>
      </c>
      <c r="C30">
        <v>0</v>
      </c>
      <c r="D30" s="63" cm="1">
        <f t="array" ref="D3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0" s="63">
        <v>0</v>
      </c>
      <c r="F3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0" s="48" t="s">
        <v>22</v>
      </c>
      <c r="J30" s="54" cm="1">
        <f t="array" ref="J30">SUMPRODUCT(IFERROR(SEARCH(КолНовак[[#This Row],[Месяц]],TEXT(Продажи_Новак[Дата],"ММММ")),0),--(Продажи_Новак[Товар]=КолНовак[[#Headers],[Есмарт]]),Продажи_Новак[Кол-во])</f>
        <v>10</v>
      </c>
      <c r="K30" s="54" cm="1">
        <f t="array" ref="K30">SUMPRODUCT(IFERROR(SEARCH(КолНовак[[#This Row],[Месяц]],TEXT(Продажи_Новак[Дата],"ММММ")),0),--(Продажи_Новак[Товар]=КолНовак[[#Headers],[Рутокен]]),Продажи_Новак[Кол-во])</f>
        <v>9</v>
      </c>
      <c r="L30" s="54" cm="1">
        <f t="array" ref="L3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0" s="55">
        <f>SUM(J30:L30)</f>
        <v>19</v>
      </c>
      <c r="P30" s="31"/>
      <c r="Q30" s="65"/>
      <c r="R30" s="66"/>
      <c r="T30" s="38" t="s">
        <v>94</v>
      </c>
      <c r="U30">
        <f>SUM(U31:U43)-N2</f>
        <v>894594.34</v>
      </c>
      <c r="V30" s="39">
        <f>U30/2050</f>
        <v>436.38748292682925</v>
      </c>
    </row>
    <row r="31" spans="1:22" x14ac:dyDescent="0.25">
      <c r="A31" s="59">
        <v>45667</v>
      </c>
      <c r="B31" t="s">
        <v>8</v>
      </c>
      <c r="C31">
        <v>1</v>
      </c>
      <c r="D31" s="63" cm="1">
        <f t="array" ref="D3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1" s="63">
        <v>1100</v>
      </c>
      <c r="F3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1" s="48" t="s">
        <v>23</v>
      </c>
      <c r="J31" s="54" cm="1">
        <f t="array" ref="J31">SUMPRODUCT(IFERROR(SEARCH(КолНовак[[#This Row],[Месяц]],TEXT(Продажи_Новак[Дата],"ММММ")),0),--(Продажи_Новак[Товар]=КолНовак[[#Headers],[Есмарт]]),Продажи_Новак[Кол-во])</f>
        <v>23</v>
      </c>
      <c r="K31" s="54" cm="1">
        <f t="array" ref="K31">SUMPRODUCT(IFERROR(SEARCH(КолНовак[[#This Row],[Месяц]],TEXT(Продажи_Новак[Дата],"ММММ")),0),--(Продажи_Новак[Товар]=КолНовак[[#Headers],[Рутокен]]),Продажи_Новак[Кол-во])</f>
        <v>6</v>
      </c>
      <c r="L31" s="54" cm="1">
        <f t="array" ref="L3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1" s="55">
        <f t="shared" ref="M31:M41" si="1">SUM(J31:L31)</f>
        <v>29</v>
      </c>
      <c r="T31" s="38" t="s">
        <v>86</v>
      </c>
      <c r="U31">
        <v>8100</v>
      </c>
      <c r="V31" s="39"/>
    </row>
    <row r="32" spans="1:22" x14ac:dyDescent="0.25">
      <c r="A32" s="59">
        <v>45670</v>
      </c>
      <c r="B32" t="s">
        <v>7</v>
      </c>
      <c r="C32">
        <v>1</v>
      </c>
      <c r="D32" s="63" cm="1">
        <f t="array" ref="D3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2" s="63">
        <v>795</v>
      </c>
      <c r="F3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2" s="48" t="s">
        <v>67</v>
      </c>
      <c r="J32" s="54" cm="1">
        <f t="array" ref="J32">SUMPRODUCT(IFERROR(SEARCH(КолНовак[[#This Row],[Месяц]],TEXT(Продажи_Новак[Дата],"ММММ")),0),--(Продажи_Новак[Товар]=КолНовак[[#Headers],[Есмарт]]),Продажи_Новак[Кол-во])</f>
        <v>27</v>
      </c>
      <c r="K32" s="54" cm="1">
        <f t="array" ref="K32">SUMPRODUCT(IFERROR(SEARCH(КолНовак[[#This Row],[Месяц]],TEXT(Продажи_Новак[Дата],"ММММ")),0),--(Продажи_Новак[Товар]=КолНовак[[#Headers],[Рутокен]]),Продажи_Новак[Кол-во])</f>
        <v>9</v>
      </c>
      <c r="L32" s="54" cm="1">
        <f t="array" ref="L32">SUMPRODUCT(IFERROR(SEARCH(КолНовак[[#This Row],[Месяц]],TEXT(Продажи_Новак[Дата],"ММММ")),0),--(Продажи_Новак[Товар]=КолНовак[[#Headers],[Есмарт АРМ]]),Продажи_Новак[Кол-во])</f>
        <v>2</v>
      </c>
      <c r="M32" s="55">
        <f t="shared" si="1"/>
        <v>38</v>
      </c>
      <c r="T32" s="38" t="s">
        <v>87</v>
      </c>
      <c r="U32">
        <v>3000</v>
      </c>
      <c r="V32" s="39"/>
    </row>
    <row r="33" spans="1:22" x14ac:dyDescent="0.25">
      <c r="A33" s="59">
        <v>45670</v>
      </c>
      <c r="B33" t="s">
        <v>8</v>
      </c>
      <c r="C33">
        <v>1</v>
      </c>
      <c r="D33" s="63" cm="1">
        <f t="array" ref="D3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3" s="63">
        <v>1100</v>
      </c>
      <c r="F3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3" s="48" t="s">
        <v>68</v>
      </c>
      <c r="J33" s="54" cm="1">
        <f t="array" ref="J33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3" s="54" cm="1">
        <f t="array" ref="K33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3" s="54" cm="1">
        <f t="array" ref="L33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3" s="55">
        <f t="shared" si="1"/>
        <v>0</v>
      </c>
      <c r="T33" s="38" t="s">
        <v>88</v>
      </c>
      <c r="U33">
        <v>200000</v>
      </c>
      <c r="V33" s="39"/>
    </row>
    <row r="34" spans="1:22" x14ac:dyDescent="0.25">
      <c r="A34" s="59">
        <v>45671</v>
      </c>
      <c r="B34" t="s">
        <v>8</v>
      </c>
      <c r="C34">
        <v>2</v>
      </c>
      <c r="D34" s="63" cm="1">
        <f t="array" ref="D3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34" s="63">
        <v>1100</v>
      </c>
      <c r="F3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34" s="48" t="s">
        <v>69</v>
      </c>
      <c r="J34" s="54" cm="1">
        <f t="array" ref="J34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4" s="54" cm="1">
        <f t="array" ref="K34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4" s="54" cm="1">
        <f t="array" ref="L34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4" s="55">
        <f t="shared" si="1"/>
        <v>0</v>
      </c>
      <c r="T34" s="38" t="s">
        <v>89</v>
      </c>
      <c r="U34">
        <v>300000</v>
      </c>
      <c r="V34" s="39"/>
    </row>
    <row r="35" spans="1:22" x14ac:dyDescent="0.25">
      <c r="A35" s="59">
        <v>45672</v>
      </c>
      <c r="B35" t="s">
        <v>8</v>
      </c>
      <c r="C35">
        <v>1</v>
      </c>
      <c r="D35" s="63" cm="1">
        <f t="array" ref="D3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5" s="63">
        <v>1100</v>
      </c>
      <c r="F3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5" s="48" t="s">
        <v>70</v>
      </c>
      <c r="J35" s="54" cm="1">
        <f t="array" ref="J35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5" s="54" cm="1">
        <f t="array" ref="K35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5" s="54" cm="1">
        <f t="array" ref="L35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5" s="55">
        <f t="shared" si="1"/>
        <v>0</v>
      </c>
      <c r="T35" s="38" t="s">
        <v>122</v>
      </c>
      <c r="U35">
        <v>190800</v>
      </c>
      <c r="V35" s="39" t="s">
        <v>95</v>
      </c>
    </row>
    <row r="36" spans="1:22" x14ac:dyDescent="0.25">
      <c r="A36" s="59">
        <v>45673</v>
      </c>
      <c r="B36" t="s">
        <v>8</v>
      </c>
      <c r="C36">
        <v>1</v>
      </c>
      <c r="D36" s="63" cm="1">
        <f t="array" ref="D3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6" s="63">
        <v>1100</v>
      </c>
      <c r="F3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6" s="48" t="s">
        <v>71</v>
      </c>
      <c r="J36" s="54" cm="1">
        <f t="array" ref="J36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6" s="54" cm="1">
        <f t="array" ref="K36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6" s="54" cm="1">
        <f t="array" ref="L36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6" s="55">
        <f t="shared" si="1"/>
        <v>0</v>
      </c>
      <c r="T36" s="38" t="s">
        <v>118</v>
      </c>
      <c r="U36">
        <v>177184</v>
      </c>
      <c r="V36" s="39" t="s">
        <v>96</v>
      </c>
    </row>
    <row r="37" spans="1:22" x14ac:dyDescent="0.25">
      <c r="A37" s="59">
        <v>45673</v>
      </c>
      <c r="B37" t="s">
        <v>7</v>
      </c>
      <c r="C37">
        <v>1</v>
      </c>
      <c r="D37" s="63" cm="1">
        <f t="array" ref="D3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7" s="63">
        <v>795</v>
      </c>
      <c r="F3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7" s="48" t="s">
        <v>72</v>
      </c>
      <c r="J37" s="54" cm="1">
        <f t="array" ref="J37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7" s="54" cm="1">
        <f t="array" ref="K37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7" s="54" cm="1">
        <f t="array" ref="L37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7" s="55">
        <f t="shared" si="1"/>
        <v>0</v>
      </c>
      <c r="T37" s="38" t="s">
        <v>116</v>
      </c>
      <c r="U37">
        <v>40200</v>
      </c>
      <c r="V37" s="39" t="s">
        <v>97</v>
      </c>
    </row>
    <row r="38" spans="1:22" x14ac:dyDescent="0.25">
      <c r="A38" s="59">
        <v>45674</v>
      </c>
      <c r="B38" t="s">
        <v>7</v>
      </c>
      <c r="C38">
        <v>1</v>
      </c>
      <c r="D38" s="63" cm="1">
        <f t="array" ref="D3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8" s="63">
        <v>795</v>
      </c>
      <c r="F3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8" s="48" t="s">
        <v>76</v>
      </c>
      <c r="J38" s="54" cm="1">
        <f t="array" ref="J38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8" s="54" cm="1">
        <f t="array" ref="K38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8" s="54" cm="1">
        <f t="array" ref="L38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8" s="55">
        <f t="shared" si="1"/>
        <v>0</v>
      </c>
      <c r="T38" s="38" t="s">
        <v>65</v>
      </c>
      <c r="U38">
        <v>3927</v>
      </c>
      <c r="V38" s="39"/>
    </row>
    <row r="39" spans="1:22" x14ac:dyDescent="0.25">
      <c r="A39" s="59">
        <v>45677</v>
      </c>
      <c r="B39" t="s">
        <v>93</v>
      </c>
      <c r="C39">
        <v>0</v>
      </c>
      <c r="D39" s="63" cm="1">
        <f t="array" ref="D3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9" s="63">
        <v>0</v>
      </c>
      <c r="F3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9" s="48" t="s">
        <v>78</v>
      </c>
      <c r="J39" s="54" cm="1">
        <f t="array" ref="J39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9" s="54" cm="1">
        <f t="array" ref="K39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9" s="54" cm="1">
        <f t="array" ref="L39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9" s="55">
        <f t="shared" si="1"/>
        <v>0</v>
      </c>
      <c r="T39" s="38" t="s">
        <v>61</v>
      </c>
      <c r="U39">
        <v>9533.34</v>
      </c>
      <c r="V39" s="39"/>
    </row>
    <row r="40" spans="1:22" x14ac:dyDescent="0.25">
      <c r="A40" s="59">
        <v>45678</v>
      </c>
      <c r="B40" t="s">
        <v>8</v>
      </c>
      <c r="C40">
        <v>1</v>
      </c>
      <c r="D40" s="63" cm="1">
        <f t="array" ref="D4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40" s="63">
        <v>1100</v>
      </c>
      <c r="F4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40" s="48" t="s">
        <v>79</v>
      </c>
      <c r="J40" s="54" cm="1">
        <f t="array" ref="J40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0" s="54" cm="1">
        <f t="array" ref="K40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0" s="54" cm="1">
        <f t="array" ref="L4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0" s="55">
        <f t="shared" si="1"/>
        <v>0</v>
      </c>
      <c r="T40" s="38" t="s">
        <v>98</v>
      </c>
      <c r="U40">
        <v>1300</v>
      </c>
      <c r="V40" s="39"/>
    </row>
    <row r="41" spans="1:22" x14ac:dyDescent="0.25">
      <c r="A41" s="59">
        <v>45678</v>
      </c>
      <c r="B41" t="s">
        <v>7</v>
      </c>
      <c r="C41">
        <v>1</v>
      </c>
      <c r="D41" s="63" cm="1">
        <f t="array" ref="D4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1" s="63">
        <v>795</v>
      </c>
      <c r="F4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1" s="48" t="s">
        <v>80</v>
      </c>
      <c r="J41" s="54" cm="1">
        <f t="array" ref="J41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1" s="54" cm="1">
        <f t="array" ref="K41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1" s="54" cm="1">
        <f t="array" ref="L4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1" s="55">
        <f t="shared" si="1"/>
        <v>0</v>
      </c>
      <c r="T41" s="38" t="s">
        <v>99</v>
      </c>
      <c r="U41">
        <v>1600</v>
      </c>
      <c r="V41" s="39"/>
    </row>
    <row r="42" spans="1:22" x14ac:dyDescent="0.25">
      <c r="A42" s="59">
        <v>45679</v>
      </c>
      <c r="B42" t="s">
        <v>7</v>
      </c>
      <c r="C42">
        <v>1</v>
      </c>
      <c r="D42" s="63" cm="1">
        <f t="array" ref="D4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2" s="63">
        <v>795</v>
      </c>
      <c r="F4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2" s="52" t="s">
        <v>92</v>
      </c>
      <c r="J42" s="56">
        <f>SUM(J30:J41)</f>
        <v>60</v>
      </c>
      <c r="K42" s="56">
        <f t="shared" ref="K42:L42" si="2">SUM(K30:K41)</f>
        <v>24</v>
      </c>
      <c r="L42" s="56">
        <f t="shared" si="2"/>
        <v>2</v>
      </c>
      <c r="M42" s="57">
        <f>SUM(J42:L42)</f>
        <v>86</v>
      </c>
      <c r="T42" s="38" t="s">
        <v>53</v>
      </c>
      <c r="U42">
        <v>1260</v>
      </c>
      <c r="V42" s="39"/>
    </row>
    <row r="43" spans="1:22" x14ac:dyDescent="0.25">
      <c r="A43" s="59">
        <v>45680</v>
      </c>
      <c r="B43" t="s">
        <v>8</v>
      </c>
      <c r="C43">
        <v>2</v>
      </c>
      <c r="D43" s="63" cm="1">
        <f t="array" ref="D4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43" s="63">
        <v>1100</v>
      </c>
      <c r="F4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T43" s="41" t="s">
        <v>55</v>
      </c>
      <c r="U43" s="21">
        <v>5000</v>
      </c>
      <c r="V43" s="42"/>
    </row>
    <row r="44" spans="1:22" x14ac:dyDescent="0.25">
      <c r="A44" s="59">
        <v>45681</v>
      </c>
      <c r="B44" t="s">
        <v>7</v>
      </c>
      <c r="C44">
        <v>1</v>
      </c>
      <c r="D44" s="63" cm="1">
        <f t="array" ref="D4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4" s="63">
        <v>795</v>
      </c>
      <c r="F4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45" spans="1:22" ht="15.75" x14ac:dyDescent="0.25">
      <c r="A45" s="59">
        <v>45684</v>
      </c>
      <c r="B45" t="s">
        <v>93</v>
      </c>
      <c r="C45">
        <v>0</v>
      </c>
      <c r="D45" s="63" cm="1">
        <f t="array" ref="D4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5" s="63">
        <v>0</v>
      </c>
      <c r="F4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5" s="53" t="s">
        <v>100</v>
      </c>
    </row>
    <row r="46" spans="1:22" x14ac:dyDescent="0.25">
      <c r="A46" s="59">
        <v>45685</v>
      </c>
      <c r="B46" t="s">
        <v>7</v>
      </c>
      <c r="C46">
        <v>2</v>
      </c>
      <c r="D46" s="63" cm="1">
        <f t="array" ref="D4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46" s="63">
        <v>795</v>
      </c>
      <c r="F4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22" x14ac:dyDescent="0.25">
      <c r="A47" s="59">
        <v>45686</v>
      </c>
      <c r="B47" t="s">
        <v>7</v>
      </c>
      <c r="C47">
        <v>1</v>
      </c>
      <c r="D47" s="63" cm="1">
        <f t="array" ref="D4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7" s="63">
        <v>795</v>
      </c>
      <c r="F4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7" s="48" t="s">
        <v>22</v>
      </c>
      <c r="J47" s="58" cm="1">
        <f t="array" ref="J47">IFERROR(J30/SUMPRODUCT(IF(TEXT(_xlfn.UNIQUE(Продажи_Новак[Дата]),"ММММ")=$I47,1,0)),"")</f>
        <v>0.58823529411764708</v>
      </c>
      <c r="K47" s="58" cm="1">
        <f t="array" ref="K47">IFERROR(K30/SUMPRODUCT(IF(TEXT(_xlfn.UNIQUE(Продажи_Новак[Дата]),"ММММ")=$I47,1,0)),"")</f>
        <v>0.52941176470588236</v>
      </c>
      <c r="L47" s="58" cm="1">
        <f t="array" ref="L47">IFERROR(L30/SUMPRODUCT(IF(TEXT(_xlfn.UNIQUE(Продажи_Новак[Дата]),"ММММ")=$I47,1,0)),"")</f>
        <v>0</v>
      </c>
      <c r="M47" s="62" cm="1">
        <f t="array" ref="M47">IFERROR(M30/SUMPRODUCT(IF(TEXT(_xlfn.UNIQUE(Продажи_Новак[Дата]),"ММММ")=$I47,1,0)),"")</f>
        <v>1.1176470588235294</v>
      </c>
    </row>
    <row r="48" spans="1:22" x14ac:dyDescent="0.25">
      <c r="A48" s="59">
        <v>45687</v>
      </c>
      <c r="B48" t="s">
        <v>7</v>
      </c>
      <c r="C48">
        <v>1</v>
      </c>
      <c r="D48" s="63" cm="1">
        <f t="array" ref="D4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8" s="63">
        <v>795</v>
      </c>
      <c r="F4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8" s="48" t="s">
        <v>23</v>
      </c>
      <c r="J48" s="58" cm="1">
        <f t="array" ref="J48">IFERROR(J31/SUMPRODUCT(IF(TEXT(_xlfn.UNIQUE(Продажи_Новак[Дата]),"ММММ")=$I48,1,0)),"")</f>
        <v>1.1499999999999999</v>
      </c>
      <c r="K48" s="58" cm="1">
        <f t="array" ref="K48">IFERROR(K31/SUMPRODUCT(IF(TEXT(_xlfn.UNIQUE(Продажи_Новак[Дата]),"ММММ")=$I48,1,0)),"")</f>
        <v>0.3</v>
      </c>
      <c r="L48" s="58" cm="1">
        <f t="array" ref="L48">IFERROR(L31/SUMPRODUCT(IF(TEXT(_xlfn.UNIQUE(Продажи_Новак[Дата]),"ММММ")=$I48,1,0)),"")</f>
        <v>0</v>
      </c>
      <c r="M48" s="61" cm="1">
        <f t="array" ref="M48">IFERROR(M31/SUMPRODUCT(IF(TEXT(_xlfn.UNIQUE(Продажи_Новак[Дата]),"ММММ")=$I48,1,0)),"")</f>
        <v>1.45</v>
      </c>
    </row>
    <row r="49" spans="1:13" x14ac:dyDescent="0.25">
      <c r="A49" s="59">
        <v>45688</v>
      </c>
      <c r="B49" t="s">
        <v>93</v>
      </c>
      <c r="C49">
        <v>0</v>
      </c>
      <c r="D49" s="63" cm="1">
        <f t="array" ref="D4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9" s="63">
        <v>0</v>
      </c>
      <c r="F4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9" s="48" t="s">
        <v>67</v>
      </c>
      <c r="J49" s="58" cm="1">
        <f t="array" ref="J49">IFERROR(J32/SUMPRODUCT(IF(TEXT(_xlfn.UNIQUE(Продажи_Новак[Дата]),"ММММ")=$I49,1,0)),"")</f>
        <v>1.6875</v>
      </c>
      <c r="K49" s="58" cm="1">
        <f t="array" ref="K49">IFERROR(K32/SUMPRODUCT(IF(TEXT(_xlfn.UNIQUE(Продажи_Новак[Дата]),"ММММ")=$I49,1,0)),"")</f>
        <v>0.5625</v>
      </c>
      <c r="L49" s="58" cm="1">
        <f t="array" ref="L49">IFERROR(L32/SUMPRODUCT(IF(TEXT(_xlfn.UNIQUE(Продажи_Новак[Дата]),"ММММ")=$I49,1,0)),"")</f>
        <v>0.125</v>
      </c>
      <c r="M49" s="61" cm="1">
        <f t="array" ref="M49">IFERROR(M32/SUMPRODUCT(IF(TEXT(_xlfn.UNIQUE(Продажи_Новак[Дата]),"ММММ")=$I49,1,0)),"")</f>
        <v>2.375</v>
      </c>
    </row>
    <row r="50" spans="1:13" x14ac:dyDescent="0.25">
      <c r="A50" s="59">
        <v>45691</v>
      </c>
      <c r="B50" t="s">
        <v>93</v>
      </c>
      <c r="C50">
        <v>0</v>
      </c>
      <c r="D50" s="63" cm="1">
        <f t="array" ref="D5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0" s="63">
        <v>0</v>
      </c>
      <c r="F5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0" s="48" t="s">
        <v>68</v>
      </c>
      <c r="J50" s="58" t="str" cm="1">
        <f t="array" ref="J50">IFERROR(J33/SUMPRODUCT(IF(TEXT(_xlfn.UNIQUE(Продажи_Новак[Дата]),"ММММ")=$I50,1,0)),"")</f>
        <v/>
      </c>
      <c r="K50" s="58" t="str" cm="1">
        <f t="array" ref="K50">IFERROR(K33/SUMPRODUCT(IF(TEXT(_xlfn.UNIQUE(Продажи_Новак[Дата]),"ММММ")=$I50,1,0)),"")</f>
        <v/>
      </c>
      <c r="L50" s="58" t="str" cm="1">
        <f t="array" ref="L50">IFERROR(L33/SUMPRODUCT(IF(TEXT(_xlfn.UNIQUE(Продажи_Новак[Дата]),"ММММ")=$I50,1,0)),"")</f>
        <v/>
      </c>
      <c r="M50" s="61" t="str" cm="1">
        <f t="array" ref="M50">IFERROR(M33/SUMPRODUCT(IF(TEXT(_xlfn.UNIQUE(Продажи_Новак[Дата]),"ММММ")=$I50,1,0)),"")</f>
        <v/>
      </c>
    </row>
    <row r="51" spans="1:13" x14ac:dyDescent="0.25">
      <c r="A51" s="59">
        <v>45692</v>
      </c>
      <c r="B51" t="s">
        <v>7</v>
      </c>
      <c r="C51">
        <v>1</v>
      </c>
      <c r="D51" s="63" cm="1">
        <f t="array" ref="D5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1" s="63">
        <v>795</v>
      </c>
      <c r="F5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1" s="48" t="s">
        <v>69</v>
      </c>
      <c r="J51" s="58" t="str" cm="1">
        <f t="array" ref="J51">IFERROR(J34/SUMPRODUCT(IF(TEXT(_xlfn.UNIQUE(Продажи_Новак[Дата]),"ММММ")=$I51,1,0)),"")</f>
        <v/>
      </c>
      <c r="K51" s="58" t="str" cm="1">
        <f t="array" ref="K51">IFERROR(K34/SUMPRODUCT(IF(TEXT(_xlfn.UNIQUE(Продажи_Новак[Дата]),"ММММ")=$I51,1,0)),"")</f>
        <v/>
      </c>
      <c r="L51" s="58" t="str" cm="1">
        <f t="array" ref="L51">IFERROR(L34/SUMPRODUCT(IF(TEXT(_xlfn.UNIQUE(Продажи_Новак[Дата]),"ММММ")=$I51,1,0)),"")</f>
        <v/>
      </c>
      <c r="M51" s="61" t="str" cm="1">
        <f t="array" ref="M51">IFERROR(M34/SUMPRODUCT(IF(TEXT(_xlfn.UNIQUE(Продажи_Новак[Дата]),"ММММ")=$I51,1,0)),"")</f>
        <v/>
      </c>
    </row>
    <row r="52" spans="1:13" x14ac:dyDescent="0.25">
      <c r="A52" s="59">
        <v>45693</v>
      </c>
      <c r="B52" t="s">
        <v>7</v>
      </c>
      <c r="C52">
        <v>1</v>
      </c>
      <c r="D52" s="63" cm="1">
        <f t="array" ref="D5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2" s="63">
        <v>795</v>
      </c>
      <c r="F5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2" s="48" t="s">
        <v>70</v>
      </c>
      <c r="J52" s="58" t="str" cm="1">
        <f t="array" ref="J52">IFERROR(J35/SUMPRODUCT(IF(TEXT(_xlfn.UNIQUE(Продажи_Новак[Дата]),"ММММ")=$I52,1,0)),"")</f>
        <v/>
      </c>
      <c r="K52" s="58" t="str" cm="1">
        <f t="array" ref="K52">IFERROR(K35/SUMPRODUCT(IF(TEXT(_xlfn.UNIQUE(Продажи_Новак[Дата]),"ММММ")=$I52,1,0)),"")</f>
        <v/>
      </c>
      <c r="L52" s="58" t="str" cm="1">
        <f t="array" ref="L52">IFERROR(L35/SUMPRODUCT(IF(TEXT(_xlfn.UNIQUE(Продажи_Новак[Дата]),"ММММ")=$I52,1,0)),"")</f>
        <v/>
      </c>
      <c r="M52" s="61" t="str" cm="1">
        <f t="array" ref="M52">IFERROR(M35/SUMPRODUCT(IF(TEXT(_xlfn.UNIQUE(Продажи_Новак[Дата]),"ММММ")=$I52,1,0)),"")</f>
        <v/>
      </c>
    </row>
    <row r="53" spans="1:13" x14ac:dyDescent="0.25">
      <c r="A53" s="59">
        <v>45694</v>
      </c>
      <c r="B53" t="s">
        <v>7</v>
      </c>
      <c r="C53">
        <v>2</v>
      </c>
      <c r="D53" s="63" cm="1">
        <f t="array" ref="D5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3" s="63">
        <v>795</v>
      </c>
      <c r="F5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3" s="48" t="s">
        <v>71</v>
      </c>
      <c r="J53" s="58" t="str" cm="1">
        <f t="array" ref="J53">IFERROR(J36/SUMPRODUCT(IF(TEXT(_xlfn.UNIQUE(Продажи_Новак[Дата]),"ММММ")=$I53,1,0)),"")</f>
        <v/>
      </c>
      <c r="K53" s="58" t="str" cm="1">
        <f t="array" ref="K53">IFERROR(K36/SUMPRODUCT(IF(TEXT(_xlfn.UNIQUE(Продажи_Новак[Дата]),"ММММ")=$I53,1,0)),"")</f>
        <v/>
      </c>
      <c r="L53" s="58" t="str" cm="1">
        <f t="array" ref="L53">IFERROR(L36/SUMPRODUCT(IF(TEXT(_xlfn.UNIQUE(Продажи_Новак[Дата]),"ММММ")=$I53,1,0)),"")</f>
        <v/>
      </c>
      <c r="M53" s="61" t="str" cm="1">
        <f t="array" ref="M53">IFERROR(M36/SUMPRODUCT(IF(TEXT(_xlfn.UNIQUE(Продажи_Новак[Дата]),"ММММ")=$I53,1,0)),"")</f>
        <v/>
      </c>
    </row>
    <row r="54" spans="1:13" x14ac:dyDescent="0.25">
      <c r="A54" s="59">
        <v>45694</v>
      </c>
      <c r="B54" t="s">
        <v>8</v>
      </c>
      <c r="C54">
        <v>2</v>
      </c>
      <c r="D54" s="63" cm="1">
        <f t="array" ref="D5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54" s="63">
        <v>1100</v>
      </c>
      <c r="F5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54" s="48" t="s">
        <v>72</v>
      </c>
      <c r="J54" s="58" t="str" cm="1">
        <f t="array" ref="J54">IFERROR(J37/SUMPRODUCT(IF(TEXT(_xlfn.UNIQUE(Продажи_Новак[Дата]),"ММММ")=$I54,1,0)),"")</f>
        <v/>
      </c>
      <c r="K54" s="58" t="str" cm="1">
        <f t="array" ref="K54">IFERROR(K37/SUMPRODUCT(IF(TEXT(_xlfn.UNIQUE(Продажи_Новак[Дата]),"ММММ")=$I54,1,0)),"")</f>
        <v/>
      </c>
      <c r="L54" s="58" t="str" cm="1">
        <f t="array" ref="L54">IFERROR(L37/SUMPRODUCT(IF(TEXT(_xlfn.UNIQUE(Продажи_Новак[Дата]),"ММММ")=$I54,1,0)),"")</f>
        <v/>
      </c>
      <c r="M54" s="61" t="str" cm="1">
        <f t="array" ref="M54">IFERROR(M37/SUMPRODUCT(IF(TEXT(_xlfn.UNIQUE(Продажи_Новак[Дата]),"ММММ")=$I54,1,0)),"")</f>
        <v/>
      </c>
    </row>
    <row r="55" spans="1:13" x14ac:dyDescent="0.25">
      <c r="A55" s="59">
        <v>45695</v>
      </c>
      <c r="B55" t="s">
        <v>93</v>
      </c>
      <c r="C55">
        <v>0</v>
      </c>
      <c r="D55" s="63" cm="1">
        <f t="array" ref="D5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5" s="63">
        <v>0</v>
      </c>
      <c r="F5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5" s="48" t="s">
        <v>76</v>
      </c>
      <c r="J55" s="58" t="str" cm="1">
        <f t="array" ref="J55">IFERROR(J38/SUMPRODUCT(IF(TEXT(_xlfn.UNIQUE(Продажи_Новак[Дата]),"ММММ")=$I55,1,0)),"")</f>
        <v/>
      </c>
      <c r="K55" s="58" t="str" cm="1">
        <f t="array" ref="K55">IFERROR(K38/SUMPRODUCT(IF(TEXT(_xlfn.UNIQUE(Продажи_Новак[Дата]),"ММММ")=$I55,1,0)),"")</f>
        <v/>
      </c>
      <c r="L55" s="58" t="str" cm="1">
        <f t="array" ref="L55">IFERROR(L38/SUMPRODUCT(IF(TEXT(_xlfn.UNIQUE(Продажи_Новак[Дата]),"ММММ")=$I55,1,0)),"")</f>
        <v/>
      </c>
      <c r="M55" s="61" t="str" cm="1">
        <f t="array" ref="M55">IFERROR(M38/SUMPRODUCT(IF(TEXT(_xlfn.UNIQUE(Продажи_Новак[Дата]),"ММММ")=$I55,1,0)),"")</f>
        <v/>
      </c>
    </row>
    <row r="56" spans="1:13" x14ac:dyDescent="0.25">
      <c r="A56" s="59">
        <v>45698</v>
      </c>
      <c r="B56" t="s">
        <v>7</v>
      </c>
      <c r="C56">
        <v>1</v>
      </c>
      <c r="D56" s="63" cm="1">
        <f t="array" ref="D5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6" s="63">
        <v>795</v>
      </c>
      <c r="F5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6" s="48" t="s">
        <v>78</v>
      </c>
      <c r="J56" s="58" t="str" cm="1">
        <f t="array" ref="J56">IFERROR(J39/SUMPRODUCT(IF(TEXT(_xlfn.UNIQUE(Продажи_Новак[Дата]),"ММММ")=$I56,1,0)),"")</f>
        <v/>
      </c>
      <c r="K56" s="58" t="str" cm="1">
        <f t="array" ref="K56">IFERROR(K39/SUMPRODUCT(IF(TEXT(_xlfn.UNIQUE(Продажи_Новак[Дата]),"ММММ")=$I56,1,0)),"")</f>
        <v/>
      </c>
      <c r="L56" s="58" t="str" cm="1">
        <f t="array" ref="L56">IFERROR(L39/SUMPRODUCT(IF(TEXT(_xlfn.UNIQUE(Продажи_Новак[Дата]),"ММММ")=$I56,1,0)),"")</f>
        <v/>
      </c>
      <c r="M56" s="61" t="str" cm="1">
        <f t="array" ref="M56">IFERROR(M39/SUMPRODUCT(IF(TEXT(_xlfn.UNIQUE(Продажи_Новак[Дата]),"ММММ")=$I56,1,0)),"")</f>
        <v/>
      </c>
    </row>
    <row r="57" spans="1:13" x14ac:dyDescent="0.25">
      <c r="A57" s="59">
        <v>45699</v>
      </c>
      <c r="B57" t="s">
        <v>7</v>
      </c>
      <c r="C57">
        <v>1</v>
      </c>
      <c r="D57" s="63" cm="1">
        <f t="array" ref="D5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7" s="63">
        <v>795</v>
      </c>
      <c r="F5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7" s="48" t="s">
        <v>79</v>
      </c>
      <c r="J57" s="58" t="str" cm="1">
        <f t="array" ref="J57">IFERROR(J40/SUMPRODUCT(IF(TEXT(_xlfn.UNIQUE(Продажи_Новак[Дата]),"ММММ")=$I57,1,0)),"")</f>
        <v/>
      </c>
      <c r="K57" s="58" t="str" cm="1">
        <f t="array" ref="K57">IFERROR(K40/SUMPRODUCT(IF(TEXT(_xlfn.UNIQUE(Продажи_Новак[Дата]),"ММММ")=$I57,1,0)),"")</f>
        <v/>
      </c>
      <c r="L57" s="58" t="str" cm="1">
        <f t="array" ref="L57">IFERROR(L40/SUMPRODUCT(IF(TEXT(_xlfn.UNIQUE(Продажи_Новак[Дата]),"ММММ")=$I57,1,0)),"")</f>
        <v/>
      </c>
      <c r="M57" s="61" t="str" cm="1">
        <f t="array" ref="M57">IFERROR(M40/SUMPRODUCT(IF(TEXT(_xlfn.UNIQUE(Продажи_Новак[Дата]),"ММММ")=$I57,1,0)),"")</f>
        <v/>
      </c>
    </row>
    <row r="58" spans="1:13" x14ac:dyDescent="0.25">
      <c r="A58" s="59">
        <v>45699</v>
      </c>
      <c r="B58" t="s">
        <v>8</v>
      </c>
      <c r="C58">
        <v>1</v>
      </c>
      <c r="D58" s="63" cm="1">
        <f t="array" ref="D5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58" s="63">
        <v>1100</v>
      </c>
      <c r="F5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58" s="48" t="s">
        <v>80</v>
      </c>
      <c r="J58" s="58" t="str" cm="1">
        <f t="array" ref="J58">IFERROR(J41/SUMPRODUCT(IF(TEXT(_xlfn.UNIQUE(Продажи_Новак[Дата]),"ММММ")=$I58,1,0)),"")</f>
        <v/>
      </c>
      <c r="K58" s="58" t="str" cm="1">
        <f t="array" ref="K58">IFERROR(K41/SUMPRODUCT(IF(TEXT(_xlfn.UNIQUE(Продажи_Новак[Дата]),"ММММ")=$I58,1,0)),"")</f>
        <v/>
      </c>
      <c r="L58" s="58" t="str" cm="1">
        <f t="array" ref="L58">IFERROR(L41/SUMPRODUCT(IF(TEXT(_xlfn.UNIQUE(Продажи_Новак[Дата]),"ММММ")=$I58,1,0)),"")</f>
        <v/>
      </c>
      <c r="M58" s="61" t="str" cm="1">
        <f t="array" ref="M58">IFERROR(M41/SUMPRODUCT(IF(TEXT(_xlfn.UNIQUE(Продажи_Новак[Дата]),"ММММ")=$I58,1,0)),"")</f>
        <v/>
      </c>
    </row>
    <row r="59" spans="1:13" x14ac:dyDescent="0.25">
      <c r="A59" s="59">
        <v>45700</v>
      </c>
      <c r="B59" t="s">
        <v>7</v>
      </c>
      <c r="C59">
        <v>2</v>
      </c>
      <c r="D59" s="63" cm="1">
        <f t="array" ref="D5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9" s="63">
        <v>795</v>
      </c>
      <c r="F5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9" s="52" t="s">
        <v>92</v>
      </c>
      <c r="J59" s="60">
        <f>J42/COUNT(_xlfn.UNIQUE(Продажи_Новак[Дата]))</f>
        <v>1.1320754716981132</v>
      </c>
      <c r="K59" s="60">
        <f>K42/COUNT(_xlfn.UNIQUE(Продажи_Новак[Дата]))</f>
        <v>0.45283018867924529</v>
      </c>
      <c r="L59" s="60" t="str" cm="1">
        <f t="array" ref="L59">IFERROR(L42/SUMPRODUCT(IF(TEXT(_xlfn.UNIQUE(Продажи_Новак[Дата]),"ММММ")=$I59,1,0)),"")</f>
        <v/>
      </c>
      <c r="M59" s="60">
        <f>M42/COUNT(_xlfn.UNIQUE(Продажи_Новак[Дата]))</f>
        <v>1.6226415094339623</v>
      </c>
    </row>
    <row r="60" spans="1:13" x14ac:dyDescent="0.25">
      <c r="A60" s="59">
        <v>45701</v>
      </c>
      <c r="B60" t="s">
        <v>7</v>
      </c>
      <c r="C60">
        <v>1</v>
      </c>
      <c r="D60" s="63" cm="1">
        <f t="array" ref="D6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0" s="63">
        <v>795</v>
      </c>
      <c r="F6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1" spans="1:13" x14ac:dyDescent="0.25">
      <c r="A61" s="59">
        <v>45702</v>
      </c>
      <c r="B61" t="s">
        <v>7</v>
      </c>
      <c r="C61">
        <v>1</v>
      </c>
      <c r="D61" s="63" cm="1">
        <f t="array" ref="D6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1" s="63">
        <v>795</v>
      </c>
      <c r="F6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2" spans="1:13" x14ac:dyDescent="0.25">
      <c r="A62" s="59">
        <v>45705</v>
      </c>
      <c r="B62" t="s">
        <v>7</v>
      </c>
      <c r="C62">
        <v>1</v>
      </c>
      <c r="D62" s="63" cm="1">
        <f t="array" ref="D6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2" s="63">
        <v>795</v>
      </c>
      <c r="F6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3" spans="1:13" x14ac:dyDescent="0.25">
      <c r="A63" s="59">
        <v>45705</v>
      </c>
      <c r="B63" t="s">
        <v>8</v>
      </c>
      <c r="C63">
        <v>1</v>
      </c>
      <c r="D63" s="63" cm="1">
        <f t="array" ref="D6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3" s="63">
        <v>1100</v>
      </c>
      <c r="F6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4" spans="1:13" x14ac:dyDescent="0.25">
      <c r="A64" s="59">
        <v>45706</v>
      </c>
      <c r="B64" t="s">
        <v>7</v>
      </c>
      <c r="C64">
        <v>2</v>
      </c>
      <c r="D64" s="63" cm="1">
        <f t="array" ref="D6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4" s="63">
        <v>795</v>
      </c>
      <c r="F6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5" spans="1:6" x14ac:dyDescent="0.25">
      <c r="A65" s="59">
        <v>45706</v>
      </c>
      <c r="B65" t="s">
        <v>8</v>
      </c>
      <c r="C65">
        <v>1</v>
      </c>
      <c r="D65" s="63" cm="1">
        <f t="array" ref="D6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5" s="63">
        <v>1100</v>
      </c>
      <c r="F6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6" spans="1:6" x14ac:dyDescent="0.25">
      <c r="A66" s="59">
        <v>45707</v>
      </c>
      <c r="B66" t="s">
        <v>7</v>
      </c>
      <c r="C66">
        <v>1</v>
      </c>
      <c r="D66" s="63" cm="1">
        <f t="array" ref="D6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6" s="63">
        <v>795</v>
      </c>
      <c r="F6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7" spans="1:6" x14ac:dyDescent="0.25">
      <c r="A67" s="59">
        <v>45708</v>
      </c>
      <c r="B67" t="s">
        <v>7</v>
      </c>
      <c r="C67">
        <v>1</v>
      </c>
      <c r="D67" s="63" cm="1">
        <f t="array" ref="D6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7" s="63">
        <v>795</v>
      </c>
      <c r="F6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8" spans="1:6" x14ac:dyDescent="0.25">
      <c r="A68" s="59">
        <v>45709</v>
      </c>
      <c r="B68" t="s">
        <v>7</v>
      </c>
      <c r="C68">
        <v>2</v>
      </c>
      <c r="D68" s="63" cm="1">
        <f t="array" ref="D6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8" s="63">
        <v>795</v>
      </c>
      <c r="F6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9" spans="1:6" x14ac:dyDescent="0.25">
      <c r="A69" s="59">
        <v>45712</v>
      </c>
      <c r="B69" t="s">
        <v>93</v>
      </c>
      <c r="C69">
        <v>0</v>
      </c>
      <c r="D69" s="63" cm="1">
        <f t="array" ref="D6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69" s="63">
        <v>0</v>
      </c>
      <c r="F6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0" spans="1:6" x14ac:dyDescent="0.25">
      <c r="A70" s="59">
        <v>45713</v>
      </c>
      <c r="B70" t="s">
        <v>7</v>
      </c>
      <c r="C70">
        <v>2</v>
      </c>
      <c r="D70" s="63" cm="1">
        <f t="array" ref="D7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70" s="63">
        <v>795</v>
      </c>
      <c r="F7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71" spans="1:6" x14ac:dyDescent="0.25">
      <c r="A71" s="59">
        <v>45714</v>
      </c>
      <c r="B71" t="s">
        <v>7</v>
      </c>
      <c r="C71">
        <v>1</v>
      </c>
      <c r="D71" s="63" cm="1">
        <f t="array" ref="D7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1" s="63">
        <v>795</v>
      </c>
      <c r="F7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2" spans="1:6" x14ac:dyDescent="0.25">
      <c r="A72" s="59">
        <v>45714</v>
      </c>
      <c r="B72" t="s">
        <v>8</v>
      </c>
      <c r="C72">
        <v>1</v>
      </c>
      <c r="D72" s="63" cm="1">
        <f t="array" ref="D7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2" s="63">
        <v>1100</v>
      </c>
      <c r="F7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3" spans="1:6" x14ac:dyDescent="0.25">
      <c r="A73" s="59">
        <v>45715</v>
      </c>
      <c r="B73" t="s">
        <v>7</v>
      </c>
      <c r="C73">
        <v>3</v>
      </c>
      <c r="D73" s="63" cm="1">
        <f t="array" ref="D7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3" s="63">
        <v>795</v>
      </c>
      <c r="F7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4" spans="1:6" x14ac:dyDescent="0.25">
      <c r="A74" s="59">
        <v>45716</v>
      </c>
      <c r="B74" t="s">
        <v>93</v>
      </c>
      <c r="C74">
        <v>0</v>
      </c>
      <c r="D74" s="63" cm="1">
        <f t="array" ref="D7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74" s="63">
        <v>0</v>
      </c>
      <c r="F7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5" spans="1:6" x14ac:dyDescent="0.25">
      <c r="A75" s="59">
        <v>45719</v>
      </c>
      <c r="B75" t="s">
        <v>8</v>
      </c>
      <c r="C75">
        <v>1</v>
      </c>
      <c r="D75" s="63" cm="1">
        <f t="array" ref="D7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5" s="63">
        <v>1100</v>
      </c>
      <c r="F7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6" spans="1:6" x14ac:dyDescent="0.25">
      <c r="A76" s="59">
        <v>45720</v>
      </c>
      <c r="B76" t="s">
        <v>8</v>
      </c>
      <c r="C76">
        <v>3</v>
      </c>
      <c r="D76" s="63" cm="1">
        <f t="array" ref="D7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6900</v>
      </c>
      <c r="E76" s="63">
        <v>1100</v>
      </c>
      <c r="F7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3392.7</v>
      </c>
    </row>
    <row r="77" spans="1:6" x14ac:dyDescent="0.25">
      <c r="A77" s="59">
        <v>45720</v>
      </c>
      <c r="B77" t="s">
        <v>7</v>
      </c>
      <c r="C77">
        <v>3</v>
      </c>
      <c r="D77" s="63" cm="1">
        <f t="array" ref="D7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7" s="63">
        <v>795</v>
      </c>
      <c r="F7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8" spans="1:6" x14ac:dyDescent="0.25">
      <c r="A78" s="59">
        <v>45721</v>
      </c>
      <c r="B78" t="s">
        <v>7</v>
      </c>
      <c r="C78">
        <v>1</v>
      </c>
      <c r="D78" s="63" cm="1">
        <f t="array" ref="D7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8" s="63">
        <v>795</v>
      </c>
      <c r="F7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9" spans="1:6" x14ac:dyDescent="0.25">
      <c r="A79" s="59">
        <v>45722</v>
      </c>
      <c r="B79" t="s">
        <v>7</v>
      </c>
      <c r="C79">
        <v>1</v>
      </c>
      <c r="D79" s="63" cm="1">
        <f t="array" ref="D7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9" s="63">
        <v>795</v>
      </c>
      <c r="F7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0" spans="1:6" x14ac:dyDescent="0.25">
      <c r="A80" s="59">
        <v>45722</v>
      </c>
      <c r="B80" t="s">
        <v>8</v>
      </c>
      <c r="C80">
        <v>1</v>
      </c>
      <c r="D80" s="63" cm="1">
        <f t="array" ref="D8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0" s="63">
        <v>1100</v>
      </c>
      <c r="F8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1" spans="1:6" x14ac:dyDescent="0.25">
      <c r="A81" s="59">
        <v>45723</v>
      </c>
      <c r="B81" t="s">
        <v>7</v>
      </c>
      <c r="C81">
        <v>3</v>
      </c>
      <c r="D81" s="63" cm="1">
        <f t="array" ref="D8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1" s="63">
        <v>795</v>
      </c>
      <c r="F8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2" spans="1:6" x14ac:dyDescent="0.25">
      <c r="A82" s="59">
        <v>45726</v>
      </c>
      <c r="B82" t="s">
        <v>7</v>
      </c>
      <c r="C82">
        <v>1</v>
      </c>
      <c r="D82" s="63" cm="1">
        <f t="array" ref="D8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2" s="63">
        <v>795</v>
      </c>
      <c r="F8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3" spans="1:6" x14ac:dyDescent="0.25">
      <c r="A83" s="59">
        <v>45726</v>
      </c>
      <c r="B83" t="s">
        <v>8</v>
      </c>
      <c r="C83">
        <v>1</v>
      </c>
      <c r="D83" s="63" cm="1">
        <f t="array" ref="D8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3" s="63">
        <v>1100</v>
      </c>
      <c r="F8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4" spans="1:6" x14ac:dyDescent="0.25">
      <c r="A84" s="59">
        <v>45727</v>
      </c>
      <c r="B84" t="s">
        <v>7</v>
      </c>
      <c r="C84">
        <v>2</v>
      </c>
      <c r="D84" s="63" cm="1">
        <f t="array" ref="D8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84" s="63">
        <v>795</v>
      </c>
      <c r="F8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85" spans="1:6" x14ac:dyDescent="0.25">
      <c r="A85" s="59">
        <v>45728</v>
      </c>
      <c r="B85" t="s">
        <v>7</v>
      </c>
      <c r="C85">
        <v>1</v>
      </c>
      <c r="D85" s="63" cm="1">
        <f t="array" ref="D8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5" s="63">
        <v>795</v>
      </c>
      <c r="F8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6" spans="1:6" x14ac:dyDescent="0.25">
      <c r="A86" s="59">
        <v>45729</v>
      </c>
      <c r="B86" t="s">
        <v>7</v>
      </c>
      <c r="C86">
        <v>1</v>
      </c>
      <c r="D86" s="63" cm="1">
        <f t="array" ref="D8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6" s="63">
        <v>795</v>
      </c>
      <c r="F8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7" spans="1:6" x14ac:dyDescent="0.25">
      <c r="A87" s="59">
        <v>45730</v>
      </c>
      <c r="B87" t="s">
        <v>7</v>
      </c>
      <c r="C87">
        <v>3</v>
      </c>
      <c r="D87" s="63" cm="1">
        <f t="array" ref="D8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7" s="63">
        <v>795</v>
      </c>
      <c r="F8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8" spans="1:6" x14ac:dyDescent="0.25">
      <c r="A88" s="59">
        <v>45730</v>
      </c>
      <c r="B88" t="s">
        <v>8</v>
      </c>
      <c r="C88">
        <v>1</v>
      </c>
      <c r="D88" s="63" cm="1">
        <f t="array" ref="D8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8" s="63">
        <v>1100</v>
      </c>
      <c r="F8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9" spans="1:6" x14ac:dyDescent="0.25">
      <c r="A89" s="59">
        <v>45733</v>
      </c>
      <c r="B89" t="s">
        <v>7</v>
      </c>
      <c r="C89">
        <v>1</v>
      </c>
      <c r="D89" s="63" cm="1">
        <f t="array" ref="D8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9" s="63">
        <v>795</v>
      </c>
      <c r="F8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0" spans="1:6" x14ac:dyDescent="0.25">
      <c r="A90" s="59">
        <v>45733</v>
      </c>
      <c r="B90" s="2" t="s">
        <v>125</v>
      </c>
      <c r="C90">
        <v>1</v>
      </c>
      <c r="D90" s="63" cm="1">
        <f t="array" ref="D9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0" s="63">
        <v>1340</v>
      </c>
      <c r="F9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1" spans="1:6" x14ac:dyDescent="0.25">
      <c r="A91" s="59">
        <v>45734</v>
      </c>
      <c r="B91" t="s">
        <v>125</v>
      </c>
      <c r="C91">
        <v>1</v>
      </c>
      <c r="D91" s="63" cm="1">
        <f t="array" ref="D9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1" s="63">
        <v>1340</v>
      </c>
      <c r="F9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2" spans="1:6" x14ac:dyDescent="0.25">
      <c r="A92" s="59">
        <v>45734</v>
      </c>
      <c r="B92" t="s">
        <v>7</v>
      </c>
      <c r="C92">
        <v>1</v>
      </c>
      <c r="D92" s="63" cm="1">
        <f t="array" ref="D9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92" s="63">
        <v>795</v>
      </c>
      <c r="F9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3" spans="1:6" x14ac:dyDescent="0.25">
      <c r="A93" s="59">
        <v>45734</v>
      </c>
      <c r="B93" t="s">
        <v>8</v>
      </c>
      <c r="C93">
        <v>1</v>
      </c>
      <c r="D93" s="63" cm="1">
        <f t="array" ref="D9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93" s="63">
        <v>1100</v>
      </c>
      <c r="F9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94" spans="1:6" x14ac:dyDescent="0.25">
      <c r="A94" s="59">
        <v>45735</v>
      </c>
      <c r="B94" t="s">
        <v>7</v>
      </c>
      <c r="C94">
        <v>4</v>
      </c>
      <c r="D94" s="63" cm="1">
        <f t="array" ref="D9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8000</v>
      </c>
      <c r="E94" s="63">
        <v>795</v>
      </c>
      <c r="F9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4576</v>
      </c>
    </row>
    <row r="95" spans="1:6" x14ac:dyDescent="0.25">
      <c r="A95" s="59">
        <v>45736</v>
      </c>
      <c r="B95" t="s">
        <v>93</v>
      </c>
      <c r="C95">
        <v>0</v>
      </c>
      <c r="D95" s="63" cm="1">
        <f t="array" ref="D9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95" s="63">
        <v>0</v>
      </c>
      <c r="F9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96" spans="1:6" x14ac:dyDescent="0.25">
      <c r="A96" s="59">
        <v>45737</v>
      </c>
      <c r="B96" t="s">
        <v>7</v>
      </c>
      <c r="C96">
        <v>3</v>
      </c>
      <c r="D96" s="63" cm="1">
        <f t="array" ref="D9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96" s="63">
        <v>795</v>
      </c>
      <c r="F9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97" spans="1:6" x14ac:dyDescent="0.25">
      <c r="A97" s="59">
        <v>45740</v>
      </c>
      <c r="B97" t="s">
        <v>8</v>
      </c>
      <c r="C97">
        <v>1</v>
      </c>
      <c r="D97" s="63" cm="1">
        <f t="array" ref="D9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97" s="63">
        <v>1100</v>
      </c>
      <c r="F9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98" spans="1:6" x14ac:dyDescent="0.25">
      <c r="A98" s="59">
        <v>45740</v>
      </c>
      <c r="B98" t="s">
        <v>7</v>
      </c>
      <c r="C98">
        <v>2</v>
      </c>
      <c r="D98" s="63" cm="1">
        <f t="array" ref="D9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98" s="63">
        <v>795</v>
      </c>
      <c r="F9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</sheetData>
  <conditionalFormatting sqref="A30:F98">
    <cfRule type="expression" dxfId="19" priority="7">
      <formula>MONTH($A30)&lt;&gt;MONTH($A31)</formula>
    </cfRule>
  </conditionalFormatting>
  <conditionalFormatting sqref="B30:F98">
    <cfRule type="expression" dxfId="18" priority="1">
      <formula>$B30="Есмарт АРМ"</formula>
    </cfRule>
    <cfRule type="expression" dxfId="17" priority="4">
      <formula>$B30="Есмарт"</formula>
    </cfRule>
    <cfRule type="expression" dxfId="16" priority="6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A14" numberStoredAsText="1"/>
    <ignoredError sqref="J48:J58 M48:M59" calculatedColumn="1"/>
    <ignoredError sqref="L4:L5" formulaRange="1"/>
  </ignoredErrors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/>
  <dimension ref="A1:V106"/>
  <sheetViews>
    <sheetView zoomScale="90" zoomScaleNormal="90" workbookViewId="0">
      <selection activeCell="A107" sqref="A107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3.7109375" customWidth="1"/>
    <col min="10" max="10" width="12.5703125" customWidth="1"/>
    <col min="11" max="12" width="13.85546875" bestFit="1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7.285156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101</v>
      </c>
      <c r="S1" t="s">
        <v>102</v>
      </c>
    </row>
    <row r="2" spans="1:22" ht="15" customHeight="1" x14ac:dyDescent="0.25">
      <c r="A2" s="2">
        <f>SUMIF($C$7:$C$19,E2,$B$7:$B$19)</f>
        <v>225</v>
      </c>
      <c r="B2" s="2">
        <f>SUMIF(Продажи_Засек[Товар],E2,Продажи_Засек[Кол-во])</f>
        <v>146</v>
      </c>
      <c r="C2" s="2">
        <f>A2-B2</f>
        <v>79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90</v>
      </c>
      <c r="B3" s="2">
        <f>SUMIF(Продажи_Засек[Товар],E3,Продажи_Засек[Кол-во])</f>
        <v>50</v>
      </c>
      <c r="C3" s="2">
        <f t="shared" ref="C3:C4" si="1">A3-B3</f>
        <v>40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SUMIF(Продажи_Засек[Товар],E4,Продажи_Засек[Кол-во])</f>
        <v>4</v>
      </c>
      <c r="C4" s="2">
        <f t="shared" si="1"/>
        <v>24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SUMPRODUCT(1*ISNUMBER(SEARCH(J4,TEXT(Продажи_Засек[Дата],"ММММ"))),Продажи_Засек[Выручка])</f>
        <v>152000</v>
      </c>
      <c r="L4" s="64" cm="1">
        <f t="array" ref="L4">SUMPRODUCT(IFERROR(SEARCH($J4,TEXT(Продажи_Засек[Дата],"ММММ")),0),Продажи_Засек[Прибыль])-SUM(Q6:R6)</f>
        <v>86738.55</v>
      </c>
    </row>
    <row r="5" spans="1:22" ht="15.75" thickBot="1" x14ac:dyDescent="0.3">
      <c r="J5" s="2" t="s">
        <v>23</v>
      </c>
      <c r="K5" s="74" cm="1">
        <f t="array" ref="K5">SUMPRODUCT(1*ISNUMBER(SEARCH(J5,TEXT(Продажи_Засек[Дата],"ММММ"))),Продажи_Засек[Выручка])</f>
        <v>136900</v>
      </c>
      <c r="L5" s="64" cm="1">
        <f t="array" ref="L5">SUMPRODUCT(IFERROR(SEARCH($J5,TEXT(Продажи_Засек[Дата],"ММММ")),0),Продажи_Засек[Прибыль])-SUM(Q7:R7)</f>
        <v>71979.59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SUMPRODUCT(1*ISNUMBER(SEARCH(J6,TEXT(Продажи_Засек[Дата],"ММММ"))),Продажи_Засек[Выручка])</f>
        <v>128780</v>
      </c>
      <c r="L6" s="64" cm="1">
        <f t="array" ref="L6">SUMPRODUCT(IFERROR(SEARCH($J6,TEXT(Продажи_Засек[Дата],"ММММ")),0),Продажи_Засек[Прибыль])-SUM(Q8:R8)</f>
        <v>63851.029999999992</v>
      </c>
      <c r="P6" s="12" t="s">
        <v>22</v>
      </c>
      <c r="Q6" s="64">
        <v>1668.61</v>
      </c>
      <c r="R6" s="69">
        <v>732.64</v>
      </c>
    </row>
    <row r="7" spans="1:22" x14ac:dyDescent="0.25">
      <c r="A7" s="24" t="s">
        <v>77</v>
      </c>
      <c r="B7" s="2">
        <v>45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SUMPRODUCT(1*ISNUMBER(SEARCH(J7,TEXT(Продажи_Засек[Дата],"ММММ"))),Продажи_Засек[Выручка])</f>
        <v>0</v>
      </c>
      <c r="L7" s="64" cm="1">
        <f t="array" ref="L7">SUMPRODUCT(IFERROR(SEARCH($J7,TEXT(Продажи_Засек[Дата],"ММММ")),0),Продажи_Засек[Прибыль])-SUM(Q9:R9)</f>
        <v>0</v>
      </c>
      <c r="P7" s="12" t="s">
        <v>23</v>
      </c>
      <c r="Q7" s="64">
        <v>1668.61</v>
      </c>
      <c r="R7" s="69"/>
    </row>
    <row r="8" spans="1:22" x14ac:dyDescent="0.25">
      <c r="A8" s="4">
        <v>45674</v>
      </c>
      <c r="B8" s="2">
        <v>101</v>
      </c>
      <c r="C8" s="2" t="s">
        <v>7</v>
      </c>
      <c r="D8" s="76">
        <v>720</v>
      </c>
      <c r="E8" s="2"/>
      <c r="J8" s="2" t="s">
        <v>69</v>
      </c>
      <c r="K8" s="74" cm="1">
        <f t="array" ref="K8">SUMPRODUCT(1*ISNUMBER(SEARCH(J8,TEXT(Продажи_Засек[Дата],"ММММ"))),Продажи_Засек[Выручка])</f>
        <v>0</v>
      </c>
      <c r="L8" s="64" cm="1">
        <f t="array" ref="L8">SUMPRODUCT(IFERROR(SEARCH($J8,TEXT(Продажи_Засек[Дата],"ММММ")),0),Продажи_Засек[Прибыль])-SUM(Q10:R10)</f>
        <v>0</v>
      </c>
      <c r="P8" s="12" t="s">
        <v>67</v>
      </c>
      <c r="Q8" s="64">
        <v>1668.61</v>
      </c>
      <c r="R8" s="69"/>
    </row>
    <row r="9" spans="1:22" x14ac:dyDescent="0.25">
      <c r="A9" s="4">
        <v>45693</v>
      </c>
      <c r="B9" s="2">
        <v>50</v>
      </c>
      <c r="C9" s="2" t="s">
        <v>8</v>
      </c>
      <c r="D9" s="76">
        <v>1250</v>
      </c>
      <c r="E9" s="2"/>
      <c r="J9" s="2" t="s">
        <v>70</v>
      </c>
      <c r="K9" s="74" cm="1">
        <f t="array" ref="K9">SUMPRODUCT(1*ISNUMBER(SEARCH(J9,TEXT(Продажи_Засек[Дата],"ММММ"))),Продажи_Засек[Выручка])</f>
        <v>0</v>
      </c>
      <c r="L9" s="64" cm="1">
        <f t="array" ref="L9">SUMPRODUCT(IFERROR(SEARCH($J9,TEXT(Продажи_Засек[Дата],"ММММ")),0),Продажи_Засек[Прибыль])-SUM(Q11:R11)</f>
        <v>0</v>
      </c>
      <c r="P9" s="12" t="s">
        <v>68</v>
      </c>
      <c r="Q9" s="64"/>
      <c r="R9" s="69"/>
    </row>
    <row r="10" spans="1:22" x14ac:dyDescent="0.25">
      <c r="A10" s="4">
        <v>45728</v>
      </c>
      <c r="B10" s="2">
        <v>79</v>
      </c>
      <c r="C10" s="2" t="s">
        <v>7</v>
      </c>
      <c r="D10" s="76">
        <v>720</v>
      </c>
      <c r="E10" s="2"/>
      <c r="J10" s="2" t="s">
        <v>71</v>
      </c>
      <c r="K10" s="74" cm="1">
        <f t="array" ref="K10">SUMPRODUCT(1*ISNUMBER(SEARCH(J10,TEXT(Продажи_Засек[Дата],"ММММ"))),Продажи_Засек[Выручка])</f>
        <v>0</v>
      </c>
      <c r="L10" s="64" cm="1">
        <f t="array" ref="L10">SUMPRODUCT(IFERROR(SEARCH($J10,TEXT(Продажи_Засек[Дата],"ММММ")),0),Продажи_Засек[Прибыль])-SUM(Q12:R12)</f>
        <v>0</v>
      </c>
      <c r="P10" s="12" t="s">
        <v>69</v>
      </c>
      <c r="Q10" s="64"/>
      <c r="R10" s="69"/>
    </row>
    <row r="11" spans="1:22" x14ac:dyDescent="0.25">
      <c r="A11" s="4">
        <v>45728</v>
      </c>
      <c r="B11" s="2">
        <v>28</v>
      </c>
      <c r="C11" s="2" t="s">
        <v>125</v>
      </c>
      <c r="D11" s="76">
        <v>1340</v>
      </c>
      <c r="E11" s="2"/>
      <c r="J11" s="2" t="s">
        <v>72</v>
      </c>
      <c r="K11" s="74" cm="1">
        <f t="array" ref="K11">SUMPRODUCT(1*ISNUMBER(SEARCH(J11,TEXT(Продажи_Засек[Дата],"ММММ"))),Продажи_Засек[Выручка])</f>
        <v>0</v>
      </c>
      <c r="L11" s="64" cm="1">
        <f t="array" ref="L11">SUMPRODUCT(IFERROR(SEARCH($J11,TEXT(Продажи_Засек[Дата],"ММММ")),0),Продажи_Засек[Прибыль])-SUM(Q13:R13)</f>
        <v>0</v>
      </c>
      <c r="P11" s="12" t="s">
        <v>70</v>
      </c>
      <c r="Q11" s="64"/>
      <c r="R11" s="69"/>
    </row>
    <row r="12" spans="1:22" x14ac:dyDescent="0.25">
      <c r="A12" s="4">
        <v>45370</v>
      </c>
      <c r="B12" s="2">
        <v>40</v>
      </c>
      <c r="C12" s="2" t="s">
        <v>8</v>
      </c>
      <c r="D12" s="76">
        <v>1250</v>
      </c>
      <c r="E12" s="2"/>
      <c r="J12" s="2" t="s">
        <v>76</v>
      </c>
      <c r="K12" s="74" cm="1">
        <f t="array" ref="K12">SUMPRODUCT(1*ISNUMBER(SEARCH(J12,TEXT(Продажи_Засек[Дата],"ММММ"))),Продажи_Засек[Выручка])</f>
        <v>0</v>
      </c>
      <c r="L12" s="64" cm="1">
        <f t="array" ref="L12">SUMPRODUCT(IFERROR(SEARCH($J12,TEXT(Продажи_Засек[Дата],"ММММ")),0),Продажи_Засек[Прибыль])-SUM(Q14:R14)</f>
        <v>0</v>
      </c>
      <c r="P12" s="12" t="s">
        <v>71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78</v>
      </c>
      <c r="K13" s="74" cm="1">
        <f t="array" ref="K13">SUMPRODUCT(1*ISNUMBER(SEARCH(J13,TEXT(Продажи_Засек[Дата],"ММММ"))),Продажи_Засек[Выручка])</f>
        <v>0</v>
      </c>
      <c r="L13" s="64" cm="1">
        <f t="array" ref="L13">SUMPRODUCT(IFERROR(SEARCH($J13,TEXT(Продажи_Засек[Дата],"ММММ")),0),Продажи_Засек[Прибыль])-SUM(Q15:R15)</f>
        <v>0</v>
      </c>
      <c r="P13" s="12" t="s">
        <v>72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79</v>
      </c>
      <c r="K14" s="74" cm="1">
        <f t="array" ref="K14">SUMPRODUCT(1*ISNUMBER(SEARCH(J14,TEXT(Продажи_Засек[Дата],"ММММ"))),Продажи_Засек[Выручка])</f>
        <v>0</v>
      </c>
      <c r="L14" s="64" cm="1">
        <f t="array" ref="L14">SUMPRODUCT(IFERROR(SEARCH($J14,TEXT(Продажи_Засек[Дата],"ММММ")),0),Продажи_Засек[Прибыль])-SUM(Q16:R16)</f>
        <v>0</v>
      </c>
      <c r="P14" s="12" t="s">
        <v>76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80</v>
      </c>
      <c r="K15" s="74" cm="1">
        <f t="array" ref="K15">SUMPRODUCT(1*ISNUMBER(SEARCH(J15,TEXT(Продажи_Засек[Дата],"ММММ"))),Продажи_Засек[Выручка])</f>
        <v>0</v>
      </c>
      <c r="L15" s="64" cm="1">
        <f t="array" ref="L15">SUMPRODUCT(IFERROR(SEARCH($J15,TEXT(Продажи_Засек[Дата],"ММММ")),0),Продажи_Засек[Прибыль])-SUM(Q17:R17)</f>
        <v>0</v>
      </c>
      <c r="P15" s="12" t="s">
        <v>78</v>
      </c>
      <c r="Q15" s="64"/>
      <c r="R15" s="69"/>
    </row>
    <row r="16" spans="1:22" x14ac:dyDescent="0.25">
      <c r="A16" s="4"/>
      <c r="B16" s="2"/>
      <c r="C16" s="2"/>
      <c r="D16" s="76"/>
      <c r="E16" s="2"/>
      <c r="J16" s="2" t="s">
        <v>81</v>
      </c>
      <c r="K16" s="74">
        <f>SUM(K4:K15)</f>
        <v>417680</v>
      </c>
      <c r="L16" s="74">
        <f>SUM(L4:L15)</f>
        <v>222569.17</v>
      </c>
      <c r="P16" s="12" t="s">
        <v>79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80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3" spans="1:18" x14ac:dyDescent="0.25">
      <c r="A23" s="16"/>
    </row>
    <row r="24" spans="1:18" x14ac:dyDescent="0.25">
      <c r="A24" s="26" t="s">
        <v>90</v>
      </c>
    </row>
    <row r="25" spans="1:18" x14ac:dyDescent="0.25">
      <c r="A25" s="16"/>
    </row>
    <row r="27" spans="1:18" x14ac:dyDescent="0.25">
      <c r="A27" s="26"/>
    </row>
    <row r="28" spans="1:18" ht="15.75" x14ac:dyDescent="0.25">
      <c r="I28" s="53" t="s">
        <v>74</v>
      </c>
    </row>
    <row r="29" spans="1:18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5</v>
      </c>
      <c r="D30" s="75" cm="1">
        <f t="array" ref="D3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0" s="80">
        <v>795</v>
      </c>
      <c r="F3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0" s="48" t="s">
        <v>22</v>
      </c>
      <c r="J30" s="54" cm="1">
        <f t="array" ref="J30">SUMPRODUCT(IFERROR(SEARCH(КолЗасек[[#This Row],[Месяц]],TEXT(Продажи_Засек[Дата],"ММММ")),0),--(Продажи_Засек[Товар]=КолЗасек[[#Headers],[Есмарт]]),Продажи_Засек[Кол-во])</f>
        <v>76</v>
      </c>
      <c r="K30" s="54" cm="1">
        <f t="array" ref="K3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0" s="54" cm="1">
        <f t="array" ref="L3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0" s="55">
        <f>SUM(J30:L30)</f>
        <v>76</v>
      </c>
    </row>
    <row r="31" spans="1:18" x14ac:dyDescent="0.25">
      <c r="A31" s="59">
        <v>45667</v>
      </c>
      <c r="B31" t="s">
        <v>7</v>
      </c>
      <c r="C31">
        <v>5</v>
      </c>
      <c r="D31" s="75" cm="1">
        <f t="array" ref="D3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1" s="80">
        <v>795</v>
      </c>
      <c r="F3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1" s="48" t="s">
        <v>23</v>
      </c>
      <c r="J31" s="54" cm="1">
        <f t="array" ref="J31">SUMPRODUCT(IFERROR(SEARCH(КолЗасек[[#This Row],[Месяц]],TEXT(Продажи_Засек[Дата],"ММММ")),0),--(Продажи_Засек[Товар]=КолЗасек[[#Headers],[Есмарт]]),Продажи_Засек[Кол-во])</f>
        <v>42</v>
      </c>
      <c r="K31" s="54" cm="1">
        <f t="array" ref="K31">SUMPRODUCT(IFERROR(SEARCH(КолЗасек[[#This Row],[Месяц]],TEXT(Продажи_Засек[Дата],"ММММ")),0),--(Продажи_Засек[Товар]=КолЗасек[[#Headers],[Рутокен]]),Продажи_Засек[Кол-во])</f>
        <v>23</v>
      </c>
      <c r="L31" s="54" cm="1">
        <f t="array" ref="L3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1" s="55">
        <f t="shared" ref="M31:M41" si="2">SUM(J31:L31)</f>
        <v>65</v>
      </c>
    </row>
    <row r="32" spans="1:18" x14ac:dyDescent="0.25">
      <c r="A32" s="59">
        <v>45670</v>
      </c>
      <c r="B32" t="s">
        <v>7</v>
      </c>
      <c r="C32">
        <v>5</v>
      </c>
      <c r="D32" s="75" cm="1">
        <f t="array" ref="D3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2" s="80">
        <v>795</v>
      </c>
      <c r="F3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2" s="48" t="s">
        <v>67</v>
      </c>
      <c r="J32" s="54" cm="1">
        <f t="array" ref="J32">SUMPRODUCT(IFERROR(SEARCH(КолЗасек[[#This Row],[Месяц]],TEXT(Продажи_Засек[Дата],"ММММ")),0),--(Продажи_Засек[Товар]=КолЗасек[[#Headers],[Есмарт]]),Продажи_Засек[Кол-во])</f>
        <v>28</v>
      </c>
      <c r="K32" s="54" cm="1">
        <f t="array" ref="K32">SUMPRODUCT(IFERROR(SEARCH(КолЗасек[[#This Row],[Месяц]],TEXT(Продажи_Засек[Дата],"ММММ")),0),--(Продажи_Засек[Товар]=КолЗасек[[#Headers],[Рутокен]]),Продажи_Засек[Кол-во])</f>
        <v>27</v>
      </c>
      <c r="L32" s="54" cm="1">
        <f t="array" ref="L32">SUMPRODUCT(IFERROR(SEARCH(КолЗасек[[#This Row],[Месяц]],TEXT(Продажи_Засек[Дата],"ММММ")),0),--(Продажи_Засек[Товар]=КолЗасек[[#Headers],[Есмарт АРМ]]),Продажи_Засек[Кол-во])</f>
        <v>4</v>
      </c>
      <c r="M32" s="55">
        <f t="shared" si="2"/>
        <v>59</v>
      </c>
    </row>
    <row r="33" spans="1:13" x14ac:dyDescent="0.25">
      <c r="A33" s="59">
        <v>45671</v>
      </c>
      <c r="B33" t="s">
        <v>7</v>
      </c>
      <c r="C33">
        <v>3</v>
      </c>
      <c r="D33" s="75" cm="1">
        <f t="array" ref="D3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3" s="80">
        <v>795</v>
      </c>
      <c r="F3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3" s="48" t="s">
        <v>68</v>
      </c>
      <c r="J33" s="54" cm="1">
        <f t="array" ref="J33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3" s="54" cm="1">
        <f t="array" ref="K33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3" s="54" cm="1">
        <f t="array" ref="L33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7</v>
      </c>
      <c r="C34">
        <v>3</v>
      </c>
      <c r="D34" s="75" cm="1">
        <f t="array" ref="D3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4" s="80">
        <v>795</v>
      </c>
      <c r="F3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4" s="48" t="s">
        <v>69</v>
      </c>
      <c r="J34" s="54" cm="1">
        <f t="array" ref="J34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4" s="54" cm="1">
        <f t="array" ref="K34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4" s="54" cm="1">
        <f t="array" ref="L34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4</v>
      </c>
      <c r="D35" s="75" cm="1">
        <f t="array" ref="D3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5" s="80">
        <v>795</v>
      </c>
      <c r="F3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5" s="48" t="s">
        <v>70</v>
      </c>
      <c r="J35" s="54" cm="1">
        <f t="array" ref="J35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5" s="54" cm="1">
        <f t="array" ref="K35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5" s="54" cm="1">
        <f t="array" ref="L35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4</v>
      </c>
      <c r="D36" s="75" cm="1">
        <f t="array" ref="D3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6" s="80">
        <v>795</v>
      </c>
      <c r="F3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6" s="48" t="s">
        <v>71</v>
      </c>
      <c r="J36" s="54" cm="1">
        <f t="array" ref="J36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6" s="54" cm="1">
        <f t="array" ref="K36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6" s="54" cm="1">
        <f t="array" ref="L36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9</v>
      </c>
      <c r="D37" s="75" cm="1">
        <f t="array" ref="D3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18000</v>
      </c>
      <c r="E37" s="80">
        <v>795</v>
      </c>
      <c r="F3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10280.700000000001</v>
      </c>
      <c r="I37" s="48" t="s">
        <v>72</v>
      </c>
      <c r="J37" s="54" cm="1">
        <f t="array" ref="J37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7" s="54" cm="1">
        <f t="array" ref="K37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7" s="54" cm="1">
        <f t="array" ref="L37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2</v>
      </c>
      <c r="D38" s="75" cm="1">
        <f t="array" ref="D3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38" s="80">
        <v>795</v>
      </c>
      <c r="F3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2284.6</v>
      </c>
      <c r="I38" s="48" t="s">
        <v>76</v>
      </c>
      <c r="J38" s="54" cm="1">
        <f t="array" ref="J38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8" s="54" cm="1">
        <f t="array" ref="K38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8" s="54" cm="1">
        <f t="array" ref="L38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7</v>
      </c>
      <c r="C39">
        <v>4</v>
      </c>
      <c r="D39" s="75" cm="1">
        <f t="array" ref="D3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9" s="80">
        <v>795</v>
      </c>
      <c r="F3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9" s="48" t="s">
        <v>78</v>
      </c>
      <c r="J39" s="54" cm="1">
        <f t="array" ref="J39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9" s="54" cm="1">
        <f t="array" ref="K39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9" s="54" cm="1">
        <f t="array" ref="L39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5</v>
      </c>
      <c r="D40" s="75" cm="1">
        <f t="array" ref="D4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40" s="80">
        <f>((4*720)+795)/Продажи_Засек[[#This Row],[Кол-во]]</f>
        <v>735</v>
      </c>
      <c r="F4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6011.5</v>
      </c>
      <c r="I40" s="48" t="s">
        <v>79</v>
      </c>
      <c r="J40" s="54" cm="1">
        <f t="array" ref="J40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0" s="54" cm="1">
        <f t="array" ref="K4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0" s="54" cm="1">
        <f t="array" ref="L4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7</v>
      </c>
      <c r="D41" s="75" cm="1">
        <f t="array" ref="D4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1" s="75">
        <v>720</v>
      </c>
      <c r="F4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  <c r="I41" s="48" t="s">
        <v>80</v>
      </c>
      <c r="J41" s="54" cm="1">
        <f t="array" ref="J41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1" s="54" cm="1">
        <f t="array" ref="K41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1" s="54" cm="1">
        <f t="array" ref="L4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3</v>
      </c>
      <c r="D42" s="75" cm="1">
        <f t="array" ref="D4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2" s="75">
        <v>720</v>
      </c>
      <c r="F4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42" s="52" t="s">
        <v>92</v>
      </c>
      <c r="J42" s="56">
        <f>SUM(J30:J41)</f>
        <v>146</v>
      </c>
      <c r="K42" s="56">
        <f t="shared" ref="K42:L42" si="3">SUM(K30:K41)</f>
        <v>50</v>
      </c>
      <c r="L42" s="56">
        <f t="shared" si="3"/>
        <v>4</v>
      </c>
      <c r="M42" s="57">
        <f>SUM(J42:L42)</f>
        <v>200</v>
      </c>
    </row>
    <row r="43" spans="1:13" x14ac:dyDescent="0.25">
      <c r="A43" s="59">
        <v>45685</v>
      </c>
      <c r="B43" t="s">
        <v>7</v>
      </c>
      <c r="C43">
        <v>7</v>
      </c>
      <c r="D43" s="75" cm="1">
        <f t="array" ref="D4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3" s="75">
        <v>720</v>
      </c>
      <c r="F4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</row>
    <row r="44" spans="1:13" x14ac:dyDescent="0.25">
      <c r="A44" s="59">
        <v>45686</v>
      </c>
      <c r="B44" t="s">
        <v>7</v>
      </c>
      <c r="C44">
        <v>3</v>
      </c>
      <c r="D44" s="75" cm="1">
        <f t="array" ref="D4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4" s="75">
        <v>720</v>
      </c>
      <c r="F4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45" spans="1:13" ht="15.75" x14ac:dyDescent="0.25">
      <c r="A45" s="59">
        <v>45687</v>
      </c>
      <c r="B45" t="s">
        <v>7</v>
      </c>
      <c r="C45">
        <v>1</v>
      </c>
      <c r="D45" s="75" cm="1">
        <f t="array" ref="D4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5" s="75">
        <v>720</v>
      </c>
      <c r="F4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5" s="53" t="s">
        <v>100</v>
      </c>
    </row>
    <row r="46" spans="1:13" x14ac:dyDescent="0.25">
      <c r="A46" s="59">
        <v>45688</v>
      </c>
      <c r="B46" t="s">
        <v>7</v>
      </c>
      <c r="C46">
        <v>6</v>
      </c>
      <c r="D46" s="75" cm="1">
        <f t="array" ref="D4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12000</v>
      </c>
      <c r="E46" s="75">
        <v>720</v>
      </c>
      <c r="F4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7303.8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7</v>
      </c>
      <c r="C47">
        <v>1</v>
      </c>
      <c r="D47" s="75" cm="1">
        <f t="array" ref="D4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7" s="75">
        <v>720</v>
      </c>
      <c r="F4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7" s="48" t="s">
        <v>22</v>
      </c>
      <c r="J47" s="58" cm="1">
        <f t="array" ref="J47">IFERROR(J30/SUMPRODUCT(IF(TEXT(_xlfn.UNIQUE(Продажи_Засек[Дата]),"ММММ")=$I47,1,0)),"")</f>
        <v>4.4705882352941178</v>
      </c>
      <c r="K47" s="58" cm="1">
        <f t="array" ref="K47">IFERROR(K30/SUMPRODUCT(IF(TEXT(_xlfn.UNIQUE(Продажи_Засек[Дата]),"ММММ")=$I47,1,0)),"")</f>
        <v>0</v>
      </c>
      <c r="L47" s="58">
        <f>L30/COUNT(_xlfn.UNIQUE(Продажи_Засек[Дата]))</f>
        <v>0</v>
      </c>
      <c r="M47" s="62" cm="1">
        <f t="array" ref="M47">IFERROR(M30/SUMPRODUCT(IF(TEXT(_xlfn.UNIQUE(Продажи_Засек[Дата]),"ММММ")=$I47,1,0)),"")</f>
        <v>4.4705882352941178</v>
      </c>
    </row>
    <row r="48" spans="1:13" x14ac:dyDescent="0.25">
      <c r="A48" s="59">
        <v>45692</v>
      </c>
      <c r="B48" t="s">
        <v>7</v>
      </c>
      <c r="C48">
        <v>4</v>
      </c>
      <c r="D48" s="75" cm="1">
        <f t="array" ref="D4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48" s="75">
        <v>720</v>
      </c>
      <c r="F4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  <c r="I48" s="48" t="s">
        <v>23</v>
      </c>
      <c r="J48" s="58" cm="1">
        <f t="array" ref="J48">IFERROR(J31/SUMPRODUCT(IF(TEXT(_xlfn.UNIQUE(Продажи_Засек[Дата]),"ММММ")=$I48,1,0)),"")</f>
        <v>2.1</v>
      </c>
      <c r="K48" s="58" cm="1">
        <f t="array" ref="K48">IFERROR(K31/SUMPRODUCT(IF(TEXT(_xlfn.UNIQUE(Продажи_Засек[Дата]),"ММММ")=$I48,1,0)),"")</f>
        <v>1.1499999999999999</v>
      </c>
      <c r="L48" s="58">
        <f>L31/COUNT(_xlfn.UNIQUE(Продажи_Засек[Дата]))</f>
        <v>0</v>
      </c>
      <c r="M48" s="62" cm="1">
        <f t="array" ref="M48">IFERROR(M31/SUMPRODUCT(IF(TEXT(_xlfn.UNIQUE(Продажи_Засек[Дата]),"ММММ")=$I48,1,0)),"")</f>
        <v>3.25</v>
      </c>
    </row>
    <row r="49" spans="1:13" x14ac:dyDescent="0.25">
      <c r="A49" s="59">
        <v>45693</v>
      </c>
      <c r="B49" t="s">
        <v>7</v>
      </c>
      <c r="C49">
        <v>1</v>
      </c>
      <c r="D49" s="75" cm="1">
        <f t="array" ref="D4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9" s="75">
        <v>720</v>
      </c>
      <c r="F4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9" s="48" t="s">
        <v>67</v>
      </c>
      <c r="J49" s="58" cm="1">
        <f t="array" ref="J49">IFERROR(J32/SUMPRODUCT(IF(TEXT(_xlfn.UNIQUE(Продажи_Засек[Дата]),"ММММ")=$I49,1,0)),"")</f>
        <v>1.75</v>
      </c>
      <c r="K49" s="58" cm="1">
        <f t="array" ref="K49">IFERROR(K32/SUMPRODUCT(IF(TEXT(_xlfn.UNIQUE(Продажи_Засек[Дата]),"ММММ")=$I49,1,0)),"")</f>
        <v>1.6875</v>
      </c>
      <c r="L49" s="58">
        <f>L32/COUNT(_xlfn.UNIQUE(Продажи_Засек[Дата]))</f>
        <v>7.5471698113207544E-2</v>
      </c>
      <c r="M49" s="62" cm="1">
        <f t="array" ref="M49">IFERROR(M32/SUMPRODUCT(IF(TEXT(_xlfn.UNIQUE(Продажи_Засек[Дата]),"ММММ")=$I49,1,0)),"")</f>
        <v>3.6875</v>
      </c>
    </row>
    <row r="50" spans="1:13" x14ac:dyDescent="0.25">
      <c r="A50" s="59">
        <v>45694</v>
      </c>
      <c r="B50" t="s">
        <v>8</v>
      </c>
      <c r="C50">
        <v>2</v>
      </c>
      <c r="D50" s="75" cm="1">
        <f t="array" ref="D5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0" s="75">
        <v>1250</v>
      </c>
      <c r="F5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0" s="48" t="s">
        <v>68</v>
      </c>
      <c r="J50" s="58" t="str" cm="1">
        <f t="array" ref="J50">IFERROR(J33/SUMPRODUCT(IF(TEXT(_xlfn.UNIQUE(Продажи_Засек[Дата]),"ММММ")=$I50,1,0)),"")</f>
        <v/>
      </c>
      <c r="K50" s="58" t="str" cm="1">
        <f t="array" ref="K50">IFERROR(K33/SUMPRODUCT(IF(TEXT(_xlfn.UNIQUE(Продажи_Засек[Дата]),"ММММ")=$I50,1,0)),"")</f>
        <v/>
      </c>
      <c r="L50" s="58">
        <f>L33/COUNT(_xlfn.UNIQUE(Продажи_Засек[Дата]))</f>
        <v>0</v>
      </c>
      <c r="M50" s="62" t="str" cm="1">
        <f t="array" ref="M50">IFERROR(M33/SUMPRODUCT(IF(TEXT(_xlfn.UNIQUE(Продажи_Засек[Дата]),"ММММ")=$I50,1,0)),"")</f>
        <v/>
      </c>
    </row>
    <row r="51" spans="1:13" x14ac:dyDescent="0.25">
      <c r="A51" s="59">
        <v>45695</v>
      </c>
      <c r="B51" t="s">
        <v>7</v>
      </c>
      <c r="C51">
        <v>2</v>
      </c>
      <c r="D51" s="75" cm="1">
        <f t="array" ref="D5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1" s="75">
        <v>720</v>
      </c>
      <c r="F5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1" s="48" t="s">
        <v>69</v>
      </c>
      <c r="J51" s="58" t="str" cm="1">
        <f t="array" ref="J51">IFERROR(J34/SUMPRODUCT(IF(TEXT(_xlfn.UNIQUE(Продажи_Засек[Дата]),"ММММ")=$I51,1,0)),"")</f>
        <v/>
      </c>
      <c r="K51" s="58" t="str" cm="1">
        <f t="array" ref="K51">IFERROR(K34/SUMPRODUCT(IF(TEXT(_xlfn.UNIQUE(Продажи_Засек[Дата]),"ММММ")=$I51,1,0)),"")</f>
        <v/>
      </c>
      <c r="L51" s="58">
        <f>L34/COUNT(_xlfn.UNIQUE(Продажи_Засек[Дата]))</f>
        <v>0</v>
      </c>
      <c r="M51" s="62" t="str" cm="1">
        <f t="array" ref="M51">IFERROR(M34/SUMPRODUCT(IF(TEXT(_xlfn.UNIQUE(Продажи_Засек[Дата]),"ММММ")=$I51,1,0)),"")</f>
        <v/>
      </c>
    </row>
    <row r="52" spans="1:13" x14ac:dyDescent="0.25">
      <c r="A52" s="59">
        <v>45698</v>
      </c>
      <c r="B52" t="s">
        <v>93</v>
      </c>
      <c r="C52">
        <v>0</v>
      </c>
      <c r="D52" s="75" cm="1">
        <f t="array" ref="D5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0</v>
      </c>
      <c r="E52" s="75">
        <v>0</v>
      </c>
      <c r="F5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0</v>
      </c>
      <c r="I52" s="48" t="s">
        <v>70</v>
      </c>
      <c r="J52" s="58" t="str" cm="1">
        <f t="array" ref="J52">IFERROR(J35/SUMPRODUCT(IF(TEXT(_xlfn.UNIQUE(Продажи_Засек[Дата]),"ММММ")=$I52,1,0)),"")</f>
        <v/>
      </c>
      <c r="K52" s="58" t="str" cm="1">
        <f t="array" ref="K52">IFERROR(K35/SUMPRODUCT(IF(TEXT(_xlfn.UNIQUE(Продажи_Засек[Дата]),"ММММ")=$I52,1,0)),"")</f>
        <v/>
      </c>
      <c r="L52" s="58">
        <f>L35/COUNT(_xlfn.UNIQUE(Продажи_Засек[Дата]))</f>
        <v>0</v>
      </c>
      <c r="M52" s="62" t="str" cm="1">
        <f t="array" ref="M52">IFERROR(M35/SUMPRODUCT(IF(TEXT(_xlfn.UNIQUE(Продажи_Засек[Дата]),"ММММ")=$I52,1,0)),"")</f>
        <v/>
      </c>
    </row>
    <row r="53" spans="1:13" x14ac:dyDescent="0.25">
      <c r="A53" s="59">
        <v>45699</v>
      </c>
      <c r="B53" t="s">
        <v>7</v>
      </c>
      <c r="C53">
        <v>2</v>
      </c>
      <c r="D53" s="75" cm="1">
        <f t="array" ref="D5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3" s="75">
        <v>720</v>
      </c>
      <c r="F5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3" s="48" t="s">
        <v>71</v>
      </c>
      <c r="J53" s="58" t="str" cm="1">
        <f t="array" ref="J53">IFERROR(J36/SUMPRODUCT(IF(TEXT(_xlfn.UNIQUE(Продажи_Засек[Дата]),"ММММ")=$I53,1,0)),"")</f>
        <v/>
      </c>
      <c r="K53" s="58" t="str" cm="1">
        <f t="array" ref="K53">IFERROR(K36/SUMPRODUCT(IF(TEXT(_xlfn.UNIQUE(Продажи_Засек[Дата]),"ММММ")=$I53,1,0)),"")</f>
        <v/>
      </c>
      <c r="L53" s="58">
        <f>L36/COUNT(_xlfn.UNIQUE(Продажи_Засек[Дата]))</f>
        <v>0</v>
      </c>
      <c r="M53" s="62" t="str" cm="1">
        <f t="array" ref="M53">IFERROR(M36/SUMPRODUCT(IF(TEXT(_xlfn.UNIQUE(Продажи_Засек[Дата]),"ММММ")=$I53,1,0)),"")</f>
        <v/>
      </c>
    </row>
    <row r="54" spans="1:13" x14ac:dyDescent="0.25">
      <c r="A54" s="59">
        <v>45700</v>
      </c>
      <c r="B54" t="s">
        <v>7</v>
      </c>
      <c r="C54">
        <v>2</v>
      </c>
      <c r="D54" s="75" cm="1">
        <f t="array" ref="D5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4" s="75">
        <v>720</v>
      </c>
      <c r="F5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4" s="48" t="s">
        <v>72</v>
      </c>
      <c r="J54" s="58" t="str" cm="1">
        <f t="array" ref="J54">IFERROR(J37/SUMPRODUCT(IF(TEXT(_xlfn.UNIQUE(Продажи_Засек[Дата]),"ММММ")=$I54,1,0)),"")</f>
        <v/>
      </c>
      <c r="K54" s="58" t="str" cm="1">
        <f t="array" ref="K54">IFERROR(K37/SUMPRODUCT(IF(TEXT(_xlfn.UNIQUE(Продажи_Засек[Дата]),"ММММ")=$I54,1,0)),"")</f>
        <v/>
      </c>
      <c r="L54" s="58">
        <f>L37/COUNT(_xlfn.UNIQUE(Продажи_Засек[Дата]))</f>
        <v>0</v>
      </c>
      <c r="M54" s="62" t="str" cm="1">
        <f t="array" ref="M54">IFERROR(M37/SUMPRODUCT(IF(TEXT(_xlfn.UNIQUE(Продажи_Засек[Дата]),"ММММ")=$I54,1,0)),"")</f>
        <v/>
      </c>
    </row>
    <row r="55" spans="1:13" x14ac:dyDescent="0.25">
      <c r="A55" s="59">
        <v>45700</v>
      </c>
      <c r="B55" t="s">
        <v>8</v>
      </c>
      <c r="C55">
        <v>1</v>
      </c>
      <c r="D55" s="75" cm="1">
        <f t="array" ref="D5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55" s="75">
        <v>1250</v>
      </c>
      <c r="F5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  <c r="I55" s="48" t="s">
        <v>76</v>
      </c>
      <c r="J55" s="58" t="str" cm="1">
        <f t="array" ref="J55">IFERROR(J38/SUMPRODUCT(IF(TEXT(_xlfn.UNIQUE(Продажи_Засек[Дата]),"ММММ")=$I55,1,0)),"")</f>
        <v/>
      </c>
      <c r="K55" s="58" t="str" cm="1">
        <f t="array" ref="K55">IFERROR(K38/SUMPRODUCT(IF(TEXT(_xlfn.UNIQUE(Продажи_Засек[Дата]),"ММММ")=$I55,1,0)),"")</f>
        <v/>
      </c>
      <c r="L55" s="58">
        <f>L38/COUNT(_xlfn.UNIQUE(Продажи_Засек[Дата]))</f>
        <v>0</v>
      </c>
      <c r="M55" s="62" t="str" cm="1">
        <f t="array" ref="M55">IFERROR(M38/SUMPRODUCT(IF(TEXT(_xlfn.UNIQUE(Продажи_Засек[Дата]),"ММММ")=$I55,1,0)),"")</f>
        <v/>
      </c>
    </row>
    <row r="56" spans="1:13" x14ac:dyDescent="0.25">
      <c r="A56" s="59">
        <v>45701</v>
      </c>
      <c r="B56" t="s">
        <v>7</v>
      </c>
      <c r="C56">
        <v>1</v>
      </c>
      <c r="D56" s="75" cm="1">
        <f t="array" ref="D5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56" s="75">
        <v>720</v>
      </c>
      <c r="F5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56" s="48" t="s">
        <v>78</v>
      </c>
      <c r="J56" s="58" t="str" cm="1">
        <f t="array" ref="J56">IFERROR(J39/SUMPRODUCT(IF(TEXT(_xlfn.UNIQUE(Продажи_Засек[Дата]),"ММММ")=$I56,1,0)),"")</f>
        <v/>
      </c>
      <c r="K56" s="58" t="str" cm="1">
        <f t="array" ref="K56">IFERROR(K39/SUMPRODUCT(IF(TEXT(_xlfn.UNIQUE(Продажи_Засек[Дата]),"ММММ")=$I56,1,0)),"")</f>
        <v/>
      </c>
      <c r="L56" s="58">
        <f>L39/COUNT(_xlfn.UNIQUE(Продажи_Засек[Дата]))</f>
        <v>0</v>
      </c>
      <c r="M56" s="62" t="str" cm="1">
        <f t="array" ref="M56">IFERROR(M39/SUMPRODUCT(IF(TEXT(_xlfn.UNIQUE(Продажи_Засек[Дата]),"ММММ")=$I56,1,0)),"")</f>
        <v/>
      </c>
    </row>
    <row r="57" spans="1:13" x14ac:dyDescent="0.25">
      <c r="A57" s="59">
        <v>45702</v>
      </c>
      <c r="B57" t="s">
        <v>7</v>
      </c>
      <c r="C57">
        <v>3</v>
      </c>
      <c r="D57" s="75" cm="1">
        <f t="array" ref="D5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7" s="75">
        <v>720</v>
      </c>
      <c r="F5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7" s="48" t="s">
        <v>79</v>
      </c>
      <c r="J57" s="58" t="str" cm="1">
        <f t="array" ref="J57">IFERROR(J40/SUMPRODUCT(IF(TEXT(_xlfn.UNIQUE(Продажи_Засек[Дата]),"ММММ")=$I57,1,0)),"")</f>
        <v/>
      </c>
      <c r="K57" s="58" t="str" cm="1">
        <f t="array" ref="K57">IFERROR(K40/SUMPRODUCT(IF(TEXT(_xlfn.UNIQUE(Продажи_Засек[Дата]),"ММММ")=$I57,1,0)),"")</f>
        <v/>
      </c>
      <c r="L57" s="58">
        <f>L40/COUNT(_xlfn.UNIQUE(Продажи_Засек[Дата]))</f>
        <v>0</v>
      </c>
      <c r="M57" s="62" t="str" cm="1">
        <f t="array" ref="M57">IFERROR(M40/SUMPRODUCT(IF(TEXT(_xlfn.UNIQUE(Продажи_Засек[Дата]),"ММММ")=$I57,1,0)),"")</f>
        <v/>
      </c>
    </row>
    <row r="58" spans="1:13" x14ac:dyDescent="0.25">
      <c r="A58" s="59">
        <v>45702</v>
      </c>
      <c r="B58" t="s">
        <v>8</v>
      </c>
      <c r="C58">
        <v>2</v>
      </c>
      <c r="D58" s="75" cm="1">
        <f t="array" ref="D5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8" s="75">
        <v>1250</v>
      </c>
      <c r="F5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8" s="48" t="s">
        <v>80</v>
      </c>
      <c r="J58" s="58" t="str" cm="1">
        <f t="array" ref="J58">IFERROR(J41/SUMPRODUCT(IF(TEXT(_xlfn.UNIQUE(Продажи_Засек[Дата]),"ММММ")=$I58,1,0)),"")</f>
        <v/>
      </c>
      <c r="K58" s="58" t="str" cm="1">
        <f t="array" ref="K58">IFERROR(K41/SUMPRODUCT(IF(TEXT(_xlfn.UNIQUE(Продажи_Засек[Дата]),"ММММ")=$I58,1,0)),"")</f>
        <v/>
      </c>
      <c r="L58" s="58">
        <f>L41/COUNT(_xlfn.UNIQUE(Продажи_Засек[Дата]))</f>
        <v>0</v>
      </c>
      <c r="M58" s="62" t="str" cm="1">
        <f t="array" ref="M58">IFERROR(M41/SUMPRODUCT(IF(TEXT(_xlfn.UNIQUE(Продажи_Засек[Дата]),"ММММ")=$I58,1,0)),"")</f>
        <v/>
      </c>
    </row>
    <row r="59" spans="1:13" x14ac:dyDescent="0.25">
      <c r="A59" s="59">
        <v>45705</v>
      </c>
      <c r="B59" t="s">
        <v>7</v>
      </c>
      <c r="C59">
        <v>3</v>
      </c>
      <c r="D59" s="75" cm="1">
        <f t="array" ref="D5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9" s="75">
        <v>720</v>
      </c>
      <c r="F5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9" s="52" t="s">
        <v>92</v>
      </c>
      <c r="J59" s="60">
        <f>J42/COUNT(_xlfn.UNIQUE(Продажи_Засек[Дата]))</f>
        <v>2.7547169811320753</v>
      </c>
      <c r="K59" s="60">
        <f>K42/COUNT(_xlfn.UNIQUE(Продажи_Засек[Дата]))</f>
        <v>0.94339622641509435</v>
      </c>
      <c r="L59" s="60">
        <f>L42/COUNT(_xlfn.UNIQUE(Продажи_Засек[Дата]))</f>
        <v>7.5471698113207544E-2</v>
      </c>
      <c r="M59" s="60">
        <f>M42/COUNT(_xlfn.UNIQUE(Продажи_Засек[Дата]))</f>
        <v>3.7735849056603774</v>
      </c>
    </row>
    <row r="60" spans="1:13" x14ac:dyDescent="0.25">
      <c r="A60" s="59">
        <v>45705</v>
      </c>
      <c r="B60" t="s">
        <v>8</v>
      </c>
      <c r="C60">
        <v>1</v>
      </c>
      <c r="D60" s="75" cm="1">
        <f t="array" ref="D6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0" s="75">
        <v>1250</v>
      </c>
      <c r="F6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1" spans="1:13" x14ac:dyDescent="0.25">
      <c r="A61" s="59">
        <v>45706</v>
      </c>
      <c r="B61" t="s">
        <v>7</v>
      </c>
      <c r="C61">
        <v>2</v>
      </c>
      <c r="D61" s="75" cm="1">
        <f t="array" ref="D6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61" s="75">
        <v>720</v>
      </c>
      <c r="F6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62" spans="1:13" x14ac:dyDescent="0.25">
      <c r="A62" s="59">
        <v>45706</v>
      </c>
      <c r="B62" t="s">
        <v>8</v>
      </c>
      <c r="C62">
        <v>3</v>
      </c>
      <c r="D62" s="75" cm="1">
        <f t="array" ref="D6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62" s="75">
        <v>1250</v>
      </c>
      <c r="F6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63" spans="1:13" x14ac:dyDescent="0.25">
      <c r="A63" s="59">
        <v>45707</v>
      </c>
      <c r="B63" t="s">
        <v>7</v>
      </c>
      <c r="C63">
        <v>4</v>
      </c>
      <c r="D63" s="75" cm="1">
        <f t="array" ref="D6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3" s="75">
        <v>720</v>
      </c>
      <c r="F6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4" spans="1:13" x14ac:dyDescent="0.25">
      <c r="A64" s="59">
        <v>45707</v>
      </c>
      <c r="B64" t="s">
        <v>8</v>
      </c>
      <c r="C64">
        <v>2</v>
      </c>
      <c r="D64" s="75" cm="1">
        <f t="array" ref="D6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4" s="75">
        <v>1250</v>
      </c>
      <c r="F6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5" spans="1:6" x14ac:dyDescent="0.25">
      <c r="A65" s="59">
        <v>45708</v>
      </c>
      <c r="B65" t="s">
        <v>8</v>
      </c>
      <c r="C65">
        <v>1</v>
      </c>
      <c r="D65" s="75" cm="1">
        <f t="array" ref="D6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5" s="75">
        <v>1250</v>
      </c>
      <c r="F6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6" spans="1:6" x14ac:dyDescent="0.25">
      <c r="A66" s="59">
        <v>45708</v>
      </c>
      <c r="B66" t="s">
        <v>7</v>
      </c>
      <c r="C66">
        <v>4</v>
      </c>
      <c r="D66" s="75" cm="1">
        <f t="array" ref="D6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6" s="75">
        <v>720</v>
      </c>
      <c r="F6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7" spans="1:6" x14ac:dyDescent="0.25">
      <c r="A67" s="59">
        <v>45709</v>
      </c>
      <c r="B67" t="s">
        <v>7</v>
      </c>
      <c r="C67">
        <v>1</v>
      </c>
      <c r="D67" s="75" cm="1">
        <f t="array" ref="D6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67" s="75">
        <v>720</v>
      </c>
      <c r="F6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68" spans="1:6" x14ac:dyDescent="0.25">
      <c r="A68" s="59">
        <v>45709</v>
      </c>
      <c r="B68" t="s">
        <v>8</v>
      </c>
      <c r="C68">
        <v>2</v>
      </c>
      <c r="D68" s="75" cm="1">
        <f t="array" ref="D6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8" s="75">
        <v>1250</v>
      </c>
      <c r="F6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9" spans="1:6" x14ac:dyDescent="0.25">
      <c r="A69" s="59">
        <v>45712</v>
      </c>
      <c r="B69" t="s">
        <v>8</v>
      </c>
      <c r="C69">
        <v>2</v>
      </c>
      <c r="D69" s="75" cm="1">
        <f t="array" ref="D6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9" s="75">
        <v>1250</v>
      </c>
      <c r="F6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0" spans="1:6" x14ac:dyDescent="0.25">
      <c r="A70" s="59">
        <v>45712</v>
      </c>
      <c r="B70" t="s">
        <v>7</v>
      </c>
      <c r="C70">
        <v>2</v>
      </c>
      <c r="D70" s="75" cm="1">
        <f t="array" ref="D7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0" s="75">
        <v>720</v>
      </c>
      <c r="F7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1" spans="1:6" x14ac:dyDescent="0.25">
      <c r="A71" s="59">
        <v>45713</v>
      </c>
      <c r="B71" t="s">
        <v>7</v>
      </c>
      <c r="C71">
        <v>1</v>
      </c>
      <c r="D71" s="75" cm="1">
        <f t="array" ref="D7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71" s="75">
        <v>720</v>
      </c>
      <c r="F7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72" spans="1:6" x14ac:dyDescent="0.25">
      <c r="A72" s="59">
        <v>45713</v>
      </c>
      <c r="B72" t="s">
        <v>8</v>
      </c>
      <c r="C72">
        <v>2</v>
      </c>
      <c r="D72" s="75" cm="1">
        <f t="array" ref="D7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72" s="75">
        <v>1250</v>
      </c>
      <c r="F7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3" spans="1:6" x14ac:dyDescent="0.25">
      <c r="A73" s="59">
        <v>45714</v>
      </c>
      <c r="B73" t="s">
        <v>8</v>
      </c>
      <c r="C73">
        <v>1</v>
      </c>
      <c r="D73" s="75" cm="1">
        <f t="array" ref="D7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3" s="75">
        <v>1250</v>
      </c>
      <c r="F7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4" spans="1:6" x14ac:dyDescent="0.25">
      <c r="A74" s="59">
        <v>45714</v>
      </c>
      <c r="B74" t="s">
        <v>7</v>
      </c>
      <c r="C74">
        <v>2</v>
      </c>
      <c r="D74" s="75" cm="1">
        <f t="array" ref="D7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4" s="75">
        <v>720</v>
      </c>
      <c r="F7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5" spans="1:6" x14ac:dyDescent="0.25">
      <c r="A75" s="59">
        <v>45715</v>
      </c>
      <c r="B75" t="s">
        <v>7</v>
      </c>
      <c r="C75">
        <v>2</v>
      </c>
      <c r="D75" s="75" cm="1">
        <f t="array" ref="D7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5" s="75">
        <v>720</v>
      </c>
      <c r="F7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6" spans="1:6" x14ac:dyDescent="0.25">
      <c r="A76" s="59">
        <v>45715</v>
      </c>
      <c r="B76" t="s">
        <v>8</v>
      </c>
      <c r="C76">
        <v>1</v>
      </c>
      <c r="D76" s="75" cm="1">
        <f t="array" ref="D7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6" s="75">
        <v>1250</v>
      </c>
      <c r="F7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7" spans="1:6" x14ac:dyDescent="0.25">
      <c r="A77" s="59">
        <v>45716</v>
      </c>
      <c r="B77" t="s">
        <v>8</v>
      </c>
      <c r="C77">
        <v>3</v>
      </c>
      <c r="D77" s="75" cm="1">
        <f t="array" ref="D7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77" s="75">
        <v>1250</v>
      </c>
      <c r="F7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78" spans="1:6" x14ac:dyDescent="0.25">
      <c r="A78" s="59">
        <v>45716</v>
      </c>
      <c r="B78" t="s">
        <v>7</v>
      </c>
      <c r="C78">
        <v>5</v>
      </c>
      <c r="D78" s="75" cm="1">
        <f t="array" ref="D7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78" s="75">
        <v>720</v>
      </c>
      <c r="F7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6086.5</v>
      </c>
    </row>
    <row r="79" spans="1:6" x14ac:dyDescent="0.25">
      <c r="A79" s="59">
        <v>45719</v>
      </c>
      <c r="B79" t="s">
        <v>8</v>
      </c>
      <c r="C79">
        <v>1</v>
      </c>
      <c r="D79" s="75" cm="1">
        <f t="array" ref="D7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9" s="75">
        <v>1250</v>
      </c>
      <c r="F7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0" spans="1:6" x14ac:dyDescent="0.25">
      <c r="A80" s="59">
        <v>45720</v>
      </c>
      <c r="B80" t="s">
        <v>8</v>
      </c>
      <c r="C80">
        <v>3</v>
      </c>
      <c r="D80" s="75" cm="1">
        <f t="array" ref="D8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0" s="75">
        <v>1250</v>
      </c>
      <c r="F8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1" spans="1:6" x14ac:dyDescent="0.25">
      <c r="A81" s="59">
        <v>45720</v>
      </c>
      <c r="B81" t="s">
        <v>7</v>
      </c>
      <c r="C81">
        <v>2</v>
      </c>
      <c r="D81" s="75" cm="1">
        <f t="array" ref="D8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81" s="75">
        <v>720</v>
      </c>
      <c r="F8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82" spans="1:6" x14ac:dyDescent="0.25">
      <c r="A82" s="59">
        <v>45721</v>
      </c>
      <c r="B82" t="s">
        <v>7</v>
      </c>
      <c r="C82">
        <v>3</v>
      </c>
      <c r="D82" s="75" cm="1">
        <f t="array" ref="D8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82" s="75">
        <v>720</v>
      </c>
      <c r="F8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83" spans="1:6" x14ac:dyDescent="0.25">
      <c r="A83" s="59">
        <v>45722</v>
      </c>
      <c r="B83" t="s">
        <v>7</v>
      </c>
      <c r="C83">
        <v>4</v>
      </c>
      <c r="D83" s="75" cm="1">
        <f t="array" ref="D8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3" s="75">
        <v>720</v>
      </c>
      <c r="F8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84" spans="1:6" x14ac:dyDescent="0.25">
      <c r="A84" s="59">
        <v>45722</v>
      </c>
      <c r="B84" t="s">
        <v>8</v>
      </c>
      <c r="C84">
        <v>1</v>
      </c>
      <c r="D84" s="75" cm="1">
        <f t="array" ref="D8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4" s="75">
        <v>1250</v>
      </c>
      <c r="F8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5" spans="1:6" x14ac:dyDescent="0.25">
      <c r="A85" s="59">
        <v>45723</v>
      </c>
      <c r="B85" t="s">
        <v>8</v>
      </c>
      <c r="C85">
        <v>1</v>
      </c>
      <c r="D85" s="75" cm="1">
        <f t="array" ref="D8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5" s="75">
        <v>1250</v>
      </c>
      <c r="F8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6" spans="1:6" x14ac:dyDescent="0.25">
      <c r="A86" s="59">
        <v>45726</v>
      </c>
      <c r="B86" t="s">
        <v>8</v>
      </c>
      <c r="C86">
        <v>5</v>
      </c>
      <c r="D86" s="75" cm="1">
        <f t="array" ref="D8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11500</v>
      </c>
      <c r="E86" s="75">
        <v>1250</v>
      </c>
      <c r="F8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4896</v>
      </c>
    </row>
    <row r="87" spans="1:6" x14ac:dyDescent="0.25">
      <c r="A87" s="59">
        <v>45726</v>
      </c>
      <c r="B87" t="s">
        <v>7</v>
      </c>
      <c r="C87">
        <v>1</v>
      </c>
      <c r="D87" s="75" cm="1">
        <f t="array" ref="D8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87" s="75">
        <v>720</v>
      </c>
      <c r="F8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88" spans="1:6" x14ac:dyDescent="0.25">
      <c r="A88" s="59">
        <v>45727</v>
      </c>
      <c r="B88" t="s">
        <v>8</v>
      </c>
      <c r="C88">
        <v>3</v>
      </c>
      <c r="D88" s="75" cm="1">
        <f t="array" ref="D8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8" s="75">
        <v>1250</v>
      </c>
      <c r="F8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9" spans="1:6" x14ac:dyDescent="0.25">
      <c r="A89" s="59">
        <v>45727</v>
      </c>
      <c r="B89" t="s">
        <v>7</v>
      </c>
      <c r="C89">
        <v>4</v>
      </c>
      <c r="D89" s="75" cm="1">
        <f t="array" ref="D8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9" s="75">
        <v>720</v>
      </c>
      <c r="F8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0" spans="1:6" x14ac:dyDescent="0.25">
      <c r="A90" s="59">
        <v>45728</v>
      </c>
      <c r="B90" t="s">
        <v>8</v>
      </c>
      <c r="C90">
        <v>2</v>
      </c>
      <c r="D90" s="75" cm="1">
        <f t="array" ref="D9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0" s="75">
        <v>1250</v>
      </c>
      <c r="F9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1" spans="1:6" x14ac:dyDescent="0.25">
      <c r="A91" s="59">
        <v>45729</v>
      </c>
      <c r="B91" t="s">
        <v>8</v>
      </c>
      <c r="C91">
        <v>2</v>
      </c>
      <c r="D91" s="75" cm="1">
        <f t="array" ref="D9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1" s="75">
        <v>1250</v>
      </c>
      <c r="F9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2" spans="1:6" x14ac:dyDescent="0.25">
      <c r="A92" s="59">
        <v>45729</v>
      </c>
      <c r="B92" t="s">
        <v>7</v>
      </c>
      <c r="C92">
        <v>3</v>
      </c>
      <c r="D92" s="75" cm="1">
        <f t="array" ref="D9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92" s="75">
        <v>720</v>
      </c>
      <c r="F9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93" spans="1:6" x14ac:dyDescent="0.25">
      <c r="A93" s="59">
        <v>45730</v>
      </c>
      <c r="B93" t="s">
        <v>7</v>
      </c>
      <c r="C93">
        <v>4</v>
      </c>
      <c r="D93" s="75" cm="1">
        <f t="array" ref="D9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93" s="75">
        <v>720</v>
      </c>
      <c r="F9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4" spans="1:6" x14ac:dyDescent="0.25">
      <c r="A94" s="59">
        <v>45730</v>
      </c>
      <c r="B94" t="s">
        <v>8</v>
      </c>
      <c r="C94">
        <v>1</v>
      </c>
      <c r="D94" s="75" cm="1">
        <f t="array" ref="D9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4" s="75">
        <v>1250</v>
      </c>
      <c r="F9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5" spans="1:6" x14ac:dyDescent="0.25">
      <c r="A95" s="59">
        <v>45733</v>
      </c>
      <c r="B95" t="s">
        <v>8</v>
      </c>
      <c r="C95">
        <v>2</v>
      </c>
      <c r="D95" s="75" cm="1">
        <f t="array" ref="D9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5" s="75">
        <v>1250</v>
      </c>
      <c r="F9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6" spans="1:6" x14ac:dyDescent="0.25">
      <c r="A96" s="59">
        <v>45733</v>
      </c>
      <c r="B96" t="s">
        <v>7</v>
      </c>
      <c r="C96">
        <v>2</v>
      </c>
      <c r="D96" s="75" cm="1">
        <f t="array" ref="D9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96" s="75">
        <v>720</v>
      </c>
      <c r="F9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97" spans="1:6" x14ac:dyDescent="0.25">
      <c r="A97" s="59">
        <v>45734</v>
      </c>
      <c r="B97" t="s">
        <v>8</v>
      </c>
      <c r="C97">
        <v>1</v>
      </c>
      <c r="D97" s="75" cm="1">
        <f t="array" ref="D9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7" s="75">
        <v>1250</v>
      </c>
      <c r="F9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8" spans="1:6" x14ac:dyDescent="0.25">
      <c r="A98" s="59">
        <v>45734</v>
      </c>
      <c r="B98" t="s">
        <v>125</v>
      </c>
      <c r="C98">
        <v>1</v>
      </c>
      <c r="D98" s="75" cm="1">
        <f t="array" ref="D9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8" s="75">
        <v>1340</v>
      </c>
      <c r="F9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99" spans="1:6" x14ac:dyDescent="0.25">
      <c r="A99" s="59">
        <v>45735</v>
      </c>
      <c r="B99" t="s">
        <v>125</v>
      </c>
      <c r="C99">
        <v>1</v>
      </c>
      <c r="D99" s="75" cm="1">
        <f t="array" ref="D9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9" s="75">
        <v>1340</v>
      </c>
      <c r="F9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00" spans="1:6" x14ac:dyDescent="0.25">
      <c r="A100" s="59">
        <v>45735</v>
      </c>
      <c r="B100" t="s">
        <v>7</v>
      </c>
      <c r="C100">
        <v>1</v>
      </c>
      <c r="D100" s="75" cm="1">
        <f t="array" ref="D10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0" s="75">
        <v>720</v>
      </c>
      <c r="F10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1" spans="1:6" x14ac:dyDescent="0.25">
      <c r="A101" s="59">
        <v>45735</v>
      </c>
      <c r="B101" t="s">
        <v>8</v>
      </c>
      <c r="C101">
        <v>1</v>
      </c>
      <c r="D101" s="75" cm="1">
        <f t="array" ref="D10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1" s="75">
        <v>1250</v>
      </c>
      <c r="F10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2" spans="1:6" x14ac:dyDescent="0.25">
      <c r="A102" s="59">
        <v>45736</v>
      </c>
      <c r="B102" t="s">
        <v>125</v>
      </c>
      <c r="C102">
        <v>2</v>
      </c>
      <c r="D102" s="75" cm="1">
        <f t="array" ref="D10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5340</v>
      </c>
      <c r="E102" s="75">
        <v>1340</v>
      </c>
      <c r="F10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2498.4199999999996</v>
      </c>
    </row>
    <row r="103" spans="1:6" x14ac:dyDescent="0.25">
      <c r="A103" s="59">
        <v>45736</v>
      </c>
      <c r="B103" t="s">
        <v>8</v>
      </c>
      <c r="C103">
        <v>3</v>
      </c>
      <c r="D103" s="75" cm="1">
        <f t="array" ref="D10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103" s="75">
        <v>1250</v>
      </c>
      <c r="F10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104" spans="1:6" x14ac:dyDescent="0.25">
      <c r="A104" s="59">
        <v>45737</v>
      </c>
      <c r="B104" t="s">
        <v>7</v>
      </c>
      <c r="C104">
        <v>1</v>
      </c>
      <c r="D104" s="75" cm="1">
        <f t="array" ref="D10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4" s="75">
        <v>720</v>
      </c>
      <c r="F10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5" spans="1:6" x14ac:dyDescent="0.25">
      <c r="A105" s="59">
        <v>45740</v>
      </c>
      <c r="B105" t="s">
        <v>7</v>
      </c>
      <c r="C105">
        <v>3</v>
      </c>
      <c r="D105" s="75" cm="1">
        <f t="array" ref="D10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105" s="75">
        <v>720</v>
      </c>
      <c r="F10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106" spans="1:6" x14ac:dyDescent="0.25">
      <c r="A106" s="59">
        <v>45740</v>
      </c>
      <c r="B106" t="s">
        <v>8</v>
      </c>
      <c r="C106">
        <v>1</v>
      </c>
      <c r="D106" s="75" cm="1">
        <f t="array" ref="D10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6" s="75">
        <v>1250</v>
      </c>
      <c r="F10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</sheetData>
  <conditionalFormatting sqref="A30:F106">
    <cfRule type="expression" dxfId="15" priority="14">
      <formula>MONTH($A30)&lt;&gt;MONTH($A31)</formula>
    </cfRule>
  </conditionalFormatting>
  <conditionalFormatting sqref="B30:F106">
    <cfRule type="expression" dxfId="14" priority="1">
      <formula>$B30="Есмарт АРМ"</formula>
    </cfRule>
    <cfRule type="expression" dxfId="13" priority="12">
      <formula>$B30="Есмарт"</formula>
    </cfRule>
    <cfRule type="expression" dxfId="12" priority="13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M47:M58 J47:J58" calculatedColumn="1"/>
  </ignoredErrors>
  <legacy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6"/>
  <dimension ref="A1:V111"/>
  <sheetViews>
    <sheetView zoomScale="90" zoomScaleNormal="90" workbookViewId="0">
      <selection activeCell="A110" sqref="A110:A111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2" customWidth="1"/>
    <col min="18" max="18" width="11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103</v>
      </c>
      <c r="S1" t="s">
        <v>104</v>
      </c>
    </row>
    <row r="2" spans="1:22" ht="15" customHeight="1" x14ac:dyDescent="0.25">
      <c r="A2" s="2">
        <f>SUMIF($C$7:$C$19,E2,$B$7:$B$19)</f>
        <v>237</v>
      </c>
      <c r="B2" s="2">
        <f>SUMIF(Продажи_Тол[Товар],E2,Продажи_Тол[Кол-во])</f>
        <v>174</v>
      </c>
      <c r="C2" s="2">
        <f>A2-B2</f>
        <v>63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100</v>
      </c>
      <c r="B3" s="2">
        <f>SUMIF(Продажи_Тол[Товар],E3,Продажи_Тол[Кол-во])</f>
        <v>76</v>
      </c>
      <c r="C3" s="2">
        <f t="shared" ref="C3:C4" si="1">A3-B3</f>
        <v>24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SUMIF(Продажи_Тол[Товар],E4,Продажи_Тол[Кол-во])</f>
        <v>4</v>
      </c>
      <c r="C4" s="2">
        <f t="shared" si="1"/>
        <v>24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SUMPRODUCT(1*ISNUMBER(SEARCH(J4,TEXT(Продажи_Тол[Дата],"ММММ"))),Продажи_Тол[Выручка])</f>
        <v>180000</v>
      </c>
      <c r="L4" s="64" cm="1">
        <f t="array" ref="L4">SUMPRODUCT(IFERROR(SEARCH($J4,TEXT(Продажи_Тол[Дата],"ММММ")),0),Продажи_Тол[Прибыль])-SUM(Q6:R6)</f>
        <v>105009.04</v>
      </c>
    </row>
    <row r="5" spans="1:22" ht="15.75" thickBot="1" x14ac:dyDescent="0.3">
      <c r="J5" s="2" t="s">
        <v>23</v>
      </c>
      <c r="K5" s="74" cm="1">
        <f t="array" ref="K5">SUMPRODUCT(1*ISNUMBER(SEARCH(J5,TEXT(Продажи_Тол[Дата],"ММММ"))),Продажи_Тол[Выручка])</f>
        <v>181200</v>
      </c>
      <c r="L5" s="64" cm="1">
        <f t="array" ref="L5">SUMPRODUCT(IFERROR(SEARCH($J5,TEXT(Продажи_Тол[Дата],"ММММ")),0),Продажи_Тол[Прибыль])-SUM(Q7:R7)</f>
        <v>90584.309999999983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SUMPRODUCT(1*ISNUMBER(SEARCH(J6,TEXT(Продажи_Тол[Дата],"ММММ"))),Продажи_Тол[Выручка])</f>
        <v>172280</v>
      </c>
      <c r="L6" s="64" cm="1">
        <f t="array" ref="L6">SUMPRODUCT(IFERROR(SEARCH($J6,TEXT(Продажи_Тол[Дата],"ММММ")),0),Продажи_Тол[Прибыль])-SUM(Q8:R8)</f>
        <v>88699.950000000012</v>
      </c>
      <c r="P6" s="12" t="s">
        <v>22</v>
      </c>
      <c r="Q6" s="64">
        <v>1192.49</v>
      </c>
      <c r="R6" s="69">
        <v>580.47</v>
      </c>
    </row>
    <row r="7" spans="1:22" x14ac:dyDescent="0.25">
      <c r="A7" s="24" t="s">
        <v>77</v>
      </c>
      <c r="B7" s="2">
        <v>37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SUMPRODUCT(1*ISNUMBER(SEARCH(J7,TEXT(Продажи_Тол[Дата],"ММММ"))),Продажи_Тол[Выручка])</f>
        <v>0</v>
      </c>
      <c r="L7" s="64" cm="1">
        <f t="array" ref="L7">SUMPRODUCT(IFERROR(SEARCH($J7,TEXT(Продажи_Тол[Дата],"ММММ")),0),Продажи_Тол[Прибыль])-SUM(Q9:R9)</f>
        <v>0</v>
      </c>
      <c r="P7" s="12" t="s">
        <v>23</v>
      </c>
      <c r="Q7" s="64">
        <v>1192.49</v>
      </c>
      <c r="R7" s="69"/>
    </row>
    <row r="8" spans="1:22" x14ac:dyDescent="0.25">
      <c r="A8" s="4">
        <v>45672</v>
      </c>
      <c r="B8" s="2">
        <v>150</v>
      </c>
      <c r="C8" s="2" t="s">
        <v>7</v>
      </c>
      <c r="D8" s="76">
        <v>720</v>
      </c>
      <c r="E8" s="2"/>
      <c r="J8" s="2" t="s">
        <v>69</v>
      </c>
      <c r="K8" s="74" cm="1">
        <f t="array" ref="K8">SUMPRODUCT(1*ISNUMBER(SEARCH(J8,TEXT(Продажи_Тол[Дата],"ММММ"))),Продажи_Тол[Выручка])</f>
        <v>0</v>
      </c>
      <c r="L8" s="64" cm="1">
        <f t="array" ref="L8">SUMPRODUCT(IFERROR(SEARCH($J8,TEXT(Продажи_Тол[Дата],"ММММ")),0),Продажи_Тол[Прибыль])-SUM(Q10:R10)</f>
        <v>0</v>
      </c>
      <c r="P8" s="12" t="s">
        <v>67</v>
      </c>
      <c r="Q8" s="64">
        <v>1192.49</v>
      </c>
      <c r="R8" s="69"/>
    </row>
    <row r="9" spans="1:22" x14ac:dyDescent="0.25">
      <c r="A9" s="4">
        <v>45694</v>
      </c>
      <c r="B9" s="2">
        <v>50</v>
      </c>
      <c r="C9" s="2" t="s">
        <v>8</v>
      </c>
      <c r="D9" s="76">
        <v>1250</v>
      </c>
      <c r="E9" s="2"/>
      <c r="J9" s="2" t="s">
        <v>70</v>
      </c>
      <c r="K9" s="74" cm="1">
        <f t="array" ref="K9">SUMPRODUCT(1*ISNUMBER(SEARCH(J9,TEXT(Продажи_Тол[Дата],"ММММ"))),Продажи_Тол[Выручка])</f>
        <v>0</v>
      </c>
      <c r="L9" s="64" cm="1">
        <f t="array" ref="L9">SUMPRODUCT(IFERROR(SEARCH($J9,TEXT(Продажи_Тол[Дата],"ММММ")),0),Продажи_Тол[Прибыль])-SUM(Q11:R11)</f>
        <v>0</v>
      </c>
      <c r="P9" s="12" t="s">
        <v>68</v>
      </c>
      <c r="Q9" s="64"/>
      <c r="R9" s="69"/>
    </row>
    <row r="10" spans="1:22" x14ac:dyDescent="0.25">
      <c r="A10" s="4">
        <v>45713</v>
      </c>
      <c r="B10" s="2">
        <v>50</v>
      </c>
      <c r="C10" s="2" t="s">
        <v>8</v>
      </c>
      <c r="D10" s="76">
        <v>1250</v>
      </c>
      <c r="E10" s="2"/>
      <c r="J10" s="2" t="s">
        <v>71</v>
      </c>
      <c r="K10" s="74" cm="1">
        <f t="array" ref="K10">SUMPRODUCT(1*ISNUMBER(SEARCH(J10,TEXT(Продажи_Тол[Дата],"ММММ"))),Продажи_Тол[Выручка])</f>
        <v>0</v>
      </c>
      <c r="L10" s="64" cm="1">
        <f t="array" ref="L10">SUMPRODUCT(IFERROR(SEARCH($J10,TEXT(Продажи_Тол[Дата],"ММММ")),0),Продажи_Тол[Прибыль])-SUM(Q12:R12)</f>
        <v>0</v>
      </c>
      <c r="P10" s="12" t="s">
        <v>69</v>
      </c>
      <c r="Q10" s="64"/>
      <c r="R10" s="69"/>
    </row>
    <row r="11" spans="1:22" x14ac:dyDescent="0.25">
      <c r="A11" s="4">
        <v>45715</v>
      </c>
      <c r="B11" s="2"/>
      <c r="C11" s="2"/>
      <c r="D11" s="76"/>
      <c r="E11" s="2" t="s">
        <v>109</v>
      </c>
      <c r="J11" s="2" t="s">
        <v>72</v>
      </c>
      <c r="K11" s="74" cm="1">
        <f t="array" ref="K11">SUMPRODUCT(1*ISNUMBER(SEARCH(J11,TEXT(Продажи_Тол[Дата],"ММММ"))),Продажи_Тол[Выручка])</f>
        <v>0</v>
      </c>
      <c r="L11" s="64" cm="1">
        <f t="array" ref="L11">SUMPRODUCT(IFERROR(SEARCH($J11,TEXT(Продажи_Тол[Дата],"ММММ")),0),Продажи_Тол[Прибыль])-SUM(Q13:R13)</f>
        <v>0</v>
      </c>
      <c r="P11" s="12" t="s">
        <v>70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125</v>
      </c>
      <c r="D12" s="76">
        <v>1340</v>
      </c>
      <c r="E12" s="2"/>
      <c r="J12" s="2" t="s">
        <v>76</v>
      </c>
      <c r="K12" s="74" cm="1">
        <f t="array" ref="K12">SUMPRODUCT(1*ISNUMBER(SEARCH(J12,TEXT(Продажи_Тол[Дата],"ММММ"))),Продажи_Тол[Выручка])</f>
        <v>0</v>
      </c>
      <c r="L12" s="64" cm="1">
        <f t="array" ref="L12">SUMPRODUCT(IFERROR(SEARCH($J12,TEXT(Продажи_Тол[Дата],"ММММ")),0),Продажи_Тол[Прибыль])-SUM(Q14:R14)</f>
        <v>0</v>
      </c>
      <c r="P12" s="12" t="s">
        <v>71</v>
      </c>
      <c r="Q12" s="64"/>
      <c r="R12" s="69"/>
    </row>
    <row r="13" spans="1:22" x14ac:dyDescent="0.25">
      <c r="A13" s="4">
        <v>45729</v>
      </c>
      <c r="B13" s="2">
        <v>50</v>
      </c>
      <c r="C13" s="2" t="s">
        <v>7</v>
      </c>
      <c r="D13" s="76">
        <v>720</v>
      </c>
      <c r="E13" s="2"/>
      <c r="J13" s="2" t="s">
        <v>78</v>
      </c>
      <c r="K13" s="74" cm="1">
        <f t="array" ref="K13">SUMPRODUCT(1*ISNUMBER(SEARCH(J13,TEXT(Продажи_Тол[Дата],"ММММ"))),Продажи_Тол[Выручка])</f>
        <v>0</v>
      </c>
      <c r="L13" s="64" cm="1">
        <f t="array" ref="L13">SUMPRODUCT(IFERROR(SEARCH($J13,TEXT(Продажи_Тол[Дата],"ММММ")),0),Продажи_Тол[Прибыль])-SUM(Q15:R15)</f>
        <v>0</v>
      </c>
      <c r="P13" s="12" t="s">
        <v>72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79</v>
      </c>
      <c r="K14" s="74" cm="1">
        <f t="array" ref="K14">SUMPRODUCT(1*ISNUMBER(SEARCH(J14,TEXT(Продажи_Тол[Дата],"ММММ"))),Продажи_Тол[Выручка])</f>
        <v>0</v>
      </c>
      <c r="L14" s="64" cm="1">
        <f t="array" ref="L14">SUMPRODUCT(IFERROR(SEARCH($J14,TEXT(Продажи_Тол[Дата],"ММММ")),0),Продажи_Тол[Прибыль])-SUM(Q16:R16)</f>
        <v>0</v>
      </c>
      <c r="P14" s="12" t="s">
        <v>76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80</v>
      </c>
      <c r="K15" s="74" cm="1">
        <f t="array" ref="K15">SUMPRODUCT(1*ISNUMBER(SEARCH(J15,TEXT(Продажи_Тол[Дата],"ММММ"))),Продажи_Тол[Выручка])</f>
        <v>0</v>
      </c>
      <c r="L15" s="64" cm="1">
        <f t="array" ref="L15">SUMPRODUCT(IFERROR(SEARCH($J15,TEXT(Продажи_Тол[Дата],"ММММ")),0),Продажи_Тол[Прибыль])-SUM(Q17:R17)</f>
        <v>0</v>
      </c>
      <c r="P15" s="12" t="s">
        <v>78</v>
      </c>
      <c r="Q15" s="64"/>
      <c r="R15" s="69"/>
    </row>
    <row r="16" spans="1:22" x14ac:dyDescent="0.25">
      <c r="A16" s="4"/>
      <c r="B16" s="2"/>
      <c r="C16" s="2"/>
      <c r="D16" s="76"/>
      <c r="E16" s="2"/>
      <c r="J16" s="2" t="s">
        <v>81</v>
      </c>
      <c r="K16" s="74">
        <f>SUM(K4:K15)</f>
        <v>533480</v>
      </c>
      <c r="L16" s="74">
        <f>SUM(L4:L15)</f>
        <v>284293.3</v>
      </c>
      <c r="P16" s="12" t="s">
        <v>79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80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16"/>
    </row>
    <row r="25" spans="1:18" x14ac:dyDescent="0.25">
      <c r="A25" s="26" t="s">
        <v>90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74</v>
      </c>
    </row>
    <row r="29" spans="1:18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3</v>
      </c>
      <c r="D30" s="77" cm="1">
        <f t="array" ref="D3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30" s="81">
        <v>795</v>
      </c>
      <c r="F3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3426.9</v>
      </c>
      <c r="I30" s="48" t="s">
        <v>22</v>
      </c>
      <c r="J30" s="54" cm="1">
        <f t="array" ref="J30">SUMPRODUCT(IFERROR(SEARCH(КолТол[[#This Row],[Месяц]],TEXT(Продажи_Тол[Дата],"ММММ")),0),--(Продажи_Тол[Товар]=КолТол[[#Headers],[Есмарт]]),Продажи_Тол[Кол-во])</f>
        <v>90</v>
      </c>
      <c r="K30" s="54" cm="1">
        <f t="array" ref="K3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0" s="54" cm="1">
        <f t="array" ref="L3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0" s="55">
        <f>SUM(J30:L30)</f>
        <v>90</v>
      </c>
    </row>
    <row r="31" spans="1:18" x14ac:dyDescent="0.25">
      <c r="A31" s="59">
        <v>45667</v>
      </c>
      <c r="B31" t="s">
        <v>7</v>
      </c>
      <c r="C31">
        <v>9</v>
      </c>
      <c r="D31" s="77" cm="1">
        <f t="array" ref="D3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1" s="81">
        <v>795</v>
      </c>
      <c r="F3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1" s="48" t="s">
        <v>23</v>
      </c>
      <c r="J31" s="54" cm="1">
        <f t="array" ref="J31">SUMPRODUCT(IFERROR(SEARCH(КолТол[[#This Row],[Месяц]],TEXT(Продажи_Тол[Дата],"ММММ")),0),--(Продажи_Тол[Товар]=КолТол[[#Headers],[Есмарт]]),Продажи_Тол[Кол-во])</f>
        <v>40</v>
      </c>
      <c r="K31" s="54" cm="1">
        <f t="array" ref="K31">SUMPRODUCT(IFERROR(SEARCH(КолТол[[#This Row],[Месяц]],TEXT(Продажи_Тол[Дата],"ММММ")),0),--(Продажи_Тол[Товар]=КолТол[[#Headers],[Рутокен]]),Продажи_Тол[Кол-во])</f>
        <v>44</v>
      </c>
      <c r="L31" s="54" cm="1">
        <f t="array" ref="L3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1" s="55">
        <f t="shared" ref="M31:M41" si="2">SUM(J31:L31)</f>
        <v>84</v>
      </c>
    </row>
    <row r="32" spans="1:18" x14ac:dyDescent="0.25">
      <c r="A32" s="59">
        <v>45670</v>
      </c>
      <c r="B32" t="s">
        <v>7</v>
      </c>
      <c r="C32">
        <v>1</v>
      </c>
      <c r="D32" s="77" cm="1">
        <f t="array" ref="D3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32" s="81">
        <v>795</v>
      </c>
      <c r="F3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1142.3</v>
      </c>
      <c r="I32" s="48" t="s">
        <v>67</v>
      </c>
      <c r="J32" s="54" cm="1">
        <f t="array" ref="J32">SUMPRODUCT(IFERROR(SEARCH(КолТол[[#This Row],[Месяц]],TEXT(Продажи_Тол[Дата],"ММММ")),0),--(Продажи_Тол[Товар]=КолТол[[#Headers],[Есмарт]]),Продажи_Тол[Кол-во])</f>
        <v>44</v>
      </c>
      <c r="K32" s="54" cm="1">
        <f t="array" ref="K32">SUMPRODUCT(IFERROR(SEARCH(КолТол[[#This Row],[Месяц]],TEXT(Продажи_Тол[Дата],"ММММ")),0),--(Продажи_Тол[Товар]=КолТол[[#Headers],[Рутокен]]),Продажи_Тол[Кол-во])</f>
        <v>32</v>
      </c>
      <c r="L32" s="54" cm="1">
        <f t="array" ref="L32">SUMPRODUCT(IFERROR(SEARCH(КолТол[[#This Row],[Месяц]],TEXT(Продажи_Тол[Дата],"ММММ")),0),--(Продажи_Тол[Товар]=КолТол[[#Headers],[Есмарт АРМ]]),Продажи_Тол[Кол-во])</f>
        <v>4</v>
      </c>
      <c r="M32" s="55">
        <f t="shared" si="2"/>
        <v>80</v>
      </c>
    </row>
    <row r="33" spans="1:13" x14ac:dyDescent="0.25">
      <c r="A33" s="59">
        <v>45671</v>
      </c>
      <c r="B33" t="s">
        <v>7</v>
      </c>
      <c r="C33">
        <v>9</v>
      </c>
      <c r="D33" s="77" cm="1">
        <f t="array" ref="D3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3" s="81">
        <v>795</v>
      </c>
      <c r="F3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3" s="48" t="s">
        <v>68</v>
      </c>
      <c r="J33" s="54" cm="1">
        <f t="array" ref="J33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3" s="54" cm="1">
        <f t="array" ref="K33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3" s="54" cm="1">
        <f t="array" ref="L33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7</v>
      </c>
      <c r="C34">
        <v>7</v>
      </c>
      <c r="D34" s="77" cm="1">
        <f t="array" ref="D3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4" s="81">
        <v>795</v>
      </c>
      <c r="F3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7996.1</v>
      </c>
      <c r="I34" s="48" t="s">
        <v>69</v>
      </c>
      <c r="J34" s="54" cm="1">
        <f t="array" ref="J34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4" s="54" cm="1">
        <f t="array" ref="K34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4" s="54" cm="1">
        <f t="array" ref="L34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6</v>
      </c>
      <c r="D35" s="77" cm="1">
        <f t="array" ref="D3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5" s="81">
        <v>795</v>
      </c>
      <c r="F3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6853.8</v>
      </c>
      <c r="I35" s="48" t="s">
        <v>70</v>
      </c>
      <c r="J35" s="54" cm="1">
        <f t="array" ref="J35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5" s="54" cm="1">
        <f t="array" ref="K35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5" s="54" cm="1">
        <f t="array" ref="L35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7</v>
      </c>
      <c r="D36" s="77" cm="1">
        <f t="array" ref="D3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6" s="81">
        <f>((5*720)+(2*795))/Продажи_Тол[[#This Row],[Кол-во]]</f>
        <v>741.42857142857144</v>
      </c>
      <c r="F3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8371.1</v>
      </c>
      <c r="I36" s="48" t="s">
        <v>71</v>
      </c>
      <c r="J36" s="54" cm="1">
        <f t="array" ref="J36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6" s="54" cm="1">
        <f t="array" ref="K36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6" s="54" cm="1">
        <f t="array" ref="L36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6</v>
      </c>
      <c r="D37" s="77" cm="1">
        <f t="array" ref="D3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7" s="77">
        <v>720</v>
      </c>
      <c r="F3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37" s="48" t="s">
        <v>72</v>
      </c>
      <c r="J37" s="54" cm="1">
        <f t="array" ref="J37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7" s="54" cm="1">
        <f t="array" ref="K37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7" s="54" cm="1">
        <f t="array" ref="L37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4</v>
      </c>
      <c r="D38" s="77" cm="1">
        <f t="array" ref="D3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38" s="77">
        <v>720</v>
      </c>
      <c r="F3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38" s="48" t="s">
        <v>76</v>
      </c>
      <c r="J38" s="54" cm="1">
        <f t="array" ref="J38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8" s="54" cm="1">
        <f t="array" ref="K38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8" s="54" cm="1">
        <f t="array" ref="L38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7</v>
      </c>
      <c r="C39">
        <v>5</v>
      </c>
      <c r="D39" s="77" cm="1">
        <f t="array" ref="D3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39" s="77">
        <v>720</v>
      </c>
      <c r="F3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39" s="48" t="s">
        <v>78</v>
      </c>
      <c r="J39" s="54" cm="1">
        <f t="array" ref="J39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9" s="54" cm="1">
        <f t="array" ref="K39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9" s="54" cm="1">
        <f t="array" ref="L39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4</v>
      </c>
      <c r="D40" s="77" cm="1">
        <f t="array" ref="D4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0" s="77">
        <v>720</v>
      </c>
      <c r="F4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0" s="48" t="s">
        <v>79</v>
      </c>
      <c r="J40" s="54" cm="1">
        <f t="array" ref="J40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0" s="54" cm="1">
        <f t="array" ref="K4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0" s="54" cm="1">
        <f t="array" ref="L4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6</v>
      </c>
      <c r="D41" s="77" cm="1">
        <f t="array" ref="D4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1" s="77">
        <v>720</v>
      </c>
      <c r="F4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1" s="48" t="s">
        <v>80</v>
      </c>
      <c r="J41" s="54" cm="1">
        <f t="array" ref="J41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1" s="54" cm="1">
        <f t="array" ref="K41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1" s="54" cm="1">
        <f t="array" ref="L4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5</v>
      </c>
      <c r="D42" s="77" cm="1">
        <f t="array" ref="D4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42" s="77">
        <v>720</v>
      </c>
      <c r="F4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42" s="52" t="s">
        <v>92</v>
      </c>
      <c r="J42" s="56">
        <f>SUM(J30:J41)</f>
        <v>174</v>
      </c>
      <c r="K42" s="56">
        <f t="shared" ref="K42:L42" si="3">SUM(K30:K41)</f>
        <v>76</v>
      </c>
      <c r="L42" s="56">
        <f t="shared" si="3"/>
        <v>4</v>
      </c>
      <c r="M42" s="57">
        <f>SUM(J42:L42)</f>
        <v>254</v>
      </c>
    </row>
    <row r="43" spans="1:13" x14ac:dyDescent="0.25">
      <c r="A43" s="59">
        <v>45685</v>
      </c>
      <c r="B43" t="s">
        <v>7</v>
      </c>
      <c r="C43">
        <v>9</v>
      </c>
      <c r="D43" s="77" cm="1">
        <f t="array" ref="D4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43" s="77">
        <v>720</v>
      </c>
      <c r="F4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10955.7</v>
      </c>
    </row>
    <row r="44" spans="1:13" x14ac:dyDescent="0.25">
      <c r="A44" s="59">
        <v>45686</v>
      </c>
      <c r="B44" t="s">
        <v>7</v>
      </c>
      <c r="C44">
        <v>3</v>
      </c>
      <c r="D44" s="77" cm="1">
        <f t="array" ref="D4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44" s="77">
        <v>720</v>
      </c>
      <c r="F4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45" spans="1:13" ht="15.75" x14ac:dyDescent="0.25">
      <c r="A45" s="59">
        <v>45687</v>
      </c>
      <c r="B45" t="s">
        <v>7</v>
      </c>
      <c r="C45">
        <v>4</v>
      </c>
      <c r="D45" s="77" cm="1">
        <f t="array" ref="D4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5" s="77">
        <v>720</v>
      </c>
      <c r="F4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5" s="53" t="s">
        <v>100</v>
      </c>
    </row>
    <row r="46" spans="1:13" x14ac:dyDescent="0.25">
      <c r="A46" s="59">
        <v>45688</v>
      </c>
      <c r="B46" t="s">
        <v>7</v>
      </c>
      <c r="C46">
        <v>2</v>
      </c>
      <c r="D46" s="77" cm="1">
        <f t="array" ref="D4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46" s="77">
        <v>720</v>
      </c>
      <c r="F4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7</v>
      </c>
      <c r="C47">
        <v>1</v>
      </c>
      <c r="D47" s="77" cm="1">
        <f t="array" ref="D4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47" s="77">
        <v>720</v>
      </c>
      <c r="F4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47" s="48" t="s">
        <v>22</v>
      </c>
      <c r="J47" s="58" cm="1">
        <f t="array" ref="J47">IFERROR(J30/SUMPRODUCT(IF(TEXT(_xlfn.UNIQUE(Продажи_Тол[Дата]),"ММММ")=$I47,1,0)),"")</f>
        <v>5.2941176470588234</v>
      </c>
      <c r="K47" s="58" cm="1">
        <f t="array" ref="K47">IFERROR(K30/SUMPRODUCT(IF(TEXT(_xlfn.UNIQUE(Продажи_Тол[Дата]),"ММММ")=$I47,1,0)),"")</f>
        <v>0</v>
      </c>
      <c r="L47" s="58">
        <f>L30/COUNT(_xlfn.UNIQUE(Продажи_Тол[Дата]))</f>
        <v>0</v>
      </c>
      <c r="M47" s="62" cm="1">
        <f t="array" ref="M47">IFERROR(M30/SUMPRODUCT(IF(TEXT(_xlfn.UNIQUE(Продажи_Тол[Дата]),"ММММ")=$I47,1,0)),"")</f>
        <v>5.2941176470588234</v>
      </c>
    </row>
    <row r="48" spans="1:13" x14ac:dyDescent="0.25">
      <c r="A48" s="59">
        <v>45692</v>
      </c>
      <c r="B48" t="s">
        <v>7</v>
      </c>
      <c r="C48">
        <v>4</v>
      </c>
      <c r="D48" s="77" cm="1">
        <f t="array" ref="D4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8" s="77">
        <v>720</v>
      </c>
      <c r="F4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8" s="48" t="s">
        <v>23</v>
      </c>
      <c r="J48" s="58" cm="1">
        <f t="array" ref="J48">IFERROR(J31/SUMPRODUCT(IF(TEXT(_xlfn.UNIQUE(Продажи_Тол[Дата]),"ММММ")=$I48,1,0)),"")</f>
        <v>2</v>
      </c>
      <c r="K48" s="58" cm="1">
        <f t="array" ref="K48">IFERROR(K31/SUMPRODUCT(IF(TEXT(_xlfn.UNIQUE(Продажи_Тол[Дата]),"ММММ")=$I48,1,0)),"")</f>
        <v>2.2000000000000002</v>
      </c>
      <c r="L48" s="58">
        <f>L31/COUNT(_xlfn.UNIQUE(Продажи_Тол[Дата]))</f>
        <v>0</v>
      </c>
      <c r="M48" s="62" cm="1">
        <f t="array" ref="M48">IFERROR(M31/SUMPRODUCT(IF(TEXT(_xlfn.UNIQUE(Продажи_Тол[Дата]),"ММММ")=$I48,1,0)),"")</f>
        <v>4.2</v>
      </c>
    </row>
    <row r="49" spans="1:13" x14ac:dyDescent="0.25">
      <c r="A49" s="59">
        <v>45693</v>
      </c>
      <c r="B49" t="s">
        <v>7</v>
      </c>
      <c r="C49">
        <v>6</v>
      </c>
      <c r="D49" s="77" cm="1">
        <f t="array" ref="D4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9" s="77">
        <v>720</v>
      </c>
      <c r="F4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9" s="48" t="s">
        <v>67</v>
      </c>
      <c r="J49" s="58" cm="1">
        <f t="array" ref="J49">IFERROR(J32/SUMPRODUCT(IF(TEXT(_xlfn.UNIQUE(Продажи_Тол[Дата]),"ММММ")=$I49,1,0)),"")</f>
        <v>2.75</v>
      </c>
      <c r="K49" s="58" cm="1">
        <f t="array" ref="K49">IFERROR(K32/SUMPRODUCT(IF(TEXT(_xlfn.UNIQUE(Продажи_Тол[Дата]),"ММММ")=$I49,1,0)),"")</f>
        <v>2</v>
      </c>
      <c r="L49" s="58">
        <f>L32/COUNT(_xlfn.UNIQUE(Продажи_Тол[Дата]))</f>
        <v>7.5471698113207544E-2</v>
      </c>
      <c r="M49" s="62" cm="1">
        <f t="array" ref="M49">IFERROR(M32/SUMPRODUCT(IF(TEXT(_xlfn.UNIQUE(Продажи_Тол[Дата]),"ММММ")=$I49,1,0)),"")</f>
        <v>5</v>
      </c>
    </row>
    <row r="50" spans="1:13" x14ac:dyDescent="0.25">
      <c r="A50" s="59">
        <v>45694</v>
      </c>
      <c r="B50" t="s">
        <v>7</v>
      </c>
      <c r="C50">
        <v>2</v>
      </c>
      <c r="D50" s="77" cm="1">
        <f t="array" ref="D5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0" s="77">
        <v>720</v>
      </c>
      <c r="F5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0" s="48" t="s">
        <v>68</v>
      </c>
      <c r="J50" s="58" t="str" cm="1">
        <f t="array" ref="J50">IFERROR(J33/SUMPRODUCT(IF(TEXT(_xlfn.UNIQUE(Продажи_Тол[Дата]),"ММММ")=$I50,1,0)),"")</f>
        <v/>
      </c>
      <c r="K50" s="58" t="str" cm="1">
        <f t="array" ref="K50">IFERROR(K33/SUMPRODUCT(IF(TEXT(_xlfn.UNIQUE(Продажи_Тол[Дата]),"ММММ")=$I50,1,0)),"")</f>
        <v/>
      </c>
      <c r="L50" s="58">
        <f>L33/COUNT(_xlfn.UNIQUE(Продажи_Тол[Дата]))</f>
        <v>0</v>
      </c>
      <c r="M50" s="62" t="str" cm="1">
        <f t="array" ref="M50">IFERROR(M33/SUMPRODUCT(IF(TEXT(_xlfn.UNIQUE(Продажи_Тол[Дата]),"ММММ")=$I50,1,0)),"")</f>
        <v/>
      </c>
    </row>
    <row r="51" spans="1:13" x14ac:dyDescent="0.25">
      <c r="A51" s="59">
        <v>45694</v>
      </c>
      <c r="B51" t="s">
        <v>8</v>
      </c>
      <c r="C51">
        <v>1</v>
      </c>
      <c r="D51" s="77" cm="1">
        <f t="array" ref="D5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51" s="77">
        <v>1250</v>
      </c>
      <c r="F5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  <c r="I51" s="48" t="s">
        <v>69</v>
      </c>
      <c r="J51" s="58" t="str" cm="1">
        <f t="array" ref="J51">IFERROR(J34/SUMPRODUCT(IF(TEXT(_xlfn.UNIQUE(Продажи_Тол[Дата]),"ММММ")=$I51,1,0)),"")</f>
        <v/>
      </c>
      <c r="K51" s="58" t="str" cm="1">
        <f t="array" ref="K51">IFERROR(K34/SUMPRODUCT(IF(TEXT(_xlfn.UNIQUE(Продажи_Тол[Дата]),"ММММ")=$I51,1,0)),"")</f>
        <v/>
      </c>
      <c r="L51" s="58">
        <f>L34/COUNT(_xlfn.UNIQUE(Продажи_Тол[Дата]))</f>
        <v>0</v>
      </c>
      <c r="M51" s="62" t="str" cm="1">
        <f t="array" ref="M51">IFERROR(M34/SUMPRODUCT(IF(TEXT(_xlfn.UNIQUE(Продажи_Тол[Дата]),"ММММ")=$I51,1,0)),"")</f>
        <v/>
      </c>
    </row>
    <row r="52" spans="1:13" x14ac:dyDescent="0.25">
      <c r="A52" s="59">
        <v>45695</v>
      </c>
      <c r="B52" t="s">
        <v>7</v>
      </c>
      <c r="C52">
        <v>1</v>
      </c>
      <c r="D52" s="77" cm="1">
        <f t="array" ref="D5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52" s="77">
        <v>720</v>
      </c>
      <c r="F5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52" s="48" t="s">
        <v>70</v>
      </c>
      <c r="J52" s="58" t="str" cm="1">
        <f t="array" ref="J52">IFERROR(J35/SUMPRODUCT(IF(TEXT(_xlfn.UNIQUE(Продажи_Тол[Дата]),"ММММ")=$I52,1,0)),"")</f>
        <v/>
      </c>
      <c r="K52" s="58" t="str" cm="1">
        <f t="array" ref="K52">IFERROR(K35/SUMPRODUCT(IF(TEXT(_xlfn.UNIQUE(Продажи_Тол[Дата]),"ММММ")=$I52,1,0)),"")</f>
        <v/>
      </c>
      <c r="L52" s="58">
        <f>L35/COUNT(_xlfn.UNIQUE(Продажи_Тол[Дата]))</f>
        <v>0</v>
      </c>
      <c r="M52" s="62" t="str" cm="1">
        <f t="array" ref="M52">IFERROR(M35/SUMPRODUCT(IF(TEXT(_xlfn.UNIQUE(Продажи_Тол[Дата]),"ММММ")=$I52,1,0)),"")</f>
        <v/>
      </c>
    </row>
    <row r="53" spans="1:13" x14ac:dyDescent="0.25">
      <c r="A53" s="59">
        <v>45698</v>
      </c>
      <c r="B53" t="s">
        <v>7</v>
      </c>
      <c r="C53">
        <v>4</v>
      </c>
      <c r="D53" s="77" cm="1">
        <f t="array" ref="D5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53" s="77">
        <v>720</v>
      </c>
      <c r="F5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53" s="48" t="s">
        <v>71</v>
      </c>
      <c r="J53" s="58" t="str" cm="1">
        <f t="array" ref="J53">IFERROR(J36/SUMPRODUCT(IF(TEXT(_xlfn.UNIQUE(Продажи_Тол[Дата]),"ММММ")=$I53,1,0)),"")</f>
        <v/>
      </c>
      <c r="K53" s="58" t="str" cm="1">
        <f t="array" ref="K53">IFERROR(K36/SUMPRODUCT(IF(TEXT(_xlfn.UNIQUE(Продажи_Тол[Дата]),"ММММ")=$I53,1,0)),"")</f>
        <v/>
      </c>
      <c r="L53" s="58">
        <f>L36/COUNT(_xlfn.UNIQUE(Продажи_Тол[Дата]))</f>
        <v>0</v>
      </c>
      <c r="M53" s="62" t="str" cm="1">
        <f t="array" ref="M53">IFERROR(M36/SUMPRODUCT(IF(TEXT(_xlfn.UNIQUE(Продажи_Тол[Дата]),"ММММ")=$I53,1,0)),"")</f>
        <v/>
      </c>
    </row>
    <row r="54" spans="1:13" x14ac:dyDescent="0.25">
      <c r="A54" s="59">
        <v>45698</v>
      </c>
      <c r="B54" t="s">
        <v>8</v>
      </c>
      <c r="C54">
        <v>3</v>
      </c>
      <c r="D54" s="77" cm="1">
        <f t="array" ref="D5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4" s="77">
        <v>1250</v>
      </c>
      <c r="F5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4" s="48" t="s">
        <v>72</v>
      </c>
      <c r="J54" s="58" t="str" cm="1">
        <f t="array" ref="J54">IFERROR(J37/SUMPRODUCT(IF(TEXT(_xlfn.UNIQUE(Продажи_Тол[Дата]),"ММММ")=$I54,1,0)),"")</f>
        <v/>
      </c>
      <c r="K54" s="58" t="str" cm="1">
        <f t="array" ref="K54">IFERROR(K37/SUMPRODUCT(IF(TEXT(_xlfn.UNIQUE(Продажи_Тол[Дата]),"ММММ")=$I54,1,0)),"")</f>
        <v/>
      </c>
      <c r="L54" s="58">
        <f>L37/COUNT(_xlfn.UNIQUE(Продажи_Тол[Дата]))</f>
        <v>0</v>
      </c>
      <c r="M54" s="62" t="str" cm="1">
        <f t="array" ref="M54">IFERROR(M37/SUMPRODUCT(IF(TEXT(_xlfn.UNIQUE(Продажи_Тол[Дата]),"ММММ")=$I54,1,0)),"")</f>
        <v/>
      </c>
    </row>
    <row r="55" spans="1:13" x14ac:dyDescent="0.25">
      <c r="A55" s="59">
        <v>45699</v>
      </c>
      <c r="B55" t="s">
        <v>7</v>
      </c>
      <c r="C55">
        <v>3</v>
      </c>
      <c r="D55" s="77" cm="1">
        <f t="array" ref="D5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55" s="77">
        <v>720</v>
      </c>
      <c r="F5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  <c r="I55" s="48" t="s">
        <v>76</v>
      </c>
      <c r="J55" s="58" t="str" cm="1">
        <f t="array" ref="J55">IFERROR(J38/SUMPRODUCT(IF(TEXT(_xlfn.UNIQUE(Продажи_Тол[Дата]),"ММММ")=$I55,1,0)),"")</f>
        <v/>
      </c>
      <c r="K55" s="58" t="str" cm="1">
        <f t="array" ref="K55">IFERROR(K38/SUMPRODUCT(IF(TEXT(_xlfn.UNIQUE(Продажи_Тол[Дата]),"ММММ")=$I55,1,0)),"")</f>
        <v/>
      </c>
      <c r="L55" s="58">
        <f>L38/COUNT(_xlfn.UNIQUE(Продажи_Тол[Дата]))</f>
        <v>0</v>
      </c>
      <c r="M55" s="62" t="str" cm="1">
        <f t="array" ref="M55">IFERROR(M38/SUMPRODUCT(IF(TEXT(_xlfn.UNIQUE(Продажи_Тол[Дата]),"ММММ")=$I55,1,0)),"")</f>
        <v/>
      </c>
    </row>
    <row r="56" spans="1:13" x14ac:dyDescent="0.25">
      <c r="A56" s="59">
        <v>45699</v>
      </c>
      <c r="B56" t="s">
        <v>8</v>
      </c>
      <c r="C56">
        <v>4</v>
      </c>
      <c r="D56" s="77" cm="1">
        <f t="array" ref="D5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9200</v>
      </c>
      <c r="E56" s="77">
        <v>1250</v>
      </c>
      <c r="F5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3916.8</v>
      </c>
      <c r="I56" s="48" t="s">
        <v>78</v>
      </c>
      <c r="J56" s="58" t="str" cm="1">
        <f t="array" ref="J56">IFERROR(J39/SUMPRODUCT(IF(TEXT(_xlfn.UNIQUE(Продажи_Тол[Дата]),"ММММ")=$I56,1,0)),"")</f>
        <v/>
      </c>
      <c r="K56" s="58" t="str" cm="1">
        <f t="array" ref="K56">IFERROR(K39/SUMPRODUCT(IF(TEXT(_xlfn.UNIQUE(Продажи_Тол[Дата]),"ММММ")=$I56,1,0)),"")</f>
        <v/>
      </c>
      <c r="L56" s="58">
        <f>L39/COUNT(_xlfn.UNIQUE(Продажи_Тол[Дата]))</f>
        <v>0</v>
      </c>
      <c r="M56" s="62" t="str" cm="1">
        <f t="array" ref="M56">IFERROR(M39/SUMPRODUCT(IF(TEXT(_xlfn.UNIQUE(Продажи_Тол[Дата]),"ММММ")=$I56,1,0)),"")</f>
        <v/>
      </c>
    </row>
    <row r="57" spans="1:13" x14ac:dyDescent="0.25">
      <c r="A57" s="59">
        <v>45700</v>
      </c>
      <c r="B57" t="s">
        <v>7</v>
      </c>
      <c r="C57">
        <v>2</v>
      </c>
      <c r="D57" s="77" cm="1">
        <f t="array" ref="D5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7" s="77">
        <v>720</v>
      </c>
      <c r="F5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7" s="48" t="s">
        <v>79</v>
      </c>
      <c r="J57" s="58" t="str" cm="1">
        <f t="array" ref="J57">IFERROR(J40/SUMPRODUCT(IF(TEXT(_xlfn.UNIQUE(Продажи_Тол[Дата]),"ММММ")=$I57,1,0)),"")</f>
        <v/>
      </c>
      <c r="K57" s="58" t="str" cm="1">
        <f t="array" ref="K57">IFERROR(K40/SUMPRODUCT(IF(TEXT(_xlfn.UNIQUE(Продажи_Тол[Дата]),"ММММ")=$I57,1,0)),"")</f>
        <v/>
      </c>
      <c r="L57" s="58">
        <f>L40/COUNT(_xlfn.UNIQUE(Продажи_Тол[Дата]))</f>
        <v>0</v>
      </c>
      <c r="M57" s="62" t="str" cm="1">
        <f t="array" ref="M57">IFERROR(M40/SUMPRODUCT(IF(TEXT(_xlfn.UNIQUE(Продажи_Тол[Дата]),"ММММ")=$I57,1,0)),"")</f>
        <v/>
      </c>
    </row>
    <row r="58" spans="1:13" x14ac:dyDescent="0.25">
      <c r="A58" s="59">
        <v>45700</v>
      </c>
      <c r="B58" t="s">
        <v>8</v>
      </c>
      <c r="C58">
        <v>3</v>
      </c>
      <c r="D58" s="77" cm="1">
        <f t="array" ref="D5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8" s="77">
        <v>1250</v>
      </c>
      <c r="F5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8" s="48" t="s">
        <v>80</v>
      </c>
      <c r="J58" s="58" t="str" cm="1">
        <f t="array" ref="J58">IFERROR(J41/SUMPRODUCT(IF(TEXT(_xlfn.UNIQUE(Продажи_Тол[Дата]),"ММММ")=$I58,1,0)),"")</f>
        <v/>
      </c>
      <c r="K58" s="58" t="str" cm="1">
        <f t="array" ref="K58">IFERROR(K41/SUMPRODUCT(IF(TEXT(_xlfn.UNIQUE(Продажи_Тол[Дата]),"ММММ")=$I58,1,0)),"")</f>
        <v/>
      </c>
      <c r="L58" s="58">
        <f>L41/COUNT(_xlfn.UNIQUE(Продажи_Тол[Дата]))</f>
        <v>0</v>
      </c>
      <c r="M58" s="62" t="str" cm="1">
        <f t="array" ref="M58">IFERROR(M41/SUMPRODUCT(IF(TEXT(_xlfn.UNIQUE(Продажи_Тол[Дата]),"ММММ")=$I58,1,0)),"")</f>
        <v/>
      </c>
    </row>
    <row r="59" spans="1:13" x14ac:dyDescent="0.25">
      <c r="A59" s="59">
        <v>45701</v>
      </c>
      <c r="B59" t="s">
        <v>8</v>
      </c>
      <c r="C59">
        <v>8</v>
      </c>
      <c r="D59" s="77" cm="1">
        <f t="array" ref="D5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18400</v>
      </c>
      <c r="E59" s="77">
        <v>1250</v>
      </c>
      <c r="F5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7833.6</v>
      </c>
      <c r="I59" s="52" t="s">
        <v>92</v>
      </c>
      <c r="J59" s="60">
        <f>J42/COUNT(_xlfn.UNIQUE(Продажи_Тол[Дата]))</f>
        <v>3.2830188679245285</v>
      </c>
      <c r="K59" s="60">
        <f>K42/COUNT(_xlfn.UNIQUE(Продажи_Тол[Дата]))</f>
        <v>1.4339622641509433</v>
      </c>
      <c r="L59" s="60">
        <f>L42/COUNT(_xlfn.UNIQUE(Продажи_Тол[Дата]))</f>
        <v>7.5471698113207544E-2</v>
      </c>
      <c r="M59" s="60">
        <f>M42/COUNT(_xlfn.UNIQUE(Продажи_Тол[Дата]))</f>
        <v>4.7924528301886795</v>
      </c>
    </row>
    <row r="60" spans="1:13" x14ac:dyDescent="0.25">
      <c r="A60" s="59">
        <v>45701</v>
      </c>
      <c r="B60" t="s">
        <v>7</v>
      </c>
      <c r="C60">
        <v>3</v>
      </c>
      <c r="D60" s="77" cm="1">
        <f t="array" ref="D6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0" s="77">
        <v>720</v>
      </c>
      <c r="F6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1" spans="1:13" x14ac:dyDescent="0.25">
      <c r="A61" s="59">
        <v>45702</v>
      </c>
      <c r="B61" t="s">
        <v>7</v>
      </c>
      <c r="C61">
        <v>3</v>
      </c>
      <c r="D61" s="77" cm="1">
        <f t="array" ref="D6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1" s="77">
        <v>720</v>
      </c>
      <c r="F6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2" spans="1:13" x14ac:dyDescent="0.25">
      <c r="A62" s="59">
        <v>45702</v>
      </c>
      <c r="B62" t="s">
        <v>8</v>
      </c>
      <c r="C62">
        <v>1</v>
      </c>
      <c r="D62" s="77" cm="1">
        <f t="array" ref="D6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2" s="77">
        <v>1250</v>
      </c>
      <c r="F6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3" spans="1:13" x14ac:dyDescent="0.25">
      <c r="A63" s="59">
        <v>45705</v>
      </c>
      <c r="B63" t="s">
        <v>7</v>
      </c>
      <c r="C63">
        <v>2</v>
      </c>
      <c r="D63" s="77" cm="1">
        <f t="array" ref="D6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3" s="77">
        <v>720</v>
      </c>
      <c r="F6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4" spans="1:13" x14ac:dyDescent="0.25">
      <c r="A64" s="59">
        <v>45706</v>
      </c>
      <c r="B64" t="s">
        <v>7</v>
      </c>
      <c r="C64">
        <v>3</v>
      </c>
      <c r="D64" s="77" cm="1">
        <f t="array" ref="D6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4" s="77">
        <v>720</v>
      </c>
      <c r="F6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5" spans="1:6" x14ac:dyDescent="0.25">
      <c r="A65" s="59">
        <v>45706</v>
      </c>
      <c r="B65" t="s">
        <v>8</v>
      </c>
      <c r="C65">
        <v>3</v>
      </c>
      <c r="D65" s="77" cm="1">
        <f t="array" ref="D6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65" s="77">
        <v>1250</v>
      </c>
      <c r="F6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66" spans="1:6" x14ac:dyDescent="0.25">
      <c r="A66" s="59">
        <v>45707</v>
      </c>
      <c r="B66" t="s">
        <v>8</v>
      </c>
      <c r="C66">
        <v>1</v>
      </c>
      <c r="D66" s="77" cm="1">
        <f t="array" ref="D6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6" s="77">
        <v>1250</v>
      </c>
      <c r="F6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7" spans="1:6" x14ac:dyDescent="0.25">
      <c r="A67" s="59">
        <v>45707</v>
      </c>
      <c r="B67" t="s">
        <v>7</v>
      </c>
      <c r="C67">
        <v>1</v>
      </c>
      <c r="D67" s="77" cm="1">
        <f t="array" ref="D6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67" s="77">
        <v>720</v>
      </c>
      <c r="F6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68" spans="1:6" x14ac:dyDescent="0.25">
      <c r="A68" s="59">
        <v>45708</v>
      </c>
      <c r="B68" t="s">
        <v>7</v>
      </c>
      <c r="C68">
        <v>2</v>
      </c>
      <c r="D68" s="77" cm="1">
        <f t="array" ref="D6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8" s="77">
        <v>720</v>
      </c>
      <c r="F6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9" spans="1:6" x14ac:dyDescent="0.25">
      <c r="A69" s="59">
        <v>45708</v>
      </c>
      <c r="B69" t="s">
        <v>8</v>
      </c>
      <c r="C69">
        <v>1</v>
      </c>
      <c r="D69" s="77" cm="1">
        <f t="array" ref="D6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9" s="77">
        <v>1250</v>
      </c>
      <c r="F6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70" spans="1:6" x14ac:dyDescent="0.25">
      <c r="A70" s="59">
        <v>45709</v>
      </c>
      <c r="B70" t="s">
        <v>8</v>
      </c>
      <c r="C70">
        <v>3</v>
      </c>
      <c r="D70" s="77" cm="1">
        <f t="array" ref="D7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0" s="77">
        <v>1250</v>
      </c>
      <c r="F7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1" spans="1:6" x14ac:dyDescent="0.25">
      <c r="A71" s="59">
        <v>45712</v>
      </c>
      <c r="B71" t="s">
        <v>8</v>
      </c>
      <c r="C71">
        <v>2</v>
      </c>
      <c r="D71" s="77" cm="1">
        <f t="array" ref="D7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1" s="77">
        <v>1250</v>
      </c>
      <c r="F7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2" spans="1:6" x14ac:dyDescent="0.25">
      <c r="A72" s="59">
        <v>45713</v>
      </c>
      <c r="B72" t="s">
        <v>8</v>
      </c>
      <c r="C72">
        <v>3</v>
      </c>
      <c r="D72" s="77" cm="1">
        <f t="array" ref="D7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2" s="77">
        <v>1250</v>
      </c>
      <c r="F7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3" spans="1:6" x14ac:dyDescent="0.25">
      <c r="A73" s="59">
        <v>45714</v>
      </c>
      <c r="B73" t="s">
        <v>8</v>
      </c>
      <c r="C73">
        <v>2</v>
      </c>
      <c r="D73" s="77" cm="1">
        <f t="array" ref="D7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3" s="77">
        <v>1250</v>
      </c>
      <c r="F7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4" spans="1:6" x14ac:dyDescent="0.25">
      <c r="A74" s="59">
        <v>45714</v>
      </c>
      <c r="B74" t="s">
        <v>7</v>
      </c>
      <c r="C74">
        <v>1</v>
      </c>
      <c r="D74" s="77" cm="1">
        <f t="array" ref="D7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74" s="77">
        <v>720</v>
      </c>
      <c r="F7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75" spans="1:6" x14ac:dyDescent="0.25">
      <c r="A75" s="59">
        <v>45715</v>
      </c>
      <c r="B75" t="s">
        <v>8</v>
      </c>
      <c r="C75">
        <v>2</v>
      </c>
      <c r="D75" s="77" cm="1">
        <f t="array" ref="D7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5" s="77">
        <v>1250</v>
      </c>
      <c r="F7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6" spans="1:6" x14ac:dyDescent="0.25">
      <c r="A76" s="59">
        <v>45716</v>
      </c>
      <c r="B76" t="s">
        <v>8</v>
      </c>
      <c r="C76">
        <v>7</v>
      </c>
      <c r="D76" s="77" cm="1">
        <f t="array" ref="D7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16100</v>
      </c>
      <c r="E76" s="77">
        <v>1250</v>
      </c>
      <c r="F7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6854.4</v>
      </c>
    </row>
    <row r="77" spans="1:6" x14ac:dyDescent="0.25">
      <c r="A77" s="59">
        <v>45716</v>
      </c>
      <c r="B77" t="s">
        <v>7</v>
      </c>
      <c r="C77">
        <v>2</v>
      </c>
      <c r="D77" s="77" cm="1">
        <f t="array" ref="D7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7" s="77">
        <v>720</v>
      </c>
      <c r="F7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8" spans="1:6" x14ac:dyDescent="0.25">
      <c r="A78" s="59">
        <v>45719</v>
      </c>
      <c r="B78" t="s">
        <v>7</v>
      </c>
      <c r="C78">
        <v>2</v>
      </c>
      <c r="D78" s="77" cm="1">
        <f t="array" ref="D7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8" s="77">
        <v>720</v>
      </c>
      <c r="F7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9" spans="1:6" x14ac:dyDescent="0.25">
      <c r="A79" s="59">
        <v>45719</v>
      </c>
      <c r="B79" t="s">
        <v>8</v>
      </c>
      <c r="C79">
        <v>1</v>
      </c>
      <c r="D79" s="77" cm="1">
        <f t="array" ref="D7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79" s="77">
        <v>1250</v>
      </c>
      <c r="F7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0" spans="1:6" x14ac:dyDescent="0.25">
      <c r="A80" s="59">
        <v>45720</v>
      </c>
      <c r="B80" t="s">
        <v>8</v>
      </c>
      <c r="C80">
        <v>2</v>
      </c>
      <c r="D80" s="77" cm="1">
        <f t="array" ref="D8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0" s="77">
        <v>1250</v>
      </c>
      <c r="F8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1" spans="1:6" x14ac:dyDescent="0.25">
      <c r="A81" s="59">
        <v>45720</v>
      </c>
      <c r="B81" t="s">
        <v>7</v>
      </c>
      <c r="C81">
        <v>4</v>
      </c>
      <c r="D81" s="77" cm="1">
        <f t="array" ref="D8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81" s="77">
        <v>720</v>
      </c>
      <c r="F8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</row>
    <row r="82" spans="1:6" x14ac:dyDescent="0.25">
      <c r="A82" s="59">
        <v>45721</v>
      </c>
      <c r="B82" t="s">
        <v>7</v>
      </c>
      <c r="C82">
        <v>8</v>
      </c>
      <c r="D82" s="77" cm="1">
        <f t="array" ref="D8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16000</v>
      </c>
      <c r="E82" s="77">
        <v>720</v>
      </c>
      <c r="F8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9738.4</v>
      </c>
    </row>
    <row r="83" spans="1:6" x14ac:dyDescent="0.25">
      <c r="A83" s="59">
        <v>45721</v>
      </c>
      <c r="B83" t="s">
        <v>8</v>
      </c>
      <c r="C83">
        <v>2</v>
      </c>
      <c r="D83" s="77" cm="1">
        <f t="array" ref="D8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3" s="77">
        <v>1250</v>
      </c>
      <c r="F8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4" spans="1:6" x14ac:dyDescent="0.25">
      <c r="A84" s="59">
        <v>45722</v>
      </c>
      <c r="B84" t="s">
        <v>7</v>
      </c>
      <c r="C84">
        <v>3</v>
      </c>
      <c r="D84" s="77" cm="1">
        <f t="array" ref="D8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4" s="77">
        <v>720</v>
      </c>
      <c r="F8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5" spans="1:6" x14ac:dyDescent="0.25">
      <c r="A85" s="59">
        <v>45722</v>
      </c>
      <c r="B85" t="s">
        <v>8</v>
      </c>
      <c r="C85">
        <v>2</v>
      </c>
      <c r="D85" s="77" cm="1">
        <f t="array" ref="D8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5" s="77">
        <v>1250</v>
      </c>
      <c r="F8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6" spans="1:6" x14ac:dyDescent="0.25">
      <c r="A86" s="59">
        <v>45723</v>
      </c>
      <c r="B86" t="s">
        <v>8</v>
      </c>
      <c r="C86">
        <v>1</v>
      </c>
      <c r="D86" s="77" cm="1">
        <f t="array" ref="D8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86" s="77">
        <v>1250</v>
      </c>
      <c r="F8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7" spans="1:6" x14ac:dyDescent="0.25">
      <c r="A87" s="59">
        <v>45726</v>
      </c>
      <c r="B87" t="s">
        <v>7</v>
      </c>
      <c r="C87">
        <v>3</v>
      </c>
      <c r="D87" s="77" cm="1">
        <f t="array" ref="D8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7" s="77">
        <v>720</v>
      </c>
      <c r="F8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8" spans="1:6" x14ac:dyDescent="0.25">
      <c r="A88" s="59">
        <v>45726</v>
      </c>
      <c r="B88" t="s">
        <v>8</v>
      </c>
      <c r="C88">
        <v>2</v>
      </c>
      <c r="D88" s="77" cm="1">
        <f t="array" ref="D8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8" s="77">
        <v>1250</v>
      </c>
      <c r="F8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9" spans="1:6" x14ac:dyDescent="0.25">
      <c r="A89" s="59">
        <v>45727</v>
      </c>
      <c r="B89" t="s">
        <v>8</v>
      </c>
      <c r="C89">
        <v>2</v>
      </c>
      <c r="D89" s="77" cm="1">
        <f t="array" ref="D8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9" s="77">
        <v>1250</v>
      </c>
      <c r="F8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0" spans="1:6" x14ac:dyDescent="0.25">
      <c r="A90" s="59">
        <v>45727</v>
      </c>
      <c r="B90" t="s">
        <v>7</v>
      </c>
      <c r="C90">
        <v>2</v>
      </c>
      <c r="D90" s="77" cm="1">
        <f t="array" ref="D9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90" s="77">
        <v>720</v>
      </c>
      <c r="F9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91" spans="1:6" x14ac:dyDescent="0.25">
      <c r="A91" s="59">
        <v>45728</v>
      </c>
      <c r="B91" t="s">
        <v>7</v>
      </c>
      <c r="C91">
        <v>5</v>
      </c>
      <c r="D91" s="77" cm="1">
        <f t="array" ref="D9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91" s="77">
        <v>720</v>
      </c>
      <c r="F9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</row>
    <row r="92" spans="1:6" x14ac:dyDescent="0.25">
      <c r="A92" s="59">
        <v>45728</v>
      </c>
      <c r="B92" t="s">
        <v>8</v>
      </c>
      <c r="C92">
        <v>2</v>
      </c>
      <c r="D92" s="77" cm="1">
        <f t="array" ref="D9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2" s="77">
        <v>1250</v>
      </c>
      <c r="F9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3" spans="1:6" x14ac:dyDescent="0.25">
      <c r="A93" s="59">
        <v>45729</v>
      </c>
      <c r="B93" t="s">
        <v>8</v>
      </c>
      <c r="C93">
        <v>2</v>
      </c>
      <c r="D93" s="77" cm="1">
        <f t="array" ref="D9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3" s="77">
        <v>1250</v>
      </c>
      <c r="F9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4" spans="1:6" x14ac:dyDescent="0.25">
      <c r="A94" s="59">
        <v>45729</v>
      </c>
      <c r="B94" t="s">
        <v>7</v>
      </c>
      <c r="C94">
        <v>1</v>
      </c>
      <c r="D94" s="77" cm="1">
        <f t="array" ref="D9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94" s="77">
        <v>720</v>
      </c>
      <c r="F9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95" spans="1:6" x14ac:dyDescent="0.25">
      <c r="A95" s="59">
        <v>45730</v>
      </c>
      <c r="B95" t="s">
        <v>7</v>
      </c>
      <c r="C95">
        <v>3</v>
      </c>
      <c r="D95" s="77" cm="1">
        <f t="array" ref="D9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5" s="77">
        <v>720</v>
      </c>
      <c r="F9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6" spans="1:6" x14ac:dyDescent="0.25">
      <c r="A96" s="59">
        <v>45730</v>
      </c>
      <c r="B96" t="s">
        <v>8</v>
      </c>
      <c r="C96">
        <v>5</v>
      </c>
      <c r="D96" s="77" cm="1">
        <f t="array" ref="D9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11500</v>
      </c>
      <c r="E96" s="77">
        <v>1250</v>
      </c>
      <c r="F9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4896</v>
      </c>
    </row>
    <row r="97" spans="1:6" x14ac:dyDescent="0.25">
      <c r="A97" s="59">
        <v>45730</v>
      </c>
      <c r="B97" s="2" t="s">
        <v>125</v>
      </c>
      <c r="C97">
        <v>1</v>
      </c>
      <c r="D97" s="77" cm="1">
        <f t="array" ref="D9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97" s="77">
        <v>1340</v>
      </c>
      <c r="F9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98" spans="1:6" x14ac:dyDescent="0.25">
      <c r="A98" s="59">
        <v>45733</v>
      </c>
      <c r="B98" t="s">
        <v>7</v>
      </c>
      <c r="C98">
        <v>3</v>
      </c>
      <c r="D98" s="77" cm="1">
        <f t="array" ref="D9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8" s="77">
        <v>720</v>
      </c>
      <c r="F9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9" spans="1:6" x14ac:dyDescent="0.25">
      <c r="A99" s="59">
        <v>45733</v>
      </c>
      <c r="B99" t="s">
        <v>8</v>
      </c>
      <c r="C99">
        <v>1</v>
      </c>
      <c r="D99" s="77" cm="1">
        <f t="array" ref="D9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99" s="77">
        <v>1250</v>
      </c>
      <c r="F9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0" spans="1:6" x14ac:dyDescent="0.25">
      <c r="A100" s="59">
        <v>45734</v>
      </c>
      <c r="B100" t="s">
        <v>8</v>
      </c>
      <c r="C100">
        <v>2</v>
      </c>
      <c r="D100" s="77" cm="1">
        <f t="array" ref="D10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00" s="77">
        <v>1250</v>
      </c>
      <c r="F10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01" spans="1:6" x14ac:dyDescent="0.25">
      <c r="A101" s="59">
        <v>45734</v>
      </c>
      <c r="B101" t="s">
        <v>125</v>
      </c>
      <c r="C101">
        <v>1</v>
      </c>
      <c r="D101" s="77" cm="1">
        <f t="array" ref="D10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1" s="77">
        <v>1340</v>
      </c>
      <c r="F10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02" spans="1:6" x14ac:dyDescent="0.25">
      <c r="A102" s="59">
        <v>45734</v>
      </c>
      <c r="B102" t="s">
        <v>7</v>
      </c>
      <c r="C102">
        <v>3</v>
      </c>
      <c r="D102" s="77" cm="1">
        <f t="array" ref="D10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2" s="77">
        <v>720</v>
      </c>
      <c r="F10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3" spans="1:6" x14ac:dyDescent="0.25">
      <c r="A103" s="59">
        <v>45735</v>
      </c>
      <c r="B103" t="s">
        <v>8</v>
      </c>
      <c r="C103">
        <v>1</v>
      </c>
      <c r="D103" s="77" cm="1">
        <f t="array" ref="D10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3" s="77">
        <v>1250</v>
      </c>
      <c r="F10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4" spans="1:6" x14ac:dyDescent="0.25">
      <c r="A104" s="59">
        <v>45735</v>
      </c>
      <c r="B104" t="s">
        <v>7</v>
      </c>
      <c r="C104">
        <v>2</v>
      </c>
      <c r="D104" s="77" cm="1">
        <f t="array" ref="D10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104" s="77">
        <v>720</v>
      </c>
      <c r="F10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105" spans="1:6" x14ac:dyDescent="0.25">
      <c r="A105" s="59">
        <v>45736</v>
      </c>
      <c r="B105" t="s">
        <v>7</v>
      </c>
      <c r="C105">
        <v>3</v>
      </c>
      <c r="D105" s="77" cm="1">
        <f t="array" ref="D10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5" s="77">
        <v>720</v>
      </c>
      <c r="F10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6" spans="1:6" x14ac:dyDescent="0.25">
      <c r="A106" s="59">
        <v>45736</v>
      </c>
      <c r="B106" t="s">
        <v>8</v>
      </c>
      <c r="C106">
        <v>1</v>
      </c>
      <c r="D106" s="77" cm="1">
        <f t="array" ref="D10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6" s="77">
        <v>1250</v>
      </c>
      <c r="F10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7" spans="1:6" x14ac:dyDescent="0.25">
      <c r="A107" s="59">
        <v>45736</v>
      </c>
      <c r="B107" t="s">
        <v>125</v>
      </c>
      <c r="C107">
        <v>1</v>
      </c>
      <c r="D107" s="77" cm="1">
        <f t="array" ref="D10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7" s="77">
        <v>1340</v>
      </c>
      <c r="F10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08" spans="1:6" x14ac:dyDescent="0.25">
      <c r="A108" s="59">
        <v>45737</v>
      </c>
      <c r="B108" t="s">
        <v>8</v>
      </c>
      <c r="C108">
        <v>4</v>
      </c>
      <c r="D108" s="77" cm="1">
        <f t="array" ref="D10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9200</v>
      </c>
      <c r="E108" s="77">
        <v>1250</v>
      </c>
      <c r="F10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3916.8</v>
      </c>
    </row>
    <row r="109" spans="1:6" x14ac:dyDescent="0.25">
      <c r="A109" s="59">
        <v>45737</v>
      </c>
      <c r="B109" t="s">
        <v>7</v>
      </c>
      <c r="C109">
        <v>2</v>
      </c>
      <c r="D109" s="77" cm="1">
        <f t="array" ref="D10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109" s="77">
        <v>720</v>
      </c>
      <c r="F10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110" spans="1:6" x14ac:dyDescent="0.25">
      <c r="A110" s="59">
        <v>45740</v>
      </c>
      <c r="B110" t="s">
        <v>125</v>
      </c>
      <c r="C110">
        <v>1</v>
      </c>
      <c r="D110" s="77" cm="1">
        <f t="array" ref="D11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10" s="77">
        <v>1340</v>
      </c>
      <c r="F11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11" spans="1:6" x14ac:dyDescent="0.25">
      <c r="A111" s="59">
        <v>45740</v>
      </c>
      <c r="B111" t="s">
        <v>8</v>
      </c>
      <c r="C111">
        <v>2</v>
      </c>
      <c r="D111" s="77" cm="1">
        <f t="array" ref="D11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11" s="77">
        <v>1250</v>
      </c>
      <c r="F11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</sheetData>
  <conditionalFormatting sqref="A30:F111">
    <cfRule type="expression" dxfId="11" priority="15">
      <formula>MONTH($A30)&lt;&gt;MONTH($A31)</formula>
    </cfRule>
  </conditionalFormatting>
  <conditionalFormatting sqref="B30:F111">
    <cfRule type="expression" dxfId="10" priority="2">
      <formula>$B30="Есмарт АРМ"</formula>
    </cfRule>
    <cfRule type="expression" dxfId="9" priority="4">
      <formula>$B30="Есмарт"</formula>
    </cfRule>
    <cfRule type="expression" dxfId="8" priority="5">
      <formula>$B30="Рутокен"</formula>
    </cfRule>
  </conditionalFormatting>
  <pageMargins left="0.7" right="0.7" top="0.75" bottom="0.75" header="0.3" footer="0.3"/>
  <ignoredErrors>
    <ignoredError sqref="J47:J58 M47:M58" calculatedColumn="1"/>
  </ignoredErrors>
  <legacy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7"/>
  <dimension ref="A1:V108"/>
  <sheetViews>
    <sheetView zoomScale="90" zoomScaleNormal="90" workbookViewId="0">
      <selection activeCell="E108" sqref="E108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1.85546875" customWidth="1"/>
    <col min="18" max="18" width="10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105</v>
      </c>
      <c r="S1" t="s">
        <v>106</v>
      </c>
    </row>
    <row r="2" spans="1:22" ht="14.25" customHeight="1" x14ac:dyDescent="0.25">
      <c r="A2" s="2">
        <f>SUMIF($C$7:$C$19,E2,$B$7:$B$19)</f>
        <v>271</v>
      </c>
      <c r="B2" s="2">
        <f>SUMIF(Продажи_Мичурина[Товар],E2,Продажи_Мичурина[Кол-во])</f>
        <v>199</v>
      </c>
      <c r="C2" s="2">
        <f>A2-B2</f>
        <v>72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130</v>
      </c>
      <c r="B3" s="2">
        <f>SUMIF(Продажи_Мичурина[Товар],E3,Продажи_Мичурина[Кол-во])</f>
        <v>79</v>
      </c>
      <c r="C3" s="2">
        <f t="shared" ref="C3:C4" si="1">A3-B3</f>
        <v>51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SUMIF(Продажи_Мичурина[Товар],E4,Продажи_Мичурина[Кол-во])</f>
        <v>3</v>
      </c>
      <c r="C4" s="2">
        <f t="shared" si="1"/>
        <v>25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SUMPRODUCT(1*ISNUMBER(SEARCH(J4,TEXT(Продажи_Мичурина[Дата],"ММММ"))),Продажи_Мичурина[Выручка])</f>
        <v>226000</v>
      </c>
      <c r="L4" s="64" cm="1">
        <f t="array" ref="L4">SUMPRODUCT(IFERROR(SEARCH($J4,TEXT(Продажи_Мичурина[Дата],"ММММ")),0),Продажи_Мичурина[Прибыль])-SUM(Q6:R6)</f>
        <v>132834.50000000003</v>
      </c>
    </row>
    <row r="5" spans="1:22" ht="15.75" thickBot="1" x14ac:dyDescent="0.3">
      <c r="J5" s="2" t="s">
        <v>23</v>
      </c>
      <c r="K5" s="74" cm="1">
        <f t="array" ref="K5">SUMPRODUCT(1*ISNUMBER(SEARCH(J5,TEXT(Продажи_Мичурина[Дата],"ММММ"))),Продажи_Мичурина[Выручка])</f>
        <v>197700</v>
      </c>
      <c r="L5" s="64" cm="1">
        <f t="array" ref="L5">SUMPRODUCT(IFERROR(SEARCH($J5,TEXT(Продажи_Мичурина[Дата],"ММММ")),0),Продажи_Мичурина[Прибыль])-SUM(Q7:R7)</f>
        <v>102041.44000000002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SUMPRODUCT(1*ISNUMBER(SEARCH(J6,TEXT(Продажи_Мичурина[Дата],"ММММ"))),Продажи_Мичурина[Выручка])</f>
        <v>164010</v>
      </c>
      <c r="L6" s="64" cm="1">
        <f t="array" ref="L6">SUMPRODUCT(IFERROR(SEARCH($J6,TEXT(Продажи_Мичурина[Дата],"ММММ")),0),Продажи_Мичурина[Прибыль])-SUM(Q8:R8)</f>
        <v>79987.670000000027</v>
      </c>
      <c r="P6" s="12" t="s">
        <v>22</v>
      </c>
      <c r="Q6" s="64">
        <v>1881.56</v>
      </c>
      <c r="R6" s="69">
        <v>588.84</v>
      </c>
    </row>
    <row r="7" spans="1:22" x14ac:dyDescent="0.25">
      <c r="A7" s="23" t="s">
        <v>77</v>
      </c>
      <c r="B7" s="2">
        <v>30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SUMPRODUCT(1*ISNUMBER(SEARCH(J7,TEXT(Продажи_Мичурина[Дата],"ММММ"))),Продажи_Мичурина[Выручка])</f>
        <v>0</v>
      </c>
      <c r="L7" s="64" cm="1">
        <f t="array" ref="L7">SUMPRODUCT(IFERROR(SEARCH($J7,TEXT(Продажи_Мичурина[Дата],"ММММ")),0),Продажи_Мичурина[Прибыль])-SUM(Q9:R9)</f>
        <v>0</v>
      </c>
      <c r="P7" s="12" t="s">
        <v>23</v>
      </c>
      <c r="Q7" s="64">
        <v>1881.56</v>
      </c>
      <c r="R7" s="69"/>
    </row>
    <row r="8" spans="1:22" x14ac:dyDescent="0.25">
      <c r="A8" s="16">
        <v>45672</v>
      </c>
      <c r="B8" s="17">
        <v>-1</v>
      </c>
      <c r="C8" s="2" t="s">
        <v>7</v>
      </c>
      <c r="D8" s="76"/>
      <c r="E8" s="2"/>
      <c r="J8" s="2" t="s">
        <v>69</v>
      </c>
      <c r="K8" s="74" cm="1">
        <f t="array" ref="K8">SUMPRODUCT(1*ISNUMBER(SEARCH(J8,TEXT(Продажи_Мичурина[Дата],"ММММ"))),Продажи_Мичурина[Выручка])</f>
        <v>0</v>
      </c>
      <c r="L8" s="64" cm="1">
        <f t="array" ref="L8">SUMPRODUCT(IFERROR(SEARCH($J8,TEXT(Продажи_Мичурина[Дата],"ММММ")),0),Продажи_Мичурина[Прибыль])-SUM(Q10:R10)</f>
        <v>0</v>
      </c>
      <c r="P8" s="12" t="s">
        <v>67</v>
      </c>
      <c r="Q8" s="64">
        <v>1881.56</v>
      </c>
      <c r="R8" s="69"/>
    </row>
    <row r="9" spans="1:22" x14ac:dyDescent="0.25">
      <c r="A9" s="16">
        <v>45672</v>
      </c>
      <c r="B9" s="2">
        <v>150</v>
      </c>
      <c r="C9" s="2" t="s">
        <v>7</v>
      </c>
      <c r="D9" s="76">
        <v>720</v>
      </c>
      <c r="E9" s="2"/>
      <c r="J9" s="2" t="s">
        <v>70</v>
      </c>
      <c r="K9" s="74" cm="1">
        <f t="array" ref="K9">SUMPRODUCT(1*ISNUMBER(SEARCH(J9,TEXT(Продажи_Мичурина[Дата],"ММММ"))),Продажи_Мичурина[Выручка])</f>
        <v>0</v>
      </c>
      <c r="L9" s="64" cm="1">
        <f t="array" ref="L9">SUMPRODUCT(IFERROR(SEARCH($J9,TEXT(Продажи_Мичурина[Дата],"ММММ")),0),Продажи_Мичурина[Прибыль])-SUM(Q11:R11)</f>
        <v>0</v>
      </c>
      <c r="P9" s="12" t="s">
        <v>68</v>
      </c>
      <c r="Q9" s="64"/>
      <c r="R9" s="69"/>
    </row>
    <row r="10" spans="1:22" x14ac:dyDescent="0.25">
      <c r="A10" s="4">
        <v>45693</v>
      </c>
      <c r="B10" s="2">
        <v>50</v>
      </c>
      <c r="C10" s="2" t="s">
        <v>8</v>
      </c>
      <c r="D10" s="76">
        <v>1250</v>
      </c>
      <c r="E10" s="2"/>
      <c r="J10" s="2" t="s">
        <v>71</v>
      </c>
      <c r="K10" s="74" cm="1">
        <f t="array" ref="K10">SUMPRODUCT(1*ISNUMBER(SEARCH(J10,TEXT(Продажи_Мичурина[Дата],"ММММ"))),Продажи_Мичурина[Выручка])</f>
        <v>0</v>
      </c>
      <c r="L10" s="64" cm="1">
        <f t="array" ref="L10">SUMPRODUCT(IFERROR(SEARCH($J10,TEXT(Продажи_Мичурина[Дата],"ММММ")),0),Продажи_Мичурина[Прибыль])-SUM(Q12:R12)</f>
        <v>0</v>
      </c>
      <c r="P10" s="12" t="s">
        <v>69</v>
      </c>
      <c r="Q10" s="64"/>
      <c r="R10" s="69"/>
    </row>
    <row r="11" spans="1:22" x14ac:dyDescent="0.25">
      <c r="A11" s="4">
        <v>45713</v>
      </c>
      <c r="B11" s="2">
        <v>50</v>
      </c>
      <c r="C11" s="2" t="s">
        <v>8</v>
      </c>
      <c r="D11" s="76">
        <v>1250</v>
      </c>
      <c r="E11" s="2"/>
      <c r="J11" s="2" t="s">
        <v>72</v>
      </c>
      <c r="K11" s="74" cm="1">
        <f t="array" ref="K11">SUMPRODUCT(1*ISNUMBER(SEARCH(J11,TEXT(Продажи_Мичурина[Дата],"ММММ"))),Продажи_Мичурина[Выручка])</f>
        <v>0</v>
      </c>
      <c r="L11" s="64" cm="1">
        <f t="array" ref="L11">SUMPRODUCT(IFERROR(SEARCH($J11,TEXT(Продажи_Мичурина[Дата],"ММММ")),0),Продажи_Мичурина[Прибыль])-SUM(Q13:R13)</f>
        <v>0</v>
      </c>
      <c r="P11" s="12" t="s">
        <v>70</v>
      </c>
      <c r="Q11" s="64"/>
      <c r="R11" s="69"/>
    </row>
    <row r="12" spans="1:22" x14ac:dyDescent="0.25">
      <c r="A12" s="4">
        <v>45713</v>
      </c>
      <c r="B12" s="2">
        <v>23</v>
      </c>
      <c r="C12" s="2" t="s">
        <v>7</v>
      </c>
      <c r="D12" s="76">
        <v>720</v>
      </c>
      <c r="E12" s="2"/>
      <c r="J12" s="2" t="s">
        <v>76</v>
      </c>
      <c r="K12" s="74" cm="1">
        <f t="array" ref="K12">SUMPRODUCT(1*ISNUMBER(SEARCH(J12,TEXT(Продажи_Мичурина[Дата],"ММММ"))),Продажи_Мичурина[Выручка])</f>
        <v>0</v>
      </c>
      <c r="L12" s="64" cm="1">
        <f t="array" ref="L12">SUMPRODUCT(IFERROR(SEARCH($J12,TEXT(Продажи_Мичурина[Дата],"ММММ")),0),Продажи_Мичурина[Прибыль])-SUM(Q14:R14)</f>
        <v>0</v>
      </c>
      <c r="P12" s="12" t="s">
        <v>71</v>
      </c>
      <c r="Q12" s="64"/>
      <c r="R12" s="69"/>
    </row>
    <row r="13" spans="1:22" x14ac:dyDescent="0.25">
      <c r="A13" s="16">
        <v>45727</v>
      </c>
      <c r="B13" s="2">
        <v>49</v>
      </c>
      <c r="C13" s="2" t="s">
        <v>7</v>
      </c>
      <c r="D13" s="76">
        <v>720</v>
      </c>
      <c r="E13" s="2"/>
      <c r="J13" s="2" t="s">
        <v>78</v>
      </c>
      <c r="K13" s="74" cm="1">
        <f t="array" ref="K13">SUMPRODUCT(1*ISNUMBER(SEARCH(J13,TEXT(Продажи_Мичурина[Дата],"ММММ"))),Продажи_Мичурина[Выручка])</f>
        <v>0</v>
      </c>
      <c r="L13" s="64" cm="1">
        <f t="array" ref="L13">SUMPRODUCT(IFERROR(SEARCH($J13,TEXT(Продажи_Мичурина[Дата],"ММММ")),0),Продажи_Мичурина[Прибыль])-SUM(Q15:R15)</f>
        <v>0</v>
      </c>
      <c r="P13" s="12" t="s">
        <v>72</v>
      </c>
      <c r="Q13" s="64"/>
      <c r="R13" s="69"/>
    </row>
    <row r="14" spans="1:22" x14ac:dyDescent="0.25">
      <c r="A14" s="16">
        <v>45727</v>
      </c>
      <c r="B14" s="109">
        <v>28</v>
      </c>
      <c r="C14" s="2" t="s">
        <v>125</v>
      </c>
      <c r="D14" s="110">
        <v>1340</v>
      </c>
      <c r="E14" s="2"/>
      <c r="J14" s="2" t="s">
        <v>79</v>
      </c>
      <c r="K14" s="74" cm="1">
        <f t="array" ref="K14">SUMPRODUCT(1*ISNUMBER(SEARCH(J14,TEXT(Продажи_Мичурина[Дата],"ММММ"))),Продажи_Мичурина[Выручка])</f>
        <v>0</v>
      </c>
      <c r="L14" s="64" cm="1">
        <f t="array" ref="L14">SUMPRODUCT(IFERROR(SEARCH($J14,TEXT(Продажи_Мичурина[Дата],"ММММ")),0),Продажи_Мичурина[Прибыль])-SUM(Q16:R16)</f>
        <v>0</v>
      </c>
      <c r="P14" s="12" t="s">
        <v>76</v>
      </c>
      <c r="Q14" s="64"/>
      <c r="R14" s="69"/>
    </row>
    <row r="15" spans="1:22" x14ac:dyDescent="0.25">
      <c r="A15" s="16">
        <v>45734</v>
      </c>
      <c r="B15" s="2">
        <v>30</v>
      </c>
      <c r="C15" s="2" t="s">
        <v>8</v>
      </c>
      <c r="D15" s="76">
        <v>1250</v>
      </c>
      <c r="E15" s="2"/>
      <c r="J15" s="2" t="s">
        <v>80</v>
      </c>
      <c r="K15" s="74" cm="1">
        <f t="array" ref="K15">SUMPRODUCT(1*ISNUMBER(SEARCH(J15,TEXT(Продажи_Мичурина[Дата],"ММММ"))),Продажи_Мичурина[Выручка])</f>
        <v>0</v>
      </c>
      <c r="L15" s="64" cm="1">
        <f t="array" ref="L15">SUMPRODUCT(IFERROR(SEARCH($J15,TEXT(Продажи_Мичурина[Дата],"ММММ")),0),Продажи_Мичурина[Прибыль])-SUM(Q17:R17)</f>
        <v>0</v>
      </c>
      <c r="P15" s="12" t="s">
        <v>78</v>
      </c>
      <c r="Q15" s="64"/>
      <c r="R15" s="69"/>
    </row>
    <row r="16" spans="1:22" x14ac:dyDescent="0.25">
      <c r="A16" s="4">
        <v>45734</v>
      </c>
      <c r="B16" s="2">
        <v>20</v>
      </c>
      <c r="C16" s="2" t="s">
        <v>7</v>
      </c>
      <c r="D16" s="76">
        <v>720</v>
      </c>
      <c r="E16" s="2"/>
      <c r="J16" s="2" t="s">
        <v>81</v>
      </c>
      <c r="K16" s="74">
        <f>SUM(K4:K15)</f>
        <v>587710</v>
      </c>
      <c r="L16" s="74">
        <f>SUM(L4:L15)</f>
        <v>314863.6100000001</v>
      </c>
      <c r="P16" s="12" t="s">
        <v>79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80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29" t="s">
        <v>90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74</v>
      </c>
    </row>
    <row r="29" spans="1:18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4</v>
      </c>
      <c r="D30" s="77" cm="1">
        <f t="array" ref="D3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30" s="81">
        <v>795</v>
      </c>
      <c r="F3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4569.2</v>
      </c>
      <c r="I30" s="48" t="s">
        <v>22</v>
      </c>
      <c r="J30" s="54" cm="1">
        <f t="array" ref="J30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113</v>
      </c>
      <c r="K30" s="54" cm="1">
        <f t="array" ref="K30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0" s="54" cm="1">
        <f t="array" ref="L30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0" s="55">
        <f>SUM(J30:L30)</f>
        <v>113</v>
      </c>
    </row>
    <row r="31" spans="1:18" x14ac:dyDescent="0.25">
      <c r="A31" s="59">
        <v>45667</v>
      </c>
      <c r="B31" t="s">
        <v>7</v>
      </c>
      <c r="C31">
        <v>2</v>
      </c>
      <c r="D31" s="77" cm="1">
        <f t="array" ref="D3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31" s="81">
        <v>795</v>
      </c>
      <c r="F3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2284.6</v>
      </c>
      <c r="I31" s="48" t="s">
        <v>23</v>
      </c>
      <c r="J31" s="54" cm="1">
        <f t="array" ref="J31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54</v>
      </c>
      <c r="K31" s="54" cm="1">
        <f t="array" ref="K31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39</v>
      </c>
      <c r="L31" s="54" cm="1">
        <f t="array" ref="L31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1" s="55">
        <f t="shared" ref="M31:M41" si="2">SUM(J31:L31)</f>
        <v>93</v>
      </c>
    </row>
    <row r="32" spans="1:18" x14ac:dyDescent="0.25">
      <c r="A32" s="59">
        <v>45670</v>
      </c>
      <c r="B32" t="s">
        <v>7</v>
      </c>
      <c r="C32">
        <v>5</v>
      </c>
      <c r="D32" s="77" cm="1">
        <f t="array" ref="D3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32" s="81">
        <v>795</v>
      </c>
      <c r="F3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5711.5</v>
      </c>
      <c r="I32" s="48" t="s">
        <v>67</v>
      </c>
      <c r="J32" s="54" cm="1">
        <f t="array" ref="J32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32</v>
      </c>
      <c r="K32" s="54" cm="1">
        <f t="array" ref="K32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40</v>
      </c>
      <c r="L32" s="54" cm="1">
        <f t="array" ref="L32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3</v>
      </c>
      <c r="M32" s="55">
        <f t="shared" si="2"/>
        <v>75</v>
      </c>
    </row>
    <row r="33" spans="1:13" x14ac:dyDescent="0.25">
      <c r="A33" s="59">
        <v>45671</v>
      </c>
      <c r="B33" t="s">
        <v>7</v>
      </c>
      <c r="C33">
        <v>6</v>
      </c>
      <c r="D33" s="77" cm="1">
        <f t="array" ref="D3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33" s="81">
        <v>795</v>
      </c>
      <c r="F3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6853.8</v>
      </c>
      <c r="I33" s="48" t="s">
        <v>68</v>
      </c>
      <c r="J33" s="54" cm="1">
        <f t="array" ref="J33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3" s="54" cm="1">
        <f t="array" ref="K33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3" s="54" cm="1">
        <f t="array" ref="L33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7</v>
      </c>
      <c r="C34">
        <v>11</v>
      </c>
      <c r="D34" s="77" cm="1">
        <f t="array" ref="D3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22000</v>
      </c>
      <c r="E34" s="81">
        <v>795</v>
      </c>
      <c r="F3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12565.3</v>
      </c>
      <c r="I34" s="48" t="s">
        <v>69</v>
      </c>
      <c r="J34" s="54" cm="1">
        <f t="array" ref="J34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4" s="54" cm="1">
        <f t="array" ref="K34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4" s="54" cm="1">
        <f t="array" ref="L34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9</v>
      </c>
      <c r="D35" s="77" cm="1">
        <f t="array" ref="D3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18000</v>
      </c>
      <c r="E35" s="81">
        <f>((7*720)+(2*795))/Продажи_Мичурина[[#This Row],[Кол-во]]</f>
        <v>736.66666666666663</v>
      </c>
      <c r="F3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10805.7</v>
      </c>
      <c r="I35" s="48" t="s">
        <v>70</v>
      </c>
      <c r="J35" s="54" cm="1">
        <f t="array" ref="J35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5" s="54" cm="1">
        <f t="array" ref="K35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5" s="54" cm="1">
        <f t="array" ref="L35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10</v>
      </c>
      <c r="D36" s="77" cm="1">
        <f t="array" ref="D3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20000</v>
      </c>
      <c r="E36" s="77">
        <v>720</v>
      </c>
      <c r="F3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12173</v>
      </c>
      <c r="I36" s="48" t="s">
        <v>71</v>
      </c>
      <c r="J36" s="54" cm="1">
        <f t="array" ref="J36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6" s="54" cm="1">
        <f t="array" ref="K36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6" s="54" cm="1">
        <f t="array" ref="L36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8</v>
      </c>
      <c r="D37" s="77" cm="1">
        <f t="array" ref="D3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16000</v>
      </c>
      <c r="E37" s="77">
        <v>720</v>
      </c>
      <c r="F3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9738.4</v>
      </c>
      <c r="I37" s="48" t="s">
        <v>72</v>
      </c>
      <c r="J37" s="54" cm="1">
        <f t="array" ref="J37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7" s="54" cm="1">
        <f t="array" ref="K37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7" s="54" cm="1">
        <f t="array" ref="L37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6</v>
      </c>
      <c r="D38" s="77" cm="1">
        <f t="array" ref="D3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38" s="77">
        <v>720</v>
      </c>
      <c r="F3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38" s="48" t="s">
        <v>76</v>
      </c>
      <c r="J38" s="54" cm="1">
        <f t="array" ref="J38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8" s="54" cm="1">
        <f t="array" ref="K38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8" s="54" cm="1">
        <f t="array" ref="L38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7</v>
      </c>
      <c r="C39">
        <v>6</v>
      </c>
      <c r="D39" s="77" cm="1">
        <f t="array" ref="D3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39" s="77">
        <v>720</v>
      </c>
      <c r="F3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39" s="48" t="s">
        <v>78</v>
      </c>
      <c r="J39" s="54" cm="1">
        <f t="array" ref="J39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9" s="54" cm="1">
        <f t="array" ref="K39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9" s="54" cm="1">
        <f t="array" ref="L39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5</v>
      </c>
      <c r="D40" s="77" cm="1">
        <f t="array" ref="D4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40" s="77">
        <v>720</v>
      </c>
      <c r="F4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6086.5</v>
      </c>
      <c r="I40" s="48" t="s">
        <v>79</v>
      </c>
      <c r="J40" s="54" cm="1">
        <f t="array" ref="J40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40" s="54" cm="1">
        <f t="array" ref="K40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40" s="54" cm="1">
        <f t="array" ref="L40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9</v>
      </c>
      <c r="D41" s="77" cm="1">
        <f t="array" ref="D4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18000</v>
      </c>
      <c r="E41" s="77">
        <v>720</v>
      </c>
      <c r="F4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10955.7</v>
      </c>
      <c r="I41" s="48" t="s">
        <v>80</v>
      </c>
      <c r="J41" s="54" cm="1">
        <f t="array" ref="J41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41" s="54" cm="1">
        <f t="array" ref="K41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41" s="54" cm="1">
        <f t="array" ref="L41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14</v>
      </c>
      <c r="D42" s="77" cm="1">
        <f t="array" ref="D4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28000</v>
      </c>
      <c r="E42" s="77">
        <v>720</v>
      </c>
      <c r="F4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17042.2</v>
      </c>
      <c r="I42" s="52" t="s">
        <v>92</v>
      </c>
      <c r="J42" s="56">
        <f>SUM(J30:J41)</f>
        <v>199</v>
      </c>
      <c r="K42" s="56">
        <f t="shared" ref="K42:L42" si="3">SUM(K30:K41)</f>
        <v>79</v>
      </c>
      <c r="L42" s="56">
        <f t="shared" si="3"/>
        <v>3</v>
      </c>
      <c r="M42" s="57">
        <f>SUM(J42:L42)</f>
        <v>281</v>
      </c>
    </row>
    <row r="43" spans="1:13" x14ac:dyDescent="0.25">
      <c r="A43" s="59">
        <v>45685</v>
      </c>
      <c r="B43" t="s">
        <v>7</v>
      </c>
      <c r="C43">
        <v>4</v>
      </c>
      <c r="D43" s="77" cm="1">
        <f t="array" ref="D4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43" s="77">
        <v>720</v>
      </c>
      <c r="F4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44" spans="1:13" x14ac:dyDescent="0.25">
      <c r="A44" s="59">
        <v>45686</v>
      </c>
      <c r="B44" t="s">
        <v>7</v>
      </c>
      <c r="C44">
        <v>7</v>
      </c>
      <c r="D44" s="77" cm="1">
        <f t="array" ref="D4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14000</v>
      </c>
      <c r="E44" s="77">
        <v>720</v>
      </c>
      <c r="F4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8521.1</v>
      </c>
    </row>
    <row r="45" spans="1:13" ht="15.75" x14ac:dyDescent="0.25">
      <c r="A45" s="59">
        <v>45687</v>
      </c>
      <c r="B45" t="s">
        <v>7</v>
      </c>
      <c r="C45">
        <v>2</v>
      </c>
      <c r="D45" s="77" cm="1">
        <f t="array" ref="D4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45" s="77">
        <v>720</v>
      </c>
      <c r="F4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  <c r="I45" s="53" t="s">
        <v>100</v>
      </c>
    </row>
    <row r="46" spans="1:13" x14ac:dyDescent="0.25">
      <c r="A46" s="59">
        <v>45688</v>
      </c>
      <c r="B46" t="s">
        <v>7</v>
      </c>
      <c r="C46">
        <v>5</v>
      </c>
      <c r="D46" s="77" cm="1">
        <f t="array" ref="D4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46" s="77">
        <v>720</v>
      </c>
      <c r="F4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6086.5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7</v>
      </c>
      <c r="C47">
        <v>7</v>
      </c>
      <c r="D47" s="77" cm="1">
        <f t="array" ref="D4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14000</v>
      </c>
      <c r="E47" s="77">
        <v>720</v>
      </c>
      <c r="F4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8521.1</v>
      </c>
      <c r="I47" s="48" t="s">
        <v>22</v>
      </c>
      <c r="J47" s="58" cm="1">
        <f t="array" ref="J47">IFERROR(J30/SUMPRODUCT(IF(TEXT(_xlfn.UNIQUE(Продажи_Мичурина[Дата]),"ММММ")=$I47,1,0)),"")</f>
        <v>6.6470588235294121</v>
      </c>
      <c r="K47" s="58" cm="1">
        <f t="array" ref="K47">IFERROR(K30/SUMPRODUCT(IF(TEXT(_xlfn.UNIQUE(Продажи_Мичурина[Дата]),"ММММ")=$I47,1,0)),"")</f>
        <v>0</v>
      </c>
      <c r="L47" s="58">
        <f>L30/COUNT(_xlfn.UNIQUE(Продажи_Мичурина[Дата]))</f>
        <v>0</v>
      </c>
      <c r="M47" s="62" cm="1">
        <f t="array" ref="M47">IFERROR(M30/SUMPRODUCT(IF(TEXT(_xlfn.UNIQUE(Продажи_Мичурина[Дата]),"ММММ")=$I47,1,0)),"")</f>
        <v>6.6470588235294121</v>
      </c>
    </row>
    <row r="48" spans="1:13" x14ac:dyDescent="0.25">
      <c r="A48" s="59">
        <v>45692</v>
      </c>
      <c r="B48" t="s">
        <v>7</v>
      </c>
      <c r="C48">
        <v>6</v>
      </c>
      <c r="D48" s="77" cm="1">
        <f t="array" ref="D4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48" s="77">
        <v>720</v>
      </c>
      <c r="F4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48" s="48" t="s">
        <v>23</v>
      </c>
      <c r="J48" s="58" cm="1">
        <f t="array" ref="J48">IFERROR(J31/SUMPRODUCT(IF(TEXT(_xlfn.UNIQUE(Продажи_Мичурина[Дата]),"ММММ")=$I48,1,0)),"")</f>
        <v>2.7</v>
      </c>
      <c r="K48" s="58" cm="1">
        <f t="array" ref="K48">IFERROR(K31/SUMPRODUCT(IF(TEXT(_xlfn.UNIQUE(Продажи_Мичурина[Дата]),"ММММ")=$I48,1,0)),"")</f>
        <v>1.95</v>
      </c>
      <c r="L48" s="58">
        <f>L31/COUNT(_xlfn.UNIQUE(Продажи_Мичурина[Дата]))</f>
        <v>0</v>
      </c>
      <c r="M48" s="62" cm="1">
        <f t="array" ref="M48">IFERROR(M31/SUMPRODUCT(IF(TEXT(_xlfn.UNIQUE(Продажи_Мичурина[Дата]),"ММММ")=$I48,1,0)),"")</f>
        <v>4.6500000000000004</v>
      </c>
    </row>
    <row r="49" spans="1:13" x14ac:dyDescent="0.25">
      <c r="A49" s="59">
        <v>45693</v>
      </c>
      <c r="B49" t="s">
        <v>7</v>
      </c>
      <c r="C49">
        <v>3</v>
      </c>
      <c r="D49" s="77" cm="1">
        <f t="array" ref="D4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49" s="77">
        <v>720</v>
      </c>
      <c r="F4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  <c r="I49" s="48" t="s">
        <v>67</v>
      </c>
      <c r="J49" s="58" cm="1">
        <f t="array" ref="J49">IFERROR(J32/SUMPRODUCT(IF(TEXT(_xlfn.UNIQUE(Продажи_Мичурина[Дата]),"ММММ")=$I49,1,0)),"")</f>
        <v>2</v>
      </c>
      <c r="K49" s="58" cm="1">
        <f t="array" ref="K49">IFERROR(K32/SUMPRODUCT(IF(TEXT(_xlfn.UNIQUE(Продажи_Мичурина[Дата]),"ММММ")=$I49,1,0)),"")</f>
        <v>2.5</v>
      </c>
      <c r="L49" s="58">
        <f>L32/COUNT(_xlfn.UNIQUE(Продажи_Мичурина[Дата]))</f>
        <v>5.6603773584905662E-2</v>
      </c>
      <c r="M49" s="62" cm="1">
        <f t="array" ref="M49">IFERROR(M32/SUMPRODUCT(IF(TEXT(_xlfn.UNIQUE(Продажи_Мичурина[Дата]),"ММММ")=$I49,1,0)),"")</f>
        <v>4.6875</v>
      </c>
    </row>
    <row r="50" spans="1:13" x14ac:dyDescent="0.25">
      <c r="A50" s="59">
        <v>45694</v>
      </c>
      <c r="B50" t="s">
        <v>7</v>
      </c>
      <c r="C50">
        <v>3</v>
      </c>
      <c r="D50" s="77" cm="1">
        <f t="array" ref="D5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50" s="77">
        <v>720</v>
      </c>
      <c r="F5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  <c r="I50" s="48" t="s">
        <v>68</v>
      </c>
      <c r="J50" s="58" t="str" cm="1">
        <f t="array" ref="J50">IFERROR(J33/SUMPRODUCT(IF(TEXT(_xlfn.UNIQUE(Продажи_Мичурина[Дата]),"ММММ")=$I50,1,0)),"")</f>
        <v/>
      </c>
      <c r="K50" s="58" t="str" cm="1">
        <f t="array" ref="K50">IFERROR(K33/SUMPRODUCT(IF(TEXT(_xlfn.UNIQUE(Продажи_Мичурина[Дата]),"ММММ")=$I50,1,0)),"")</f>
        <v/>
      </c>
      <c r="L50" s="58">
        <f>L33/COUNT(_xlfn.UNIQUE(Продажи_Мичурина[Дата]))</f>
        <v>0</v>
      </c>
      <c r="M50" s="62" t="str" cm="1">
        <f t="array" ref="M50">IFERROR(M33/SUMPRODUCT(IF(TEXT(_xlfn.UNIQUE(Продажи_Мичурина[Дата]),"ММММ")=$I50,1,0)),"")</f>
        <v/>
      </c>
    </row>
    <row r="51" spans="1:13" x14ac:dyDescent="0.25">
      <c r="A51" s="59">
        <v>45694</v>
      </c>
      <c r="B51" t="s">
        <v>8</v>
      </c>
      <c r="C51">
        <v>1</v>
      </c>
      <c r="D51" s="77" cm="1">
        <f t="array" ref="D5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51" s="77">
        <v>1250</v>
      </c>
      <c r="F5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  <c r="I51" s="48" t="s">
        <v>69</v>
      </c>
      <c r="J51" s="58" t="str" cm="1">
        <f t="array" ref="J51">IFERROR(J34/SUMPRODUCT(IF(TEXT(_xlfn.UNIQUE(Продажи_Мичурина[Дата]),"ММММ")=$I51,1,0)),"")</f>
        <v/>
      </c>
      <c r="K51" s="58" t="str" cm="1">
        <f t="array" ref="K51">IFERROR(K34/SUMPRODUCT(IF(TEXT(_xlfn.UNIQUE(Продажи_Мичурина[Дата]),"ММММ")=$I51,1,0)),"")</f>
        <v/>
      </c>
      <c r="L51" s="58">
        <f>L34/COUNT(_xlfn.UNIQUE(Продажи_Мичурина[Дата]))</f>
        <v>0</v>
      </c>
      <c r="M51" s="62" t="str" cm="1">
        <f t="array" ref="M51">IFERROR(M34/SUMPRODUCT(IF(TEXT(_xlfn.UNIQUE(Продажи_Мичурина[Дата]),"ММММ")=$I51,1,0)),"")</f>
        <v/>
      </c>
    </row>
    <row r="52" spans="1:13" x14ac:dyDescent="0.25">
      <c r="A52" s="59">
        <v>45695</v>
      </c>
      <c r="B52" t="s">
        <v>8</v>
      </c>
      <c r="C52">
        <v>2</v>
      </c>
      <c r="D52" s="77" cm="1">
        <f t="array" ref="D5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52" s="77">
        <v>1250</v>
      </c>
      <c r="F5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  <c r="I52" s="48" t="s">
        <v>70</v>
      </c>
      <c r="J52" s="58" t="str" cm="1">
        <f t="array" ref="J52">IFERROR(J35/SUMPRODUCT(IF(TEXT(_xlfn.UNIQUE(Продажи_Мичурина[Дата]),"ММММ")=$I52,1,0)),"")</f>
        <v/>
      </c>
      <c r="K52" s="58" t="str" cm="1">
        <f t="array" ref="K52">IFERROR(K35/SUMPRODUCT(IF(TEXT(_xlfn.UNIQUE(Продажи_Мичурина[Дата]),"ММММ")=$I52,1,0)),"")</f>
        <v/>
      </c>
      <c r="L52" s="58">
        <f>L35/COUNT(_xlfn.UNIQUE(Продажи_Мичурина[Дата]))</f>
        <v>0</v>
      </c>
      <c r="M52" s="62" t="str" cm="1">
        <f t="array" ref="M52">IFERROR(M35/SUMPRODUCT(IF(TEXT(_xlfn.UNIQUE(Продажи_Мичурина[Дата]),"ММММ")=$I52,1,0)),"")</f>
        <v/>
      </c>
    </row>
    <row r="53" spans="1:13" x14ac:dyDescent="0.25">
      <c r="A53" s="59">
        <v>45695</v>
      </c>
      <c r="B53" t="s">
        <v>7</v>
      </c>
      <c r="C53">
        <v>1</v>
      </c>
      <c r="D53" s="77" cm="1">
        <f t="array" ref="D5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53" s="77">
        <v>720</v>
      </c>
      <c r="F5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  <c r="I53" s="48" t="s">
        <v>71</v>
      </c>
      <c r="J53" s="58" t="str" cm="1">
        <f t="array" ref="J53">IFERROR(J36/SUMPRODUCT(IF(TEXT(_xlfn.UNIQUE(Продажи_Мичурина[Дата]),"ММММ")=$I53,1,0)),"")</f>
        <v/>
      </c>
      <c r="K53" s="58" t="str" cm="1">
        <f t="array" ref="K53">IFERROR(K36/SUMPRODUCT(IF(TEXT(_xlfn.UNIQUE(Продажи_Мичурина[Дата]),"ММММ")=$I53,1,0)),"")</f>
        <v/>
      </c>
      <c r="L53" s="58">
        <f>L36/COUNT(_xlfn.UNIQUE(Продажи_Мичурина[Дата]))</f>
        <v>0</v>
      </c>
      <c r="M53" s="62" t="str" cm="1">
        <f t="array" ref="M53">IFERROR(M36/SUMPRODUCT(IF(TEXT(_xlfn.UNIQUE(Продажи_Мичурина[Дата]),"ММММ")=$I53,1,0)),"")</f>
        <v/>
      </c>
    </row>
    <row r="54" spans="1:13" x14ac:dyDescent="0.25">
      <c r="A54" s="59">
        <v>45698</v>
      </c>
      <c r="B54" t="s">
        <v>7</v>
      </c>
      <c r="C54">
        <v>4</v>
      </c>
      <c r="D54" s="77" cm="1">
        <f t="array" ref="D5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54" s="77">
        <v>720</v>
      </c>
      <c r="F5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  <c r="I54" s="48" t="s">
        <v>72</v>
      </c>
      <c r="J54" s="58" t="str" cm="1">
        <f t="array" ref="J54">IFERROR(J37/SUMPRODUCT(IF(TEXT(_xlfn.UNIQUE(Продажи_Мичурина[Дата]),"ММММ")=$I54,1,0)),"")</f>
        <v/>
      </c>
      <c r="K54" s="58" t="str" cm="1">
        <f t="array" ref="K54">IFERROR(K37/SUMPRODUCT(IF(TEXT(_xlfn.UNIQUE(Продажи_Мичурина[Дата]),"ММММ")=$I54,1,0)),"")</f>
        <v/>
      </c>
      <c r="L54" s="58">
        <f>L37/COUNT(_xlfn.UNIQUE(Продажи_Мичурина[Дата]))</f>
        <v>0</v>
      </c>
      <c r="M54" s="62" t="str" cm="1">
        <f t="array" ref="M54">IFERROR(M37/SUMPRODUCT(IF(TEXT(_xlfn.UNIQUE(Продажи_Мичурина[Дата]),"ММММ")=$I54,1,0)),"")</f>
        <v/>
      </c>
    </row>
    <row r="55" spans="1:13" x14ac:dyDescent="0.25">
      <c r="A55" s="59">
        <v>45698</v>
      </c>
      <c r="B55" t="s">
        <v>8</v>
      </c>
      <c r="C55">
        <v>1</v>
      </c>
      <c r="D55" s="77" cm="1">
        <f t="array" ref="D5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55" s="77">
        <v>1250</v>
      </c>
      <c r="F5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  <c r="I55" s="48" t="s">
        <v>76</v>
      </c>
      <c r="J55" s="58" t="str" cm="1">
        <f t="array" ref="J55">IFERROR(J38/SUMPRODUCT(IF(TEXT(_xlfn.UNIQUE(Продажи_Мичурина[Дата]),"ММММ")=$I55,1,0)),"")</f>
        <v/>
      </c>
      <c r="K55" s="58" t="str" cm="1">
        <f t="array" ref="K55">IFERROR(K38/SUMPRODUCT(IF(TEXT(_xlfn.UNIQUE(Продажи_Мичурина[Дата]),"ММММ")=$I55,1,0)),"")</f>
        <v/>
      </c>
      <c r="L55" s="58">
        <f>L38/COUNT(_xlfn.UNIQUE(Продажи_Мичурина[Дата]))</f>
        <v>0</v>
      </c>
      <c r="M55" s="62" t="str" cm="1">
        <f t="array" ref="M55">IFERROR(M38/SUMPRODUCT(IF(TEXT(_xlfn.UNIQUE(Продажи_Мичурина[Дата]),"ММММ")=$I55,1,0)),"")</f>
        <v/>
      </c>
    </row>
    <row r="56" spans="1:13" x14ac:dyDescent="0.25">
      <c r="A56" s="59">
        <v>45699</v>
      </c>
      <c r="B56" t="s">
        <v>7</v>
      </c>
      <c r="C56">
        <v>6</v>
      </c>
      <c r="D56" s="77" cm="1">
        <f t="array" ref="D5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56" s="77">
        <v>720</v>
      </c>
      <c r="F5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56" s="48" t="s">
        <v>78</v>
      </c>
      <c r="J56" s="58" t="str" cm="1">
        <f t="array" ref="J56">IFERROR(J39/SUMPRODUCT(IF(TEXT(_xlfn.UNIQUE(Продажи_Мичурина[Дата]),"ММММ")=$I56,1,0)),"")</f>
        <v/>
      </c>
      <c r="K56" s="58" t="str" cm="1">
        <f t="array" ref="K56">IFERROR(K39/SUMPRODUCT(IF(TEXT(_xlfn.UNIQUE(Продажи_Мичурина[Дата]),"ММММ")=$I56,1,0)),"")</f>
        <v/>
      </c>
      <c r="L56" s="58">
        <f>L39/COUNT(_xlfn.UNIQUE(Продажи_Мичурина[Дата]))</f>
        <v>0</v>
      </c>
      <c r="M56" s="62" t="str" cm="1">
        <f t="array" ref="M56">IFERROR(M39/SUMPRODUCT(IF(TEXT(_xlfn.UNIQUE(Продажи_Мичурина[Дата]),"ММММ")=$I56,1,0)),"")</f>
        <v/>
      </c>
    </row>
    <row r="57" spans="1:13" x14ac:dyDescent="0.25">
      <c r="A57" s="59">
        <v>45699</v>
      </c>
      <c r="B57" t="s">
        <v>8</v>
      </c>
      <c r="C57">
        <v>1</v>
      </c>
      <c r="D57" s="77" cm="1">
        <f t="array" ref="D5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57" s="77">
        <v>1250</v>
      </c>
      <c r="F5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  <c r="I57" s="48" t="s">
        <v>79</v>
      </c>
      <c r="J57" s="58" t="str" cm="1">
        <f t="array" ref="J57">IFERROR(J40/SUMPRODUCT(IF(TEXT(_xlfn.UNIQUE(Продажи_Мичурина[Дата]),"ММММ")=$I57,1,0)),"")</f>
        <v/>
      </c>
      <c r="K57" s="58" t="str" cm="1">
        <f t="array" ref="K57">IFERROR(K40/SUMPRODUCT(IF(TEXT(_xlfn.UNIQUE(Продажи_Мичурина[Дата]),"ММММ")=$I57,1,0)),"")</f>
        <v/>
      </c>
      <c r="L57" s="58">
        <f>L40/COUNT(_xlfn.UNIQUE(Продажи_Мичурина[Дата]))</f>
        <v>0</v>
      </c>
      <c r="M57" s="62" t="str" cm="1">
        <f t="array" ref="M57">IFERROR(M40/SUMPRODUCT(IF(TEXT(_xlfn.UNIQUE(Продажи_Мичурина[Дата]),"ММММ")=$I57,1,0)),"")</f>
        <v/>
      </c>
    </row>
    <row r="58" spans="1:13" x14ac:dyDescent="0.25">
      <c r="A58" s="59">
        <v>45700</v>
      </c>
      <c r="B58" t="s">
        <v>8</v>
      </c>
      <c r="C58">
        <v>2</v>
      </c>
      <c r="D58" s="77" cm="1">
        <f t="array" ref="D5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58" s="77">
        <v>1250</v>
      </c>
      <c r="F5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  <c r="I58" s="48" t="s">
        <v>80</v>
      </c>
      <c r="J58" s="58" t="str" cm="1">
        <f t="array" ref="J58">IFERROR(J41/SUMPRODUCT(IF(TEXT(_xlfn.UNIQUE(Продажи_Мичурина[Дата]),"ММММ")=$I58,1,0)),"")</f>
        <v/>
      </c>
      <c r="K58" s="58" t="str" cm="1">
        <f t="array" ref="K58">IFERROR(K41/SUMPRODUCT(IF(TEXT(_xlfn.UNIQUE(Продажи_Мичурина[Дата]),"ММММ")=$I58,1,0)),"")</f>
        <v/>
      </c>
      <c r="L58" s="58">
        <f>L41/COUNT(_xlfn.UNIQUE(Продажи_Мичурина[Дата]))</f>
        <v>0</v>
      </c>
      <c r="M58" s="62" t="str" cm="1">
        <f t="array" ref="M58">IFERROR(M41/SUMPRODUCT(IF(TEXT(_xlfn.UNIQUE(Продажи_Мичурина[Дата]),"ММММ")=$I58,1,0)),"")</f>
        <v/>
      </c>
    </row>
    <row r="59" spans="1:13" x14ac:dyDescent="0.25">
      <c r="A59" s="59">
        <v>45700</v>
      </c>
      <c r="B59" t="s">
        <v>7</v>
      </c>
      <c r="C59">
        <v>2</v>
      </c>
      <c r="D59" s="77" cm="1">
        <f t="array" ref="D5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59" s="77">
        <v>720</v>
      </c>
      <c r="F5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  <c r="I59" s="52" t="s">
        <v>92</v>
      </c>
      <c r="J59" s="60">
        <f>J42/COUNT(_xlfn.UNIQUE(Продажи_Мичурина[Дата]))</f>
        <v>3.7547169811320753</v>
      </c>
      <c r="K59" s="60">
        <f>K42/COUNT(_xlfn.UNIQUE(Продажи_Мичурина[Дата]))</f>
        <v>1.4905660377358489</v>
      </c>
      <c r="L59" s="60">
        <f>L42/COUNT(_xlfn.UNIQUE(Продажи_Мичурина[Дата]))</f>
        <v>5.6603773584905662E-2</v>
      </c>
      <c r="M59" s="60">
        <f>M42/COUNT(_xlfn.UNIQUE(Продажи_Мичурина[Дата]))</f>
        <v>5.3018867924528301</v>
      </c>
    </row>
    <row r="60" spans="1:13" x14ac:dyDescent="0.25">
      <c r="A60" s="59">
        <v>45701</v>
      </c>
      <c r="B60" t="s">
        <v>7</v>
      </c>
      <c r="C60">
        <v>5</v>
      </c>
      <c r="D60" s="77" cm="1">
        <f t="array" ref="D6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60" s="77">
        <v>720</v>
      </c>
      <c r="F6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6086.5</v>
      </c>
    </row>
    <row r="61" spans="1:13" x14ac:dyDescent="0.25">
      <c r="A61" s="59">
        <v>45702</v>
      </c>
      <c r="B61" t="s">
        <v>7</v>
      </c>
      <c r="C61">
        <v>4</v>
      </c>
      <c r="D61" s="77" cm="1">
        <f t="array" ref="D6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61" s="77">
        <v>720</v>
      </c>
      <c r="F6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62" spans="1:13" x14ac:dyDescent="0.25">
      <c r="A62" s="59">
        <v>45702</v>
      </c>
      <c r="B62" t="s">
        <v>8</v>
      </c>
      <c r="C62">
        <v>4</v>
      </c>
      <c r="D62" s="77" cm="1">
        <f t="array" ref="D6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62" s="77">
        <v>1250</v>
      </c>
      <c r="F6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63" spans="1:13" x14ac:dyDescent="0.25">
      <c r="A63" s="59">
        <v>45705</v>
      </c>
      <c r="B63" t="s">
        <v>8</v>
      </c>
      <c r="C63">
        <v>2</v>
      </c>
      <c r="D63" s="77" cm="1">
        <f t="array" ref="D6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63" s="77">
        <v>1250</v>
      </c>
      <c r="F6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64" spans="1:13" x14ac:dyDescent="0.25">
      <c r="A64" s="59">
        <v>45705</v>
      </c>
      <c r="B64" t="s">
        <v>7</v>
      </c>
      <c r="C64">
        <v>2</v>
      </c>
      <c r="D64" s="77" cm="1">
        <f t="array" ref="D6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64" s="77">
        <v>720</v>
      </c>
      <c r="F6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65" spans="1:6" x14ac:dyDescent="0.25">
      <c r="A65" s="59">
        <v>45706</v>
      </c>
      <c r="B65" t="s">
        <v>8</v>
      </c>
      <c r="C65">
        <v>3</v>
      </c>
      <c r="D65" s="77" cm="1">
        <f t="array" ref="D6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65" s="77">
        <v>1250</v>
      </c>
      <c r="F6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66" spans="1:6" x14ac:dyDescent="0.25">
      <c r="A66" s="59">
        <v>45707</v>
      </c>
      <c r="B66" t="s">
        <v>8</v>
      </c>
      <c r="C66">
        <v>2</v>
      </c>
      <c r="D66" s="77" cm="1">
        <f t="array" ref="D6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66" s="77">
        <v>1250</v>
      </c>
      <c r="F6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67" spans="1:6" x14ac:dyDescent="0.25">
      <c r="A67" s="59">
        <v>45707</v>
      </c>
      <c r="B67" t="s">
        <v>7</v>
      </c>
      <c r="C67">
        <v>4</v>
      </c>
      <c r="D67" s="77" cm="1">
        <f t="array" ref="D6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67" s="77">
        <v>720</v>
      </c>
      <c r="F6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68" spans="1:6" x14ac:dyDescent="0.25">
      <c r="A68" s="59">
        <v>45708</v>
      </c>
      <c r="B68" t="s">
        <v>8</v>
      </c>
      <c r="C68">
        <v>4</v>
      </c>
      <c r="D68" s="77" cm="1">
        <f t="array" ref="D6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68" s="77">
        <v>1250</v>
      </c>
      <c r="F6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69" spans="1:6" x14ac:dyDescent="0.25">
      <c r="A69" s="59">
        <v>45709</v>
      </c>
      <c r="B69" t="s">
        <v>8</v>
      </c>
      <c r="C69">
        <v>3</v>
      </c>
      <c r="D69" s="77" cm="1">
        <f t="array" ref="D6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69" s="77">
        <v>1250</v>
      </c>
      <c r="F6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70" spans="1:6" x14ac:dyDescent="0.25">
      <c r="A70" s="59">
        <v>45709</v>
      </c>
      <c r="B70" t="s">
        <v>7</v>
      </c>
      <c r="C70">
        <v>2</v>
      </c>
      <c r="D70" s="77" cm="1">
        <f t="array" ref="D7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70" s="77">
        <v>720</v>
      </c>
      <c r="F7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71" spans="1:6" x14ac:dyDescent="0.25">
      <c r="A71" s="59">
        <v>45712</v>
      </c>
      <c r="B71" t="s">
        <v>8</v>
      </c>
      <c r="C71">
        <v>6</v>
      </c>
      <c r="D71" s="77" cm="1">
        <f t="array" ref="D7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13800</v>
      </c>
      <c r="E71" s="77">
        <v>1250</v>
      </c>
      <c r="F7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5875.2</v>
      </c>
    </row>
    <row r="72" spans="1:6" x14ac:dyDescent="0.25">
      <c r="A72" s="59">
        <v>45712</v>
      </c>
      <c r="B72" t="s">
        <v>7</v>
      </c>
      <c r="C72">
        <v>1</v>
      </c>
      <c r="D72" s="77" cm="1">
        <f t="array" ref="D7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72" s="77">
        <v>720</v>
      </c>
      <c r="F7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73" spans="1:6" x14ac:dyDescent="0.25">
      <c r="A73" s="59">
        <v>45713</v>
      </c>
      <c r="B73" t="s">
        <v>7</v>
      </c>
      <c r="C73">
        <v>1</v>
      </c>
      <c r="D73" s="77" cm="1">
        <f t="array" ref="D7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73" s="77">
        <v>720</v>
      </c>
      <c r="F7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74" spans="1:6" x14ac:dyDescent="0.25">
      <c r="A74" s="59">
        <v>45713</v>
      </c>
      <c r="B74" t="s">
        <v>8</v>
      </c>
      <c r="C74">
        <v>1</v>
      </c>
      <c r="D74" s="77" cm="1">
        <f t="array" ref="D7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74" s="77">
        <v>1250</v>
      </c>
      <c r="F7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75" spans="1:6" x14ac:dyDescent="0.25">
      <c r="A75" s="59">
        <v>45714</v>
      </c>
      <c r="B75" t="s">
        <v>8</v>
      </c>
      <c r="C75">
        <v>1</v>
      </c>
      <c r="D75" s="77" cm="1">
        <f t="array" ref="D7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75" s="77">
        <v>1250</v>
      </c>
      <c r="F7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76" spans="1:6" x14ac:dyDescent="0.25">
      <c r="A76" s="59">
        <v>45715</v>
      </c>
      <c r="B76" t="s">
        <v>8</v>
      </c>
      <c r="C76">
        <v>3</v>
      </c>
      <c r="D76" s="77" cm="1">
        <f t="array" ref="D7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76" s="77">
        <v>1250</v>
      </c>
      <c r="F7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77" spans="1:6" x14ac:dyDescent="0.25">
      <c r="A77" s="59">
        <v>45715</v>
      </c>
      <c r="B77" t="s">
        <v>7</v>
      </c>
      <c r="C77">
        <v>3</v>
      </c>
      <c r="D77" s="77" cm="1">
        <f t="array" ref="D7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77" s="77">
        <v>720</v>
      </c>
      <c r="F7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</row>
    <row r="78" spans="1:6" x14ac:dyDescent="0.25">
      <c r="A78" s="59">
        <v>45716</v>
      </c>
      <c r="B78" t="s">
        <v>8</v>
      </c>
      <c r="C78">
        <v>3</v>
      </c>
      <c r="D78" s="77" cm="1">
        <f t="array" ref="D7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78" s="77">
        <v>1250</v>
      </c>
      <c r="F7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79" spans="1:6" x14ac:dyDescent="0.25">
      <c r="A79" s="59">
        <v>45719</v>
      </c>
      <c r="B79" t="s">
        <v>8</v>
      </c>
      <c r="C79">
        <v>4</v>
      </c>
      <c r="D79" s="77" cm="1">
        <f t="array" ref="D7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79" s="77">
        <v>1250</v>
      </c>
      <c r="F7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80" spans="1:6" x14ac:dyDescent="0.25">
      <c r="A80" s="59">
        <v>45719</v>
      </c>
      <c r="B80" t="s">
        <v>7</v>
      </c>
      <c r="C80">
        <v>1</v>
      </c>
      <c r="D80" s="77" cm="1">
        <f t="array" ref="D8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80" s="77">
        <v>720</v>
      </c>
      <c r="F8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81" spans="1:6" x14ac:dyDescent="0.25">
      <c r="A81" s="59">
        <v>45720</v>
      </c>
      <c r="B81" t="s">
        <v>7</v>
      </c>
      <c r="C81">
        <v>4</v>
      </c>
      <c r="D81" s="77" cm="1">
        <f t="array" ref="D8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81" s="77">
        <v>720</v>
      </c>
      <c r="F8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82" spans="1:6" x14ac:dyDescent="0.25">
      <c r="A82" s="59">
        <v>45720</v>
      </c>
      <c r="B82" t="s">
        <v>8</v>
      </c>
      <c r="C82">
        <v>3</v>
      </c>
      <c r="D82" s="77" cm="1">
        <f t="array" ref="D8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82" s="77">
        <v>1250</v>
      </c>
      <c r="F8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83" spans="1:6" x14ac:dyDescent="0.25">
      <c r="A83" s="59">
        <v>45721</v>
      </c>
      <c r="B83" t="s">
        <v>8</v>
      </c>
      <c r="C83">
        <v>5</v>
      </c>
      <c r="D83" s="77" cm="1">
        <f t="array" ref="D8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11500</v>
      </c>
      <c r="E83" s="77">
        <v>1250</v>
      </c>
      <c r="F8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4896</v>
      </c>
    </row>
    <row r="84" spans="1:6" x14ac:dyDescent="0.25">
      <c r="A84" s="59">
        <v>45721</v>
      </c>
      <c r="B84" t="s">
        <v>7</v>
      </c>
      <c r="C84">
        <v>2</v>
      </c>
      <c r="D84" s="77" cm="1">
        <f t="array" ref="D8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84" s="77">
        <v>720</v>
      </c>
      <c r="F8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85" spans="1:6" x14ac:dyDescent="0.25">
      <c r="A85" s="59">
        <v>45722</v>
      </c>
      <c r="B85" t="s">
        <v>7</v>
      </c>
      <c r="C85">
        <v>2</v>
      </c>
      <c r="D85" s="77" cm="1">
        <f t="array" ref="D8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85" s="77">
        <v>720</v>
      </c>
      <c r="F8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86" spans="1:6" x14ac:dyDescent="0.25">
      <c r="A86" s="59">
        <v>45722</v>
      </c>
      <c r="B86" t="s">
        <v>8</v>
      </c>
      <c r="C86">
        <v>1</v>
      </c>
      <c r="D86" s="77" cm="1">
        <f t="array" ref="D8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86" s="77">
        <v>1250</v>
      </c>
      <c r="F8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87" spans="1:6" x14ac:dyDescent="0.25">
      <c r="A87" s="59">
        <v>45723</v>
      </c>
      <c r="B87" t="s">
        <v>8</v>
      </c>
      <c r="C87">
        <v>1</v>
      </c>
      <c r="D87" s="77" cm="1">
        <f t="array" ref="D8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87" s="77">
        <v>1250</v>
      </c>
      <c r="F8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88" spans="1:6" x14ac:dyDescent="0.25">
      <c r="A88" s="59">
        <v>45726</v>
      </c>
      <c r="B88" t="s">
        <v>8</v>
      </c>
      <c r="C88">
        <v>6</v>
      </c>
      <c r="D88" s="77" cm="1">
        <f t="array" ref="D8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13800</v>
      </c>
      <c r="E88" s="77">
        <v>1250</v>
      </c>
      <c r="F8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5875.2</v>
      </c>
    </row>
    <row r="89" spans="1:6" x14ac:dyDescent="0.25">
      <c r="A89" s="59">
        <v>45727</v>
      </c>
      <c r="B89" t="s">
        <v>8</v>
      </c>
      <c r="C89">
        <v>4</v>
      </c>
      <c r="D89" s="77" cm="1">
        <f t="array" ref="D8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89" s="77">
        <v>1250</v>
      </c>
      <c r="F8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90" spans="1:6" x14ac:dyDescent="0.25">
      <c r="A90" s="59">
        <v>45727</v>
      </c>
      <c r="B90" t="s">
        <v>7</v>
      </c>
      <c r="C90">
        <v>1</v>
      </c>
      <c r="D90" s="77" cm="1">
        <f t="array" ref="D9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90" s="77">
        <v>720</v>
      </c>
      <c r="F9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91" spans="1:6" x14ac:dyDescent="0.25">
      <c r="A91" s="59">
        <v>45728</v>
      </c>
      <c r="B91" t="s">
        <v>7</v>
      </c>
      <c r="C91">
        <v>1</v>
      </c>
      <c r="D91" s="77" cm="1">
        <f t="array" ref="D9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91" s="77">
        <v>720</v>
      </c>
      <c r="F9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92" spans="1:6" x14ac:dyDescent="0.25">
      <c r="A92" s="59">
        <v>45728</v>
      </c>
      <c r="B92" t="s">
        <v>8</v>
      </c>
      <c r="C92">
        <v>3</v>
      </c>
      <c r="D92" s="77" cm="1">
        <f t="array" ref="D9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92" s="77">
        <v>1250</v>
      </c>
      <c r="F9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93" spans="1:6" x14ac:dyDescent="0.25">
      <c r="A93" s="59">
        <v>45729</v>
      </c>
      <c r="B93" t="s">
        <v>8</v>
      </c>
      <c r="C93">
        <v>3</v>
      </c>
      <c r="D93" s="77" cm="1">
        <f t="array" ref="D9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93" s="77">
        <v>1250</v>
      </c>
      <c r="F9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94" spans="1:6" x14ac:dyDescent="0.25">
      <c r="A94" s="59">
        <v>45729</v>
      </c>
      <c r="B94" t="s">
        <v>7</v>
      </c>
      <c r="C94">
        <v>3</v>
      </c>
      <c r="D94" s="77" cm="1">
        <f t="array" ref="D9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94" s="77">
        <v>720</v>
      </c>
      <c r="F9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</row>
    <row r="95" spans="1:6" x14ac:dyDescent="0.25">
      <c r="A95" s="59">
        <v>45729</v>
      </c>
      <c r="B95" s="2" t="s">
        <v>125</v>
      </c>
      <c r="C95">
        <v>1</v>
      </c>
      <c r="D95" s="77" cm="1">
        <f t="array" ref="D9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2670</v>
      </c>
      <c r="E95" s="77">
        <v>1340</v>
      </c>
      <c r="F9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1249.2099999999998</v>
      </c>
    </row>
    <row r="96" spans="1:6" x14ac:dyDescent="0.25">
      <c r="A96" s="59">
        <v>45730</v>
      </c>
      <c r="B96" t="s">
        <v>7</v>
      </c>
      <c r="C96">
        <v>1</v>
      </c>
      <c r="D96" s="77" cm="1">
        <f t="array" ref="D9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96" s="77">
        <v>720</v>
      </c>
      <c r="F9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97" spans="1:6" x14ac:dyDescent="0.25">
      <c r="A97" s="59">
        <v>45733</v>
      </c>
      <c r="B97" t="s">
        <v>7</v>
      </c>
      <c r="C97">
        <v>2</v>
      </c>
      <c r="D97" s="77" cm="1">
        <f t="array" ref="D9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97" s="77">
        <v>720</v>
      </c>
      <c r="F9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98" spans="1:6" x14ac:dyDescent="0.25">
      <c r="A98" s="59">
        <v>45734</v>
      </c>
      <c r="B98" t="s">
        <v>8</v>
      </c>
      <c r="C98">
        <v>3</v>
      </c>
      <c r="D98" s="77" cm="1">
        <f t="array" ref="D9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98" s="77">
        <v>1250</v>
      </c>
      <c r="F9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99" spans="1:6" x14ac:dyDescent="0.25">
      <c r="A99" s="59">
        <v>45734</v>
      </c>
      <c r="B99" t="s">
        <v>7</v>
      </c>
      <c r="C99">
        <v>2</v>
      </c>
      <c r="D99" s="77" cm="1">
        <f t="array" ref="D9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99" s="77">
        <v>720</v>
      </c>
      <c r="F9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100" spans="1:6" x14ac:dyDescent="0.25">
      <c r="A100" s="59">
        <v>45735</v>
      </c>
      <c r="B100" t="s">
        <v>125</v>
      </c>
      <c r="C100">
        <v>1</v>
      </c>
      <c r="D100" s="77" cm="1">
        <f t="array" ref="D10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2670</v>
      </c>
      <c r="E100" s="77">
        <v>1340</v>
      </c>
      <c r="F10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1249.2099999999998</v>
      </c>
    </row>
    <row r="101" spans="1:6" x14ac:dyDescent="0.25">
      <c r="A101" s="59">
        <v>45735</v>
      </c>
      <c r="B101" t="s">
        <v>7</v>
      </c>
      <c r="C101">
        <v>4</v>
      </c>
      <c r="D101" s="77" cm="1">
        <f t="array" ref="D10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101" s="77">
        <v>720</v>
      </c>
      <c r="F10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102" spans="1:6" x14ac:dyDescent="0.25">
      <c r="A102" s="59">
        <v>45735</v>
      </c>
      <c r="B102" t="s">
        <v>8</v>
      </c>
      <c r="C102">
        <v>2</v>
      </c>
      <c r="D102" s="77" cm="1">
        <f t="array" ref="D10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102" s="77">
        <v>1250</v>
      </c>
      <c r="F10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103" spans="1:6" x14ac:dyDescent="0.25">
      <c r="A103" s="59">
        <v>45736</v>
      </c>
      <c r="B103" t="s">
        <v>8</v>
      </c>
      <c r="C103">
        <v>2</v>
      </c>
      <c r="D103" s="77" cm="1">
        <f t="array" ref="D10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103" s="77">
        <v>1250</v>
      </c>
      <c r="F10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104" spans="1:6" x14ac:dyDescent="0.25">
      <c r="A104" s="59">
        <v>45736</v>
      </c>
      <c r="B104" t="s">
        <v>7</v>
      </c>
      <c r="C104">
        <v>1</v>
      </c>
      <c r="D104" s="77" cm="1">
        <f t="array" ref="D10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104" s="77">
        <v>720</v>
      </c>
      <c r="F10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105" spans="1:6" x14ac:dyDescent="0.25">
      <c r="A105" s="59">
        <v>45736</v>
      </c>
      <c r="B105" t="s">
        <v>125</v>
      </c>
      <c r="C105">
        <v>1</v>
      </c>
      <c r="D105" s="77" cm="1">
        <f t="array" ref="D10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2670</v>
      </c>
      <c r="E105" s="77">
        <v>1340</v>
      </c>
      <c r="F10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1249.2099999999998</v>
      </c>
    </row>
    <row r="106" spans="1:6" x14ac:dyDescent="0.25">
      <c r="A106" s="59">
        <v>45737</v>
      </c>
      <c r="B106" t="s">
        <v>7</v>
      </c>
      <c r="C106">
        <v>1</v>
      </c>
      <c r="D106" s="77" cm="1">
        <f t="array" ref="D10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106" s="77">
        <v>720</v>
      </c>
      <c r="F10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107" spans="1:6" x14ac:dyDescent="0.25">
      <c r="A107" s="205">
        <v>45740</v>
      </c>
      <c r="B107" t="s">
        <v>7</v>
      </c>
      <c r="C107">
        <v>7</v>
      </c>
      <c r="D107" s="77" cm="1">
        <f t="array" ref="D10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14000</v>
      </c>
      <c r="E107" s="77">
        <v>720</v>
      </c>
      <c r="F10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8521.1</v>
      </c>
    </row>
    <row r="108" spans="1:6" x14ac:dyDescent="0.25">
      <c r="A108" s="205">
        <v>45740</v>
      </c>
      <c r="B108" t="s">
        <v>8</v>
      </c>
      <c r="C108">
        <v>3</v>
      </c>
      <c r="D108" s="77" cm="1">
        <f t="array" ref="D10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108" s="77">
        <v>1250</v>
      </c>
      <c r="F10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</sheetData>
  <conditionalFormatting sqref="A30:F108">
    <cfRule type="expression" dxfId="7" priority="30">
      <formula>MONTH($A30)&lt;&gt;MONTH($A31)</formula>
    </cfRule>
  </conditionalFormatting>
  <conditionalFormatting sqref="B30:F108">
    <cfRule type="expression" dxfId="6" priority="1">
      <formula>$B30="Есмарт АРМ"</formula>
    </cfRule>
    <cfRule type="expression" dxfId="5" priority="28">
      <formula>$B30="Есмарт"</formula>
    </cfRule>
    <cfRule type="expression" dxfId="4" priority="29">
      <formula>$B30="Рутокен"</formula>
    </cfRule>
  </conditionalFormatting>
  <pageMargins left="0.7" right="0.7" top="0.75" bottom="0.75" header="0.3" footer="0.3"/>
  <pageSetup paperSize="9" orientation="portrait" verticalDpi="0" r:id="rId1"/>
  <legacy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8"/>
  <dimension ref="A1:V96"/>
  <sheetViews>
    <sheetView zoomScale="90" zoomScaleNormal="90" workbookViewId="0">
      <selection activeCell="D24" sqref="D24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1.5703125" bestFit="1" customWidth="1"/>
    <col min="10" max="10" width="18.28515625" customWidth="1"/>
    <col min="11" max="11" width="14" customWidth="1"/>
    <col min="12" max="12" width="13.85546875" bestFit="1" customWidth="1"/>
    <col min="13" max="13" width="11.7109375" customWidth="1"/>
    <col min="17" max="17" width="11.5703125" bestFit="1" customWidth="1"/>
    <col min="18" max="18" width="10.28515625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107</v>
      </c>
      <c r="S1" t="s">
        <v>108</v>
      </c>
    </row>
    <row r="2" spans="1:22" ht="13.5" customHeight="1" x14ac:dyDescent="0.25">
      <c r="A2" s="2">
        <f>SUMIF($C$7:$C$19,E2,$B$7:$B$19)</f>
        <v>111</v>
      </c>
      <c r="B2" s="2">
        <f>SUMIF(Продажи_Сызрань[Товар],E2,Продажи_Сызрань[Кол-во])</f>
        <v>80</v>
      </c>
      <c r="C2" s="2">
        <f>A2-B2</f>
        <v>31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50</v>
      </c>
      <c r="B3" s="2">
        <f>SUMIF(Продажи_Сызрань[Товар],E3,Продажи_Сызрань[Кол-во])</f>
        <v>19</v>
      </c>
      <c r="C3" s="2">
        <f t="shared" ref="C3:C4" si="1">A3-B3</f>
        <v>31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14</v>
      </c>
      <c r="B4" s="2">
        <f>SUMIF(Продажи_Сызрань[Товар],E4,Продажи_Сызрань[Кол-во])</f>
        <v>1</v>
      </c>
      <c r="C4" s="2">
        <f t="shared" si="1"/>
        <v>13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SUMPRODUCT(1*ISNUMBER(SEARCH(J4,TEXT(Продажи_Сызрань[Дата],"ММММ"))),Продажи_Сызрань[Выручка])</f>
        <v>53000</v>
      </c>
      <c r="L4" s="64" cm="1">
        <f t="array" ref="L4">SUMPRODUCT(IFERROR(SEARCH($J4,TEXT(Продажи_Сызрань[Дата],"ММММ")),0),Продажи_Сызрань[Прибыль])-SUM(Q6:R6)</f>
        <v>28016.1</v>
      </c>
    </row>
    <row r="5" spans="1:22" ht="15.75" thickBot="1" x14ac:dyDescent="0.3">
      <c r="J5" s="2" t="s">
        <v>23</v>
      </c>
      <c r="K5" s="74" cm="1">
        <f t="array" ref="K5">SUMPRODUCT(1*ISNUMBER(SEARCH(J5,TEXT(Продажи_Сызрань[Дата],"ММММ"))),Продажи_Сызрань[Выручка])</f>
        <v>81000</v>
      </c>
      <c r="L5" s="64" cm="1">
        <f t="array" ref="L5">SUMPRODUCT(IFERROR(SEARCH($J5,TEXT(Продажи_Сызрань[Дата],"ММММ")),0),Продажи_Сызрань[Прибыль])-SUM(Q7:R7)</f>
        <v>43427.880000000005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SUMPRODUCT(1*ISNUMBER(SEARCH(J6,TEXT(Продажи_Сызрань[Дата],"ММММ"))),Продажи_Сызрань[Выручка])</f>
        <v>71370</v>
      </c>
      <c r="L6" s="64" cm="1">
        <f t="array" ref="L6">SUMPRODUCT(IFERROR(SEARCH($J6,TEXT(Продажи_Сызрань[Дата],"ММММ")),0),Продажи_Сызрань[Прибыль])-SUM(Q8:R8)</f>
        <v>38211.39</v>
      </c>
      <c r="P6" s="12" t="s">
        <v>22</v>
      </c>
      <c r="Q6" s="64">
        <v>1065.82</v>
      </c>
      <c r="R6" s="69">
        <v>787.18</v>
      </c>
    </row>
    <row r="7" spans="1:22" x14ac:dyDescent="0.25">
      <c r="A7" s="24" t="s">
        <v>77</v>
      </c>
      <c r="B7" s="2">
        <v>35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SUMPRODUCT(1*ISNUMBER(SEARCH(J7,TEXT(Продажи_Сызрань[Дата],"ММММ"))),Продажи_Сызрань[Выручка])</f>
        <v>0</v>
      </c>
      <c r="L7" s="64" cm="1">
        <f t="array" ref="L7">SUMPRODUCT(IFERROR(SEARCH($J7,TEXT(Продажи_Сызрань[Дата],"ММММ")),0),Продажи_Сызрань[Прибыль])-SUM(Q9:R9)</f>
        <v>0</v>
      </c>
      <c r="P7" s="12" t="s">
        <v>23</v>
      </c>
      <c r="Q7" s="64">
        <v>1065.82</v>
      </c>
      <c r="R7" s="69"/>
    </row>
    <row r="8" spans="1:22" x14ac:dyDescent="0.25">
      <c r="A8" s="4">
        <v>45672</v>
      </c>
      <c r="B8" s="2">
        <v>-2</v>
      </c>
      <c r="C8" s="2" t="s">
        <v>7</v>
      </c>
      <c r="D8" s="76"/>
      <c r="E8" s="2"/>
      <c r="J8" s="2" t="s">
        <v>69</v>
      </c>
      <c r="K8" s="74" cm="1">
        <f t="array" ref="K8">SUMPRODUCT(1*ISNUMBER(SEARCH(J8,TEXT(Продажи_Сызрань[Дата],"ММММ"))),Продажи_Сызрань[Выручка])</f>
        <v>0</v>
      </c>
      <c r="L8" s="64" cm="1">
        <f t="array" ref="L8">SUMPRODUCT(IFERROR(SEARCH($J8,TEXT(Продажи_Сызрань[Дата],"ММММ")),0),Продажи_Сызрань[Прибыль])-SUM(Q10:R10)</f>
        <v>0</v>
      </c>
      <c r="P8" s="12" t="s">
        <v>67</v>
      </c>
      <c r="Q8" s="64">
        <v>1065.82</v>
      </c>
      <c r="R8" s="69"/>
    </row>
    <row r="9" spans="1:22" x14ac:dyDescent="0.25">
      <c r="A9" s="4">
        <v>45672</v>
      </c>
      <c r="B9" s="2">
        <v>50</v>
      </c>
      <c r="C9" s="2" t="s">
        <v>7</v>
      </c>
      <c r="D9" s="76">
        <v>720</v>
      </c>
      <c r="E9" s="2"/>
      <c r="J9" s="2" t="s">
        <v>70</v>
      </c>
      <c r="K9" s="74" cm="1">
        <f t="array" ref="K9">SUMPRODUCT(1*ISNUMBER(SEARCH(J9,TEXT(Продажи_Сызрань[Дата],"ММММ"))),Продажи_Сызрань[Выручка])</f>
        <v>0</v>
      </c>
      <c r="L9" s="64" cm="1">
        <f t="array" ref="L9">SUMPRODUCT(IFERROR(SEARCH($J9,TEXT(Продажи_Сызрань[Дата],"ММММ")),0),Продажи_Сызрань[Прибыль])-SUM(Q11:R11)</f>
        <v>0</v>
      </c>
      <c r="P9" s="12" t="s">
        <v>68</v>
      </c>
      <c r="Q9" s="64"/>
      <c r="R9" s="69"/>
    </row>
    <row r="10" spans="1:22" x14ac:dyDescent="0.25">
      <c r="A10" s="4">
        <v>45694</v>
      </c>
      <c r="B10" s="2">
        <v>50</v>
      </c>
      <c r="C10" s="2" t="s">
        <v>8</v>
      </c>
      <c r="D10" s="76">
        <v>1250</v>
      </c>
      <c r="E10" s="2"/>
      <c r="J10" s="2" t="s">
        <v>71</v>
      </c>
      <c r="K10" s="74" cm="1">
        <f t="array" ref="K10">SUMPRODUCT(1*ISNUMBER(SEARCH(J10,TEXT(Продажи_Сызрань[Дата],"ММММ"))),Продажи_Сызрань[Выручка])</f>
        <v>0</v>
      </c>
      <c r="L10" s="64" cm="1">
        <f t="array" ref="L10">SUMPRODUCT(IFERROR(SEARCH($J10,TEXT(Продажи_Сызрань[Дата],"ММММ")),0),Продажи_Сызрань[Прибыль])-SUM(Q12:R12)</f>
        <v>0</v>
      </c>
      <c r="P10" s="12" t="s">
        <v>69</v>
      </c>
      <c r="Q10" s="64"/>
      <c r="R10" s="69"/>
    </row>
    <row r="11" spans="1:22" x14ac:dyDescent="0.25">
      <c r="A11" s="4">
        <v>45723</v>
      </c>
      <c r="B11" s="2">
        <v>14</v>
      </c>
      <c r="C11" s="2" t="s">
        <v>125</v>
      </c>
      <c r="D11" s="76">
        <v>1340</v>
      </c>
      <c r="E11" s="2"/>
      <c r="J11" s="2" t="s">
        <v>72</v>
      </c>
      <c r="K11" s="74" cm="1">
        <f t="array" ref="K11">SUMPRODUCT(1*ISNUMBER(SEARCH(J11,TEXT(Продажи_Сызрань[Дата],"ММММ"))),Продажи_Сызрань[Выручка])</f>
        <v>0</v>
      </c>
      <c r="L11" s="64" cm="1">
        <f t="array" ref="L11">SUMPRODUCT(IFERROR(SEARCH($J11,TEXT(Продажи_Сызрань[Дата],"ММММ")),0),Продажи_Сызрань[Прибыль])-SUM(Q13:R13)</f>
        <v>0</v>
      </c>
      <c r="P11" s="12" t="s">
        <v>70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7</v>
      </c>
      <c r="D12" s="76">
        <v>720</v>
      </c>
      <c r="E12" s="2"/>
      <c r="J12" s="2" t="s">
        <v>76</v>
      </c>
      <c r="K12" s="74" cm="1">
        <f t="array" ref="K12">SUMPRODUCT(1*ISNUMBER(SEARCH(J12,TEXT(Продажи_Сызрань[Дата],"ММММ"))),Продажи_Сызрань[Выручка])</f>
        <v>0</v>
      </c>
      <c r="L12" s="64" cm="1">
        <f t="array" ref="L12">SUMPRODUCT(IFERROR(SEARCH($J12,TEXT(Продажи_Сызрань[Дата],"ММММ")),0),Продажи_Сызрань[Прибыль])-SUM(Q14:R14)</f>
        <v>0</v>
      </c>
      <c r="P12" s="12" t="s">
        <v>71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78</v>
      </c>
      <c r="K13" s="74" cm="1">
        <f t="array" ref="K13">SUMPRODUCT(1*ISNUMBER(SEARCH(J13,TEXT(Продажи_Сызрань[Дата],"ММММ"))),Продажи_Сызрань[Выручка])</f>
        <v>0</v>
      </c>
      <c r="L13" s="64" cm="1">
        <f t="array" ref="L13">SUMPRODUCT(IFERROR(SEARCH($J13,TEXT(Продажи_Сызрань[Дата],"ММММ")),0),Продажи_Сызрань[Прибыль])-SUM(Q15:R15)</f>
        <v>0</v>
      </c>
      <c r="P13" s="12" t="s">
        <v>72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79</v>
      </c>
      <c r="K14" s="74" cm="1">
        <f t="array" ref="K14">SUMPRODUCT(1*ISNUMBER(SEARCH(J14,TEXT(Продажи_Сызрань[Дата],"ММММ"))),Продажи_Сызрань[Выручка])</f>
        <v>0</v>
      </c>
      <c r="L14" s="64" cm="1">
        <f t="array" ref="L14">SUMPRODUCT(IFERROR(SEARCH($J14,TEXT(Продажи_Сызрань[Дата],"ММММ")),0),Продажи_Сызрань[Прибыль])-SUM(Q16:R16)</f>
        <v>0</v>
      </c>
      <c r="P14" s="12" t="s">
        <v>76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80</v>
      </c>
      <c r="K15" s="74" cm="1">
        <f t="array" ref="K15">SUMPRODUCT(1*ISNUMBER(SEARCH(J15,TEXT(Продажи_Сызрань[Дата],"ММММ"))),Продажи_Сызрань[Выручка])</f>
        <v>0</v>
      </c>
      <c r="L15" s="64" cm="1">
        <f t="array" ref="L15">SUMPRODUCT(IFERROR(SEARCH($J15,TEXT(Продажи_Сызрань[Дата],"ММММ")),0),Продажи_Сызрань[Прибыль])-SUM(Q17:R17)</f>
        <v>0</v>
      </c>
      <c r="P15" s="12" t="s">
        <v>78</v>
      </c>
      <c r="Q15" s="64"/>
      <c r="R15" s="69"/>
    </row>
    <row r="16" spans="1:22" x14ac:dyDescent="0.25">
      <c r="J16" s="2" t="s">
        <v>81</v>
      </c>
      <c r="K16" s="74">
        <f>SUM(K4:K15)</f>
        <v>205370</v>
      </c>
      <c r="L16" s="74">
        <f>SUM(L4:L15)</f>
        <v>109655.37000000001</v>
      </c>
      <c r="P16" s="12" t="s">
        <v>79</v>
      </c>
      <c r="Q16" s="64"/>
      <c r="R16" s="69"/>
    </row>
    <row r="17" spans="1:18" ht="15.75" thickBot="1" x14ac:dyDescent="0.3">
      <c r="P17" s="13" t="s">
        <v>80</v>
      </c>
      <c r="Q17" s="65"/>
      <c r="R17" s="66"/>
    </row>
    <row r="20" spans="1:18" x14ac:dyDescent="0.25">
      <c r="A20" s="26" t="s">
        <v>90</v>
      </c>
    </row>
    <row r="21" spans="1:18" x14ac:dyDescent="0.25">
      <c r="A21" s="26"/>
    </row>
    <row r="22" spans="1:18" x14ac:dyDescent="0.25">
      <c r="A22" s="26"/>
    </row>
    <row r="28" spans="1:18" ht="15.75" x14ac:dyDescent="0.25">
      <c r="I28" s="53" t="s">
        <v>74</v>
      </c>
    </row>
    <row r="29" spans="1:18" x14ac:dyDescent="0.25">
      <c r="A29" s="79" t="s">
        <v>83</v>
      </c>
      <c r="B29" s="79" t="s">
        <v>45</v>
      </c>
      <c r="C29" s="79" t="s">
        <v>74</v>
      </c>
      <c r="D29" s="79" t="s">
        <v>58</v>
      </c>
      <c r="E29" s="79" t="s">
        <v>91</v>
      </c>
      <c r="F29" s="7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2</v>
      </c>
      <c r="D30" s="77">
        <v>3600</v>
      </c>
      <c r="E30" s="77">
        <v>795</v>
      </c>
      <c r="F3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1895.4</v>
      </c>
      <c r="I30" s="48" t="s">
        <v>22</v>
      </c>
      <c r="J30" s="54" cm="1">
        <f t="array" ref="J30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27</v>
      </c>
      <c r="K30" s="54" cm="1">
        <f t="array" ref="K30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0" s="54" cm="1">
        <f t="array" ref="L30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0" s="55">
        <f>SUM(J30:L30)</f>
        <v>27</v>
      </c>
    </row>
    <row r="31" spans="1:18" x14ac:dyDescent="0.25">
      <c r="A31" s="59">
        <v>45667</v>
      </c>
      <c r="B31" t="s">
        <v>93</v>
      </c>
      <c r="C31">
        <v>0</v>
      </c>
      <c r="D31" s="77" cm="1">
        <f t="array" ref="D31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0</v>
      </c>
      <c r="E31" s="77">
        <v>0</v>
      </c>
      <c r="F3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31" s="48" t="s">
        <v>23</v>
      </c>
      <c r="J31" s="54" cm="1">
        <f t="array" ref="J31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29</v>
      </c>
      <c r="K31" s="54" cm="1">
        <f t="array" ref="K31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10</v>
      </c>
      <c r="L31" s="54" cm="1">
        <f t="array" ref="L31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1" s="55">
        <f t="shared" ref="M31:M41" si="2">SUM(J31:L31)</f>
        <v>39</v>
      </c>
    </row>
    <row r="32" spans="1:18" x14ac:dyDescent="0.25">
      <c r="A32" s="59">
        <v>45670</v>
      </c>
      <c r="B32" t="s">
        <v>7</v>
      </c>
      <c r="C32">
        <v>1</v>
      </c>
      <c r="D32" s="77">
        <v>1800</v>
      </c>
      <c r="E32" s="77">
        <v>795</v>
      </c>
      <c r="F3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947.7</v>
      </c>
      <c r="I32" s="48" t="s">
        <v>67</v>
      </c>
      <c r="J32" s="54" cm="1">
        <f t="array" ref="J32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24</v>
      </c>
      <c r="K32" s="54" cm="1">
        <f t="array" ref="K32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9</v>
      </c>
      <c r="L32" s="54" cm="1">
        <f t="array" ref="L32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1</v>
      </c>
      <c r="M32" s="55">
        <f t="shared" si="2"/>
        <v>34</v>
      </c>
    </row>
    <row r="33" spans="1:13" x14ac:dyDescent="0.25">
      <c r="A33" s="59">
        <v>45671</v>
      </c>
      <c r="B33" t="s">
        <v>7</v>
      </c>
      <c r="C33">
        <v>2</v>
      </c>
      <c r="D33" s="77">
        <v>3600</v>
      </c>
      <c r="E33" s="77">
        <v>795</v>
      </c>
      <c r="F3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1895.4</v>
      </c>
      <c r="I33" s="48" t="s">
        <v>68</v>
      </c>
      <c r="J33" s="54" cm="1">
        <f t="array" ref="J33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3" s="54" cm="1">
        <f t="array" ref="K33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3" s="54" cm="1">
        <f t="array" ref="L33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93</v>
      </c>
      <c r="C34">
        <v>0</v>
      </c>
      <c r="D34" s="77" cm="1">
        <f t="array" ref="D34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0</v>
      </c>
      <c r="E34" s="77">
        <v>0</v>
      </c>
      <c r="F3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34" s="48" t="s">
        <v>69</v>
      </c>
      <c r="J34" s="54" cm="1">
        <f t="array" ref="J34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4" s="54" cm="1">
        <f t="array" ref="K34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4" s="54" cm="1">
        <f t="array" ref="L34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3</v>
      </c>
      <c r="D35" s="77" cm="1">
        <f t="array" ref="D3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35" s="77">
        <v>795</v>
      </c>
      <c r="F3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3426.9</v>
      </c>
      <c r="I35" s="48" t="s">
        <v>70</v>
      </c>
      <c r="J35" s="54" cm="1">
        <f t="array" ref="J35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5" s="54" cm="1">
        <f t="array" ref="K35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5" s="54" cm="1">
        <f t="array" ref="L35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6</v>
      </c>
      <c r="D36" s="77" cm="1">
        <f t="array" ref="D3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12000</v>
      </c>
      <c r="E36" s="77">
        <v>795</v>
      </c>
      <c r="F3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6853.8</v>
      </c>
      <c r="I36" s="48" t="s">
        <v>71</v>
      </c>
      <c r="J36" s="54" cm="1">
        <f t="array" ref="J36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6" s="54" cm="1">
        <f t="array" ref="K36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6" s="54" cm="1">
        <f t="array" ref="L36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1</v>
      </c>
      <c r="D37" s="77" cm="1">
        <f t="array" ref="D3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37" s="77">
        <v>795</v>
      </c>
      <c r="F3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37" s="48" t="s">
        <v>72</v>
      </c>
      <c r="J37" s="54" cm="1">
        <f t="array" ref="J37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7" s="54" cm="1">
        <f t="array" ref="K37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7" s="54" cm="1">
        <f t="array" ref="L37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1</v>
      </c>
      <c r="D38" s="77" cm="1">
        <f t="array" ref="D3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38" s="77">
        <v>795</v>
      </c>
      <c r="F3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38" s="48" t="s">
        <v>76</v>
      </c>
      <c r="J38" s="54" cm="1">
        <f t="array" ref="J38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8" s="54" cm="1">
        <f t="array" ref="K38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8" s="54" cm="1">
        <f t="array" ref="L38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93</v>
      </c>
      <c r="C39">
        <v>0</v>
      </c>
      <c r="D39" s="77" cm="1">
        <f t="array" ref="D3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39" s="77">
        <v>0</v>
      </c>
      <c r="F3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39" s="48" t="s">
        <v>78</v>
      </c>
      <c r="J39" s="54" cm="1">
        <f t="array" ref="J39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9" s="54" cm="1">
        <f t="array" ref="K39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9" s="54" cm="1">
        <f t="array" ref="L39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3</v>
      </c>
      <c r="D40" s="77" cm="1">
        <f t="array" ref="D4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40" s="77">
        <v>795</v>
      </c>
      <c r="F4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3426.9</v>
      </c>
      <c r="I40" s="48" t="s">
        <v>79</v>
      </c>
      <c r="J40" s="54" cm="1">
        <f t="array" ref="J40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40" s="54" cm="1">
        <f t="array" ref="K40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40" s="54" cm="1">
        <f t="array" ref="L40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4</v>
      </c>
      <c r="D41" s="77" cm="1">
        <f t="array" ref="D4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8000</v>
      </c>
      <c r="E41" s="77">
        <v>795</v>
      </c>
      <c r="F4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4569.2</v>
      </c>
      <c r="I41" s="48" t="s">
        <v>80</v>
      </c>
      <c r="J41" s="54" cm="1">
        <f t="array" ref="J41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41" s="54" cm="1">
        <f t="array" ref="K41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41" s="54" cm="1">
        <f t="array" ref="L41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2</v>
      </c>
      <c r="D42" s="77" cm="1">
        <f t="array" ref="D4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4000</v>
      </c>
      <c r="E42" s="77">
        <v>795</v>
      </c>
      <c r="F4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2284.6</v>
      </c>
      <c r="I42" s="52" t="s">
        <v>92</v>
      </c>
      <c r="J42" s="56">
        <f>SUM(J30:J41)</f>
        <v>80</v>
      </c>
      <c r="K42" s="56">
        <f t="shared" ref="K42:L42" si="3">SUM(K30:K41)</f>
        <v>19</v>
      </c>
      <c r="L42" s="56">
        <f t="shared" si="3"/>
        <v>1</v>
      </c>
      <c r="M42" s="57">
        <f>SUM(J42:L42)</f>
        <v>100</v>
      </c>
    </row>
    <row r="43" spans="1:13" x14ac:dyDescent="0.25">
      <c r="A43" s="59">
        <v>45685</v>
      </c>
      <c r="B43" t="s">
        <v>7</v>
      </c>
      <c r="C43">
        <v>1</v>
      </c>
      <c r="D43" s="77" cm="1">
        <f t="array" ref="D4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43" s="77">
        <v>795</v>
      </c>
      <c r="F4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</row>
    <row r="44" spans="1:13" x14ac:dyDescent="0.25">
      <c r="A44" s="59">
        <v>45686</v>
      </c>
      <c r="B44" t="s">
        <v>93</v>
      </c>
      <c r="C44">
        <v>0</v>
      </c>
      <c r="D44" s="77" cm="1">
        <f t="array" ref="D4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44" s="77">
        <v>0</v>
      </c>
      <c r="F4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45" spans="1:13" ht="15.75" x14ac:dyDescent="0.25">
      <c r="A45" s="59">
        <v>45687</v>
      </c>
      <c r="B45" t="s">
        <v>7</v>
      </c>
      <c r="C45">
        <v>1</v>
      </c>
      <c r="D45" s="77" cm="1">
        <f t="array" ref="D4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45" s="77">
        <v>795</v>
      </c>
      <c r="F4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45" s="53" t="s">
        <v>100</v>
      </c>
    </row>
    <row r="46" spans="1:13" x14ac:dyDescent="0.25">
      <c r="A46" s="59">
        <v>45688</v>
      </c>
      <c r="B46" t="s">
        <v>93</v>
      </c>
      <c r="C46">
        <v>0</v>
      </c>
      <c r="D46" s="77" cm="1">
        <f t="array" ref="D4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46" s="77">
        <v>0</v>
      </c>
      <c r="F4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93</v>
      </c>
      <c r="C47">
        <v>0</v>
      </c>
      <c r="D47" s="77" cm="1">
        <f t="array" ref="D4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47" s="77">
        <v>0</v>
      </c>
      <c r="F4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47" s="48" t="s">
        <v>22</v>
      </c>
      <c r="J47" s="58" cm="1">
        <f t="array" ref="J47">IFERROR(J30/SUMPRODUCT(IF(TEXT(_xlfn.UNIQUE(Продажи_Сызрань[Дата]),"ММММ")=$I47,1,0)),"")</f>
        <v>1.588235294117647</v>
      </c>
      <c r="K47" s="58" cm="1">
        <f t="array" ref="K47">IFERROR(K30/SUMPRODUCT(IF(TEXT(_xlfn.UNIQUE(Продажи_Сызрань[Дата]),"ММММ")=$I47,1,0)),"")</f>
        <v>0</v>
      </c>
      <c r="L47" s="58">
        <f>L30/COUNT(_xlfn.UNIQUE(Продажи_Сызрань[Дата]))</f>
        <v>0</v>
      </c>
      <c r="M47" s="62" cm="1">
        <f t="array" ref="M47">IFERROR(M30/SUMPRODUCT(IF(TEXT(_xlfn.UNIQUE(Продажи_Сызрань[Дата]),"ММММ")=$I47,1,0)),"")</f>
        <v>1.588235294117647</v>
      </c>
    </row>
    <row r="48" spans="1:13" x14ac:dyDescent="0.25">
      <c r="A48" s="59">
        <v>45692</v>
      </c>
      <c r="B48" t="s">
        <v>7</v>
      </c>
      <c r="C48">
        <v>1</v>
      </c>
      <c r="D48" s="77" cm="1">
        <f t="array" ref="D4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48" s="77">
        <v>795</v>
      </c>
      <c r="F4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48" s="48" t="s">
        <v>23</v>
      </c>
      <c r="J48" s="58" cm="1">
        <f t="array" ref="J48">IFERROR(J31/SUMPRODUCT(IF(TEXT(_xlfn.UNIQUE(Продажи_Сызрань[Дата]),"ММММ")=$I48,1,0)),"")</f>
        <v>1.45</v>
      </c>
      <c r="K48" s="58" cm="1">
        <f t="array" ref="K48">IFERROR(K31/SUMPRODUCT(IF(TEXT(_xlfn.UNIQUE(Продажи_Сызрань[Дата]),"ММММ")=$I48,1,0)),"")</f>
        <v>0.5</v>
      </c>
      <c r="L48" s="58">
        <f>L31/COUNT(_xlfn.UNIQUE(Продажи_Сызрань[Дата]))</f>
        <v>0</v>
      </c>
      <c r="M48" s="62" cm="1">
        <f t="array" ref="M48">IFERROR(M31/SUMPRODUCT(IF(TEXT(_xlfn.UNIQUE(Продажи_Сызрань[Дата]),"ММММ")=$I48,1,0)),"")</f>
        <v>1.95</v>
      </c>
    </row>
    <row r="49" spans="1:13" x14ac:dyDescent="0.25">
      <c r="A49" s="59">
        <v>45693</v>
      </c>
      <c r="B49" t="s">
        <v>7</v>
      </c>
      <c r="C49">
        <v>2</v>
      </c>
      <c r="D49" s="77" cm="1">
        <f t="array" ref="D4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4000</v>
      </c>
      <c r="E49" s="77">
        <v>795</v>
      </c>
      <c r="F4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2284.6</v>
      </c>
      <c r="I49" s="48" t="s">
        <v>67</v>
      </c>
      <c r="J49" s="58" cm="1">
        <f t="array" ref="J49">IFERROR(J32/SUMPRODUCT(IF(TEXT(_xlfn.UNIQUE(Продажи_Сызрань[Дата]),"ММММ")=$I49,1,0)),"")</f>
        <v>1.5</v>
      </c>
      <c r="K49" s="58" cm="1">
        <f t="array" ref="K49">IFERROR(K32/SUMPRODUCT(IF(TEXT(_xlfn.UNIQUE(Продажи_Сызрань[Дата]),"ММММ")=$I49,1,0)),"")</f>
        <v>0.5625</v>
      </c>
      <c r="L49" s="58">
        <f>L32/COUNT(_xlfn.UNIQUE(Продажи_Сызрань[Дата]))</f>
        <v>1.8867924528301886E-2</v>
      </c>
      <c r="M49" s="62" cm="1">
        <f t="array" ref="M49">IFERROR(M32/SUMPRODUCT(IF(TEXT(_xlfn.UNIQUE(Продажи_Сызрань[Дата]),"ММММ")=$I49,1,0)),"")</f>
        <v>2.125</v>
      </c>
    </row>
    <row r="50" spans="1:13" x14ac:dyDescent="0.25">
      <c r="A50" s="59">
        <v>45694</v>
      </c>
      <c r="B50" t="s">
        <v>93</v>
      </c>
      <c r="C50">
        <v>0</v>
      </c>
      <c r="D50" s="77" cm="1">
        <f t="array" ref="D5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50" s="77">
        <v>0</v>
      </c>
      <c r="F5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50" s="48" t="s">
        <v>68</v>
      </c>
      <c r="J50" s="58" t="str" cm="1">
        <f t="array" ref="J50">IFERROR(J33/SUMPRODUCT(IF(TEXT(_xlfn.UNIQUE(Продажи_Сызрань[Дата]),"ММММ")=$I50,1,0)),"")</f>
        <v/>
      </c>
      <c r="K50" s="58" t="str" cm="1">
        <f t="array" ref="K50">IFERROR(K33/SUMPRODUCT(IF(TEXT(_xlfn.UNIQUE(Продажи_Сызрань[Дата]),"ММММ")=$I50,1,0)),"")</f>
        <v/>
      </c>
      <c r="L50" s="58">
        <f>L33/COUNT(_xlfn.UNIQUE(Продажи_Сызрань[Дата]))</f>
        <v>0</v>
      </c>
      <c r="M50" s="62" t="str" cm="1">
        <f t="array" ref="M50">IFERROR(M33/SUMPRODUCT(IF(TEXT(_xlfn.UNIQUE(Продажи_Сызрань[Дата]),"ММММ")=$I50,1,0)),"")</f>
        <v/>
      </c>
    </row>
    <row r="51" spans="1:13" x14ac:dyDescent="0.25">
      <c r="A51" s="59">
        <v>45695</v>
      </c>
      <c r="B51" t="s">
        <v>93</v>
      </c>
      <c r="C51">
        <v>0</v>
      </c>
      <c r="D51" s="77" cm="1">
        <f t="array" ref="D5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51" s="77">
        <v>0</v>
      </c>
      <c r="F5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51" s="48" t="s">
        <v>69</v>
      </c>
      <c r="J51" s="58" t="str" cm="1">
        <f t="array" ref="J51">IFERROR(J34/SUMPRODUCT(IF(TEXT(_xlfn.UNIQUE(Продажи_Сызрань[Дата]),"ММММ")=$I51,1,0)),"")</f>
        <v/>
      </c>
      <c r="K51" s="58" t="str" cm="1">
        <f t="array" ref="K51">IFERROR(K34/SUMPRODUCT(IF(TEXT(_xlfn.UNIQUE(Продажи_Сызрань[Дата]),"ММММ")=$I51,1,0)),"")</f>
        <v/>
      </c>
      <c r="L51" s="58">
        <f>L34/COUNT(_xlfn.UNIQUE(Продажи_Сызрань[Дата]))</f>
        <v>0</v>
      </c>
      <c r="M51" s="62" t="str" cm="1">
        <f t="array" ref="M51">IFERROR(M34/SUMPRODUCT(IF(TEXT(_xlfn.UNIQUE(Продажи_Сызрань[Дата]),"ММММ")=$I51,1,0)),"")</f>
        <v/>
      </c>
    </row>
    <row r="52" spans="1:13" x14ac:dyDescent="0.25">
      <c r="A52" s="59">
        <v>45698</v>
      </c>
      <c r="B52" t="s">
        <v>8</v>
      </c>
      <c r="C52">
        <v>1</v>
      </c>
      <c r="D52" s="77" cm="1">
        <f t="array" ref="D5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52" s="77">
        <v>1250</v>
      </c>
      <c r="F5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  <c r="I52" s="48" t="s">
        <v>70</v>
      </c>
      <c r="J52" s="58" t="str" cm="1">
        <f t="array" ref="J52">IFERROR(J35/SUMPRODUCT(IF(TEXT(_xlfn.UNIQUE(Продажи_Сызрань[Дата]),"ММММ")=$I52,1,0)),"")</f>
        <v/>
      </c>
      <c r="K52" s="58" t="str" cm="1">
        <f t="array" ref="K52">IFERROR(K35/SUMPRODUCT(IF(TEXT(_xlfn.UNIQUE(Продажи_Сызрань[Дата]),"ММММ")=$I52,1,0)),"")</f>
        <v/>
      </c>
      <c r="L52" s="58">
        <f>L35/COUNT(_xlfn.UNIQUE(Продажи_Сызрань[Дата]))</f>
        <v>0</v>
      </c>
      <c r="M52" s="62" t="str" cm="1">
        <f t="array" ref="M52">IFERROR(M35/SUMPRODUCT(IF(TEXT(_xlfn.UNIQUE(Продажи_Сызрань[Дата]),"ММММ")=$I52,1,0)),"")</f>
        <v/>
      </c>
    </row>
    <row r="53" spans="1:13" x14ac:dyDescent="0.25">
      <c r="A53" s="59">
        <v>45698</v>
      </c>
      <c r="B53" t="s">
        <v>7</v>
      </c>
      <c r="C53">
        <v>1</v>
      </c>
      <c r="D53" s="77" cm="1">
        <f t="array" ref="D5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3" s="77">
        <v>795</v>
      </c>
      <c r="F5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3" s="48" t="s">
        <v>71</v>
      </c>
      <c r="J53" s="58" t="str" cm="1">
        <f t="array" ref="J53">IFERROR(J36/SUMPRODUCT(IF(TEXT(_xlfn.UNIQUE(Продажи_Сызрань[Дата]),"ММММ")=$I53,1,0)),"")</f>
        <v/>
      </c>
      <c r="K53" s="58" t="str" cm="1">
        <f t="array" ref="K53">IFERROR(K36/SUMPRODUCT(IF(TEXT(_xlfn.UNIQUE(Продажи_Сызрань[Дата]),"ММММ")=$I53,1,0)),"")</f>
        <v/>
      </c>
      <c r="L53" s="58">
        <f>L36/COUNT(_xlfn.UNIQUE(Продажи_Сызрань[Дата]))</f>
        <v>0</v>
      </c>
      <c r="M53" s="62" t="str" cm="1">
        <f t="array" ref="M53">IFERROR(M36/SUMPRODUCT(IF(TEXT(_xlfn.UNIQUE(Продажи_Сызрань[Дата]),"ММММ")=$I53,1,0)),"")</f>
        <v/>
      </c>
    </row>
    <row r="54" spans="1:13" x14ac:dyDescent="0.25">
      <c r="A54" s="59">
        <v>45699</v>
      </c>
      <c r="B54" t="s">
        <v>7</v>
      </c>
      <c r="C54">
        <v>1</v>
      </c>
      <c r="D54" s="77" cm="1">
        <f t="array" ref="D5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4" s="77">
        <v>795</v>
      </c>
      <c r="F5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4" s="48" t="s">
        <v>72</v>
      </c>
      <c r="J54" s="58" t="str" cm="1">
        <f t="array" ref="J54">IFERROR(J37/SUMPRODUCT(IF(TEXT(_xlfn.UNIQUE(Продажи_Сызрань[Дата]),"ММММ")=$I54,1,0)),"")</f>
        <v/>
      </c>
      <c r="K54" s="58" t="str" cm="1">
        <f t="array" ref="K54">IFERROR(K37/SUMPRODUCT(IF(TEXT(_xlfn.UNIQUE(Продажи_Сызрань[Дата]),"ММММ")=$I54,1,0)),"")</f>
        <v/>
      </c>
      <c r="L54" s="58">
        <f>L37/COUNT(_xlfn.UNIQUE(Продажи_Сызрань[Дата]))</f>
        <v>0</v>
      </c>
      <c r="M54" s="62" t="str" cm="1">
        <f t="array" ref="M54">IFERROR(M37/SUMPRODUCT(IF(TEXT(_xlfn.UNIQUE(Продажи_Сызрань[Дата]),"ММММ")=$I54,1,0)),"")</f>
        <v/>
      </c>
    </row>
    <row r="55" spans="1:13" x14ac:dyDescent="0.25">
      <c r="A55" s="59">
        <v>45700</v>
      </c>
      <c r="B55" t="s">
        <v>8</v>
      </c>
      <c r="C55">
        <v>4</v>
      </c>
      <c r="D55" s="77" cm="1">
        <f t="array" ref="D5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9200</v>
      </c>
      <c r="E55" s="77">
        <v>1250</v>
      </c>
      <c r="F5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3916.8</v>
      </c>
      <c r="I55" s="48" t="s">
        <v>76</v>
      </c>
      <c r="J55" s="58" t="str" cm="1">
        <f t="array" ref="J55">IFERROR(J38/SUMPRODUCT(IF(TEXT(_xlfn.UNIQUE(Продажи_Сызрань[Дата]),"ММММ")=$I55,1,0)),"")</f>
        <v/>
      </c>
      <c r="K55" s="58" t="str" cm="1">
        <f t="array" ref="K55">IFERROR(K38/SUMPRODUCT(IF(TEXT(_xlfn.UNIQUE(Продажи_Сызрань[Дата]),"ММММ")=$I55,1,0)),"")</f>
        <v/>
      </c>
      <c r="L55" s="58">
        <f>L38/COUNT(_xlfn.UNIQUE(Продажи_Сызрань[Дата]))</f>
        <v>0</v>
      </c>
      <c r="M55" s="62" t="str" cm="1">
        <f t="array" ref="M55">IFERROR(M38/SUMPRODUCT(IF(TEXT(_xlfn.UNIQUE(Продажи_Сызрань[Дата]),"ММММ")=$I55,1,0)),"")</f>
        <v/>
      </c>
    </row>
    <row r="56" spans="1:13" x14ac:dyDescent="0.25">
      <c r="A56" s="59">
        <v>45700</v>
      </c>
      <c r="B56" t="s">
        <v>7</v>
      </c>
      <c r="C56">
        <v>1</v>
      </c>
      <c r="D56" s="77" cm="1">
        <f t="array" ref="D5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6" s="77">
        <v>795</v>
      </c>
      <c r="F5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6" s="48" t="s">
        <v>78</v>
      </c>
      <c r="J56" s="58" t="str" cm="1">
        <f t="array" ref="J56">IFERROR(J39/SUMPRODUCT(IF(TEXT(_xlfn.UNIQUE(Продажи_Сызрань[Дата]),"ММММ")=$I56,1,0)),"")</f>
        <v/>
      </c>
      <c r="K56" s="58" t="str" cm="1">
        <f t="array" ref="K56">IFERROR(K39/SUMPRODUCT(IF(TEXT(_xlfn.UNIQUE(Продажи_Сызрань[Дата]),"ММММ")=$I56,1,0)),"")</f>
        <v/>
      </c>
      <c r="L56" s="58">
        <f>L39/COUNT(_xlfn.UNIQUE(Продажи_Сызрань[Дата]))</f>
        <v>0</v>
      </c>
      <c r="M56" s="62" t="str" cm="1">
        <f t="array" ref="M56">IFERROR(M39/SUMPRODUCT(IF(TEXT(_xlfn.UNIQUE(Продажи_Сызрань[Дата]),"ММММ")=$I56,1,0)),"")</f>
        <v/>
      </c>
    </row>
    <row r="57" spans="1:13" x14ac:dyDescent="0.25">
      <c r="A57" s="59">
        <v>45701</v>
      </c>
      <c r="B57" t="s">
        <v>93</v>
      </c>
      <c r="C57">
        <v>0</v>
      </c>
      <c r="D57" s="77" cm="1">
        <f t="array" ref="D5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57" s="77">
        <v>0</v>
      </c>
      <c r="F5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57" s="48" t="s">
        <v>79</v>
      </c>
      <c r="J57" s="58" t="str" cm="1">
        <f t="array" ref="J57">IFERROR(J40/SUMPRODUCT(IF(TEXT(_xlfn.UNIQUE(Продажи_Сызрань[Дата]),"ММММ")=$I57,1,0)),"")</f>
        <v/>
      </c>
      <c r="K57" s="58" t="str" cm="1">
        <f t="array" ref="K57">IFERROR(K40/SUMPRODUCT(IF(TEXT(_xlfn.UNIQUE(Продажи_Сызрань[Дата]),"ММММ")=$I57,1,0)),"")</f>
        <v/>
      </c>
      <c r="L57" s="58">
        <f>L40/COUNT(_xlfn.UNIQUE(Продажи_Сызрань[Дата]))</f>
        <v>0</v>
      </c>
      <c r="M57" s="62" t="str" cm="1">
        <f t="array" ref="M57">IFERROR(M40/SUMPRODUCT(IF(TEXT(_xlfn.UNIQUE(Продажи_Сызрань[Дата]),"ММММ")=$I57,1,0)),"")</f>
        <v/>
      </c>
    </row>
    <row r="58" spans="1:13" x14ac:dyDescent="0.25">
      <c r="A58" s="59">
        <v>45702</v>
      </c>
      <c r="B58" t="s">
        <v>7</v>
      </c>
      <c r="C58">
        <v>1</v>
      </c>
      <c r="D58" s="77" cm="1">
        <f t="array" ref="D5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8" s="77">
        <v>795</v>
      </c>
      <c r="F5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8" s="48" t="s">
        <v>80</v>
      </c>
      <c r="J58" s="58" t="str" cm="1">
        <f t="array" ref="J58">IFERROR(J41/SUMPRODUCT(IF(TEXT(_xlfn.UNIQUE(Продажи_Сызрань[Дата]),"ММММ")=$I58,1,0)),"")</f>
        <v/>
      </c>
      <c r="K58" s="58" t="str" cm="1">
        <f t="array" ref="K58">IFERROR(K41/SUMPRODUCT(IF(TEXT(_xlfn.UNIQUE(Продажи_Сызрань[Дата]),"ММММ")=$I58,1,0)),"")</f>
        <v/>
      </c>
      <c r="L58" s="58">
        <f>L41/COUNT(_xlfn.UNIQUE(Продажи_Сызрань[Дата]))</f>
        <v>0</v>
      </c>
      <c r="M58" s="62" t="str" cm="1">
        <f t="array" ref="M58">IFERROR(M41/SUMPRODUCT(IF(TEXT(_xlfn.UNIQUE(Продажи_Сызрань[Дата]),"ММММ")=$I58,1,0)),"")</f>
        <v/>
      </c>
    </row>
    <row r="59" spans="1:13" x14ac:dyDescent="0.25">
      <c r="A59" s="59">
        <v>45705</v>
      </c>
      <c r="B59" t="s">
        <v>7</v>
      </c>
      <c r="C59">
        <v>1</v>
      </c>
      <c r="D59" s="77" cm="1">
        <f t="array" ref="D5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9" s="77">
        <v>795</v>
      </c>
      <c r="F5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9" s="52" t="s">
        <v>92</v>
      </c>
      <c r="J59" s="60">
        <f>J42/COUNT(_xlfn.UNIQUE(Продажи_Сызрань[Дата]))</f>
        <v>1.5094339622641511</v>
      </c>
      <c r="K59" s="60">
        <f>K42/COUNT(_xlfn.UNIQUE(Продажи_Сызрань[Дата]))</f>
        <v>0.35849056603773582</v>
      </c>
      <c r="L59" s="60">
        <f>L42/COUNT(_xlfn.UNIQUE(Продажи_Сызрань[Дата]))</f>
        <v>1.8867924528301886E-2</v>
      </c>
      <c r="M59" s="60">
        <f>M42/COUNT(_xlfn.UNIQUE(Продажи_Сызрань[Дата]))</f>
        <v>1.8867924528301887</v>
      </c>
    </row>
    <row r="60" spans="1:13" x14ac:dyDescent="0.25">
      <c r="A60" s="59">
        <v>45706</v>
      </c>
      <c r="B60" t="s">
        <v>7</v>
      </c>
      <c r="C60">
        <v>1</v>
      </c>
      <c r="D60" s="77" cm="1">
        <f t="array" ref="D6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60" s="77">
        <v>720</v>
      </c>
      <c r="F6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61" spans="1:13" x14ac:dyDescent="0.25">
      <c r="A61" s="59">
        <v>45707</v>
      </c>
      <c r="B61" t="s">
        <v>7</v>
      </c>
      <c r="C61">
        <v>4</v>
      </c>
      <c r="D61" s="77" cm="1">
        <f t="array" ref="D6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8000</v>
      </c>
      <c r="E61" s="77">
        <v>720</v>
      </c>
      <c r="F6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4869.2</v>
      </c>
    </row>
    <row r="62" spans="1:13" x14ac:dyDescent="0.25">
      <c r="A62" s="59">
        <v>45708</v>
      </c>
      <c r="B62" t="s">
        <v>7</v>
      </c>
      <c r="C62">
        <v>4</v>
      </c>
      <c r="D62" s="77" cm="1">
        <f t="array" ref="D6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8000</v>
      </c>
      <c r="E62" s="77">
        <v>720</v>
      </c>
      <c r="F6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4869.2</v>
      </c>
    </row>
    <row r="63" spans="1:13" x14ac:dyDescent="0.25">
      <c r="A63" s="59">
        <v>45708</v>
      </c>
      <c r="B63" t="s">
        <v>8</v>
      </c>
      <c r="C63">
        <v>2</v>
      </c>
      <c r="D63" s="77" cm="1">
        <f t="array" ref="D6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4600</v>
      </c>
      <c r="E63" s="77">
        <v>1250</v>
      </c>
      <c r="F6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1958.4</v>
      </c>
      <c r="I63" s="102"/>
    </row>
    <row r="64" spans="1:13" x14ac:dyDescent="0.25">
      <c r="A64" s="59">
        <v>45709</v>
      </c>
      <c r="B64" t="s">
        <v>93</v>
      </c>
      <c r="C64">
        <v>0</v>
      </c>
      <c r="D64" s="77" cm="1">
        <f t="array" ref="D6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64" s="77">
        <v>0</v>
      </c>
      <c r="F6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65" spans="1:6" x14ac:dyDescent="0.25">
      <c r="A65" s="59">
        <v>45712</v>
      </c>
      <c r="B65" t="s">
        <v>8</v>
      </c>
      <c r="C65">
        <v>1</v>
      </c>
      <c r="D65" s="77" cm="1">
        <f t="array" ref="D6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65" s="77">
        <v>1250</v>
      </c>
      <c r="F6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66" spans="1:6" x14ac:dyDescent="0.25">
      <c r="A66" s="59">
        <v>45712</v>
      </c>
      <c r="B66" t="s">
        <v>7</v>
      </c>
      <c r="C66">
        <v>3</v>
      </c>
      <c r="D66" s="77" cm="1">
        <f t="array" ref="D6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66" s="77">
        <v>720</v>
      </c>
      <c r="F6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67" spans="1:6" x14ac:dyDescent="0.25">
      <c r="A67" s="59">
        <v>45713</v>
      </c>
      <c r="B67" t="s">
        <v>7</v>
      </c>
      <c r="C67">
        <v>2</v>
      </c>
      <c r="D67" s="77" cm="1">
        <f t="array" ref="D6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4000</v>
      </c>
      <c r="E67" s="77">
        <v>720</v>
      </c>
      <c r="F6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2434.6</v>
      </c>
    </row>
    <row r="68" spans="1:6" x14ac:dyDescent="0.25">
      <c r="A68" s="59">
        <v>45714</v>
      </c>
      <c r="B68" t="s">
        <v>7</v>
      </c>
      <c r="C68">
        <v>3</v>
      </c>
      <c r="D68" s="77" cm="1">
        <f t="array" ref="D6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68" s="77">
        <v>720</v>
      </c>
      <c r="F6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69" spans="1:6" x14ac:dyDescent="0.25">
      <c r="A69" s="59">
        <v>45714</v>
      </c>
      <c r="B69" t="s">
        <v>8</v>
      </c>
      <c r="C69">
        <v>1</v>
      </c>
      <c r="D69" s="77" cm="1">
        <f t="array" ref="D6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69" s="77">
        <v>1250</v>
      </c>
      <c r="F6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0" spans="1:6" x14ac:dyDescent="0.25">
      <c r="A70" s="59">
        <v>45715</v>
      </c>
      <c r="B70" t="s">
        <v>7</v>
      </c>
      <c r="C70">
        <v>3</v>
      </c>
      <c r="D70" s="77" cm="1">
        <f t="array" ref="D7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70" s="77">
        <v>720</v>
      </c>
      <c r="F7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71" spans="1:6" x14ac:dyDescent="0.25">
      <c r="A71" s="59">
        <v>45716</v>
      </c>
      <c r="B71" t="s">
        <v>7</v>
      </c>
      <c r="C71">
        <v>1</v>
      </c>
      <c r="D71" s="77" cm="1">
        <f t="array" ref="D7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71" s="77">
        <v>720</v>
      </c>
      <c r="F7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72" spans="1:6" x14ac:dyDescent="0.25">
      <c r="A72" s="59">
        <v>45716</v>
      </c>
      <c r="B72" t="s">
        <v>8</v>
      </c>
      <c r="C72">
        <v>1</v>
      </c>
      <c r="D72" s="77" cm="1">
        <f t="array" ref="D7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72" s="77">
        <v>1250</v>
      </c>
      <c r="F7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3" spans="1:6" x14ac:dyDescent="0.25">
      <c r="A73" s="59">
        <v>45719</v>
      </c>
      <c r="B73" t="s">
        <v>7</v>
      </c>
      <c r="C73">
        <v>3</v>
      </c>
      <c r="D73" s="77" cm="1">
        <f t="array" ref="D7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73" s="77">
        <v>720</v>
      </c>
      <c r="F7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74" spans="1:6" x14ac:dyDescent="0.25">
      <c r="A74" s="59">
        <v>45720</v>
      </c>
      <c r="B74" t="s">
        <v>93</v>
      </c>
      <c r="C74">
        <v>0</v>
      </c>
      <c r="D74" s="77" cm="1">
        <f t="array" ref="D7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74" s="77">
        <v>0</v>
      </c>
      <c r="F7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75" spans="1:6" x14ac:dyDescent="0.25">
      <c r="A75" s="59">
        <v>45721</v>
      </c>
      <c r="B75" t="s">
        <v>7</v>
      </c>
      <c r="C75">
        <v>1</v>
      </c>
      <c r="D75" s="77" cm="1">
        <f t="array" ref="D7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75" s="77">
        <v>720</v>
      </c>
      <c r="F7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76" spans="1:6" x14ac:dyDescent="0.25">
      <c r="A76" s="59">
        <v>45721</v>
      </c>
      <c r="B76" t="s">
        <v>8</v>
      </c>
      <c r="C76">
        <v>1</v>
      </c>
      <c r="D76" s="77" cm="1">
        <f t="array" ref="D7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76" s="77">
        <v>1250</v>
      </c>
      <c r="F7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7" spans="1:6" x14ac:dyDescent="0.25">
      <c r="A77" s="59">
        <v>45722</v>
      </c>
      <c r="B77" t="s">
        <v>7</v>
      </c>
      <c r="C77">
        <v>1</v>
      </c>
      <c r="D77" s="77" cm="1">
        <f t="array" ref="D7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77" s="77">
        <v>720</v>
      </c>
      <c r="F7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78" spans="1:6" x14ac:dyDescent="0.25">
      <c r="A78" s="59">
        <v>45722</v>
      </c>
      <c r="B78" t="s">
        <v>8</v>
      </c>
      <c r="C78">
        <v>1</v>
      </c>
      <c r="D78" s="77" cm="1">
        <f t="array" ref="D7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78" s="77">
        <v>1250</v>
      </c>
      <c r="F7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9" spans="1:6" x14ac:dyDescent="0.25">
      <c r="A79" s="59">
        <v>45723</v>
      </c>
      <c r="B79" t="s">
        <v>93</v>
      </c>
      <c r="C79">
        <v>0</v>
      </c>
      <c r="D79" s="77" cm="1">
        <f t="array" ref="D7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79" s="77">
        <v>0</v>
      </c>
      <c r="F7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80" spans="1:6" x14ac:dyDescent="0.25">
      <c r="A80" s="59">
        <v>45726</v>
      </c>
      <c r="B80" t="s">
        <v>7</v>
      </c>
      <c r="C80">
        <v>3</v>
      </c>
      <c r="D80" s="77" cm="1">
        <f t="array" ref="D8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80" s="77">
        <v>720</v>
      </c>
      <c r="F8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81" spans="1:6" x14ac:dyDescent="0.25">
      <c r="A81" s="59">
        <v>45727</v>
      </c>
      <c r="B81" t="s">
        <v>8</v>
      </c>
      <c r="C81">
        <v>2</v>
      </c>
      <c r="D81" s="77" cm="1">
        <f t="array" ref="D8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4600</v>
      </c>
      <c r="E81" s="77">
        <v>1250</v>
      </c>
      <c r="F8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1958.4</v>
      </c>
    </row>
    <row r="82" spans="1:6" x14ac:dyDescent="0.25">
      <c r="A82" s="59">
        <v>45727</v>
      </c>
      <c r="B82" t="s">
        <v>7</v>
      </c>
      <c r="C82">
        <v>3</v>
      </c>
      <c r="D82" s="77" cm="1">
        <f t="array" ref="D8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82" s="77">
        <v>720</v>
      </c>
      <c r="F8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83" spans="1:6" x14ac:dyDescent="0.25">
      <c r="A83" s="59">
        <v>45727</v>
      </c>
      <c r="B83" s="2" t="s">
        <v>125</v>
      </c>
      <c r="C83">
        <v>1</v>
      </c>
      <c r="D83" s="77" cm="1">
        <f t="array" ref="D8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2670</v>
      </c>
      <c r="E83" s="77">
        <v>1340</v>
      </c>
      <c r="F8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1249.2099999999998</v>
      </c>
    </row>
    <row r="84" spans="1:6" x14ac:dyDescent="0.25">
      <c r="A84" s="59">
        <v>45728</v>
      </c>
      <c r="B84" t="s">
        <v>8</v>
      </c>
      <c r="C84">
        <v>1</v>
      </c>
      <c r="D84" s="77" cm="1">
        <f t="array" ref="D8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84" s="77">
        <v>1250</v>
      </c>
      <c r="F8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85" spans="1:6" x14ac:dyDescent="0.25">
      <c r="A85" s="59">
        <v>45728</v>
      </c>
      <c r="B85" t="s">
        <v>7</v>
      </c>
      <c r="C85">
        <v>3</v>
      </c>
      <c r="D85" s="77" cm="1">
        <f t="array" ref="D8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85" s="77">
        <v>720</v>
      </c>
      <c r="F8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86" spans="1:6" x14ac:dyDescent="0.25">
      <c r="A86" s="59">
        <v>45729</v>
      </c>
      <c r="B86" t="s">
        <v>8</v>
      </c>
      <c r="C86">
        <v>2</v>
      </c>
      <c r="D86" s="77" cm="1">
        <f t="array" ref="D86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4600</v>
      </c>
      <c r="E86" s="77">
        <v>1250</v>
      </c>
      <c r="F8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1958.4</v>
      </c>
    </row>
    <row r="87" spans="1:6" x14ac:dyDescent="0.25">
      <c r="A87" s="59">
        <v>45729</v>
      </c>
      <c r="B87" t="s">
        <v>7</v>
      </c>
      <c r="C87">
        <v>1</v>
      </c>
      <c r="D87" s="77" cm="1">
        <f t="array" ref="D87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87" s="77">
        <v>720</v>
      </c>
      <c r="F8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88" spans="1:6" x14ac:dyDescent="0.25">
      <c r="A88" s="59">
        <v>45730</v>
      </c>
      <c r="B88" t="s">
        <v>7</v>
      </c>
      <c r="C88">
        <v>1</v>
      </c>
      <c r="D88" s="77" cm="1">
        <f t="array" ref="D88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88" s="77">
        <v>720</v>
      </c>
      <c r="F8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89" spans="1:6" x14ac:dyDescent="0.25">
      <c r="A89" s="59">
        <v>45733</v>
      </c>
      <c r="B89" t="s">
        <v>7</v>
      </c>
      <c r="C89">
        <v>2</v>
      </c>
      <c r="D89" s="77" cm="1">
        <f t="array" ref="D89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4000</v>
      </c>
      <c r="E89" s="77">
        <v>720</v>
      </c>
      <c r="F8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2434.6</v>
      </c>
    </row>
    <row r="90" spans="1:6" x14ac:dyDescent="0.25">
      <c r="A90" s="59">
        <v>45734</v>
      </c>
      <c r="B90" t="s">
        <v>7</v>
      </c>
      <c r="C90">
        <v>1</v>
      </c>
      <c r="D90" s="77" cm="1">
        <f t="array" ref="D90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90" s="77">
        <v>720</v>
      </c>
      <c r="F9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91" spans="1:6" x14ac:dyDescent="0.25">
      <c r="A91" s="59">
        <v>45735</v>
      </c>
      <c r="B91" t="s">
        <v>7</v>
      </c>
      <c r="C91">
        <v>1</v>
      </c>
      <c r="D91" s="77" cm="1">
        <f t="array" ref="D91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91" s="77">
        <v>720</v>
      </c>
      <c r="F9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92" spans="1:6" x14ac:dyDescent="0.25">
      <c r="A92" s="59">
        <v>45736</v>
      </c>
      <c r="B92" t="s">
        <v>7</v>
      </c>
      <c r="C92">
        <v>2</v>
      </c>
      <c r="D92" s="77" cm="1">
        <f t="array" ref="D92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4000</v>
      </c>
      <c r="E92" s="77">
        <v>720</v>
      </c>
      <c r="F9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2434.6</v>
      </c>
    </row>
    <row r="93" spans="1:6" x14ac:dyDescent="0.25">
      <c r="A93" s="59">
        <v>45736</v>
      </c>
      <c r="B93" t="s">
        <v>8</v>
      </c>
      <c r="C93">
        <v>1</v>
      </c>
      <c r="D93" s="77" cm="1">
        <f t="array" ref="D93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2300</v>
      </c>
      <c r="E93" s="77">
        <v>1250</v>
      </c>
      <c r="F9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94" spans="1:6" x14ac:dyDescent="0.25">
      <c r="A94" s="59">
        <v>45737</v>
      </c>
      <c r="B94" t="s">
        <v>7</v>
      </c>
      <c r="C94">
        <v>1</v>
      </c>
      <c r="D94" s="77" cm="1">
        <f t="array" ref="D94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94" s="77">
        <v>720</v>
      </c>
      <c r="F9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95" spans="1:6" x14ac:dyDescent="0.25">
      <c r="A95" s="59">
        <v>45740</v>
      </c>
      <c r="B95" t="s">
        <v>7</v>
      </c>
      <c r="C95">
        <v>1</v>
      </c>
      <c r="D95" s="77" cm="1">
        <f t="array" ref="D95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95" s="77">
        <v>720</v>
      </c>
      <c r="F9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96" spans="1:6" x14ac:dyDescent="0.25">
      <c r="A96" s="59">
        <v>45740</v>
      </c>
      <c r="B96" t="s">
        <v>8</v>
      </c>
      <c r="C96">
        <v>1</v>
      </c>
      <c r="D96" s="77" cm="1">
        <f t="array" ref="D96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2300</v>
      </c>
      <c r="E96" s="77">
        <v>1250</v>
      </c>
      <c r="F9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</sheetData>
  <conditionalFormatting sqref="A30:F96">
    <cfRule type="expression" dxfId="3" priority="11">
      <formula>MONTH($A30)&lt;&gt;MONTH($A31)</formula>
    </cfRule>
  </conditionalFormatting>
  <conditionalFormatting sqref="B30:F96">
    <cfRule type="expression" dxfId="2" priority="1">
      <formula>$B30="Есмарт АРМ"</formula>
    </cfRule>
    <cfRule type="expression" dxfId="1" priority="9">
      <formula>$B30="Есмарт"</formula>
    </cfRule>
    <cfRule type="expression" dxfId="0" priority="10">
      <formula>$B30="Рутокен"</formula>
    </cfRule>
  </conditionalFormatting>
  <pageMargins left="0.7" right="0.7" top="0.75" bottom="0.75" header="0.3" footer="0.3"/>
  <pageSetup paperSize="9" orientation="portrait" verticalDpi="0" r:id="rId1"/>
  <ignoredErrors>
    <ignoredError sqref="D30:D33 D35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item1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.xml>��1I0O ?@81K;L ?> 4=O<1I55 :>;-2> ?> 4=O< 4;O A2>4=>9
</file>

<file path=customXml/item3.xml>��1I55 :>;-2> ?> 4=O< 4;O A2>4=>91I55 :>;-2> ?> 4=O< 4;O A2>4=>90B00720=85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1I55 :>;-2> ?> 4=O<1I55 :>;-2> ?> 4=O<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:5=_!K7@0=L1I0O ?@81K;L ?> 4=O<1I0O ?@81K;L ?> 4=O<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
</file>

<file path=customXml/item4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5.xml>��
</file>

<file path=customXml/item6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7.xml>��
</file>

<file path=customXml/item8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9.xml>��
</file>

<file path=customXml/item10.xml>��1I55 :>;-2> ?> 4=O< 4;O A2>4=>90720=85 <5AOF0545;O !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:5=_!K7@0=L5=L =545;8><5@ 545;8A<0@B  _!K7@0=LA<0@B  _8GC@8=0A<0@B  _>20:A<0@B  _0A5:8=0A<0@B  _">;LOBB80720=85 <5AOF0545;O !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:5=_!K7@0=L5=L =545;8><5@ 545;8A<0@B  _!K7@0=LA<0@B  _8GC@8=0A<0@B  _>20:A<0@B  _0A5:8=0A<0@B  _">;LOBB8
</file>

<file path=customXml/item11.xml>��
</file>

<file path=customXml/item12.xml>��1I0O ?@81K;L ?> 4=O<0B0545;O !0720=85 <5AOF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:5=_!K7@0=L><5@ =545;8A<0@B  _!K7@0=LA<0@B  _8GC@8=0A<0@B  _>20:A<0@B  _0A5:8=0A<0@B  _">;LOBB80B0545;O !0720=85 <5AOF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:5=_!K7@0=L><5@ =545;8A<0@B  _!K7@0=LA<0@B  _8GC@8=0A<0@B  _>20:A<0@B  _0A5:8=0A<0@B  _">;LOBB8
</file>

<file path=customXml/item13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14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
</file>

<file path=customXml/item15.xml>��1I0O ?@81K;L ?> 4=O<
</file>

<file path=customXml/item16.xml>��1I55 :>;-2> ?> 4=O<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
</file>

<file path=customXml/item17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 CB>:5= 157 >20:0 CB>:5=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
</file>

<file path=customXml/item18.xml>��1I55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
</file>

<file path=customXml/item19.xml>��
</file>

<file path=customXml/item20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20:01I0O ?> A<0@B >20:1I0O ?> A<0@B >20:1I0O ?>  CB>:5= >20:1I0O ?>  CB>:5= >20:1I85 ?@>40681I85 ?@>40681I55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1.xml>��
</file>

<file path=customXml/item22.xml>��
</file>

<file path=customXml/item23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4.xml>��
</file>

<file path=customXml/item25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A<0@B ?> !K7@0=81I55 A<0@B ?> !K7@0=81I55 ?> 8GC@8=01I55 ?> 8GC@8=01I55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6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7.xml>��
</file>

<file path=customXml/item28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9.xml>��1I0O ?@81K;L ?> 4=O<1I55 :>;-2> ?> 4=O< 4;O A2>4=>9
</file>

<file path=customXml/item30.xml>��
</file>

<file path=customXml/item31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32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">;LOBB8!@54=55 ?> 4=O< ">;LOBB8!@54=55 ?> 4=O< 8GC@8=0!@54=55 ?> 4=O< 8GC@8=0!@54=55 ?> 4=O< >20:!@54=55 ?> 4=O< >20:!@54=55 ?> 4=Q< 0A5:8=0!@54=55 ?> 4=Q< 0A5: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33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 CB>:5= 157 >20:0 CB>:5=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34.xml>��1I55 :>;-2> ?> 4=O<1I55 :>;-2> ?> 4=O<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A<0@B 0A5:8=01I0O ?@81K;L ?> 4=O<1I0O ?>  CB>:5= 0A5:8=01I0O ?@81K;L ?> 4=O<1I0O ?> 0A5:8=01I0O ?@81K;L ?> 4=O<1I0O ?> A<0@B ">;LOBB81I0O ?@81K;L ?> 4=O<1I0O ?>  CB>:5= ">;LOBB81I0O ?@81K;L ?> 4=O<1I0O ?> ">;LOBB81I0O ?@81K;L ?> 4=O<1I0O ?> A<0@B 8GC@8=01I0O ?@81K;L ?> 4=O<1I0O ?>  CB>:5= 8GC@8=01I0O ?@81K;L ?> 4=O<1I0O ?> 8GC@8=01I0O ?@81K;L ?> 4=O<1I0O ?> A<0@B !K7@0=L1I0O ?@81K;L ?> 4=O<1I0O ?>  CB>:5= !K7@0=L1I0O ?@81K;L ?> 4=O<1I0O ?> !K7@0=81I0O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!C<<0 ?> AB>;1FC A<0@B_0A5:8=01I0O ?@81K;L ?> 4=O<\!C<<0 ?> AB>;1FC A<0@B_0A5:8=05O2=0O <5@01I0O ?@81K;L ?> 4=O<!C<<0 ?> AB>;1FC  CB>:5=_0A5:8=01I0O ?@81K;L ?> 4=O<\!C<<0 ?> AB>;1FC  CB>:5=_0A5:8=05O2=0O <5@01I0O ?@81K;L ?> 4=O<!C<<0 ?> AB>;1FC A<0@B_">;LOBB81I0O ?@81K;L ?> 4=O<\!C<<0 ?> AB>;1FC A<0@B_">;LOBB85O2=0O <5@01I0O ?@81K;L ?> 4=O<!C<<0 ?> AB>;1FC  CB>:5=_">;LOBB81I0O ?@81K;L ?> 4=O<\!C<<0 ?> AB>;1FC  CB>:5=_">;LOBB85O2=0O <5@01I0O ?@81K;L ?> 4=O<!C<<0 ?> AB>;1FC A<0@B_8GC@8=01I0O ?@81K;L ?> 4=O<\!C<<0 ?> AB>;1FC A<0@B_8GC@8=05O2=0O <5@01I0O ?@81K;L ?> 4=O<!C<<0 ?> AB>;1FC  CB>:5=_8GC@8=01I0O ?@81K;L ?> 4=O<\!C<<0 ?> AB>;1FC  CB>:5=_8GC@8=05O2=0O <5@01I0O ?@81K;L ?> 4=O<!C<<0 ?> AB>;1FC A<0@B_!K7@0=L1I0O ?@81K;L ?> 4=O<\!C<<0 ?> AB>;1FC A<0@B_!K7@0=L5O2=0O <5@01I0O ?@81K;L ?> 4=O<!C<<0 ?> AB>;1FC  CB>:5=_!K7@0=L1I0O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A<0@B 0A5:8=01I0O ?@81K;L ?> 4=O<1I0O ?>  CB>:5= 0A5:8=01I0O ?@81K;L ?> 4=O<1I0O ?> 0A5:8=01I0O ?@81K;L ?> 4=O<1I0O ?> A<0@B ">;LOBB81I0O ?@81K;L ?> 4=O<1I0O ?>  CB>:5= ">;LOBB81I0O ?@81K;L ?> 4=O<1I0O ?> ">;LOBB81I0O ?@81K;L ?> 4=O<1I0O ?> A<0@B 8GC@8=01I0O ?@81K;L ?> 4=O<1I0O ?>  CB>:5= 8GC@8=01I0O ?@81K;L ?> 4=O<1I0O ?> 8GC@8=01I0O ?@81K;L ?> 4=O<1I0O ?> A<0@B !K7@0=L1I0O ?@81K;L ?> 4=O<1I0O ?>  CB>:5= !K7@0=L1I0O ?@81K;L ?> 4=O<1I0O ?> !K7@0=81I0O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!C<<0 ?> AB>;1FC A<0@B_0A5:8=01I0O ?@81K;L ?> 4=O<\!C<<0 ?> AB>;1FC A<0@B_0A5:8=05O2=0O <5@01I0O ?@81K;L ?> 4=O<!C<<0 ?> AB>;1FC  CB>:5=_0A5:8=01I0O ?@81K;L ?> 4=O<\!C<<0 ?> AB>;1FC  CB>:5=_0A5:8=05O2=0O <5@01I0O ?@81K;L ?> 4=O<!C<<0 ?> AB>;1FC A<0@B_">;LOBB81I0O ?@81K;L ?> 4=O<\!C<<0 ?> AB>;1FC A<0@B_">;LOBB85O2=0O <5@01I0O ?@81K;L ?> 4=O<!C<<0 ?> AB>;1FC  CB>:5=_">;LOBB81I0O ?@81K;L ?> 4=O<\!C<<0 ?> AB>;1FC  CB>:5=_">;LOBB85O2=0O <5@01I0O ?@81K;L ?> 4=O<!C<<0 ?> AB>;1FC A<0@B_8GC@8=01I0O ?@81K;L ?> 4=O<\!C<<0 ?> AB>;1FC A<0@B_8GC@8=05O2=0O <5@01I0O ?@81K;L ?> 4=O<!C<<0 ?> AB>;1FC  CB>:5=_8GC@8=01I0O ?@81K;L ?> 4=O<\!C<<0 ?> AB>;1FC  CB>:5=_8GC@8=05O2=0O <5@01I0O ?@81K;L ?> 4=O<!C<<0 ?> AB>;1FC A<0@B_!K7@0=L1I0O ?@81K;L ?> 4=O<\!C<<0 ?> AB>;1FC A<0@B_!K7@0=L5O2=0O <5@01I0O ?@81K;L ?> 4=O<!C<<0 ?> AB>;1FC  CB>:5=_!K7@0=L1I0O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>=5G=0O B>G:0>=5G=0O B>G:01I55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 4;O A2>4=>91I55 :>;-2> ?> 4=O< 4;O A2>4=>9!C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20:=0G5=85!@54=55 ?> AB>;1FC A<0@B_0A5:8=0!@54=55 ?> AB>;1FC A<0@B_0A5:8=0$>@<C;0!@54=55 ?> AB>;1FC A<0@B_0A5:8=0=0G5=85!@54=55 ?> AB>;1FC  CB>:5=_0A5:8=0!@54=55 ?> AB>;1FC  CB>:5=_0A5:8=0$>@<C;0!@54=55 ?> AB>;1FC  CB>:5=_0A5:8=0=0G5=85!@54=55 ?> AB>;1FC A<0@B_">;LOBB8!@54=55 ?> AB>;1FC A<0@B_">;LOBB8$>@<C;0!@54=55 ?> AB>;1FC A<0@B_">;LOBB8=0G5=85!@54=55 ?> AB>;1FC  CB>:5=_">;LOBB8!@54=55 ?> AB>;1FC  CB>:5=_">;LOBB8$>@<C;0!@54=55 ?> AB>;1FC  CB>:5=_">;LOBB8=0G5=85!@54=55 ?> AB>;1FC  CB>:5=_8GC@8=0!@54=55 ?> AB>;1FC  CB>:5=_8GC@8=0$>@<C;0!@54=55 ?> AB>;1FC  CB>:5=_8GC@8=0=0G5=85!@54=55 ?> AB>;1FC A<0@B_8GC@8=0!@54=55 ?> AB>;1FC A<0@B_8GC@8=0$>@<C;0!@54=55 ?> AB>;1FC A<0@B_8GC@8=0=0G5=85!@54=55 ?> AB>;1FC A<0@B_!K7@0=L!@54=55 ?> AB>;1FC A<0@B_!K7@0=L$>@<C;0!@54=55 ?> AB>;1FC A<0@B_!K7@0=L=0G5=85!@54=55 ?> AB>;1FC  CB>:5=_!K7@0=L!@54=55 ?> AB>;1FC  CB>:5=_!K7@0=L$>@<C;0!@54=55 ?> AB>;1FC  CB>:5=_!K7@0=L=0G5=85!C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  _0A5:8=0!C<<0 ?> AB>;1FC A<0@B  _0A5:8=0$>@<C;0!C<<0 ?> AB>;1FC A<0@B  _0A5:8=0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0A5:8=01I55 A<0@B ?> 0A5:8=0$>@<C;01I55 A<0@B ?> 0A5:8=0=0G5=851I55  CB>:5= ?> 0A5:8=01I55  CB>:5= ?> 0A5:8=0$>@<C;01I55  CB>:5= ?> 0A5:8=0=0G5=851I55 ?> 0A5:8=01I55 ?> 0A5:8=0$>@<C;01I55 ?> 0A5:8=0=0G5=851I55 A<0@B ?> ">;LOBB81I55 A<0@B ?> ">;LOBB8$>@<C;01I55 A<0@B ?> ">;LOBB8=0G5=851I55  CB>:5= ?> ">;LOBB81I55  CB>:5= ?> ">;LOBB8$>@<C;01I55  CB>:5= ?> ">;LOBB8=0G5=851I55 ?> ">;LOBB81I55 ?> ">;LOBB8$>@<C;01I55 ?> ">;LOBB8=0G5=851I55 A<0@B ?> 8GC@8=01I55 A<0@B ?> 8GC@8=0$>@<C;01I55 A<0@B ?> 8GC@8=0=0G5=851I55  CB>:5= ?> 8GC@8=01I55  CB>:5= ?> 8GC@8=0$>@<C;01I55  CB>:5= ?> 8GC@8=0=0G5=851I55 ?> 8GC@8=01I55 ?> 8GC@8=0$>@<C;01I55 ?> 8GC@8=0=0G5=851I55 A<0@B ?> !K7@0=81I55 A<0@B ?> !K7@0=8$>@<C;01I55 A<0@B ?> !K7@0=8=0G5=851I55  CB>:5= ?> !K7@0=81I55  CB>:5= ?> !K7@0=8$>@<C;01I55  CB>:5= ?> !K7@0=8=0G5=851I55 ?> !K7@0=81I55 ?> !K7@0=8$>@<C;01I55 ?> !K7@0=8=0G5=85!@54=55 ?> 4=O< >20:!@54=55 ?> 4=O< >20:$>@<C;0!@54=55 ?> 4=O< >20:=0G5=85!@54=55 ?> 4=Q< 0A5:8=0!@54=55 ?> 4=Q< 0A5:8=0$>@<C;0!@54=55 ?> 4=Q< 0A5:8=0=0G5=85!@54=55 ?> 4=O< ">;LOBB8!@54=55 ?> 4=O< ">;LOBB8$>@<C;0!@54=55 ?> 4=O< ">;LOBB8=0G5=85!@54=55 ?> 4=O< 8GC@8=0!@54=55 ?> 4=O< 8GC@8=0$>@<C;0!@54=55 ?> 4=O< 8GC@8=0=0G5=85!@54=55 ?> 4=O< !K7@0=L!@54=55 ?> 4=O< !K7@0=L$>@<C;0!@54=55 ?> 4=O< !K7@0=L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20:!@54=55 ?> AB>;1FC A<0@B_0A5:8=0A<0@B_0A5:8=0!@54=55 ?> AB>;1FC A<0@B_0A5:8=0A<0@B_0A5:8=0!@54=55 ?> AB>;1FC A<0@B_0A5:8=0A<0@B_0A5:8=0!@54=55 ?> AB>;1FC  CB>:5=_0A5:8=0 CB>:5=_0A5:8=0!@54=55 ?> AB>;1FC  CB>:5=_0A5:8=0 CB>:5=_0A5:8=0!@54=55 ?> AB>;1FC  CB>:5=_0A5:8=0 CB>:5=_0A5:8=0!@54=55 ?> AB>;1FC A<0@B_">;LOBB8A<0@B_">;LOBB8!@54=55 ?> AB>;1FC A<0@B_">;LOBB8A<0@B_">;LOBB8!@54=55 ?> AB>;1FC A<0@B_">;LOBB8A<0@B_">;LOBB8!@54=55 ?> AB>;1FC  CB>:5=_">;LOBB8 CB>:5=_">;LOBB8!@54=55 ?> AB>;1FC  CB>:5=_">;LOBB8 CB>:5=_">;LOBB8!@54=55 ?> AB>;1FC  CB>:5=_">;LOBB8 CB>:5=_">;LOBB8!@54=55 ?> AB>;1FC  CB>:5=_8GC@8=0 CB>:5=_8GC@8=0!@54=55 ?> AB>;1FC  CB>:5=_8GC@8=0 CB>:5=_8GC@8=0!@54=55 ?> AB>;1FC  CB>:5=_8GC@8=0 CB>:5=_8GC@8=0!@54=55 ?> AB>;1FC A<0@B_8GC@8=0A<0@B_8GC@8=0!@54=55 ?> AB>;1FC A<0@B_8GC@8=0A<0@B_8GC@8=0!@54=55 ?> AB>;1FC A<0@B_8GC@8=0A<0@B_8GC@8=0!@54=55 ?> AB>;1FC A<0@B_!K7@0=LA<0@B_!K7@0=L!@54=55 ?> AB>;1FC A<0@B_!K7@0=LA<0@B_!K7@0=L!@54=55 ?> AB>;1FC A<0@B_!K7@0=LA<0@B_!K7@0=L!@54=55 ?> AB>;1FC  CB>:5=_!K7@0=L CB>:5=_!K7@0=L!@54=55 ?> AB>;1FC  CB>:5=_!K7@0=L CB>:5=_!K7@0=L!@54=55 ?> AB>;1FC  CB>:5=_!K7@0=L CB>:5=_!K7@0=L!C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20:=0G5=85!@54=55 ?> AB>;1FC A<0@B_0A5:8=0!@54=55 ?> AB>;1FC A<0@B_0A5:8=0$>@<C;0!@54=55 ?> AB>;1FC A<0@B_0A5:8=0=0G5=85!@54=55 ?> AB>;1FC  CB>:5=_0A5:8=0!@54=55 ?> AB>;1FC  CB>:5=_0A5:8=0$>@<C;0!@54=55 ?> AB>;1FC  CB>:5=_0A5:8=0=0G5=85!@54=55 ?> AB>;1FC A<0@B_">;LOBB8!@54=55 ?> AB>;1FC A<0@B_">;LOBB8$>@<C;0!@54=55 ?> AB>;1FC A<0@B_">;LOBB8=0G5=85!@54=55 ?> AB>;1FC  CB>:5=_">;LOBB8!@54=55 ?> AB>;1FC  CB>:5=_">;LOBB8$>@<C;0!@54=55 ?> AB>;1FC  CB>:5=_">;LOBB8=0G5=85!@54=55 ?> AB>;1FC  CB>:5=_8GC@8=0!@54=55 ?> AB>;1FC  CB>:5=_8GC@8=0$>@<C;0!@54=55 ?> AB>;1FC  CB>:5=_8GC@8=0=0G5=85!@54=55 ?> AB>;1FC A<0@B_8GC@8=0!@54=55 ?> AB>;1FC A<0@B_8GC@8=0$>@<C;0!@54=55 ?> AB>;1FC A<0@B_8GC@8=0=0G5=85!@54=55 ?> AB>;1FC A<0@B_!K7@0=L!@54=55 ?> AB>;1FC A<0@B_!K7@0=L$>@<C;0!@54=55 ?> AB>;1FC A<0@B_!K7@0=L=0G5=85!@54=55 ?> AB>;1FC  CB>:5=_!K7@0=L!@54=55 ?> AB>;1FC  CB>:5=_!K7@0=L$>@<C;0!@54=55 ?> AB>;1FC  CB>:5=_!K7@0=L=0G5=85!C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  _0A5:8=0!C<<0 ?> AB>;1FC A<0@B  _0A5:8=0$>@<C;0!C<<0 ?> AB>;1FC A<0@B  _0A5:8=0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0A5:8=01I55 A<0@B ?> 0A5:8=0$>@<C;01I55 A<0@B ?> 0A5:8=0=0G5=851I55  CB>:5= ?> 0A5:8=01I55  CB>:5= ?> 0A5:8=0$>@<C;01I55  CB>:5= ?> 0A5:8=0=0G5=851I55 ?> 0A5:8=01I55 ?> 0A5:8=0$>@<C;01I55 ?> 0A5:8=0=0G5=851I55 A<0@B ?> ">;LOBB81I55 A<0@B ?> ">;LOBB8$>@<C;01I55 A<0@B ?> ">;LOBB8=0G5=851I55  CB>:5= ?> ">;LOBB81I55  CB>:5= ?> ">;LOBB8$>@<C;01I55  CB>:5= ?> ">;LOBB8=0G5=851I55 ?> ">;LOBB81I55 ?> ">;LOBB8$>@<C;01I55 ?> ">;LOBB8=0G5=851I55 A<0@B ?> 8GC@8=01I55 A<0@B ?> 8GC@8=0$>@<C;01I55 A<0@B ?> 8GC@8=0=0G5=851I55  CB>:5= ?> 8GC@8=01I55  CB>:5= ?> 8GC@8=0$>@<C;01I55  CB>:5= ?> 8GC@8=0=0G5=851I55 ?> 8GC@8=01I55 ?> 8GC@8=0$>@<C;01I55 ?> 8GC@8=0=0G5=851I55 A<0@B ?> !K7@0=81I55 A<0@B ?> !K7@0=8$>@<C;01I55 A<0@B ?> !K7@0=8=0G5=851I55  CB>:5= ?> !K7@0=81I55  CB>:5= ?> !K7@0=8$>@<C;01I55  CB>:5= ?> !K7@0=8=0G5=851I55 ?> !K7@0=81I55 ?> !K7@0=8$>@<C;01I55 ?> !K7@0=8=0G5=85!@54=55 ?> 4=O< >20:!@54=55 ?> 4=O< >20:$>@<C;0!@54=55 ?> 4=O< >20:=0G5=85!@54=55 ?> 4=Q< 0A5:8=0!@54=55 ?> 4=Q< 0A5:8=0$>@<C;0!@54=55 ?> 4=Q< 0A5:8=0=0G5=85!@54=55 ?> 4=O< ">;LOBB8!@54=55 ?> 4=O< ">;LOBB8$>@<C;0!@54=55 ?> 4=O< ">;LOBB8=0G5=85!@54=55 ?> 4=O< 8GC@8=0!@54=55 ?> 4=O< 8GC@8=0$>@<C;0!@54=55 ?> 4=O< 8GC@8=0=0G5=85!@54=55 ?> 4=O< !K7@0=L!@54=55 ?> 4=O< !K7@0=L$>@<C;0!@54=55 ?> 4=O< !K7@0=L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20:!@54=55 ?> AB>;1FC A<0@B_0A5:8=0A<0@B_0A5:8=0!@54=55 ?> AB>;1FC A<0@B_0A5:8=0A<0@B_0A5:8=0!@54=55 ?> AB>;1FC A<0@B_0A5:8=0A<0@B_0A5:8=0!@54=55 ?> AB>;1FC  CB>:5=_0A5:8=0 CB>:5=_0A5:8=0!@54=55 ?> AB>;1FC  CB>:5=_0A5:8=0 CB>:5=_0A5:8=0!@54=55 ?> AB>;1FC  CB>:5=_0A5:8=0 CB>:5=_0A5:8=0!@54=55 ?> AB>;1FC A<0@B_">;LOBB8A<0@B_">;LOBB8!@54=55 ?> AB>;1FC A<0@B_">;LOBB8A<0@B_">;LOBB8!@54=55 ?> AB>;1FC A<0@B_">;LOBB8A<0@B_">;LOBB8!@54=55 ?> AB>;1FC  CB>:5=_">;LOBB8 CB>:5=_">;LOBB8!@54=55 ?> AB>;1FC  CB>:5=_">;LOBB8 CB>:5=_">;LOBB8!@54=55 ?> AB>;1FC  CB>:5=_">;LOBB8 CB>:5=_">;LOBB8!@54=55 ?> AB>;1FC  CB>:5=_8GC@8=0 CB>:5=_8GC@8=0!@54=55 ?> AB>;1FC  CB>:5=_8GC@8=0 CB>:5=_8GC@8=0!@54=55 ?> AB>;1FC  CB>:5=_8GC@8=0 CB>:5=_8GC@8=0!@54=55 ?> AB>;1FC A<0@B_8GC@8=0A<0@B_8GC@8=0!@54=55 ?> AB>;1FC A<0@B_8GC@8=0A<0@B_8GC@8=0!@54=55 ?> AB>;1FC A<0@B_8GC@8=0A<0@B_8GC@8=0!@54=55 ?> AB>;1FC A<0@B_!K7@0=LA<0@B_!K7@0=L!@54=55 ?> AB>;1FC A<0@B_!K7@0=LA<0@B_!K7@0=L!@54=55 ?> AB>;1FC A<0@B_!K7@0=LA<0@B_!K7@0=L!@54=55 ?> AB>;1FC  CB>:5=_!K7@0=L CB>:5=_!K7@0=L!@54=55 ?> AB>;1FC  CB>:5=_!K7@0=L CB>:5=_!K7@0=L!@54=55 ?> AB>;1FC  CB>:5=_!K7@0=L CB>:5=_!K7@0=L!C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1I0O ?@81K;L ?> 4=O<1I0O ?@81K;L ?> 4=O<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:5=_!K7@0=L=0G5=85!@54=55 ?> AB>;1FC A<0@B_>20:!@54=55 ?> AB>;1FC A<0@B_>20:$>@<C;0!@54=55 ?> AB>;1FC A<0@B_>20:=0G5=85!C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;LOBB8=0G5=85!C<<0 ?> AB>;1FC A<0@B  _>20:!C<<0 ?> AB>;1FC A<0@B  _>20:$>@<C;0!C<<0 ?> AB>;1FC A<0@B  _>20:=0G5=85'8A;> M;5<5=B>2 2 AB>;1F5 A<0@B  _0A5:8=0'8A;> M;5<5=B>2 2 AB>;1F5 A<0@B  _0A5:8=0$>@<C;0'8A;> M;5<5=B>2 2 AB>;1F5 A<0@B  _0A5:8=0=0G5=85!C<<0 ?> AB>;1FC A<0@B  _0A5:8=0!C<<0 ?> AB>;1FC A<0@B  _0A5:8=0$>@<C;0!C<<0 ?> AB>;1FC A<0@B  _0A5:8=0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:8=01I0O ?> A<0@B 0A5:8=0$>@<C;01I0O ?> A<0@B 0A5:8=0=0G5=851I0O ?>  CB>:5= 0A5:8=01I0O ?>  CB>:5= 0A5:8=0$>@<C;01I0O ?>  CB>:5= 0A5:8=0=0G5=851I0O ?> 0A5:8=01I0O ?> 0A5:8=0$>@<C;01I0O ?> 0A5:8=0=0G5=851I0O ?> A<0@B ">;LOBB81I0O ?> A<0@B ">;LOBB8$>@<C;01I0O ?> A<0@B ">;LOBB8=0G5=851I0O ?>  CB>:5= ">;LOBB81I0O ?>  CB>:5= ">;LOBB8$>@<C;01I0O ?>  CB>:5= ">;LOBB8=0G5=851I0O ?> ">;LOBB81I0O ?> ">;LOBB8$>@<C;01I0O ?> ">;LOBB8=0G5=851I0O ?> A<0@B 8GC@8=01I0O ?> A<0@B 8GC@8=0$>@<C;01I0O ?> A<0@B 8GC@8=0=0G5=851I0O ?>  CB>:5= 8GC@8=01I0O ?>  CB>:5= 8GC@8=0$>@<C;01I0O ?>  CB>:5= 8GC@8=0=0G5=851I0O ?> 8GC@8=01I0O ?> 8GC@8=0$>@<C;01I0O ?> 8GC@8=0=0G5=851I0O ?> A<0@B !K7@0=L1I0O ?> A<0@B !K7@0=L$>@<C;01I0O ?> A<0@B !K7@0=L=0G5=851I0O ?>  CB>:5= !K7@0=L1I0O ?>  CB>:5= !K7@0=L$>@<C;01I0O ?>  CB>:5= !K7@0=L=0G5=851I0O ?> !K7@0=81I0O ?> !K7@0=8$>@<C;01I0O ?> !K7@0=8=0G5=851I0O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;LOBB8!C<<0 ?> AB>;1FC A<0@B  _>20:A<0@B  _>20:!C<<0 ?> AB>;1FC A<0@B  _>20:A<0@B  _>20:!C<<0 ?> AB>;1FC A<0@B  _>20:A<0@B  _>20:'8A;> M;5<5=B>2 2 AB>;1F5 A<0@B  _0A5:8=0A<0@B  _0A5:8=0'8A;> M;5<5=B>2 2 AB>;1F5 A<0@B  _0A5:8=0A<0@B  _0A5:8=0'8A;> M;5<5=B>2 2 AB>;1F5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:5=_!K7@0=L=0G5=85!@54=55 ?> AB>;1FC A<0@B_>20:!@54=55 ?> AB>;1FC A<0@B_>20:$>@<C;0!@54=55 ?> AB>;1FC A<0@B_>20:=0G5=85!C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;LOBB8=0G5=85!C<<0 ?> AB>;1FC A<0@B  _>20:!C<<0 ?> AB>;1FC A<0@B  _>20:$>@<C;0!C<<0 ?> AB>;1FC A<0@B  _>20:=0G5=85'8A;> M;5<5=B>2 2 AB>;1F5 A<0@B  _0A5:8=0'8A;> M;5<5=B>2 2 AB>;1F5 A<0@B  _0A5:8=0$>@<C;0'8A;> M;5<5=B>2 2 AB>;1F5 A<0@B  _0A5:8=0=0G5=85!C<<0 ?> AB>;1FC A<0@B  _0A5:8=0!C<<0 ?> AB>;1FC A<0@B  _0A5:8=0$>@<C;0!C<<0 ?> AB>;1FC A<0@B  _0A5:8=0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:8=01I0O ?> A<0@B 0A5:8=0$>@<C;01I0O ?> A<0@B 0A5:8=0=0G5=851I0O ?>  CB>:5= 0A5:8=01I0O ?>  CB>:5= 0A5:8=0$>@<C;01I0O ?>  CB>:5= 0A5:8=0=0G5=851I0O ?> 0A5:8=01I0O ?> 0A5:8=0$>@<C;01I0O ?> 0A5:8=0=0G5=851I0O ?> A<0@B ">;LOBB81I0O ?> A<0@B ">;LOBB8$>@<C;01I0O ?> A<0@B ">;LOBB8=0G5=851I0O ?>  CB>:5= ">;LOBB81I0O ?>  CB>:5= ">;LOBB8$>@<C;01I0O ?>  CB>:5= ">;LOBB8=0G5=851I0O ?> ">;LOBB81I0O ?> ">;LOBB8$>@<C;01I0O ?> ">;LOBB8=0G5=851I0O ?> A<0@B 8GC@8=01I0O ?> A<0@B 8GC@8=0$>@<C;01I0O ?> A<0@B 8GC@8=0=0G5=851I0O ?>  CB>:5= 8GC@8=01I0O ?>  CB>:5= 8GC@8=0$>@<C;01I0O ?>  CB>:5= 8GC@8=0=0G5=851I0O ?> 8GC@8=01I0O ?> 8GC@8=0$>@<C;01I0O ?> 8GC@8=0=0G5=851I0O ?> A<0@B !K7@0=L1I0O ?> A<0@B !K7@0=L$>@<C;01I0O ?> A<0@B !K7@0=L=0G5=851I0O ?>  CB>:5= !K7@0=L1I0O ?>  CB>:5= !K7@0=L$>@<C;01I0O ?>  CB>:5= !K7@0=L=0G5=851I0O ?> !K7@0=81I0O ?> !K7@0=8$>@<C;01I0O ?> !K7@0=8=0G5=851I0O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;LOBB8!C<<0 ?> AB>;1FC A<0@B  _>20:A<0@B  _>20:!C<<0 ?> AB>;1FC A<0@B  _>20:A<0@B  _>20:!C<<0 ?> AB>;1FC A<0@B  _>20:A<0@B  _>20:'8A;> M;5<5=B>2 2 AB>;1F5 A<0@B  _0A5:8=0A<0@B  _0A5:8=0'8A;> M;5<5=B>2 2 AB>;1F5 A<0@B  _0A5:8=0A<0@B  _0A5:8=0'8A;> M;5<5=B>2 2 AB>;1F5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
</file>

<file path=customXml/item35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36.xml>��
</file>

<file path=customXml/itemProps1.xml><?xml version="1.0" encoding="utf-8"?>
<ds:datastoreItem xmlns:ds="http://schemas.openxmlformats.org/officeDocument/2006/customXml" ds:itemID="{36D46210-1450-4F04-B1C1-2DF214809AA2}">
  <ds:schemaRefs/>
</ds:datastoreItem>
</file>

<file path=customXml/itemProps2.xml><?xml version="1.0" encoding="utf-8"?>
<ds:datastoreItem xmlns:ds="http://schemas.openxmlformats.org/officeDocument/2006/customXml" ds:itemID="{7E7BEB68-F108-4DF5-8475-C797FC90EC3A}">
  <ds:schemaRefs>
    <ds:schemaRef ds:uri="http://gemini/pivotcustomization/TableOrder"/>
  </ds:schemaRefs>
</ds:datastoreItem>
</file>

<file path=customXml/itemProps3.xml><?xml version="1.0" encoding="utf-8"?>
<ds:datastoreItem xmlns:ds="http://schemas.openxmlformats.org/officeDocument/2006/customXml" ds:itemID="{EFC5A5A9-77DB-44D0-9DE1-2528BD854A7E}">
  <ds:schemaRefs/>
</ds:datastoreItem>
</file>

<file path=customXml/itemProps4.xml><?xml version="1.0" encoding="utf-8"?>
<ds:datastoreItem xmlns:ds="http://schemas.openxmlformats.org/officeDocument/2006/customXml" ds:itemID="{6EABDBCA-5216-4EF1-91B1-5E6D10B9BCE4}">
  <ds:schemaRefs>
    <ds:schemaRef ds:uri="http://gemini/pivotcustomization/0dfef139-0e7e-4486-99a5-215512540d33"/>
  </ds:schemaRefs>
</ds:datastoreItem>
</file>

<file path=customXml/itemProps5.xml><?xml version="1.0" encoding="utf-8"?>
<ds:datastoreItem xmlns:ds="http://schemas.openxmlformats.org/officeDocument/2006/customXml" ds:itemID="{A92D8EB4-0F78-4D74-B4C4-ED186C698872}">
  <ds:schemaRefs>
    <ds:schemaRef ds:uri="http://gemini/pivotcustomization/LinkedTableUpdateMode"/>
  </ds:schemaRefs>
</ds:datastoreItem>
</file>

<file path=customXml/itemProps6.xml><?xml version="1.0" encoding="utf-8"?>
<ds:datastoreItem xmlns:ds="http://schemas.openxmlformats.org/officeDocument/2006/customXml" ds:itemID="{D9CC63A6-ECC6-4277-912D-4C38F058DA17}">
  <ds:schemaRefs>
    <ds:schemaRef ds:uri="http://gemini/pivotcustomization/01cdfb40-449f-4a19-8c10-559b1253f02b"/>
  </ds:schemaRefs>
</ds:datastoreItem>
</file>

<file path=customXml/itemProps7.xml><?xml version="1.0" encoding="utf-8"?>
<ds:datastoreItem xmlns:ds="http://schemas.openxmlformats.org/officeDocument/2006/customXml" ds:itemID="{D4A18D1F-BE02-4601-9A83-8130F3CB9965}">
  <ds:schemaRefs/>
</ds:datastoreItem>
</file>

<file path=customXml/itemProps8.xml><?xml version="1.0" encoding="utf-8"?>
<ds:datastoreItem xmlns:ds="http://schemas.openxmlformats.org/officeDocument/2006/customXml" ds:itemID="{AD6493A3-CF04-444F-8740-F2772A2CEBD6}">
  <ds:schemaRefs>
    <ds:schemaRef ds:uri="http://gemini/pivotcustomization/92afae6c-36d2-4083-a080-b77b63925a73"/>
  </ds:schemaRefs>
</ds:datastoreItem>
</file>

<file path=customXml/itemProps9.xml><?xml version="1.0" encoding="utf-8"?>
<ds:datastoreItem xmlns:ds="http://schemas.openxmlformats.org/officeDocument/2006/customXml" ds:itemID="{E4F7B95C-BBCF-4758-979D-3A2CB47A6D03}">
  <ds:schemaRefs/>
</ds:datastoreItem>
</file>

<file path=customXml/itemProps10.xml><?xml version="1.0" encoding="utf-8"?>
<ds:datastoreItem xmlns:ds="http://schemas.openxmlformats.org/officeDocument/2006/customXml" ds:itemID="{26C52D9B-74E4-472C-8DEF-5F87F4191F6A}">
  <ds:schemaRefs/>
</ds:datastoreItem>
</file>

<file path=customXml/itemProps11.xml><?xml version="1.0" encoding="utf-8"?>
<ds:datastoreItem xmlns:ds="http://schemas.openxmlformats.org/officeDocument/2006/customXml" ds:itemID="{7FB65C83-69C6-4E58-9249-65C5547B60CE}">
  <ds:schemaRefs>
    <ds:schemaRef ds:uri="http://gemini/pivotcustomization/ShowImplicitMeasures"/>
  </ds:schemaRefs>
</ds:datastoreItem>
</file>

<file path=customXml/itemProps12.xml><?xml version="1.0" encoding="utf-8"?>
<ds:datastoreItem xmlns:ds="http://schemas.openxmlformats.org/officeDocument/2006/customXml" ds:itemID="{B3779C30-9C83-4F27-9007-A21C23938AD6}">
  <ds:schemaRefs/>
</ds:datastoreItem>
</file>

<file path=customXml/itemProps13.xml><?xml version="1.0" encoding="utf-8"?>
<ds:datastoreItem xmlns:ds="http://schemas.openxmlformats.org/officeDocument/2006/customXml" ds:itemID="{286AA82A-0F40-4131-ABA0-7BE0438729F4}">
  <ds:schemaRefs/>
</ds:datastoreItem>
</file>

<file path=customXml/itemProps14.xml><?xml version="1.0" encoding="utf-8"?>
<ds:datastoreItem xmlns:ds="http://schemas.openxmlformats.org/officeDocument/2006/customXml" ds:itemID="{B1DF5ED2-C66C-4330-A3BD-E21845E68E6E}">
  <ds:schemaRefs>
    <ds:schemaRef ds:uri="http://gemini/pivotcustomization/b3789994-acec-49c5-b343-275b470f0dae"/>
  </ds:schemaRefs>
</ds:datastoreItem>
</file>

<file path=customXml/itemProps15.xml><?xml version="1.0" encoding="utf-8"?>
<ds:datastoreItem xmlns:ds="http://schemas.openxmlformats.org/officeDocument/2006/customXml" ds:itemID="{2DF0D42A-5DF5-44A5-B1F0-B06F7BAAECBF}">
  <ds:schemaRefs/>
</ds:datastoreItem>
</file>

<file path=customXml/itemProps16.xml><?xml version="1.0" encoding="utf-8"?>
<ds:datastoreItem xmlns:ds="http://schemas.openxmlformats.org/officeDocument/2006/customXml" ds:itemID="{8A13072D-BA72-4419-9A9D-B8D04F39D4D1}">
  <ds:schemaRefs>
    <ds:schemaRef ds:uri="http://gemini/pivotcustomization/TableXML_Общее кол-во по дням power pivot_3c50a437-b5b5-432c-9898-b3b0f6de8dd4"/>
  </ds:schemaRefs>
</ds:datastoreItem>
</file>

<file path=customXml/itemProps17.xml><?xml version="1.0" encoding="utf-8"?>
<ds:datastoreItem xmlns:ds="http://schemas.openxmlformats.org/officeDocument/2006/customXml" ds:itemID="{EA3740BD-E7D8-4A93-B7D2-D97C9A5FC7AA}">
  <ds:schemaRefs/>
</ds:datastoreItem>
</file>

<file path=customXml/itemProps18.xml><?xml version="1.0" encoding="utf-8"?>
<ds:datastoreItem xmlns:ds="http://schemas.openxmlformats.org/officeDocument/2006/customXml" ds:itemID="{5BA77D15-E2FF-4BE5-873A-88EB9EAD1F5A}">
  <ds:schemaRefs>
    <ds:schemaRef ds:uri="http://gemini/pivotcustomization/TableXML_Общее кол-во по дням_b24db96c-bc2d-4696-ab71-a9f07e1f770d"/>
  </ds:schemaRefs>
</ds:datastoreItem>
</file>

<file path=customXml/itemProps19.xml><?xml version="1.0" encoding="utf-8"?>
<ds:datastoreItem xmlns:ds="http://schemas.openxmlformats.org/officeDocument/2006/customXml" ds:itemID="{4B58FE1A-4887-423B-B228-6578930ECF03}">
  <ds:schemaRefs>
    <ds:schemaRef ds:uri="http://gemini/pivotcustomization/ShowHidden"/>
  </ds:schemaRefs>
</ds:datastoreItem>
</file>

<file path=customXml/itemProps20.xml><?xml version="1.0" encoding="utf-8"?>
<ds:datastoreItem xmlns:ds="http://schemas.openxmlformats.org/officeDocument/2006/customXml" ds:itemID="{D945DEF7-EAEC-4C18-A425-FA04A118D9D2}">
  <ds:schemaRefs/>
</ds:datastoreItem>
</file>

<file path=customXml/itemProps21.xml><?xml version="1.0" encoding="utf-8"?>
<ds:datastoreItem xmlns:ds="http://schemas.openxmlformats.org/officeDocument/2006/customXml" ds:itemID="{F2DC5E6D-10AF-4696-81C4-D7E8AC265C99}">
  <ds:schemaRefs/>
</ds:datastoreItem>
</file>

<file path=customXml/itemProps22.xml><?xml version="1.0" encoding="utf-8"?>
<ds:datastoreItem xmlns:ds="http://schemas.openxmlformats.org/officeDocument/2006/customXml" ds:itemID="{3B1B8372-1268-446A-8D5C-25B3D8180765}">
  <ds:schemaRefs>
    <ds:schemaRef ds:uri="http://gemini/pivotcustomization/ManualCalcMode"/>
  </ds:schemaRefs>
</ds:datastoreItem>
</file>

<file path=customXml/itemProps23.xml><?xml version="1.0" encoding="utf-8"?>
<ds:datastoreItem xmlns:ds="http://schemas.openxmlformats.org/officeDocument/2006/customXml" ds:itemID="{15F54806-8865-43F4-BFCF-72D7829D8517}">
  <ds:schemaRefs>
    <ds:schemaRef ds:uri="http://gemini/pivotcustomization/370ad955-9cce-4988-b338-9a67b6b125bc"/>
  </ds:schemaRefs>
</ds:datastoreItem>
</file>

<file path=customXml/itemProps24.xml><?xml version="1.0" encoding="utf-8"?>
<ds:datastoreItem xmlns:ds="http://schemas.openxmlformats.org/officeDocument/2006/customXml" ds:itemID="{C98F9ADD-051F-49A3-9664-E789FFD1C08B}">
  <ds:schemaRefs/>
</ds:datastoreItem>
</file>

<file path=customXml/itemProps25.xml><?xml version="1.0" encoding="utf-8"?>
<ds:datastoreItem xmlns:ds="http://schemas.openxmlformats.org/officeDocument/2006/customXml" ds:itemID="{5204B90E-1922-4384-91D3-6A235748F091}">
  <ds:schemaRefs/>
</ds:datastoreItem>
</file>

<file path=customXml/itemProps26.xml><?xml version="1.0" encoding="utf-8"?>
<ds:datastoreItem xmlns:ds="http://schemas.openxmlformats.org/officeDocument/2006/customXml" ds:itemID="{42598171-9BE1-4E3D-8B69-537885DB3FB7}">
  <ds:schemaRefs>
    <ds:schemaRef ds:uri="http://gemini/pivotcustomization/e9d08fcb-6b06-4b24-9913-74610801b666"/>
  </ds:schemaRefs>
</ds:datastoreItem>
</file>

<file path=customXml/itemProps27.xml><?xml version="1.0" encoding="utf-8"?>
<ds:datastoreItem xmlns:ds="http://schemas.openxmlformats.org/officeDocument/2006/customXml" ds:itemID="{277B1D5B-2676-4D61-9480-E18437C965F3}">
  <ds:schemaRefs/>
</ds:datastoreItem>
</file>

<file path=customXml/itemProps28.xml><?xml version="1.0" encoding="utf-8"?>
<ds:datastoreItem xmlns:ds="http://schemas.openxmlformats.org/officeDocument/2006/customXml" ds:itemID="{3C886453-2449-4031-A764-4B617064113E}">
  <ds:schemaRefs>
    <ds:schemaRef ds:uri="http://gemini/pivotcustomization/e593c668-64cd-413a-b682-1dc7957396ad"/>
  </ds:schemaRefs>
</ds:datastoreItem>
</file>

<file path=customXml/itemProps29.xml><?xml version="1.0" encoding="utf-8"?>
<ds:datastoreItem xmlns:ds="http://schemas.openxmlformats.org/officeDocument/2006/customXml" ds:itemID="{AC9DAA4B-660A-4463-BAC6-DCC68DD62036}">
  <ds:schemaRefs/>
</ds:datastoreItem>
</file>

<file path=customXml/itemProps30.xml><?xml version="1.0" encoding="utf-8"?>
<ds:datastoreItem xmlns:ds="http://schemas.openxmlformats.org/officeDocument/2006/customXml" ds:itemID="{26FA208C-B851-4B41-A2D7-2EC9CDCE3FB7}">
  <ds:schemaRefs>
    <ds:schemaRef ds:uri="http://schemas.microsoft.com/DataMashup"/>
  </ds:schemaRefs>
</ds:datastoreItem>
</file>

<file path=customXml/itemProps31.xml><?xml version="1.0" encoding="utf-8"?>
<ds:datastoreItem xmlns:ds="http://schemas.openxmlformats.org/officeDocument/2006/customXml" ds:itemID="{283E1D7B-0357-46CC-9166-82A37545CB4D}">
  <ds:schemaRefs/>
</ds:datastoreItem>
</file>

<file path=customXml/itemProps32.xml><?xml version="1.0" encoding="utf-8"?>
<ds:datastoreItem xmlns:ds="http://schemas.openxmlformats.org/officeDocument/2006/customXml" ds:itemID="{04E7972B-3317-4341-80D8-8FB26AFE8D17}">
  <ds:schemaRefs/>
</ds:datastoreItem>
</file>

<file path=customXml/itemProps33.xml><?xml version="1.0" encoding="utf-8"?>
<ds:datastoreItem xmlns:ds="http://schemas.openxmlformats.org/officeDocument/2006/customXml" ds:itemID="{1BB4301F-2310-4F55-862F-7EDC819A4F77}">
  <ds:schemaRefs/>
</ds:datastoreItem>
</file>

<file path=customXml/itemProps34.xml><?xml version="1.0" encoding="utf-8"?>
<ds:datastoreItem xmlns:ds="http://schemas.openxmlformats.org/officeDocument/2006/customXml" ds:itemID="{44D6D0AA-00A6-4AB5-9072-787876A1F0B4}">
  <ds:schemaRefs/>
</ds:datastoreItem>
</file>

<file path=customXml/itemProps35.xml><?xml version="1.0" encoding="utf-8"?>
<ds:datastoreItem xmlns:ds="http://schemas.openxmlformats.org/officeDocument/2006/customXml" ds:itemID="{447667DA-8A4D-45E0-B4E8-2409C454FF95}">
  <ds:schemaRefs/>
</ds:datastoreItem>
</file>

<file path=customXml/itemProps36.xml><?xml version="1.0" encoding="utf-8"?>
<ds:datastoreItem xmlns:ds="http://schemas.openxmlformats.org/officeDocument/2006/customXml" ds:itemID="{05ADC36B-FC8B-406D-90F3-0295E4D186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Дэшборды</vt:lpstr>
      <vt:lpstr>Общее кол-во</vt:lpstr>
      <vt:lpstr>Общая прибыль</vt:lpstr>
      <vt:lpstr>Новак</vt:lpstr>
      <vt:lpstr>Засекина</vt:lpstr>
      <vt:lpstr>Тольятти</vt:lpstr>
      <vt:lpstr>Мичурина</vt:lpstr>
      <vt:lpstr>Сызрань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2025-03-25T06:53:26Z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E77E90DF-6271-4F5B-834F-2DD1F245DDA4}" pid="4">
    <vt:vector size="2" baseType="ui4">
      <vt:ui4>0</vt:ui4>
      <vt:ui4>0</vt:ui4>
    </vt:vector>
  </property>
</Properties>
</file>