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0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4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ЭтаКнига" hidePivotFieldList="1"/>
  <xr:revisionPtr revIDLastSave="0" documentId="13_ncr:1_{C0A2C36D-886B-47C0-B80A-9919B6F3FE87}" xr6:coauthVersionLast="47" xr6:coauthVersionMax="47" xr10:uidLastSave="{00000000-0000-0000-0000-000000000000}"/>
  <bookViews>
    <workbookView xWindow="-120" yWindow="-120" windowWidth="29040" windowHeight="15840" tabRatio="680" xr2:uid="{00000000-000D-0000-FFFF-FFFF00000000}"/>
  </bookViews>
  <sheets>
    <sheet name="Дэшборды" sheetId="9" r:id="rId1"/>
    <sheet name="Общее кол-во" sheetId="7" r:id="rId2"/>
    <sheet name="Общая прибыль" sheetId="8" r:id="rId3"/>
    <sheet name="Новак" sheetId="1" r:id="rId4"/>
    <sheet name="Засек" sheetId="3" r:id="rId5"/>
    <sheet name="Тол" sheetId="6" r:id="rId6"/>
    <sheet name="Мичу" sheetId="2" r:id="rId7"/>
    <sheet name="Сызр" sheetId="4" r:id="rId8"/>
  </sheets>
  <calcPr calcId="191028"/>
  <pivotCaches>
    <pivotCache cacheId="38" r:id="rId9"/>
    <pivotCache cacheId="41" r:id="rId10"/>
    <pivotCache cacheId="44" r:id="rId11"/>
    <pivotCache cacheId="47" r:id="rId12"/>
    <pivotCache cacheId="50" r:id="rId13"/>
    <pivotCache cacheId="53" r:id="rId14"/>
    <pivotCache cacheId="56" r:id="rId15"/>
    <pivotCache cacheId="59" r:id="rId16"/>
    <pivotCache cacheId="62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Общая прибыль по дням_cd49fb11-073e-4cdb-be2d-b81ec7552485" name="Общая прибыль по дням" connection="Запрос — Общая прибыль по дням"/>
          <x15:modelTable id="Общее кол-во по дням для сводной_7deb4079-3bc8-4faa-975c-115255ea3c95" name="Общее кол-во по дням для сводной" connection="Запрос — Общее кол-во по дням"/>
        </x15:modelTables>
        <x15:modelRelationships>
          <x15:modelRelationship fromTable="Общее кол-во по дням для сводной" fromColumn="Дата" toTable="Общая прибыль по дням" toColumn="Дата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7" i="4" l="1" a="1"/>
  <c r="D207" i="4" s="1"/>
  <c r="F207" i="4" s="1"/>
  <c r="D206" i="4" a="1"/>
  <c r="D206" i="4" s="1"/>
  <c r="F206" i="4" s="1"/>
  <c r="D205" i="4" a="1"/>
  <c r="D205" i="4" s="1"/>
  <c r="F205" i="4" s="1"/>
  <c r="D287" i="2" a="1"/>
  <c r="D287" i="2" s="1"/>
  <c r="F287" i="2" s="1"/>
  <c r="D286" i="2" a="1"/>
  <c r="D286" i="2" s="1"/>
  <c r="F286" i="2" s="1"/>
  <c r="D285" i="2" a="1"/>
  <c r="D285" i="2" s="1"/>
  <c r="F285" i="2" s="1"/>
  <c r="D284" i="2" a="1"/>
  <c r="D284" i="2" s="1"/>
  <c r="F284" i="2" s="1"/>
  <c r="D283" i="2" a="1"/>
  <c r="D283" i="2" s="1"/>
  <c r="F283" i="2" s="1"/>
  <c r="D282" i="2" a="1"/>
  <c r="D282" i="2" s="1"/>
  <c r="F282" i="2" s="1"/>
  <c r="D305" i="6" a="1"/>
  <c r="D305" i="6" s="1"/>
  <c r="F305" i="6" s="1"/>
  <c r="D304" i="6" a="1"/>
  <c r="D304" i="6" s="1"/>
  <c r="F304" i="6" s="1"/>
  <c r="D303" i="6" a="1"/>
  <c r="D303" i="6" s="1"/>
  <c r="F303" i="6" s="1"/>
  <c r="D302" i="6" a="1"/>
  <c r="D302" i="6" s="1"/>
  <c r="F302" i="6" s="1"/>
  <c r="D301" i="6" a="1"/>
  <c r="D301" i="6" s="1"/>
  <c r="F301" i="6" s="1"/>
  <c r="D300" i="6" a="1"/>
  <c r="D300" i="6" s="1"/>
  <c r="F300" i="6" s="1"/>
  <c r="D264" i="3" a="1"/>
  <c r="D264" i="3" s="1"/>
  <c r="F264" i="3" s="1"/>
  <c r="D263" i="3" a="1"/>
  <c r="D263" i="3" s="1"/>
  <c r="F263" i="3" s="1"/>
  <c r="D262" i="3" a="1"/>
  <c r="D262" i="3" s="1"/>
  <c r="F262" i="3" s="1"/>
  <c r="D237" i="1" a="1"/>
  <c r="D237" i="1" s="1"/>
  <c r="F237" i="1" s="1"/>
  <c r="D236" i="1" a="1"/>
  <c r="D236" i="1" s="1"/>
  <c r="F236" i="1" s="1"/>
  <c r="D235" i="1" a="1"/>
  <c r="D235" i="1" s="1"/>
  <c r="F235" i="1" s="1"/>
  <c r="D234" i="1" a="1"/>
  <c r="D234" i="1" s="1"/>
  <c r="F234" i="1" s="1"/>
  <c r="A3" i="2" l="1"/>
  <c r="A4" i="2"/>
  <c r="A2" i="2"/>
  <c r="D186" i="4" a="1"/>
  <c r="D186" i="4" s="1"/>
  <c r="D187" i="4" a="1"/>
  <c r="D187" i="4" s="1"/>
  <c r="D188" i="4" a="1"/>
  <c r="D188" i="4" s="1"/>
  <c r="D189" i="4" a="1"/>
  <c r="D189" i="4" s="1"/>
  <c r="D190" i="4" a="1"/>
  <c r="D190" i="4" s="1"/>
  <c r="D191" i="4" a="1"/>
  <c r="D191" i="4" s="1"/>
  <c r="D192" i="4" a="1"/>
  <c r="D192" i="4" s="1"/>
  <c r="D193" i="4" a="1"/>
  <c r="D193" i="4" s="1"/>
  <c r="D194" i="4" a="1"/>
  <c r="D194" i="4" s="1"/>
  <c r="D195" i="4" a="1"/>
  <c r="D195" i="4" s="1"/>
  <c r="D196" i="4" a="1"/>
  <c r="D196" i="4" s="1"/>
  <c r="D197" i="4" a="1"/>
  <c r="D197" i="4" s="1"/>
  <c r="D198" i="4" a="1"/>
  <c r="D198" i="4" s="1"/>
  <c r="D199" i="4" a="1"/>
  <c r="D199" i="4" s="1"/>
  <c r="D200" i="4" a="1"/>
  <c r="D200" i="4" s="1"/>
  <c r="D201" i="4" a="1"/>
  <c r="D201" i="4" s="1"/>
  <c r="D202" i="4" a="1"/>
  <c r="D202" i="4" s="1"/>
  <c r="D203" i="4" a="1"/>
  <c r="D203" i="4" s="1"/>
  <c r="D204" i="4" a="1"/>
  <c r="D204" i="4" s="1"/>
  <c r="D281" i="2" l="1" a="1"/>
  <c r="D281" i="2" s="1"/>
  <c r="F281" i="2" s="1"/>
  <c r="D280" i="2" a="1"/>
  <c r="D280" i="2" s="1"/>
  <c r="F280" i="2" s="1"/>
  <c r="D279" i="2" a="1"/>
  <c r="D279" i="2" s="1"/>
  <c r="F279" i="2" s="1"/>
  <c r="D278" i="2" a="1"/>
  <c r="D278" i="2" s="1"/>
  <c r="F278" i="2" s="1"/>
  <c r="D277" i="2" a="1"/>
  <c r="D277" i="2" s="1"/>
  <c r="F277" i="2" s="1"/>
  <c r="D276" i="2" a="1"/>
  <c r="D276" i="2" s="1"/>
  <c r="F276" i="2" s="1"/>
  <c r="D275" i="2" a="1"/>
  <c r="D275" i="2" s="1"/>
  <c r="F275" i="2" s="1"/>
  <c r="D274" i="2" a="1"/>
  <c r="D274" i="2" s="1"/>
  <c r="F274" i="2" s="1"/>
  <c r="D273" i="2" a="1"/>
  <c r="D273" i="2" s="1"/>
  <c r="F273" i="2" s="1"/>
  <c r="D299" i="6" a="1"/>
  <c r="D299" i="6" s="1"/>
  <c r="F299" i="6" s="1"/>
  <c r="D298" i="6" a="1"/>
  <c r="D298" i="6" s="1"/>
  <c r="F298" i="6" s="1"/>
  <c r="D297" i="6" a="1"/>
  <c r="D297" i="6" s="1"/>
  <c r="F297" i="6" s="1"/>
  <c r="D296" i="6" a="1"/>
  <c r="D296" i="6" s="1"/>
  <c r="F296" i="6" s="1"/>
  <c r="D295" i="6" a="1"/>
  <c r="D295" i="6" s="1"/>
  <c r="F295" i="6" s="1"/>
  <c r="D294" i="6" a="1"/>
  <c r="D294" i="6" s="1"/>
  <c r="F294" i="6" s="1"/>
  <c r="D293" i="6" a="1"/>
  <c r="D293" i="6" s="1"/>
  <c r="F293" i="6" s="1"/>
  <c r="D292" i="6" a="1"/>
  <c r="D292" i="6" s="1"/>
  <c r="F292" i="6" s="1"/>
  <c r="D291" i="6" a="1"/>
  <c r="D291" i="6" s="1"/>
  <c r="F291" i="6" s="1"/>
  <c r="D290" i="6" a="1"/>
  <c r="D290" i="6" s="1"/>
  <c r="F290" i="6" s="1"/>
  <c r="D289" i="6" a="1"/>
  <c r="D289" i="6" s="1"/>
  <c r="F289" i="6" s="1"/>
  <c r="D288" i="6" a="1"/>
  <c r="D288" i="6" s="1"/>
  <c r="F288" i="6" s="1"/>
  <c r="D287" i="6" a="1"/>
  <c r="D287" i="6" s="1"/>
  <c r="F287" i="6" s="1"/>
  <c r="D286" i="6" a="1"/>
  <c r="D286" i="6" s="1"/>
  <c r="F286" i="6" s="1"/>
  <c r="F204" i="4"/>
  <c r="F203" i="4"/>
  <c r="F202" i="4"/>
  <c r="F201" i="4"/>
  <c r="F200" i="4"/>
  <c r="F199" i="4"/>
  <c r="F198" i="4"/>
  <c r="F197" i="4"/>
  <c r="F196" i="4"/>
  <c r="F195" i="4"/>
  <c r="D261" i="3" a="1"/>
  <c r="D261" i="3" s="1"/>
  <c r="F261" i="3" s="1"/>
  <c r="D260" i="3" a="1"/>
  <c r="D260" i="3" s="1"/>
  <c r="F260" i="3" s="1"/>
  <c r="D259" i="3" a="1"/>
  <c r="D259" i="3" s="1"/>
  <c r="F259" i="3" s="1"/>
  <c r="D258" i="3" a="1"/>
  <c r="D258" i="3" s="1"/>
  <c r="F258" i="3" s="1"/>
  <c r="D257" i="3" a="1"/>
  <c r="D257" i="3" s="1"/>
  <c r="F257" i="3" s="1"/>
  <c r="D256" i="3" a="1"/>
  <c r="D256" i="3" s="1"/>
  <c r="F256" i="3" s="1"/>
  <c r="D255" i="3" a="1"/>
  <c r="D255" i="3" s="1"/>
  <c r="F255" i="3" s="1"/>
  <c r="D254" i="3" a="1"/>
  <c r="D254" i="3" s="1"/>
  <c r="F254" i="3" s="1"/>
  <c r="D253" i="3" a="1"/>
  <c r="D253" i="3" s="1"/>
  <c r="F253" i="3" s="1"/>
  <c r="D252" i="3" a="1"/>
  <c r="D252" i="3" s="1"/>
  <c r="F252" i="3" s="1"/>
  <c r="D251" i="3" a="1"/>
  <c r="D251" i="3" s="1"/>
  <c r="F251" i="3" s="1"/>
  <c r="D250" i="3" a="1"/>
  <c r="D250" i="3" s="1"/>
  <c r="F250" i="3" s="1"/>
  <c r="D249" i="3" a="1"/>
  <c r="D249" i="3" s="1"/>
  <c r="F249" i="3" s="1"/>
  <c r="D248" i="3" a="1"/>
  <c r="D248" i="3" s="1"/>
  <c r="F248" i="3" s="1"/>
  <c r="D233" i="1" a="1"/>
  <c r="D233" i="1" s="1"/>
  <c r="F233" i="1" s="1"/>
  <c r="A3" i="6"/>
  <c r="A4" i="6"/>
  <c r="A2" i="6"/>
  <c r="A2" i="4"/>
  <c r="D232" i="1" l="1" a="1"/>
  <c r="D232" i="1" s="1"/>
  <c r="F232" i="1" s="1"/>
  <c r="D231" i="1" a="1"/>
  <c r="D231" i="1" s="1"/>
  <c r="F231" i="1" s="1"/>
  <c r="D230" i="1" a="1"/>
  <c r="D230" i="1" s="1"/>
  <c r="F230" i="1" s="1"/>
  <c r="D229" i="1" a="1"/>
  <c r="D229" i="1" s="1"/>
  <c r="F229" i="1" s="1"/>
  <c r="D228" i="1" a="1"/>
  <c r="D228" i="1" s="1"/>
  <c r="F228" i="1" s="1"/>
  <c r="D227" i="1" a="1"/>
  <c r="D227" i="1" s="1"/>
  <c r="F227" i="1" s="1"/>
  <c r="D226" i="1" a="1"/>
  <c r="D226" i="1" s="1"/>
  <c r="F226" i="1" s="1"/>
  <c r="D225" i="1" a="1"/>
  <c r="D225" i="1" s="1"/>
  <c r="F225" i="1" s="1"/>
  <c r="D224" i="1" a="1"/>
  <c r="D224" i="1" s="1"/>
  <c r="F224" i="1" s="1"/>
  <c r="D223" i="1" a="1"/>
  <c r="D223" i="1" s="1"/>
  <c r="F223" i="1" s="1"/>
  <c r="F194" i="4"/>
  <c r="D272" i="2" a="1"/>
  <c r="D272" i="2" s="1"/>
  <c r="F272" i="2" s="1"/>
  <c r="D271" i="2" a="1"/>
  <c r="D271" i="2" s="1"/>
  <c r="F271" i="2" s="1"/>
  <c r="D285" i="6" a="1"/>
  <c r="D285" i="6" s="1"/>
  <c r="F285" i="6" s="1"/>
  <c r="D284" i="6" a="1"/>
  <c r="D284" i="6" s="1"/>
  <c r="F284" i="6" s="1"/>
  <c r="D283" i="6" a="1"/>
  <c r="D283" i="6" s="1"/>
  <c r="F283" i="6" s="1"/>
  <c r="A3" i="3"/>
  <c r="A4" i="3"/>
  <c r="A2" i="3"/>
  <c r="D247" i="3" a="1"/>
  <c r="D247" i="3" s="1"/>
  <c r="F247" i="3" s="1"/>
  <c r="D246" i="3" a="1"/>
  <c r="D246" i="3" s="1"/>
  <c r="F246" i="3" s="1"/>
  <c r="D222" i="1" a="1"/>
  <c r="D222" i="1" s="1"/>
  <c r="F222" i="1" s="1"/>
  <c r="F193" i="4"/>
  <c r="D270" i="2" a="1"/>
  <c r="D270" i="2" s="1"/>
  <c r="F270" i="2" s="1"/>
  <c r="D282" i="6" a="1"/>
  <c r="D282" i="6" s="1"/>
  <c r="F282" i="6" s="1"/>
  <c r="D281" i="6" a="1"/>
  <c r="D281" i="6" s="1"/>
  <c r="F281" i="6" s="1"/>
  <c r="D245" i="3" a="1"/>
  <c r="D245" i="3" s="1"/>
  <c r="F245" i="3" s="1"/>
  <c r="D244" i="3" a="1"/>
  <c r="D244" i="3" s="1"/>
  <c r="F244" i="3" s="1"/>
  <c r="D243" i="3" a="1"/>
  <c r="D243" i="3" s="1"/>
  <c r="F243" i="3" s="1"/>
  <c r="D221" i="1" a="1"/>
  <c r="D221" i="1" s="1"/>
  <c r="F221" i="1" s="1"/>
  <c r="F192" i="4"/>
  <c r="D269" i="2" a="1"/>
  <c r="D269" i="2" s="1"/>
  <c r="F269" i="2" s="1"/>
  <c r="D268" i="2" a="1"/>
  <c r="D268" i="2" s="1"/>
  <c r="F268" i="2" s="1"/>
  <c r="D280" i="6" a="1"/>
  <c r="D280" i="6" s="1"/>
  <c r="F280" i="6" s="1"/>
  <c r="D279" i="6" a="1"/>
  <c r="D279" i="6" s="1"/>
  <c r="F279" i="6" s="1"/>
  <c r="D242" i="3" a="1"/>
  <c r="D242" i="3" s="1"/>
  <c r="F242" i="3" s="1"/>
  <c r="D241" i="3" a="1"/>
  <c r="D241" i="3" s="1"/>
  <c r="F241" i="3" s="1"/>
  <c r="D240" i="3" a="1"/>
  <c r="D240" i="3" s="1"/>
  <c r="F240" i="3" s="1"/>
  <c r="D220" i="1" a="1"/>
  <c r="D220" i="1" s="1"/>
  <c r="F220" i="1" s="1"/>
  <c r="D219" i="1" a="1"/>
  <c r="D219" i="1" s="1"/>
  <c r="F219" i="1" s="1"/>
  <c r="F191" i="4"/>
  <c r="D267" i="2" a="1"/>
  <c r="D267" i="2" s="1"/>
  <c r="F267" i="2" s="1"/>
  <c r="D278" i="6" a="1"/>
  <c r="D278" i="6" s="1"/>
  <c r="F278" i="6" s="1"/>
  <c r="D277" i="6" a="1"/>
  <c r="D277" i="6" s="1"/>
  <c r="F277" i="6" s="1"/>
  <c r="D239" i="3" a="1"/>
  <c r="D239" i="3" s="1"/>
  <c r="F239" i="3" s="1"/>
  <c r="D238" i="3" a="1"/>
  <c r="D238" i="3" s="1"/>
  <c r="F238" i="3" s="1"/>
  <c r="D218" i="1" a="1"/>
  <c r="D218" i="1" s="1"/>
  <c r="F218" i="1" s="1"/>
  <c r="D276" i="6" a="1"/>
  <c r="D276" i="6" s="1"/>
  <c r="F276" i="6" s="1"/>
  <c r="F190" i="4"/>
  <c r="D266" i="2" a="1"/>
  <c r="D266" i="2" s="1"/>
  <c r="F266" i="2" s="1"/>
  <c r="D265" i="2" a="1"/>
  <c r="D265" i="2" s="1"/>
  <c r="F265" i="2" s="1"/>
  <c r="D275" i="6" a="1"/>
  <c r="D275" i="6" s="1"/>
  <c r="F275" i="6" s="1"/>
  <c r="D274" i="6" a="1"/>
  <c r="D274" i="6" s="1"/>
  <c r="F274" i="6" s="1"/>
  <c r="D237" i="3" a="1"/>
  <c r="D237" i="3" s="1"/>
  <c r="F237" i="3" s="1"/>
  <c r="D236" i="3" a="1"/>
  <c r="D236" i="3" s="1"/>
  <c r="F236" i="3" s="1"/>
  <c r="D217" i="1" a="1"/>
  <c r="D217" i="1" s="1"/>
  <c r="F217" i="1" s="1"/>
  <c r="F189" i="4"/>
  <c r="D264" i="2" a="1"/>
  <c r="D264" i="2" s="1"/>
  <c r="F264" i="2" s="1"/>
  <c r="D273" i="6" a="1"/>
  <c r="D273" i="6" s="1"/>
  <c r="F273" i="6" s="1"/>
  <c r="D272" i="6" a="1"/>
  <c r="D272" i="6" s="1"/>
  <c r="F272" i="6" s="1"/>
  <c r="D235" i="3" a="1"/>
  <c r="D235" i="3" s="1"/>
  <c r="F235" i="3" s="1"/>
  <c r="D234" i="3" a="1"/>
  <c r="D234" i="3" s="1"/>
  <c r="F234" i="3" s="1"/>
  <c r="D216" i="1" a="1"/>
  <c r="D216" i="1" s="1"/>
  <c r="F216" i="1" s="1"/>
  <c r="D215" i="1" a="1"/>
  <c r="D215" i="1" s="1"/>
  <c r="F215" i="1" s="1"/>
  <c r="F188" i="4"/>
  <c r="D263" i="2" a="1"/>
  <c r="D263" i="2" s="1"/>
  <c r="F263" i="2" s="1"/>
  <c r="D271" i="6" a="1"/>
  <c r="D271" i="6" s="1"/>
  <c r="F271" i="6" s="1"/>
  <c r="D233" i="3" a="1"/>
  <c r="D233" i="3" s="1"/>
  <c r="F233" i="3" s="1"/>
  <c r="D232" i="3" a="1"/>
  <c r="D232" i="3" s="1"/>
  <c r="F232" i="3" s="1"/>
  <c r="D214" i="1" a="1"/>
  <c r="D214" i="1" s="1"/>
  <c r="F214" i="1" s="1"/>
  <c r="D213" i="1" a="1"/>
  <c r="D213" i="1" s="1"/>
  <c r="F213" i="1" s="1"/>
  <c r="F187" i="4"/>
  <c r="D262" i="2" a="1"/>
  <c r="D262" i="2" s="1"/>
  <c r="F262" i="2" s="1"/>
  <c r="D270" i="6" a="1"/>
  <c r="D270" i="6" s="1"/>
  <c r="F270" i="6" s="1"/>
  <c r="D269" i="6" a="1"/>
  <c r="D269" i="6" s="1"/>
  <c r="F269" i="6" s="1"/>
  <c r="D231" i="3" a="1"/>
  <c r="D231" i="3" s="1"/>
  <c r="F231" i="3" s="1"/>
  <c r="D212" i="1" a="1"/>
  <c r="D212" i="1" s="1"/>
  <c r="F212" i="1" s="1"/>
  <c r="D147" i="4" a="1"/>
  <c r="D147" i="4" s="1"/>
  <c r="D148" i="4" a="1"/>
  <c r="D148" i="4" s="1"/>
  <c r="D149" i="4" a="1"/>
  <c r="D149" i="4" s="1"/>
  <c r="D150" i="4" a="1"/>
  <c r="D150" i="4" s="1"/>
  <c r="D151" i="4" a="1"/>
  <c r="D151" i="4" s="1"/>
  <c r="D152" i="4" a="1"/>
  <c r="D152" i="4" s="1"/>
  <c r="D153" i="4" a="1"/>
  <c r="D153" i="4" s="1"/>
  <c r="D154" i="4" a="1"/>
  <c r="D154" i="4" s="1"/>
  <c r="D155" i="4" a="1"/>
  <c r="D155" i="4" s="1"/>
  <c r="D156" i="4" a="1"/>
  <c r="D156" i="4" s="1"/>
  <c r="D157" i="4" a="1"/>
  <c r="D157" i="4" s="1"/>
  <c r="D158" i="4" a="1"/>
  <c r="D158" i="4" s="1"/>
  <c r="D159" i="4" a="1"/>
  <c r="D159" i="4" s="1"/>
  <c r="D160" i="4" a="1"/>
  <c r="D160" i="4" s="1"/>
  <c r="D161" i="4" a="1"/>
  <c r="D161" i="4" s="1"/>
  <c r="D162" i="4" a="1"/>
  <c r="D162" i="4" s="1"/>
  <c r="D163" i="4" a="1"/>
  <c r="D163" i="4" s="1"/>
  <c r="D164" i="4" a="1"/>
  <c r="D164" i="4" s="1"/>
  <c r="D165" i="4" a="1"/>
  <c r="D165" i="4" s="1"/>
  <c r="D166" i="4" a="1"/>
  <c r="D166" i="4" s="1"/>
  <c r="D167" i="4" a="1"/>
  <c r="D167" i="4" s="1"/>
  <c r="D168" i="4" a="1"/>
  <c r="D168" i="4" s="1"/>
  <c r="D169" i="4" a="1"/>
  <c r="D169" i="4" s="1"/>
  <c r="D170" i="4" a="1"/>
  <c r="D170" i="4" s="1"/>
  <c r="D171" i="4" a="1"/>
  <c r="D171" i="4" s="1"/>
  <c r="D172" i="4" a="1"/>
  <c r="D172" i="4" s="1"/>
  <c r="D173" i="4" a="1"/>
  <c r="D173" i="4" s="1"/>
  <c r="D174" i="4" a="1"/>
  <c r="D174" i="4" s="1"/>
  <c r="D175" i="4" a="1"/>
  <c r="D175" i="4" s="1"/>
  <c r="D176" i="4" a="1"/>
  <c r="D176" i="4" s="1"/>
  <c r="D177" i="4" a="1"/>
  <c r="D177" i="4" s="1"/>
  <c r="D178" i="4" a="1"/>
  <c r="D178" i="4" s="1"/>
  <c r="D179" i="4" a="1"/>
  <c r="D179" i="4" s="1"/>
  <c r="D180" i="4" a="1"/>
  <c r="D180" i="4" s="1"/>
  <c r="D181" i="4" a="1"/>
  <c r="D181" i="4" s="1"/>
  <c r="D182" i="4" a="1"/>
  <c r="D182" i="4" s="1"/>
  <c r="D183" i="4" a="1"/>
  <c r="D183" i="4" s="1"/>
  <c r="D184" i="4" a="1"/>
  <c r="D184" i="4" s="1"/>
  <c r="D185" i="4" a="1"/>
  <c r="D185" i="4" s="1"/>
  <c r="F186" i="4" l="1"/>
  <c r="D261" i="2" a="1"/>
  <c r="D261" i="2" s="1"/>
  <c r="F261" i="2" s="1"/>
  <c r="D260" i="2" a="1"/>
  <c r="D260" i="2" s="1"/>
  <c r="F260" i="2" s="1"/>
  <c r="D268" i="6" a="1"/>
  <c r="D268" i="6" s="1"/>
  <c r="F268" i="6" s="1"/>
  <c r="D267" i="6" a="1"/>
  <c r="D267" i="6" s="1"/>
  <c r="F267" i="6" s="1"/>
  <c r="D266" i="6" a="1"/>
  <c r="D266" i="6" s="1"/>
  <c r="F266" i="6" s="1"/>
  <c r="D230" i="3" a="1"/>
  <c r="D230" i="3" s="1"/>
  <c r="F230" i="3" s="1"/>
  <c r="D229" i="3" a="1"/>
  <c r="D229" i="3" s="1"/>
  <c r="F229" i="3" s="1"/>
  <c r="D228" i="3" a="1"/>
  <c r="D228" i="3" s="1"/>
  <c r="F228" i="3" s="1"/>
  <c r="D211" i="1" a="1"/>
  <c r="D211" i="1" s="1"/>
  <c r="F211" i="1" s="1"/>
  <c r="F174" i="4"/>
  <c r="F175" i="4"/>
  <c r="F176" i="4"/>
  <c r="F177" i="4"/>
  <c r="F178" i="4"/>
  <c r="F179" i="4"/>
  <c r="F180" i="4"/>
  <c r="F181" i="4"/>
  <c r="F182" i="4"/>
  <c r="F183" i="4"/>
  <c r="F184" i="4"/>
  <c r="F185" i="4"/>
  <c r="D259" i="2" a="1"/>
  <c r="D259" i="2" s="1"/>
  <c r="F259" i="2" s="1"/>
  <c r="D265" i="6" a="1"/>
  <c r="D265" i="6" s="1"/>
  <c r="F265" i="6" s="1"/>
  <c r="D264" i="6" a="1"/>
  <c r="D264" i="6" s="1"/>
  <c r="F264" i="6" s="1"/>
  <c r="D227" i="3" a="1"/>
  <c r="D227" i="3" s="1"/>
  <c r="F227" i="3" s="1"/>
  <c r="D210" i="1" a="1"/>
  <c r="D210" i="1" s="1"/>
  <c r="F210" i="1" s="1"/>
  <c r="D209" i="1" a="1"/>
  <c r="D209" i="1" s="1"/>
  <c r="F209" i="1" s="1"/>
  <c r="D258" i="2" a="1"/>
  <c r="D258" i="2" s="1"/>
  <c r="F258" i="2" s="1"/>
  <c r="D263" i="6" a="1"/>
  <c r="D263" i="6" s="1"/>
  <c r="F263" i="6" s="1"/>
  <c r="D262" i="6" a="1"/>
  <c r="D262" i="6" s="1"/>
  <c r="F262" i="6" s="1"/>
  <c r="D226" i="3" a="1"/>
  <c r="D226" i="3" s="1"/>
  <c r="F226" i="3" s="1"/>
  <c r="D208" i="1" a="1"/>
  <c r="D208" i="1" s="1"/>
  <c r="F208" i="1" s="1"/>
  <c r="D257" i="2" a="1"/>
  <c r="D257" i="2" s="1"/>
  <c r="F257" i="2" s="1"/>
  <c r="D261" i="6" a="1"/>
  <c r="D261" i="6" s="1"/>
  <c r="F261" i="6" s="1"/>
  <c r="D260" i="6" a="1"/>
  <c r="D260" i="6" s="1"/>
  <c r="F260" i="6" s="1"/>
  <c r="D225" i="3" a="1"/>
  <c r="D225" i="3" s="1"/>
  <c r="F225" i="3" s="1"/>
  <c r="D224" i="3" a="1"/>
  <c r="D224" i="3" s="1"/>
  <c r="F224" i="3" s="1"/>
  <c r="D207" i="1" a="1"/>
  <c r="D207" i="1" s="1"/>
  <c r="F207" i="1" s="1"/>
  <c r="D46" i="2" a="1"/>
  <c r="D46" i="2" s="1"/>
  <c r="D256" i="2" a="1"/>
  <c r="D256" i="2" s="1"/>
  <c r="F256" i="2" s="1"/>
  <c r="D255" i="2" a="1"/>
  <c r="D255" i="2" s="1"/>
  <c r="F255" i="2" s="1"/>
  <c r="D259" i="6" a="1"/>
  <c r="D259" i="6" s="1"/>
  <c r="F259" i="6" s="1"/>
  <c r="D258" i="6" a="1"/>
  <c r="D258" i="6" s="1"/>
  <c r="F258" i="6" s="1"/>
  <c r="D223" i="3" a="1"/>
  <c r="D223" i="3" s="1"/>
  <c r="F223" i="3" s="1"/>
  <c r="D206" i="1" a="1"/>
  <c r="D206" i="1" s="1"/>
  <c r="F206" i="1" s="1"/>
  <c r="D254" i="2" a="1"/>
  <c r="D254" i="2" s="1"/>
  <c r="F254" i="2" s="1"/>
  <c r="D257" i="6" a="1"/>
  <c r="D257" i="6" s="1"/>
  <c r="F257" i="6" s="1"/>
  <c r="D256" i="6" a="1"/>
  <c r="D256" i="6" s="1"/>
  <c r="F256" i="6" s="1"/>
  <c r="D222" i="3" a="1"/>
  <c r="D222" i="3" s="1"/>
  <c r="F222" i="3" s="1"/>
  <c r="D221" i="3" a="1"/>
  <c r="D221" i="3" s="1"/>
  <c r="F221" i="3" s="1"/>
  <c r="D205" i="1" a="1"/>
  <c r="D205" i="1" s="1"/>
  <c r="F205" i="1" s="1"/>
  <c r="D253" i="2" a="1"/>
  <c r="D253" i="2" s="1"/>
  <c r="F253" i="2" s="1"/>
  <c r="D255" i="6" a="1"/>
  <c r="D255" i="6" s="1"/>
  <c r="F255" i="6" s="1"/>
  <c r="D254" i="6" a="1"/>
  <c r="D254" i="6" s="1"/>
  <c r="F254" i="6" s="1"/>
  <c r="D253" i="6" a="1"/>
  <c r="D253" i="6" s="1"/>
  <c r="F253" i="6" s="1"/>
  <c r="D220" i="3" a="1"/>
  <c r="D220" i="3" s="1"/>
  <c r="F220" i="3" s="1"/>
  <c r="D204" i="1" a="1"/>
  <c r="D204" i="1" s="1"/>
  <c r="F204" i="1" s="1"/>
  <c r="D252" i="2" a="1"/>
  <c r="D252" i="2" s="1"/>
  <c r="F252" i="2" s="1"/>
  <c r="D252" i="6" a="1"/>
  <c r="D252" i="6" s="1"/>
  <c r="F252" i="6" s="1"/>
  <c r="D251" i="6" a="1"/>
  <c r="D251" i="6" s="1"/>
  <c r="F251" i="6" s="1"/>
  <c r="D219" i="3" a="1"/>
  <c r="D219" i="3" s="1"/>
  <c r="F219" i="3" s="1"/>
  <c r="D203" i="1" a="1"/>
  <c r="D203" i="1" s="1"/>
  <c r="F203" i="1" s="1"/>
  <c r="D251" i="2" a="1"/>
  <c r="D251" i="2" s="1"/>
  <c r="F251" i="2" s="1"/>
  <c r="D250" i="6" a="1"/>
  <c r="D250" i="6" s="1"/>
  <c r="F250" i="6" s="1"/>
  <c r="D249" i="6" a="1"/>
  <c r="D249" i="6" s="1"/>
  <c r="F249" i="6" s="1"/>
  <c r="D218" i="3" a="1"/>
  <c r="D218" i="3" s="1"/>
  <c r="F218" i="3" s="1"/>
  <c r="D217" i="3" a="1"/>
  <c r="D217" i="3" s="1"/>
  <c r="F217" i="3" s="1"/>
  <c r="D202" i="1" a="1"/>
  <c r="D202" i="1" s="1"/>
  <c r="F202" i="1" s="1"/>
  <c r="D250" i="2" a="1"/>
  <c r="D250" i="2" s="1"/>
  <c r="F250" i="2" s="1"/>
  <c r="D249" i="2" a="1"/>
  <c r="D249" i="2" s="1"/>
  <c r="F249" i="2" s="1"/>
  <c r="D248" i="6" a="1"/>
  <c r="D248" i="6" s="1"/>
  <c r="F248" i="6" s="1"/>
  <c r="D247" i="6" a="1"/>
  <c r="D247" i="6" s="1"/>
  <c r="F247" i="6" s="1"/>
  <c r="D216" i="3" a="1"/>
  <c r="D216" i="3" s="1"/>
  <c r="F216" i="3" s="1"/>
  <c r="D215" i="3" a="1"/>
  <c r="D215" i="3" s="1"/>
  <c r="F215" i="3" s="1"/>
  <c r="D201" i="1" a="1"/>
  <c r="D201" i="1" s="1"/>
  <c r="F201" i="1" s="1"/>
  <c r="D200" i="1" a="1"/>
  <c r="D200" i="1" s="1"/>
  <c r="F200" i="1" s="1"/>
  <c r="D30" i="3" a="1"/>
  <c r="D30" i="3" s="1"/>
  <c r="D31" i="3" a="1"/>
  <c r="D31" i="3" s="1"/>
  <c r="D32" i="3" a="1"/>
  <c r="D32" i="3" s="1"/>
  <c r="D33" i="3" a="1"/>
  <c r="D33" i="3" s="1"/>
  <c r="D34" i="3" a="1"/>
  <c r="D34" i="3" s="1"/>
  <c r="D35" i="3" a="1"/>
  <c r="D35" i="3" s="1"/>
  <c r="D36" i="3" a="1"/>
  <c r="D36" i="3" s="1"/>
  <c r="D37" i="3" a="1"/>
  <c r="D37" i="3" s="1"/>
  <c r="D38" i="3" a="1"/>
  <c r="D38" i="3" s="1"/>
  <c r="D39" i="3" a="1"/>
  <c r="D39" i="3" s="1"/>
  <c r="D40" i="3" a="1"/>
  <c r="D40" i="3" s="1"/>
  <c r="D41" i="3" a="1"/>
  <c r="D41" i="3" s="1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66" i="3" a="1"/>
  <c r="D66" i="3" s="1"/>
  <c r="D67" i="3" a="1"/>
  <c r="D67" i="3" s="1"/>
  <c r="D68" i="3" a="1"/>
  <c r="D68" i="3" s="1"/>
  <c r="D69" i="3" a="1"/>
  <c r="D69" i="3" s="1"/>
  <c r="D70" i="3" a="1"/>
  <c r="D70" i="3" s="1"/>
  <c r="D71" i="3" a="1"/>
  <c r="D71" i="3" s="1"/>
  <c r="D72" i="3" a="1"/>
  <c r="D72" i="3" s="1"/>
  <c r="D73" i="3" a="1"/>
  <c r="D73" i="3" s="1"/>
  <c r="D74" i="3" a="1"/>
  <c r="D74" i="3" s="1"/>
  <c r="D75" i="3" a="1"/>
  <c r="D75" i="3" s="1"/>
  <c r="D76" i="3" a="1"/>
  <c r="D76" i="3" s="1"/>
  <c r="D77" i="3" a="1"/>
  <c r="D77" i="3" s="1"/>
  <c r="D78" i="3" a="1"/>
  <c r="D78" i="3" s="1"/>
  <c r="D79" i="3" a="1"/>
  <c r="D79" i="3" s="1"/>
  <c r="D80" i="3" a="1"/>
  <c r="D80" i="3" s="1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 s="1"/>
  <c r="D89" i="3" a="1"/>
  <c r="D89" i="3" s="1"/>
  <c r="D90" i="3" a="1"/>
  <c r="D90" i="3" s="1"/>
  <c r="D91" i="3" a="1"/>
  <c r="D91" i="3" s="1"/>
  <c r="D92" i="3" a="1"/>
  <c r="D92" i="3" s="1"/>
  <c r="D93" i="3" a="1"/>
  <c r="D93" i="3" s="1"/>
  <c r="D94" i="3" a="1"/>
  <c r="D94" i="3" s="1"/>
  <c r="D95" i="3" a="1"/>
  <c r="D95" i="3" s="1"/>
  <c r="D96" i="3" a="1"/>
  <c r="D96" i="3" s="1"/>
  <c r="D97" i="3" a="1"/>
  <c r="D97" i="3" s="1"/>
  <c r="D98" i="3" a="1"/>
  <c r="D98" i="3" s="1"/>
  <c r="D99" i="3" a="1"/>
  <c r="D99" i="3" s="1"/>
  <c r="D100" i="3" a="1"/>
  <c r="D100" i="3" s="1"/>
  <c r="D101" i="3" a="1"/>
  <c r="D101" i="3" s="1"/>
  <c r="D102" i="3" a="1"/>
  <c r="D102" i="3" s="1"/>
  <c r="D103" i="3" a="1"/>
  <c r="D103" i="3" s="1"/>
  <c r="D104" i="3" a="1"/>
  <c r="D104" i="3" s="1"/>
  <c r="D105" i="3" a="1"/>
  <c r="D105" i="3" s="1"/>
  <c r="D106" i="3" a="1"/>
  <c r="D106" i="3" s="1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 s="1"/>
  <c r="D113" i="3" a="1"/>
  <c r="D113" i="3" s="1"/>
  <c r="D114" i="3" a="1"/>
  <c r="D114" i="3" s="1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4" i="3" a="1"/>
  <c r="D124" i="3" s="1"/>
  <c r="D125" i="3" a="1"/>
  <c r="D125" i="3" s="1"/>
  <c r="D126" i="3" a="1"/>
  <c r="D126" i="3" s="1"/>
  <c r="D127" i="3" a="1"/>
  <c r="D127" i="3" s="1"/>
  <c r="D128" i="3" a="1"/>
  <c r="D128" i="3" s="1"/>
  <c r="D129" i="3" a="1"/>
  <c r="D129" i="3" s="1"/>
  <c r="D130" i="3" a="1"/>
  <c r="D130" i="3" s="1"/>
  <c r="D131" i="3" a="1"/>
  <c r="D131" i="3" s="1"/>
  <c r="D132" i="3" a="1"/>
  <c r="D132" i="3" s="1"/>
  <c r="D133" i="3" a="1"/>
  <c r="D133" i="3" s="1"/>
  <c r="D134" i="3" a="1"/>
  <c r="D134" i="3" s="1"/>
  <c r="D135" i="3" a="1"/>
  <c r="D135" i="3" s="1"/>
  <c r="D136" i="3" a="1"/>
  <c r="D136" i="3" s="1"/>
  <c r="D137" i="3" a="1"/>
  <c r="D137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 s="1"/>
  <c r="D146" i="3" a="1"/>
  <c r="D146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 s="1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 s="1"/>
  <c r="D162" i="3" a="1"/>
  <c r="D162" i="3" s="1"/>
  <c r="D163" i="3" a="1"/>
  <c r="D163" i="3" s="1"/>
  <c r="D164" i="3" a="1"/>
  <c r="D164" i="3" s="1"/>
  <c r="D165" i="3" a="1"/>
  <c r="D165" i="3" s="1"/>
  <c r="D166" i="3" a="1"/>
  <c r="D166" i="3" s="1"/>
  <c r="D167" i="3" a="1"/>
  <c r="D167" i="3" s="1"/>
  <c r="D168" i="3" a="1"/>
  <c r="D168" i="3" s="1"/>
  <c r="D169" i="3" a="1"/>
  <c r="D169" i="3" s="1"/>
  <c r="D170" i="3" a="1"/>
  <c r="D170" i="3" s="1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 s="1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 s="1"/>
  <c r="D197" i="3" a="1"/>
  <c r="D197" i="3" s="1"/>
  <c r="D198" i="3" a="1"/>
  <c r="D198" i="3" s="1"/>
  <c r="D199" i="3" a="1"/>
  <c r="D199" i="3" s="1"/>
  <c r="D200" i="3" a="1"/>
  <c r="D200" i="3" s="1"/>
  <c r="D201" i="3" a="1"/>
  <c r="D201" i="3" s="1"/>
  <c r="D202" i="3" a="1"/>
  <c r="D202" i="3" s="1"/>
  <c r="D203" i="3" a="1"/>
  <c r="D203" i="3" s="1"/>
  <c r="D204" i="3" a="1"/>
  <c r="D204" i="3" s="1"/>
  <c r="D205" i="3" a="1"/>
  <c r="D205" i="3" s="1"/>
  <c r="D206" i="3" a="1"/>
  <c r="D206" i="3" s="1"/>
  <c r="D207" i="3" a="1"/>
  <c r="D207" i="3" s="1"/>
  <c r="D208" i="3" a="1"/>
  <c r="D208" i="3" s="1"/>
  <c r="D209" i="3" a="1"/>
  <c r="D209" i="3" s="1"/>
  <c r="D210" i="3" a="1"/>
  <c r="D210" i="3" s="1"/>
  <c r="D211" i="3" a="1"/>
  <c r="D211" i="3" s="1"/>
  <c r="D212" i="3" a="1"/>
  <c r="D212" i="3" s="1"/>
  <c r="F212" i="3" s="1"/>
  <c r="D213" i="3" a="1"/>
  <c r="D213" i="3" s="1"/>
  <c r="F213" i="3" s="1"/>
  <c r="D214" i="3" a="1"/>
  <c r="D214" i="3" s="1"/>
  <c r="F214" i="3" s="1"/>
  <c r="D34" i="4" a="1"/>
  <c r="D34" i="4" s="1"/>
  <c r="D35" i="4" a="1"/>
  <c r="D35" i="4" s="1"/>
  <c r="D36" i="4" a="1"/>
  <c r="D36" i="4" s="1"/>
  <c r="D37" i="4" a="1"/>
  <c r="D37" i="4" s="1"/>
  <c r="D38" i="4" a="1"/>
  <c r="D38" i="4" s="1"/>
  <c r="D39" i="4" a="1"/>
  <c r="D39" i="4" s="1"/>
  <c r="D40" i="4" a="1"/>
  <c r="D40" i="4" s="1"/>
  <c r="D41" i="4" a="1"/>
  <c r="D41" i="4" s="1"/>
  <c r="D42" i="4" a="1"/>
  <c r="D42" i="4" s="1"/>
  <c r="D43" i="4" a="1"/>
  <c r="D43" i="4" s="1"/>
  <c r="D44" i="4" a="1"/>
  <c r="D44" i="4" s="1"/>
  <c r="D45" i="4" a="1"/>
  <c r="D45" i="4" s="1"/>
  <c r="D46" i="4" a="1"/>
  <c r="D46" i="4" s="1"/>
  <c r="D47" i="4" a="1"/>
  <c r="D47" i="4" s="1"/>
  <c r="D48" i="4" a="1"/>
  <c r="D48" i="4" s="1"/>
  <c r="D49" i="4" a="1"/>
  <c r="D49" i="4" s="1"/>
  <c r="D50" i="4" a="1"/>
  <c r="D50" i="4" s="1"/>
  <c r="D51" i="4" a="1"/>
  <c r="D51" i="4" s="1"/>
  <c r="D52" i="4" a="1"/>
  <c r="D52" i="4" s="1"/>
  <c r="D53" i="4" a="1"/>
  <c r="D53" i="4" s="1"/>
  <c r="D54" i="4" a="1"/>
  <c r="D54" i="4" s="1"/>
  <c r="D55" i="4" a="1"/>
  <c r="D55" i="4" s="1"/>
  <c r="D56" i="4" a="1"/>
  <c r="D56" i="4" s="1"/>
  <c r="D57" i="4" a="1"/>
  <c r="D57" i="4" s="1"/>
  <c r="D58" i="4" a="1"/>
  <c r="D58" i="4" s="1"/>
  <c r="D59" i="4" a="1"/>
  <c r="D59" i="4" s="1"/>
  <c r="D60" i="4" a="1"/>
  <c r="D60" i="4" s="1"/>
  <c r="D61" i="4" a="1"/>
  <c r="D61" i="4" s="1"/>
  <c r="D62" i="4" a="1"/>
  <c r="D62" i="4" s="1"/>
  <c r="D63" i="4" a="1"/>
  <c r="D63" i="4" s="1"/>
  <c r="D64" i="4" a="1"/>
  <c r="D64" i="4" s="1"/>
  <c r="D65" i="4" a="1"/>
  <c r="D65" i="4" s="1"/>
  <c r="D66" i="4" a="1"/>
  <c r="D66" i="4" s="1"/>
  <c r="D67" i="4" a="1"/>
  <c r="D67" i="4" s="1"/>
  <c r="D68" i="4" a="1"/>
  <c r="D68" i="4" s="1"/>
  <c r="D69" i="4" a="1"/>
  <c r="D69" i="4" s="1"/>
  <c r="D70" i="4" a="1"/>
  <c r="D70" i="4" s="1"/>
  <c r="D71" i="4" a="1"/>
  <c r="D71" i="4" s="1"/>
  <c r="D72" i="4" a="1"/>
  <c r="D72" i="4" s="1"/>
  <c r="D73" i="4" a="1"/>
  <c r="D73" i="4" s="1"/>
  <c r="D74" i="4" a="1"/>
  <c r="D74" i="4" s="1"/>
  <c r="D75" i="4" a="1"/>
  <c r="D75" i="4" s="1"/>
  <c r="D76" i="4" a="1"/>
  <c r="D76" i="4" s="1"/>
  <c r="D77" i="4" a="1"/>
  <c r="D77" i="4" s="1"/>
  <c r="D78" i="4" a="1"/>
  <c r="D78" i="4" s="1"/>
  <c r="D79" i="4" a="1"/>
  <c r="D79" i="4" s="1"/>
  <c r="D80" i="4" a="1"/>
  <c r="D80" i="4" s="1"/>
  <c r="D81" i="4" a="1"/>
  <c r="D81" i="4" s="1"/>
  <c r="D82" i="4" a="1"/>
  <c r="D82" i="4" s="1"/>
  <c r="D83" i="4" a="1"/>
  <c r="D83" i="4" s="1"/>
  <c r="D84" i="4" a="1"/>
  <c r="D84" i="4" s="1"/>
  <c r="D85" i="4" a="1"/>
  <c r="D85" i="4" s="1"/>
  <c r="D86" i="4" a="1"/>
  <c r="D86" i="4" s="1"/>
  <c r="D87" i="4" a="1"/>
  <c r="D87" i="4" s="1"/>
  <c r="D88" i="4" a="1"/>
  <c r="D88" i="4" s="1"/>
  <c r="D89" i="4" a="1"/>
  <c r="D89" i="4" s="1"/>
  <c r="D90" i="4" a="1"/>
  <c r="D90" i="4" s="1"/>
  <c r="D91" i="4" a="1"/>
  <c r="D91" i="4" s="1"/>
  <c r="D92" i="4" a="1"/>
  <c r="D92" i="4" s="1"/>
  <c r="D93" i="4" a="1"/>
  <c r="D93" i="4" s="1"/>
  <c r="D94" i="4" a="1"/>
  <c r="D94" i="4" s="1"/>
  <c r="D95" i="4" a="1"/>
  <c r="D95" i="4" s="1"/>
  <c r="D96" i="4" a="1"/>
  <c r="D96" i="4" s="1"/>
  <c r="D97" i="4" a="1"/>
  <c r="D97" i="4" s="1"/>
  <c r="D98" i="4" a="1"/>
  <c r="D98" i="4" s="1"/>
  <c r="D99" i="4" a="1"/>
  <c r="D99" i="4" s="1"/>
  <c r="D100" i="4" a="1"/>
  <c r="D100" i="4" s="1"/>
  <c r="D101" i="4" a="1"/>
  <c r="D101" i="4" s="1"/>
  <c r="D102" i="4" a="1"/>
  <c r="D102" i="4" s="1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3" i="4" a="1"/>
  <c r="D113" i="4" s="1"/>
  <c r="D114" i="4" a="1"/>
  <c r="D114" i="4" s="1"/>
  <c r="D115" i="4" a="1"/>
  <c r="D115" i="4" s="1"/>
  <c r="D116" i="4" a="1"/>
  <c r="D116" i="4" s="1"/>
  <c r="D117" i="4" a="1"/>
  <c r="D117" i="4" s="1"/>
  <c r="D118" i="4" a="1"/>
  <c r="D118" i="4" s="1"/>
  <c r="D119" i="4" a="1"/>
  <c r="D119" i="4" s="1"/>
  <c r="D120" i="4" a="1"/>
  <c r="D120" i="4" s="1"/>
  <c r="D121" i="4" a="1"/>
  <c r="D121" i="4" s="1"/>
  <c r="D122" i="4" a="1"/>
  <c r="D122" i="4" s="1"/>
  <c r="D123" i="4" a="1"/>
  <c r="D123" i="4" s="1"/>
  <c r="D124" i="4" a="1"/>
  <c r="D124" i="4" s="1"/>
  <c r="D125" i="4" a="1"/>
  <c r="D125" i="4" s="1"/>
  <c r="D126" i="4" a="1"/>
  <c r="D126" i="4" s="1"/>
  <c r="D127" i="4" a="1"/>
  <c r="D127" i="4" s="1"/>
  <c r="D128" i="4" a="1"/>
  <c r="D128" i="4" s="1"/>
  <c r="D129" i="4" a="1"/>
  <c r="D129" i="4" s="1"/>
  <c r="D130" i="4" a="1"/>
  <c r="D130" i="4" s="1"/>
  <c r="D131" i="4" a="1"/>
  <c r="D131" i="4" s="1"/>
  <c r="D132" i="4" a="1"/>
  <c r="D132" i="4" s="1"/>
  <c r="D133" i="4" a="1"/>
  <c r="D133" i="4" s="1"/>
  <c r="D134" i="4" a="1"/>
  <c r="D134" i="4" s="1"/>
  <c r="D135" i="4" a="1"/>
  <c r="D135" i="4" s="1"/>
  <c r="D136" i="4" a="1"/>
  <c r="D136" i="4" s="1"/>
  <c r="D137" i="4" a="1"/>
  <c r="D137" i="4" s="1"/>
  <c r="D138" i="4" a="1"/>
  <c r="D138" i="4" s="1"/>
  <c r="D139" i="4" a="1"/>
  <c r="D139" i="4" s="1"/>
  <c r="D140" i="4" a="1"/>
  <c r="D140" i="4" s="1"/>
  <c r="D141" i="4" a="1"/>
  <c r="D141" i="4" s="1"/>
  <c r="D142" i="4" a="1"/>
  <c r="D142" i="4" s="1"/>
  <c r="D143" i="4" a="1"/>
  <c r="D143" i="4" s="1"/>
  <c r="D144" i="4" a="1"/>
  <c r="D144" i="4" s="1"/>
  <c r="D145" i="4" a="1"/>
  <c r="D145" i="4" s="1"/>
  <c r="D146" i="4" a="1"/>
  <c r="D146" i="4" s="1"/>
  <c r="F173" i="4"/>
  <c r="D248" i="2" a="1"/>
  <c r="D248" i="2" s="1"/>
  <c r="F248" i="2" s="1"/>
  <c r="D247" i="2" a="1"/>
  <c r="D247" i="2" s="1"/>
  <c r="F247" i="2" s="1"/>
  <c r="D246" i="6" a="1"/>
  <c r="D246" i="6" s="1"/>
  <c r="F246" i="6" s="1"/>
  <c r="D245" i="6" a="1"/>
  <c r="D245" i="6" s="1"/>
  <c r="F245" i="6" s="1"/>
  <c r="D199" i="1" a="1"/>
  <c r="D199" i="1" s="1"/>
  <c r="F199" i="1" s="1"/>
  <c r="D198" i="1" a="1"/>
  <c r="D198" i="1" s="1"/>
  <c r="F198" i="1" s="1"/>
  <c r="D246" i="2" a="1"/>
  <c r="D246" i="2" s="1"/>
  <c r="F246" i="2" s="1"/>
  <c r="D245" i="2" a="1"/>
  <c r="D245" i="2" s="1"/>
  <c r="F245" i="2" s="1"/>
  <c r="D244" i="6" l="1" a="1"/>
  <c r="D244" i="6" s="1"/>
  <c r="F244" i="6" s="1"/>
  <c r="D243" i="6" a="1"/>
  <c r="D243" i="6" s="1"/>
  <c r="F243" i="6" s="1"/>
  <c r="F211" i="3"/>
  <c r="F210" i="3"/>
  <c r="D197" i="1" a="1"/>
  <c r="D197" i="1" s="1"/>
  <c r="F197" i="1" s="1"/>
  <c r="F172" i="4"/>
  <c r="D244" i="2" a="1"/>
  <c r="D244" i="2" s="1"/>
  <c r="F244" i="2" s="1"/>
  <c r="D242" i="6" a="1"/>
  <c r="D242" i="6" s="1"/>
  <c r="F242" i="6" s="1"/>
  <c r="F209" i="3"/>
  <c r="F208" i="3"/>
  <c r="D196" i="1" a="1"/>
  <c r="D196" i="1" s="1"/>
  <c r="F196" i="1" s="1"/>
  <c r="D195" i="1" a="1"/>
  <c r="D195" i="1" s="1"/>
  <c r="F195" i="1" s="1"/>
  <c r="D194" i="1" a="1"/>
  <c r="D194" i="1" s="1"/>
  <c r="F194" i="1" s="1"/>
  <c r="F171" i="4"/>
  <c r="F170" i="4"/>
  <c r="D243" i="2" a="1"/>
  <c r="D243" i="2" s="1"/>
  <c r="F243" i="2" s="1"/>
  <c r="D242" i="2" a="1"/>
  <c r="D242" i="2" s="1"/>
  <c r="F242" i="2" s="1"/>
  <c r="D241" i="6" a="1"/>
  <c r="D241" i="6" s="1"/>
  <c r="F241" i="6" s="1"/>
  <c r="D240" i="6" a="1"/>
  <c r="D240" i="6" s="1"/>
  <c r="F240" i="6" s="1"/>
  <c r="F207" i="3"/>
  <c r="D193" i="1" a="1"/>
  <c r="D193" i="1" s="1"/>
  <c r="F193" i="1" s="1"/>
  <c r="F169" i="4"/>
  <c r="D241" i="2" a="1"/>
  <c r="D241" i="2" s="1"/>
  <c r="F241" i="2" s="1"/>
  <c r="D239" i="6" a="1"/>
  <c r="D239" i="6" s="1"/>
  <c r="F239" i="6" s="1"/>
  <c r="D238" i="6" a="1"/>
  <c r="D238" i="6" s="1"/>
  <c r="F238" i="6" s="1"/>
  <c r="D237" i="6" a="1"/>
  <c r="D237" i="6" s="1"/>
  <c r="F237" i="6" s="1"/>
  <c r="F206" i="3"/>
  <c r="D192" i="1" a="1"/>
  <c r="D192" i="1" s="1"/>
  <c r="F192" i="1" s="1"/>
  <c r="F168" i="4"/>
  <c r="D240" i="2" a="1"/>
  <c r="D240" i="2" s="1"/>
  <c r="F240" i="2" s="1"/>
  <c r="D236" i="6" a="1"/>
  <c r="D236" i="6" s="1"/>
  <c r="F236" i="6" s="1"/>
  <c r="F205" i="3"/>
  <c r="D191" i="1" a="1"/>
  <c r="D191" i="1" s="1"/>
  <c r="F191" i="1" s="1"/>
  <c r="D190" i="1" a="1"/>
  <c r="D190" i="1" s="1"/>
  <c r="F190" i="1" s="1"/>
  <c r="F167" i="4"/>
  <c r="D239" i="2" a="1"/>
  <c r="D239" i="2" s="1"/>
  <c r="F239" i="2" s="1"/>
  <c r="D235" i="6" a="1"/>
  <c r="D235" i="6" s="1"/>
  <c r="F235" i="6" s="1"/>
  <c r="D234" i="6" a="1"/>
  <c r="D234" i="6" s="1"/>
  <c r="F234" i="6" s="1"/>
  <c r="F204" i="3"/>
  <c r="F203" i="3"/>
  <c r="F202" i="3"/>
  <c r="D189" i="1" a="1"/>
  <c r="D189" i="1" s="1"/>
  <c r="F189" i="1" s="1"/>
  <c r="F166" i="4"/>
  <c r="D238" i="2" a="1"/>
  <c r="D238" i="2" s="1"/>
  <c r="F238" i="2" s="1"/>
  <c r="D237" i="2" a="1"/>
  <c r="D237" i="2" s="1"/>
  <c r="F237" i="2" s="1"/>
  <c r="D236" i="2" a="1"/>
  <c r="D236" i="2" s="1"/>
  <c r="F236" i="2" s="1"/>
  <c r="D233" i="6" a="1"/>
  <c r="D233" i="6" s="1"/>
  <c r="F233" i="6" s="1"/>
  <c r="D232" i="6" a="1"/>
  <c r="D232" i="6" s="1"/>
  <c r="F232" i="6" s="1"/>
  <c r="D231" i="6" a="1"/>
  <c r="D231" i="6" s="1"/>
  <c r="F231" i="6" s="1"/>
  <c r="F201" i="3"/>
  <c r="F200" i="3"/>
  <c r="D188" i="1" a="1"/>
  <c r="D188" i="1" s="1"/>
  <c r="F188" i="1" s="1"/>
  <c r="D187" i="1" a="1"/>
  <c r="D187" i="1" s="1"/>
  <c r="F187" i="1" s="1"/>
  <c r="F165" i="4"/>
  <c r="F164" i="4"/>
  <c r="D235" i="2" a="1"/>
  <c r="D235" i="2" s="1"/>
  <c r="F235" i="2" s="1"/>
  <c r="D234" i="2" a="1"/>
  <c r="D234" i="2" s="1"/>
  <c r="F234" i="2" s="1"/>
  <c r="D230" i="6" a="1"/>
  <c r="D230" i="6" s="1"/>
  <c r="F230" i="6" s="1"/>
  <c r="D229" i="6" a="1"/>
  <c r="D229" i="6" s="1"/>
  <c r="F229" i="6" s="1"/>
  <c r="F199" i="3"/>
  <c r="D186" i="1" a="1"/>
  <c r="D186" i="1" s="1"/>
  <c r="F186" i="1" s="1"/>
  <c r="D185" i="1" a="1"/>
  <c r="D185" i="1" s="1"/>
  <c r="F185" i="1" s="1"/>
  <c r="F163" i="4"/>
  <c r="D233" i="2" a="1"/>
  <c r="D233" i="2" s="1"/>
  <c r="F233" i="2" s="1"/>
  <c r="D232" i="2" a="1"/>
  <c r="D232" i="2" s="1"/>
  <c r="F232" i="2" s="1"/>
  <c r="D228" i="6" a="1"/>
  <c r="D228" i="6" s="1"/>
  <c r="F228" i="6" s="1"/>
  <c r="F198" i="3"/>
  <c r="D184" i="1" a="1"/>
  <c r="D184" i="1" s="1"/>
  <c r="F184" i="1" s="1"/>
  <c r="F162" i="4" l="1"/>
  <c r="D231" i="2" a="1"/>
  <c r="D231" i="2" s="1"/>
  <c r="F231" i="2" s="1"/>
  <c r="D227" i="6" a="1"/>
  <c r="D227" i="6" s="1"/>
  <c r="F227" i="6" s="1"/>
  <c r="F197" i="3"/>
  <c r="D183" i="1" a="1"/>
  <c r="D183" i="1" s="1"/>
  <c r="F183" i="1" s="1"/>
  <c r="F161" i="4"/>
  <c r="D230" i="2" a="1"/>
  <c r="D230" i="2" s="1"/>
  <c r="F230" i="2" s="1"/>
  <c r="D226" i="6" a="1"/>
  <c r="D226" i="6" s="1"/>
  <c r="F226" i="6" s="1"/>
  <c r="F196" i="3"/>
  <c r="D182" i="1" a="1"/>
  <c r="D182" i="1" s="1"/>
  <c r="F182" i="1" s="1"/>
  <c r="E229" i="2"/>
  <c r="F160" i="4"/>
  <c r="D229" i="2" a="1"/>
  <c r="D229" i="2" s="1"/>
  <c r="D225" i="6" a="1"/>
  <c r="D225" i="6" s="1"/>
  <c r="F225" i="6" s="1"/>
  <c r="D224" i="6" a="1"/>
  <c r="D224" i="6" s="1"/>
  <c r="F224" i="6" s="1"/>
  <c r="F195" i="3"/>
  <c r="D181" i="1" a="1"/>
  <c r="D181" i="1" s="1"/>
  <c r="F181" i="1" s="1"/>
  <c r="F159" i="4"/>
  <c r="D228" i="2" a="1"/>
  <c r="D228" i="2" s="1"/>
  <c r="F228" i="2" s="1"/>
  <c r="D223" i="6" a="1"/>
  <c r="D223" i="6" s="1"/>
  <c r="F223" i="6" s="1"/>
  <c r="D222" i="6" a="1"/>
  <c r="D222" i="6" s="1"/>
  <c r="F222" i="6" s="1"/>
  <c r="D221" i="6" a="1"/>
  <c r="D221" i="6" s="1"/>
  <c r="F221" i="6" s="1"/>
  <c r="F194" i="3"/>
  <c r="F193" i="3"/>
  <c r="D180" i="1" a="1"/>
  <c r="D180" i="1" s="1"/>
  <c r="F180" i="1" s="1"/>
  <c r="D179" i="1" a="1"/>
  <c r="D179" i="1" s="1"/>
  <c r="F179" i="1" s="1"/>
  <c r="F158" i="4"/>
  <c r="D227" i="2" a="1"/>
  <c r="D227" i="2" s="1"/>
  <c r="F227" i="2" s="1"/>
  <c r="D226" i="2" a="1"/>
  <c r="D226" i="2" s="1"/>
  <c r="F226" i="2" s="1"/>
  <c r="D220" i="6" a="1"/>
  <c r="D220" i="6" s="1"/>
  <c r="F220" i="6" s="1"/>
  <c r="D219" i="6" a="1"/>
  <c r="D219" i="6" s="1"/>
  <c r="F219" i="6" s="1"/>
  <c r="F192" i="3"/>
  <c r="D178" i="1" a="1"/>
  <c r="D178" i="1" s="1"/>
  <c r="F178" i="1" s="1"/>
  <c r="B3" i="2"/>
  <c r="F157" i="4"/>
  <c r="D225" i="2" a="1"/>
  <c r="D225" i="2" s="1"/>
  <c r="F225" i="2" s="1"/>
  <c r="D224" i="2" a="1"/>
  <c r="D224" i="2" s="1"/>
  <c r="F224" i="2" s="1"/>
  <c r="D218" i="6" a="1"/>
  <c r="D218" i="6" s="1"/>
  <c r="F218" i="6" s="1"/>
  <c r="D217" i="6" a="1"/>
  <c r="D217" i="6" s="1"/>
  <c r="F217" i="6" s="1"/>
  <c r="D216" i="6" a="1"/>
  <c r="D216" i="6" s="1"/>
  <c r="F216" i="6" s="1"/>
  <c r="F191" i="3"/>
  <c r="D177" i="1" a="1"/>
  <c r="D177" i="1" s="1"/>
  <c r="F177" i="1" s="1"/>
  <c r="F156" i="4"/>
  <c r="D223" i="2" a="1"/>
  <c r="D223" i="2" s="1"/>
  <c r="F223" i="2" s="1"/>
  <c r="D215" i="6" a="1"/>
  <c r="D215" i="6" s="1"/>
  <c r="F215" i="6" s="1"/>
  <c r="D214" i="6" a="1"/>
  <c r="D214" i="6" s="1"/>
  <c r="F214" i="6" s="1"/>
  <c r="D213" i="6" a="1"/>
  <c r="D213" i="6" s="1"/>
  <c r="F213" i="6" s="1"/>
  <c r="F190" i="3"/>
  <c r="F189" i="3"/>
  <c r="D176" i="1" a="1"/>
  <c r="D176" i="1" s="1"/>
  <c r="F176" i="1" s="1"/>
  <c r="D175" i="1" a="1"/>
  <c r="D175" i="1" s="1"/>
  <c r="F175" i="1" s="1"/>
  <c r="F155" i="4"/>
  <c r="D222" i="2" a="1"/>
  <c r="D222" i="2" s="1"/>
  <c r="F222" i="2" s="1"/>
  <c r="D221" i="2" a="1"/>
  <c r="D221" i="2" s="1"/>
  <c r="F221" i="2" s="1"/>
  <c r="D212" i="6" a="1"/>
  <c r="D212" i="6" s="1"/>
  <c r="F212" i="6" s="1"/>
  <c r="F188" i="3"/>
  <c r="D174" i="1" a="1"/>
  <c r="D174" i="1" s="1"/>
  <c r="F174" i="1" s="1"/>
  <c r="D173" i="1" a="1"/>
  <c r="D173" i="1" s="1"/>
  <c r="F173" i="1" s="1"/>
  <c r="F154" i="4"/>
  <c r="D220" i="2" a="1"/>
  <c r="D220" i="2" s="1"/>
  <c r="F220" i="2" s="1"/>
  <c r="D219" i="2" a="1"/>
  <c r="D219" i="2" s="1"/>
  <c r="F219" i="2" s="1"/>
  <c r="D211" i="6" a="1"/>
  <c r="D211" i="6" s="1"/>
  <c r="F211" i="6" s="1"/>
  <c r="F187" i="3"/>
  <c r="F186" i="3"/>
  <c r="D172" i="1" a="1"/>
  <c r="D172" i="1" s="1"/>
  <c r="F172" i="1" s="1"/>
  <c r="F153" i="4"/>
  <c r="F152" i="4"/>
  <c r="D218" i="2" a="1"/>
  <c r="D218" i="2" s="1"/>
  <c r="F218" i="2" s="1"/>
  <c r="D217" i="2" a="1"/>
  <c r="D217" i="2" s="1"/>
  <c r="F217" i="2" s="1"/>
  <c r="D216" i="2" a="1"/>
  <c r="D216" i="2" s="1"/>
  <c r="F216" i="2" s="1"/>
  <c r="D210" i="6" a="1"/>
  <c r="D210" i="6" s="1"/>
  <c r="F210" i="6" s="1"/>
  <c r="D209" i="6" a="1"/>
  <c r="D209" i="6" s="1"/>
  <c r="F209" i="6" s="1"/>
  <c r="D208" i="6" a="1"/>
  <c r="D208" i="6" s="1"/>
  <c r="F208" i="6" s="1"/>
  <c r="D207" i="6" a="1"/>
  <c r="D207" i="6" s="1"/>
  <c r="F207" i="6" s="1"/>
  <c r="F185" i="3"/>
  <c r="F184" i="3"/>
  <c r="F183" i="3"/>
  <c r="D171" i="1" a="1"/>
  <c r="D171" i="1" s="1"/>
  <c r="F171" i="1" s="1"/>
  <c r="D170" i="1" a="1"/>
  <c r="D170" i="1" s="1"/>
  <c r="F170" i="1" s="1"/>
  <c r="F182" i="3"/>
  <c r="F181" i="3"/>
  <c r="F180" i="3"/>
  <c r="F151" i="4"/>
  <c r="D215" i="2" a="1"/>
  <c r="D215" i="2" s="1"/>
  <c r="F215" i="2" s="1"/>
  <c r="D214" i="2" a="1"/>
  <c r="D214" i="2" s="1"/>
  <c r="F214" i="2" s="1"/>
  <c r="D213" i="2" a="1"/>
  <c r="D213" i="2" s="1"/>
  <c r="F213" i="2" s="1"/>
  <c r="D206" i="6" a="1"/>
  <c r="D206" i="6" s="1"/>
  <c r="F206" i="6" s="1"/>
  <c r="D205" i="6" a="1"/>
  <c r="D205" i="6" s="1"/>
  <c r="F205" i="6" s="1"/>
  <c r="D169" i="1" a="1"/>
  <c r="D169" i="1" s="1"/>
  <c r="F169" i="1" s="1"/>
  <c r="F229" i="2" l="1"/>
  <c r="C3" i="2"/>
  <c r="F150" i="4"/>
  <c r="D212" i="2" a="1"/>
  <c r="D212" i="2" s="1"/>
  <c r="F212" i="2" s="1"/>
  <c r="D211" i="2" a="1"/>
  <c r="D211" i="2" s="1"/>
  <c r="F211" i="2" s="1"/>
  <c r="D204" i="6" a="1"/>
  <c r="D204" i="6" s="1"/>
  <c r="F204" i="6" s="1"/>
  <c r="D203" i="6" a="1"/>
  <c r="D203" i="6" s="1"/>
  <c r="F203" i="6" s="1"/>
  <c r="F179" i="3"/>
  <c r="D168" i="1" a="1"/>
  <c r="D168" i="1" s="1"/>
  <c r="F168" i="1" s="1"/>
  <c r="F149" i="4"/>
  <c r="D210" i="2" a="1"/>
  <c r="D210" i="2" s="1"/>
  <c r="F210" i="2" s="1"/>
  <c r="D209" i="2" a="1"/>
  <c r="D209" i="2" s="1"/>
  <c r="F209" i="2" s="1"/>
  <c r="D202" i="6" a="1"/>
  <c r="D202" i="6" s="1"/>
  <c r="F202" i="6" s="1"/>
  <c r="F178" i="3"/>
  <c r="F177" i="3"/>
  <c r="D167" i="1" a="1"/>
  <c r="D167" i="1" s="1"/>
  <c r="F167" i="1" s="1"/>
  <c r="D166" i="1" a="1"/>
  <c r="D166" i="1" s="1"/>
  <c r="F166" i="1" s="1"/>
  <c r="D33" i="4" a="1"/>
  <c r="D33" i="4" s="1"/>
  <c r="F146" i="4"/>
  <c r="F147" i="4"/>
  <c r="F148" i="4"/>
  <c r="D208" i="2" a="1"/>
  <c r="D208" i="2" s="1"/>
  <c r="F208" i="2" s="1"/>
  <c r="D207" i="2" a="1"/>
  <c r="D207" i="2" s="1"/>
  <c r="F207" i="2" s="1"/>
  <c r="D206" i="2" a="1"/>
  <c r="D206" i="2" s="1"/>
  <c r="F206" i="2" s="1"/>
  <c r="D205" i="2" a="1"/>
  <c r="D205" i="2" s="1"/>
  <c r="F205" i="2" s="1"/>
  <c r="F176" i="3"/>
  <c r="D201" i="6" a="1"/>
  <c r="D201" i="6" s="1"/>
  <c r="F201" i="6" s="1"/>
  <c r="D200" i="6" a="1"/>
  <c r="D200" i="6" s="1"/>
  <c r="F200" i="6" s="1"/>
  <c r="F175" i="3"/>
  <c r="D165" i="1" a="1"/>
  <c r="D165" i="1" s="1"/>
  <c r="F165" i="1" s="1"/>
  <c r="D164" i="1" a="1"/>
  <c r="D164" i="1" s="1"/>
  <c r="F164" i="1" s="1"/>
  <c r="D163" i="1" a="1"/>
  <c r="D163" i="1" s="1"/>
  <c r="F163" i="1" s="1"/>
  <c r="F145" i="4" l="1"/>
  <c r="D204" i="2" a="1"/>
  <c r="D204" i="2" s="1"/>
  <c r="F204" i="2" s="1"/>
  <c r="D203" i="2" a="1"/>
  <c r="D203" i="2" s="1"/>
  <c r="F203" i="2" s="1"/>
  <c r="D202" i="2" a="1"/>
  <c r="D202" i="2" s="1"/>
  <c r="F202" i="2" s="1"/>
  <c r="D199" i="6" a="1"/>
  <c r="D199" i="6" s="1"/>
  <c r="F199" i="6" s="1"/>
  <c r="D198" i="6" a="1"/>
  <c r="D198" i="6" s="1"/>
  <c r="F198" i="6" s="1"/>
  <c r="F174" i="3"/>
  <c r="F173" i="3"/>
  <c r="D162" i="1" a="1"/>
  <c r="D162" i="1" s="1"/>
  <c r="F162" i="1" s="1"/>
  <c r="D161" i="1" a="1"/>
  <c r="D161" i="1" s="1"/>
  <c r="F161" i="1" s="1"/>
  <c r="D160" i="1" l="1" a="1"/>
  <c r="D160" i="1" s="1"/>
  <c r="F160" i="1" s="1"/>
  <c r="D159" i="1" a="1"/>
  <c r="D159" i="1" s="1"/>
  <c r="F159" i="1" s="1"/>
  <c r="F172" i="3"/>
  <c r="D197" i="6" a="1"/>
  <c r="D197" i="6" s="1"/>
  <c r="F197" i="6" s="1"/>
  <c r="D196" i="6" a="1"/>
  <c r="D196" i="6" s="1"/>
  <c r="F196" i="6" s="1"/>
  <c r="D201" i="2" a="1"/>
  <c r="D201" i="2" s="1"/>
  <c r="F201" i="2" s="1"/>
  <c r="D200" i="2" a="1"/>
  <c r="D200" i="2" s="1"/>
  <c r="F200" i="2" s="1"/>
  <c r="D199" i="2" a="1"/>
  <c r="D199" i="2" s="1"/>
  <c r="F199" i="2" s="1"/>
  <c r="F144" i="4"/>
  <c r="F135" i="4"/>
  <c r="F136" i="4"/>
  <c r="F137" i="4"/>
  <c r="F138" i="4"/>
  <c r="F139" i="4"/>
  <c r="F140" i="4"/>
  <c r="F141" i="4"/>
  <c r="F142" i="4"/>
  <c r="F143" i="4"/>
  <c r="D198" i="2" a="1"/>
  <c r="D198" i="2" s="1"/>
  <c r="F198" i="2" s="1"/>
  <c r="D197" i="2" a="1"/>
  <c r="D197" i="2" s="1"/>
  <c r="F197" i="2" s="1"/>
  <c r="D195" i="6" a="1"/>
  <c r="D195" i="6" s="1"/>
  <c r="F195" i="6" s="1"/>
  <c r="D194" i="6" a="1"/>
  <c r="D194" i="6" s="1"/>
  <c r="F194" i="6" s="1"/>
  <c r="F171" i="3"/>
  <c r="D158" i="1" a="1"/>
  <c r="D158" i="1" s="1"/>
  <c r="F158" i="1" s="1"/>
  <c r="D196" i="2" a="1"/>
  <c r="D196" i="2" s="1"/>
  <c r="F196" i="2" s="1"/>
  <c r="D193" i="6" a="1"/>
  <c r="D193" i="6" s="1"/>
  <c r="F193" i="6" s="1"/>
  <c r="F163" i="3"/>
  <c r="F164" i="3"/>
  <c r="F165" i="3"/>
  <c r="F166" i="3"/>
  <c r="F167" i="3"/>
  <c r="F168" i="3"/>
  <c r="F169" i="3"/>
  <c r="F170" i="3"/>
  <c r="D157" i="1" a="1"/>
  <c r="D157" i="1" s="1"/>
  <c r="F157" i="1" s="1"/>
  <c r="D156" i="1" a="1"/>
  <c r="D156" i="1" s="1"/>
  <c r="F156" i="1" s="1"/>
  <c r="D195" i="2" a="1"/>
  <c r="D195" i="2" s="1"/>
  <c r="F195" i="2" s="1"/>
  <c r="D194" i="2" a="1"/>
  <c r="D194" i="2" s="1"/>
  <c r="F194" i="2" s="1"/>
  <c r="D192" i="6" a="1"/>
  <c r="D192" i="6" s="1"/>
  <c r="F192" i="6" s="1"/>
  <c r="D155" i="1" a="1"/>
  <c r="D155" i="1" s="1"/>
  <c r="F155" i="1" s="1"/>
  <c r="D193" i="2" a="1"/>
  <c r="D193" i="2" s="1"/>
  <c r="F193" i="2" s="1"/>
  <c r="D192" i="2" a="1"/>
  <c r="D192" i="2" s="1"/>
  <c r="F192" i="2" s="1"/>
  <c r="D191" i="6" a="1"/>
  <c r="D191" i="6" s="1"/>
  <c r="F191" i="6" s="1"/>
  <c r="D190" i="6" a="1"/>
  <c r="D190" i="6" s="1"/>
  <c r="F190" i="6" s="1"/>
  <c r="D154" i="1" a="1"/>
  <c r="D154" i="1" s="1"/>
  <c r="F154" i="1" s="1"/>
  <c r="D191" i="2" a="1"/>
  <c r="D191" i="2" s="1"/>
  <c r="F191" i="2" s="1"/>
  <c r="D190" i="2" a="1"/>
  <c r="D190" i="2" s="1"/>
  <c r="F190" i="2" s="1"/>
  <c r="D189" i="6" a="1"/>
  <c r="D189" i="6" s="1"/>
  <c r="F189" i="6" s="1"/>
  <c r="D188" i="6" a="1"/>
  <c r="D188" i="6" s="1"/>
  <c r="F188" i="6" s="1"/>
  <c r="D187" i="6" a="1"/>
  <c r="D187" i="6" s="1"/>
  <c r="F187" i="6" s="1"/>
  <c r="D153" i="1" a="1"/>
  <c r="D153" i="1" s="1"/>
  <c r="F153" i="1" s="1"/>
  <c r="D189" i="2" a="1"/>
  <c r="D189" i="2" s="1"/>
  <c r="F189" i="2" s="1"/>
  <c r="D188" i="2" a="1"/>
  <c r="D188" i="2" s="1"/>
  <c r="F188" i="2" s="1"/>
  <c r="D187" i="2" a="1"/>
  <c r="D187" i="2" s="1"/>
  <c r="F187" i="2" s="1"/>
  <c r="D186" i="6" a="1"/>
  <c r="D186" i="6" s="1"/>
  <c r="F186" i="6" s="1"/>
  <c r="D185" i="6" a="1"/>
  <c r="D185" i="6" s="1"/>
  <c r="F185" i="6" s="1"/>
  <c r="D152" i="1" a="1"/>
  <c r="D152" i="1" s="1"/>
  <c r="F152" i="1" s="1"/>
  <c r="D151" i="1" a="1"/>
  <c r="D151" i="1" s="1"/>
  <c r="F151" i="1" s="1"/>
  <c r="D150" i="1" a="1"/>
  <c r="D150" i="1" s="1"/>
  <c r="F150" i="1" s="1"/>
  <c r="D186" i="2" a="1"/>
  <c r="D186" i="2" s="1"/>
  <c r="F186" i="2" s="1"/>
  <c r="D184" i="6" a="1"/>
  <c r="D184" i="6" s="1"/>
  <c r="F184" i="6" s="1"/>
  <c r="D183" i="6" a="1"/>
  <c r="D183" i="6" s="1"/>
  <c r="F183" i="6" s="1"/>
  <c r="D149" i="1" a="1"/>
  <c r="D149" i="1" s="1"/>
  <c r="F149" i="1" s="1"/>
  <c r="D148" i="1" a="1"/>
  <c r="D148" i="1" s="1"/>
  <c r="F148" i="1" s="1"/>
  <c r="D40" i="2" l="1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F182" i="2" s="1"/>
  <c r="D183" i="2" a="1"/>
  <c r="D183" i="2" s="1"/>
  <c r="F183" i="2" s="1"/>
  <c r="D184" i="2" a="1"/>
  <c r="D184" i="2" s="1"/>
  <c r="F184" i="2" s="1"/>
  <c r="D185" i="2" a="1"/>
  <c r="D185" i="2" s="1"/>
  <c r="F185" i="2" s="1"/>
  <c r="D130" i="1" a="1"/>
  <c r="D130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F143" i="1" s="1"/>
  <c r="D144" i="1" a="1"/>
  <c r="D144" i="1" s="1"/>
  <c r="F144" i="1" s="1"/>
  <c r="D145" i="1" a="1"/>
  <c r="D145" i="1" s="1"/>
  <c r="F145" i="1" s="1"/>
  <c r="D146" i="1" a="1"/>
  <c r="D146" i="1" s="1"/>
  <c r="F146" i="1" s="1"/>
  <c r="D147" i="1" a="1"/>
  <c r="D147" i="1" s="1"/>
  <c r="F147" i="1" s="1"/>
  <c r="F134" i="4"/>
  <c r="D182" i="6" a="1"/>
  <c r="D182" i="6" s="1"/>
  <c r="F182" i="6" s="1"/>
  <c r="D181" i="6" a="1"/>
  <c r="D181" i="6" s="1"/>
  <c r="F181" i="6" s="1"/>
  <c r="F162" i="3"/>
  <c r="F161" i="3"/>
  <c r="F160" i="3"/>
  <c r="F159" i="3"/>
  <c r="F158" i="3"/>
  <c r="D180" i="6" a="1"/>
  <c r="D180" i="6" s="1"/>
  <c r="F180" i="6" s="1"/>
  <c r="F133" i="4"/>
  <c r="F132" i="4" l="1"/>
  <c r="F131" i="4"/>
  <c r="F181" i="2"/>
  <c r="F180" i="2"/>
  <c r="D179" i="6" a="1"/>
  <c r="D179" i="6" s="1"/>
  <c r="F179" i="6" s="1"/>
  <c r="F157" i="3"/>
  <c r="F156" i="3"/>
  <c r="F155" i="3"/>
  <c r="F142" i="1"/>
  <c r="F179" i="2"/>
  <c r="F130" i="4"/>
  <c r="F178" i="2"/>
  <c r="F177" i="2"/>
  <c r="D178" i="6" a="1"/>
  <c r="D178" i="6" s="1"/>
  <c r="F178" i="6" s="1"/>
  <c r="D177" i="6" a="1"/>
  <c r="D177" i="6" s="1"/>
  <c r="F177" i="6" s="1"/>
  <c r="F154" i="3"/>
  <c r="F153" i="3"/>
  <c r="F141" i="1"/>
  <c r="F140" i="1"/>
  <c r="F129" i="4"/>
  <c r="F128" i="4"/>
  <c r="F176" i="2"/>
  <c r="F175" i="2"/>
  <c r="D176" i="6" a="1"/>
  <c r="D176" i="6" s="1"/>
  <c r="F176" i="6" s="1"/>
  <c r="D175" i="6" a="1"/>
  <c r="D175" i="6" s="1"/>
  <c r="F175" i="6" s="1"/>
  <c r="D174" i="6" a="1"/>
  <c r="D174" i="6" s="1"/>
  <c r="F174" i="6" s="1"/>
  <c r="F152" i="3"/>
  <c r="F139" i="1"/>
  <c r="F138" i="1"/>
  <c r="F127" i="4"/>
  <c r="F126" i="4"/>
  <c r="F174" i="2"/>
  <c r="F173" i="2"/>
  <c r="F172" i="2"/>
  <c r="D173" i="6" a="1"/>
  <c r="D173" i="6" s="1"/>
  <c r="F173" i="6" s="1"/>
  <c r="D172" i="6" a="1"/>
  <c r="D172" i="6" s="1"/>
  <c r="F172" i="6" s="1"/>
  <c r="D171" i="6" a="1"/>
  <c r="D171" i="6" s="1"/>
  <c r="F171" i="6" s="1"/>
  <c r="F151" i="3"/>
  <c r="F150" i="3"/>
  <c r="F149" i="3"/>
  <c r="F137" i="1"/>
  <c r="F125" i="4"/>
  <c r="F171" i="2"/>
  <c r="F170" i="2"/>
  <c r="F169" i="2"/>
  <c r="D170" i="6" a="1"/>
  <c r="D170" i="6" s="1"/>
  <c r="F170" i="6" s="1"/>
  <c r="D169" i="6" a="1"/>
  <c r="D169" i="6" s="1"/>
  <c r="F169" i="6" s="1"/>
  <c r="F148" i="3"/>
  <c r="F136" i="1"/>
  <c r="F135" i="1"/>
  <c r="F134" i="1"/>
  <c r="F147" i="3"/>
  <c r="F146" i="3"/>
  <c r="D168" i="6" a="1"/>
  <c r="D168" i="6" s="1"/>
  <c r="F168" i="6" s="1"/>
  <c r="D167" i="6" a="1"/>
  <c r="D167" i="6" s="1"/>
  <c r="F167" i="6" s="1"/>
  <c r="F168" i="2"/>
  <c r="F167" i="2"/>
  <c r="F124" i="4"/>
  <c r="D166" i="6" a="1"/>
  <c r="D166" i="6" s="1"/>
  <c r="F166" i="6" s="1"/>
  <c r="D165" i="6" a="1"/>
  <c r="D165" i="6" s="1"/>
  <c r="F165" i="6" s="1"/>
  <c r="D164" i="6" a="1"/>
  <c r="D164" i="6" s="1"/>
  <c r="F164" i="6" s="1"/>
  <c r="F123" i="4"/>
  <c r="F122" i="4"/>
  <c r="F166" i="2"/>
  <c r="F165" i="2"/>
  <c r="F145" i="3"/>
  <c r="F144" i="3"/>
  <c r="F143" i="3"/>
  <c r="F133" i="1"/>
  <c r="F132" i="1"/>
  <c r="F131" i="1" l="1"/>
  <c r="F142" i="3"/>
  <c r="F141" i="3"/>
  <c r="D163" i="6" a="1"/>
  <c r="D163" i="6" s="1"/>
  <c r="F163" i="6" s="1"/>
  <c r="D162" i="6" a="1"/>
  <c r="D162" i="6" s="1"/>
  <c r="F162" i="6" s="1"/>
  <c r="F164" i="2"/>
  <c r="F163" i="2"/>
  <c r="F162" i="2"/>
  <c r="F121" i="4"/>
  <c r="F130" i="1"/>
  <c r="F140" i="3"/>
  <c r="D161" i="6" a="1"/>
  <c r="D161" i="6" s="1"/>
  <c r="F161" i="6" s="1"/>
  <c r="D160" i="6" a="1"/>
  <c r="D160" i="6" s="1"/>
  <c r="F160" i="6" s="1"/>
  <c r="F161" i="2"/>
  <c r="F160" i="2"/>
  <c r="F159" i="2"/>
  <c r="F120" i="4"/>
  <c r="F117" i="4"/>
  <c r="F119" i="4" l="1"/>
  <c r="F158" i="2"/>
  <c r="F157" i="2"/>
  <c r="D159" i="6" a="1"/>
  <c r="D159" i="6" s="1"/>
  <c r="F159" i="6" s="1"/>
  <c r="D158" i="6" a="1"/>
  <c r="D158" i="6" s="1"/>
  <c r="F158" i="6" s="1"/>
  <c r="D157" i="6" a="1"/>
  <c r="D157" i="6" s="1"/>
  <c r="F157" i="6" s="1"/>
  <c r="F139" i="3"/>
  <c r="F129" i="1"/>
  <c r="F128" i="1"/>
  <c r="F118" i="4"/>
  <c r="F156" i="2"/>
  <c r="F155" i="2"/>
  <c r="F154" i="2"/>
  <c r="D156" i="6" a="1"/>
  <c r="D156" i="6" s="1"/>
  <c r="F156" i="6" s="1"/>
  <c r="D155" i="6" a="1"/>
  <c r="D155" i="6" s="1"/>
  <c r="F155" i="6" s="1"/>
  <c r="D154" i="6" a="1"/>
  <c r="D154" i="6" s="1"/>
  <c r="F154" i="6" s="1"/>
  <c r="F138" i="3"/>
  <c r="F137" i="3"/>
  <c r="F136" i="3"/>
  <c r="F127" i="1"/>
  <c r="F126" i="1" l="1"/>
  <c r="F135" i="3"/>
  <c r="F134" i="3"/>
  <c r="D153" i="6" a="1"/>
  <c r="D153" i="6" s="1"/>
  <c r="F153" i="6" s="1"/>
  <c r="D152" i="6" a="1"/>
  <c r="D152" i="6" s="1"/>
  <c r="F152" i="6" s="1"/>
  <c r="F153" i="2"/>
  <c r="F152" i="2"/>
  <c r="F116" i="4"/>
  <c r="F151" i="2"/>
  <c r="F150" i="2"/>
  <c r="F115" i="4"/>
  <c r="D151" i="6" a="1"/>
  <c r="D151" i="6" s="1"/>
  <c r="F151" i="6" s="1"/>
  <c r="D150" i="6" a="1"/>
  <c r="D150" i="6" s="1"/>
  <c r="F150" i="6" s="1"/>
  <c r="F133" i="3"/>
  <c r="F132" i="3"/>
  <c r="F131" i="3"/>
  <c r="F125" i="1"/>
  <c r="F124" i="1"/>
  <c r="F123" i="1"/>
  <c r="F114" i="4"/>
  <c r="F149" i="2"/>
  <c r="F148" i="2"/>
  <c r="D149" i="6" a="1"/>
  <c r="D149" i="6" s="1"/>
  <c r="F149" i="6" s="1"/>
  <c r="D148" i="6" a="1"/>
  <c r="D148" i="6" s="1"/>
  <c r="F148" i="6" s="1"/>
  <c r="D147" i="6" a="1"/>
  <c r="D147" i="6" s="1"/>
  <c r="F147" i="6" s="1"/>
  <c r="F130" i="3"/>
  <c r="F122" i="1"/>
  <c r="F121" i="1"/>
  <c r="D146" i="6" a="1"/>
  <c r="D146" i="6" s="1"/>
  <c r="F146" i="6" s="1"/>
  <c r="D145" i="6" a="1"/>
  <c r="D145" i="6" s="1"/>
  <c r="F145" i="6" s="1"/>
  <c r="D144" i="6" a="1"/>
  <c r="D144" i="6" s="1"/>
  <c r="F144" i="6" s="1"/>
  <c r="F113" i="4"/>
  <c r="F147" i="2"/>
  <c r="F129" i="3"/>
  <c r="F128" i="3"/>
  <c r="F120" i="1"/>
  <c r="F112" i="4"/>
  <c r="F111" i="4"/>
  <c r="F146" i="2"/>
  <c r="F145" i="2"/>
  <c r="D143" i="6" a="1"/>
  <c r="D143" i="6" s="1"/>
  <c r="F143" i="6" s="1"/>
  <c r="D142" i="6" a="1"/>
  <c r="D142" i="6" s="1"/>
  <c r="F142" i="6" s="1"/>
  <c r="D141" i="6" a="1"/>
  <c r="D141" i="6" s="1"/>
  <c r="F141" i="6" s="1"/>
  <c r="F127" i="3"/>
  <c r="F126" i="3"/>
  <c r="F125" i="3"/>
  <c r="F119" i="1"/>
  <c r="F118" i="1"/>
  <c r="F110" i="4"/>
  <c r="F144" i="2"/>
  <c r="F143" i="2"/>
  <c r="F142" i="2"/>
  <c r="D140" i="6" a="1"/>
  <c r="D140" i="6" s="1"/>
  <c r="F140" i="6" s="1"/>
  <c r="D139" i="6" a="1"/>
  <c r="D139" i="6" s="1"/>
  <c r="F139" i="6" s="1"/>
  <c r="F124" i="3"/>
  <c r="F117" i="1"/>
  <c r="F109" i="4"/>
  <c r="F108" i="4"/>
  <c r="F141" i="2"/>
  <c r="F140" i="2"/>
  <c r="F139" i="2"/>
  <c r="D138" i="6" a="1"/>
  <c r="D138" i="6" s="1"/>
  <c r="F138" i="6" s="1"/>
  <c r="D137" i="6" a="1"/>
  <c r="D137" i="6" s="1"/>
  <c r="F137" i="6" s="1"/>
  <c r="D136" i="6" a="1"/>
  <c r="D136" i="6" s="1"/>
  <c r="F136" i="6" s="1"/>
  <c r="F123" i="3"/>
  <c r="F122" i="3"/>
  <c r="F116" i="1"/>
  <c r="F115" i="1"/>
  <c r="F114" i="1"/>
  <c r="F107" i="4"/>
  <c r="F138" i="2"/>
  <c r="F137" i="2"/>
  <c r="D135" i="6" a="1"/>
  <c r="D135" i="6" s="1"/>
  <c r="F135" i="6" s="1"/>
  <c r="D134" i="6" a="1"/>
  <c r="D134" i="6" s="1"/>
  <c r="F134" i="6" s="1"/>
  <c r="F121" i="3"/>
  <c r="F113" i="1"/>
  <c r="F106" i="4"/>
  <c r="F136" i="2"/>
  <c r="F135" i="2"/>
  <c r="D133" i="6" a="1"/>
  <c r="D133" i="6" s="1"/>
  <c r="F133" i="6" s="1"/>
  <c r="D132" i="6" a="1"/>
  <c r="D132" i="6" s="1"/>
  <c r="F132" i="6" s="1"/>
  <c r="F120" i="3"/>
  <c r="F119" i="3"/>
  <c r="F112" i="1"/>
  <c r="F111" i="1"/>
  <c r="F110" i="1"/>
  <c r="F118" i="3"/>
  <c r="F117" i="3"/>
  <c r="F116" i="3"/>
  <c r="D131" i="6" a="1"/>
  <c r="D131" i="6" s="1"/>
  <c r="F131" i="6" s="1"/>
  <c r="D130" i="6" a="1"/>
  <c r="D130" i="6" s="1"/>
  <c r="F130" i="6" s="1"/>
  <c r="F134" i="2"/>
  <c r="F133" i="2"/>
  <c r="F132" i="2"/>
  <c r="F105" i="4"/>
  <c r="F104" i="4"/>
  <c r="F131" i="2"/>
  <c r="F130" i="2"/>
  <c r="D129" i="6" a="1"/>
  <c r="D129" i="6" s="1"/>
  <c r="F129" i="6" s="1"/>
  <c r="D128" i="6" a="1"/>
  <c r="D128" i="6" s="1"/>
  <c r="F128" i="6" s="1"/>
  <c r="F115" i="3"/>
  <c r="F114" i="3"/>
  <c r="F109" i="1"/>
  <c r="F108" i="1"/>
  <c r="F103" i="4"/>
  <c r="F129" i="2"/>
  <c r="F128" i="2"/>
  <c r="D127" i="6" a="1"/>
  <c r="D127" i="6" s="1"/>
  <c r="F127" i="6" s="1"/>
  <c r="D126" i="6" a="1"/>
  <c r="D126" i="6" s="1"/>
  <c r="F126" i="6" s="1"/>
  <c r="F113" i="3"/>
  <c r="F107" i="1"/>
  <c r="F106" i="1"/>
  <c r="F105" i="1"/>
  <c r="F102" i="4"/>
  <c r="F127" i="2"/>
  <c r="F126" i="2"/>
  <c r="D125" i="6" a="1"/>
  <c r="D125" i="6" s="1"/>
  <c r="F125" i="6" s="1"/>
  <c r="D124" i="6" a="1"/>
  <c r="D124" i="6" s="1"/>
  <c r="F124" i="6" s="1"/>
  <c r="F112" i="3"/>
  <c r="F104" i="1"/>
  <c r="F101" i="4"/>
  <c r="F100" i="4"/>
  <c r="F125" i="2"/>
  <c r="F124" i="2"/>
  <c r="D123" i="6" a="1"/>
  <c r="D123" i="6" s="1"/>
  <c r="F123" i="6" s="1"/>
  <c r="D122" i="6" a="1"/>
  <c r="D122" i="6" s="1"/>
  <c r="F122" i="6" s="1"/>
  <c r="F111" i="3"/>
  <c r="F103" i="1"/>
  <c r="F102" i="1"/>
  <c r="F99" i="4"/>
  <c r="F98" i="4"/>
  <c r="F123" i="2"/>
  <c r="F122" i="2"/>
  <c r="F121" i="2"/>
  <c r="D121" i="6" a="1"/>
  <c r="D121" i="6" s="1"/>
  <c r="F121" i="6" s="1"/>
  <c r="D120" i="6" a="1"/>
  <c r="D120" i="6" s="1"/>
  <c r="F120" i="6" s="1"/>
  <c r="F110" i="3"/>
  <c r="F101" i="1"/>
  <c r="F100" i="1"/>
  <c r="F97" i="4"/>
  <c r="F120" i="2"/>
  <c r="F119" i="2"/>
  <c r="D119" i="6" a="1"/>
  <c r="D119" i="6" s="1"/>
  <c r="F119" i="6" s="1"/>
  <c r="F109" i="3"/>
  <c r="F108" i="3"/>
  <c r="F107" i="3"/>
  <c r="F99" i="1"/>
  <c r="F118" i="2"/>
  <c r="F117" i="2"/>
  <c r="F96" i="4"/>
  <c r="F95" i="4"/>
  <c r="D118" i="6" a="1"/>
  <c r="D118" i="6" s="1"/>
  <c r="F118" i="6" s="1"/>
  <c r="D117" i="6" a="1"/>
  <c r="D117" i="6" s="1"/>
  <c r="F117" i="6" s="1"/>
  <c r="F106" i="3"/>
  <c r="F105" i="3"/>
  <c r="F98" i="1"/>
  <c r="F97" i="1"/>
  <c r="J32" i="4" a="1"/>
  <c r="J32" i="4" s="1"/>
  <c r="L32" i="4" a="1"/>
  <c r="L32" i="4" s="1"/>
  <c r="F94" i="4"/>
  <c r="F116" i="2"/>
  <c r="D116" i="6" a="1"/>
  <c r="D116" i="6" s="1"/>
  <c r="F116" i="6" s="1"/>
  <c r="D115" i="6" a="1"/>
  <c r="D115" i="6" s="1"/>
  <c r="F115" i="6" s="1"/>
  <c r="F104" i="3"/>
  <c r="F96" i="1"/>
  <c r="F95" i="1"/>
  <c r="F103" i="3"/>
  <c r="F102" i="3"/>
  <c r="D114" i="6" a="1"/>
  <c r="D114" i="6" s="1"/>
  <c r="F114" i="6" s="1"/>
  <c r="D113" i="6" a="1"/>
  <c r="D113" i="6" s="1"/>
  <c r="F113" i="6" s="1"/>
  <c r="D112" i="6" a="1"/>
  <c r="D112" i="6" s="1"/>
  <c r="F112" i="6" s="1"/>
  <c r="F115" i="2"/>
  <c r="F114" i="2"/>
  <c r="F113" i="2"/>
  <c r="F93" i="4"/>
  <c r="F92" i="4"/>
  <c r="F91" i="4"/>
  <c r="F112" i="2"/>
  <c r="F111" i="2"/>
  <c r="F110" i="2"/>
  <c r="D111" i="6" a="1"/>
  <c r="D111" i="6" s="1"/>
  <c r="F111" i="6" s="1"/>
  <c r="D110" i="6" a="1"/>
  <c r="D110" i="6" s="1"/>
  <c r="F110" i="6" s="1"/>
  <c r="F101" i="3"/>
  <c r="F100" i="3"/>
  <c r="F99" i="3"/>
  <c r="F94" i="1"/>
  <c r="J32" i="1" a="1"/>
  <c r="J32" i="1" s="1"/>
  <c r="L31" i="4" a="1"/>
  <c r="L31" i="4" s="1"/>
  <c r="L33" i="4" a="1"/>
  <c r="L33" i="4" s="1"/>
  <c r="L34" i="4" a="1"/>
  <c r="L34" i="4" s="1"/>
  <c r="L35" i="4" a="1"/>
  <c r="L35" i="4" s="1"/>
  <c r="L36" i="4" a="1"/>
  <c r="L36" i="4" s="1"/>
  <c r="L37" i="4" a="1"/>
  <c r="L37" i="4" s="1"/>
  <c r="L38" i="4" a="1"/>
  <c r="L38" i="4" s="1"/>
  <c r="L39" i="4" a="1"/>
  <c r="L39" i="4" s="1"/>
  <c r="L40" i="4" a="1"/>
  <c r="L40" i="4" s="1"/>
  <c r="L41" i="4" a="1"/>
  <c r="L41" i="4" s="1"/>
  <c r="L30" i="4" a="1"/>
  <c r="L30" i="4" s="1"/>
  <c r="K31" i="4" a="1"/>
  <c r="K31" i="4" s="1"/>
  <c r="K32" i="4" a="1"/>
  <c r="K32" i="4" s="1"/>
  <c r="K33" i="4" a="1"/>
  <c r="K33" i="4" s="1"/>
  <c r="K34" i="4" a="1"/>
  <c r="K34" i="4" s="1"/>
  <c r="K35" i="4" a="1"/>
  <c r="K35" i="4" s="1"/>
  <c r="K36" i="4" a="1"/>
  <c r="K36" i="4" s="1"/>
  <c r="K37" i="4" a="1"/>
  <c r="K37" i="4" s="1"/>
  <c r="K38" i="4" a="1"/>
  <c r="K38" i="4" s="1"/>
  <c r="K39" i="4" a="1"/>
  <c r="K39" i="4" s="1"/>
  <c r="K40" i="4" a="1"/>
  <c r="K40" i="4" s="1"/>
  <c r="K41" i="4" a="1"/>
  <c r="K41" i="4" s="1"/>
  <c r="K30" i="4" a="1"/>
  <c r="K30" i="4" s="1"/>
  <c r="J31" i="4" a="1"/>
  <c r="J31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30" i="4" a="1"/>
  <c r="J30" i="4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40" i="2" a="1"/>
  <c r="L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40" i="2" a="1"/>
  <c r="K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40" i="2" a="1"/>
  <c r="J40" i="2" s="1"/>
  <c r="L38" i="6" a="1"/>
  <c r="L38" i="6" s="1"/>
  <c r="L39" i="6" a="1"/>
  <c r="L39" i="6" s="1"/>
  <c r="L40" i="6" a="1"/>
  <c r="L40" i="6" s="1"/>
  <c r="L41" i="6" a="1"/>
  <c r="L41" i="6" s="1"/>
  <c r="L42" i="6" a="1"/>
  <c r="L42" i="6" s="1"/>
  <c r="L43" i="6" a="1"/>
  <c r="L43" i="6" s="1"/>
  <c r="L44" i="6" a="1"/>
  <c r="L44" i="6" s="1"/>
  <c r="L45" i="6" a="1"/>
  <c r="L45" i="6" s="1"/>
  <c r="L46" i="6" a="1"/>
  <c r="L46" i="6" s="1"/>
  <c r="L47" i="6" a="1"/>
  <c r="L47" i="6" s="1"/>
  <c r="L48" i="6" a="1"/>
  <c r="L48" i="6" s="1"/>
  <c r="L37" i="6" a="1"/>
  <c r="L37" i="6" s="1"/>
  <c r="K38" i="6" a="1"/>
  <c r="K38" i="6" s="1"/>
  <c r="K39" i="6" a="1"/>
  <c r="K39" i="6" s="1"/>
  <c r="K40" i="6" a="1"/>
  <c r="K40" i="6" s="1"/>
  <c r="K41" i="6" a="1"/>
  <c r="K41" i="6" s="1"/>
  <c r="K42" i="6" a="1"/>
  <c r="K42" i="6" s="1"/>
  <c r="K43" i="6" a="1"/>
  <c r="K43" i="6" s="1"/>
  <c r="K44" i="6" a="1"/>
  <c r="K44" i="6" s="1"/>
  <c r="K45" i="6" a="1"/>
  <c r="K45" i="6" s="1"/>
  <c r="K46" i="6" a="1"/>
  <c r="K46" i="6" s="1"/>
  <c r="K47" i="6" a="1"/>
  <c r="K47" i="6" s="1"/>
  <c r="K48" i="6" a="1"/>
  <c r="K48" i="6" s="1"/>
  <c r="K37" i="6" a="1"/>
  <c r="K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37" i="6" a="1"/>
  <c r="J37" i="6" s="1"/>
  <c r="L31" i="3" a="1"/>
  <c r="L31" i="3" s="1"/>
  <c r="L32" i="3" a="1"/>
  <c r="L32" i="3" s="1"/>
  <c r="L33" i="3" a="1"/>
  <c r="L33" i="3" s="1"/>
  <c r="L34" i="3" a="1"/>
  <c r="L34" i="3" s="1"/>
  <c r="L35" i="3" a="1"/>
  <c r="L35" i="3" s="1"/>
  <c r="L36" i="3" a="1"/>
  <c r="L36" i="3" s="1"/>
  <c r="L37" i="3" a="1"/>
  <c r="L37" i="3" s="1"/>
  <c r="L38" i="3" a="1"/>
  <c r="L38" i="3" s="1"/>
  <c r="L39" i="3" a="1"/>
  <c r="L39" i="3" s="1"/>
  <c r="L40" i="3" a="1"/>
  <c r="L40" i="3" s="1"/>
  <c r="L41" i="3" a="1"/>
  <c r="L41" i="3" s="1"/>
  <c r="L30" i="3" a="1"/>
  <c r="L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30" i="3" a="1"/>
  <c r="K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30" i="3" a="1"/>
  <c r="J30" i="3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30" i="1" a="1"/>
  <c r="L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30" i="1" a="1"/>
  <c r="K30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30" i="1" a="1"/>
  <c r="J30" i="1" s="1"/>
  <c r="J47" i="1" s="1" a="1"/>
  <c r="J47" i="1" s="1"/>
  <c r="J31" i="1" a="1"/>
  <c r="J31" i="1" s="1"/>
  <c r="L42" i="1" l="1"/>
  <c r="K42" i="1"/>
  <c r="F93" i="1"/>
  <c r="F92" i="1"/>
  <c r="F91" i="1"/>
  <c r="F98" i="3"/>
  <c r="F97" i="3"/>
  <c r="D109" i="6" a="1"/>
  <c r="D109" i="6" s="1"/>
  <c r="F109" i="6" s="1"/>
  <c r="D108" i="6" a="1"/>
  <c r="D108" i="6" s="1"/>
  <c r="F108" i="6" s="1"/>
  <c r="D107" i="6" a="1"/>
  <c r="D107" i="6" s="1"/>
  <c r="F107" i="6" s="1"/>
  <c r="F90" i="4"/>
  <c r="F109" i="2"/>
  <c r="F108" i="2"/>
  <c r="F89" i="4"/>
  <c r="F107" i="2"/>
  <c r="D106" i="6" a="1"/>
  <c r="D106" i="6" s="1"/>
  <c r="F106" i="6" s="1"/>
  <c r="D105" i="6" a="1"/>
  <c r="D105" i="6" s="1"/>
  <c r="F105" i="6" s="1"/>
  <c r="F96" i="3"/>
  <c r="F95" i="3"/>
  <c r="F90" i="1"/>
  <c r="F89" i="1"/>
  <c r="F88" i="4"/>
  <c r="F106" i="2"/>
  <c r="D104" i="6" a="1"/>
  <c r="D104" i="6" s="1"/>
  <c r="F104" i="6" s="1"/>
  <c r="D103" i="6" a="1"/>
  <c r="D103" i="6" s="1"/>
  <c r="F103" i="6" s="1"/>
  <c r="D102" i="6" a="1"/>
  <c r="D102" i="6" s="1"/>
  <c r="F102" i="6" s="1"/>
  <c r="F94" i="3"/>
  <c r="F93" i="3"/>
  <c r="F88" i="1"/>
  <c r="F87" i="1"/>
  <c r="F87" i="4"/>
  <c r="F86" i="4"/>
  <c r="F105" i="2"/>
  <c r="F104" i="2"/>
  <c r="F103" i="2"/>
  <c r="D101" i="6" a="1"/>
  <c r="D101" i="6" s="1"/>
  <c r="F101" i="6" s="1"/>
  <c r="D100" i="6" a="1"/>
  <c r="D100" i="6" s="1"/>
  <c r="F100" i="6" s="1"/>
  <c r="F92" i="3"/>
  <c r="F91" i="3"/>
  <c r="F86" i="1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102" i="2"/>
  <c r="F101" i="2"/>
  <c r="D99" i="6" a="1"/>
  <c r="D99" i="6" s="1"/>
  <c r="F99" i="6" s="1"/>
  <c r="D98" i="6" a="1"/>
  <c r="D98" i="6" s="1"/>
  <c r="F98" i="6" s="1"/>
  <c r="F90" i="3"/>
  <c r="F85" i="1"/>
  <c r="F30" i="4"/>
  <c r="F32" i="4"/>
  <c r="F33" i="4"/>
  <c r="F35" i="4"/>
  <c r="F40" i="2"/>
  <c r="F41" i="2"/>
  <c r="F42" i="2"/>
  <c r="F43" i="2"/>
  <c r="F44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D37" i="6" a="1"/>
  <c r="D37" i="6" s="1"/>
  <c r="F37" i="6" s="1"/>
  <c r="D38" i="6" a="1"/>
  <c r="D38" i="6" s="1"/>
  <c r="F38" i="6" s="1"/>
  <c r="D39" i="6" a="1"/>
  <c r="D39" i="6" s="1"/>
  <c r="F39" i="6" s="1"/>
  <c r="D40" i="6" a="1"/>
  <c r="D40" i="6" s="1"/>
  <c r="F40" i="6" s="1"/>
  <c r="D41" i="6" a="1"/>
  <c r="D41" i="6" s="1"/>
  <c r="F41" i="6" s="1"/>
  <c r="D42" i="6" a="1"/>
  <c r="D42" i="6" s="1"/>
  <c r="F42" i="6" s="1"/>
  <c r="D43" i="6" a="1"/>
  <c r="D43" i="6" s="1"/>
  <c r="D44" i="6" a="1"/>
  <c r="D44" i="6" s="1"/>
  <c r="F44" i="6" s="1"/>
  <c r="D45" i="6" a="1"/>
  <c r="D45" i="6" s="1"/>
  <c r="F45" i="6" s="1"/>
  <c r="D46" i="6" a="1"/>
  <c r="D46" i="6" s="1"/>
  <c r="F46" i="6" s="1"/>
  <c r="D47" i="6" a="1"/>
  <c r="D47" i="6" s="1"/>
  <c r="F47" i="6" s="1"/>
  <c r="D48" i="6" a="1"/>
  <c r="D48" i="6" s="1"/>
  <c r="F48" i="6" s="1"/>
  <c r="D49" i="6" a="1"/>
  <c r="D49" i="6" s="1"/>
  <c r="F49" i="6" s="1"/>
  <c r="D50" i="6" a="1"/>
  <c r="D50" i="6" s="1"/>
  <c r="F50" i="6" s="1"/>
  <c r="D51" i="6" a="1"/>
  <c r="D51" i="6" s="1"/>
  <c r="F51" i="6" s="1"/>
  <c r="D52" i="6" a="1"/>
  <c r="D52" i="6" s="1"/>
  <c r="F52" i="6" s="1"/>
  <c r="D53" i="6" a="1"/>
  <c r="D53" i="6" s="1"/>
  <c r="F53" i="6" s="1"/>
  <c r="D54" i="6" a="1"/>
  <c r="D54" i="6" s="1"/>
  <c r="F54" i="6" s="1"/>
  <c r="D55" i="6" a="1"/>
  <c r="D55" i="6" s="1"/>
  <c r="F55" i="6" s="1"/>
  <c r="D56" i="6" a="1"/>
  <c r="D56" i="6" s="1"/>
  <c r="F56" i="6" s="1"/>
  <c r="D57" i="6" a="1"/>
  <c r="D57" i="6" s="1"/>
  <c r="F57" i="6" s="1"/>
  <c r="D58" i="6" a="1"/>
  <c r="D58" i="6" s="1"/>
  <c r="F58" i="6" s="1"/>
  <c r="D59" i="6" a="1"/>
  <c r="D59" i="6" s="1"/>
  <c r="F59" i="6" s="1"/>
  <c r="D60" i="6" a="1"/>
  <c r="D60" i="6" s="1"/>
  <c r="F60" i="6" s="1"/>
  <c r="D61" i="6" a="1"/>
  <c r="D61" i="6" s="1"/>
  <c r="F61" i="6" s="1"/>
  <c r="D62" i="6" a="1"/>
  <c r="D62" i="6" s="1"/>
  <c r="F62" i="6" s="1"/>
  <c r="D63" i="6" a="1"/>
  <c r="D63" i="6" s="1"/>
  <c r="F63" i="6" s="1"/>
  <c r="D64" i="6" a="1"/>
  <c r="D64" i="6" s="1"/>
  <c r="F64" i="6" s="1"/>
  <c r="D65" i="6" a="1"/>
  <c r="D65" i="6" s="1"/>
  <c r="F65" i="6" s="1"/>
  <c r="D66" i="6" a="1"/>
  <c r="D66" i="6" s="1"/>
  <c r="F66" i="6" s="1"/>
  <c r="D67" i="6" a="1"/>
  <c r="D67" i="6" s="1"/>
  <c r="F67" i="6" s="1"/>
  <c r="D68" i="6" a="1"/>
  <c r="D68" i="6" s="1"/>
  <c r="F68" i="6" s="1"/>
  <c r="D69" i="6" a="1"/>
  <c r="D69" i="6" s="1"/>
  <c r="F69" i="6" s="1"/>
  <c r="D70" i="6" a="1"/>
  <c r="D70" i="6" s="1"/>
  <c r="F70" i="6" s="1"/>
  <c r="D71" i="6" a="1"/>
  <c r="D71" i="6" s="1"/>
  <c r="F71" i="6" s="1"/>
  <c r="D72" i="6" a="1"/>
  <c r="D72" i="6" s="1"/>
  <c r="F72" i="6" s="1"/>
  <c r="D73" i="6" a="1"/>
  <c r="D73" i="6" s="1"/>
  <c r="F73" i="6" s="1"/>
  <c r="D74" i="6" a="1"/>
  <c r="D74" i="6" s="1"/>
  <c r="F74" i="6" s="1"/>
  <c r="D75" i="6" a="1"/>
  <c r="D75" i="6" s="1"/>
  <c r="F75" i="6" s="1"/>
  <c r="D76" i="6" a="1"/>
  <c r="D76" i="6" s="1"/>
  <c r="F76" i="6" s="1"/>
  <c r="D77" i="6" a="1"/>
  <c r="D77" i="6" s="1"/>
  <c r="F77" i="6" s="1"/>
  <c r="D78" i="6" a="1"/>
  <c r="D78" i="6" s="1"/>
  <c r="F78" i="6" s="1"/>
  <c r="D79" i="6" a="1"/>
  <c r="D79" i="6" s="1"/>
  <c r="F79" i="6" s="1"/>
  <c r="D80" i="6" a="1"/>
  <c r="D80" i="6" s="1"/>
  <c r="F80" i="6" s="1"/>
  <c r="D81" i="6" a="1"/>
  <c r="D81" i="6" s="1"/>
  <c r="F81" i="6" s="1"/>
  <c r="D82" i="6" a="1"/>
  <c r="D82" i="6" s="1"/>
  <c r="F82" i="6" s="1"/>
  <c r="D83" i="6" a="1"/>
  <c r="D83" i="6" s="1"/>
  <c r="F83" i="6" s="1"/>
  <c r="D84" i="6" a="1"/>
  <c r="D84" i="6" s="1"/>
  <c r="F84" i="6" s="1"/>
  <c r="D85" i="6" a="1"/>
  <c r="D85" i="6" s="1"/>
  <c r="F85" i="6" s="1"/>
  <c r="D86" i="6" a="1"/>
  <c r="D86" i="6" s="1"/>
  <c r="F86" i="6" s="1"/>
  <c r="D87" i="6" a="1"/>
  <c r="D87" i="6" s="1"/>
  <c r="F87" i="6" s="1"/>
  <c r="D88" i="6" a="1"/>
  <c r="D88" i="6" s="1"/>
  <c r="F88" i="6" s="1"/>
  <c r="D89" i="6" a="1"/>
  <c r="D89" i="6" s="1"/>
  <c r="F89" i="6" s="1"/>
  <c r="D90" i="6" a="1"/>
  <c r="D90" i="6" s="1"/>
  <c r="F90" i="6" s="1"/>
  <c r="D91" i="6" a="1"/>
  <c r="D91" i="6" s="1"/>
  <c r="F91" i="6" s="1"/>
  <c r="D92" i="6" a="1"/>
  <c r="D92" i="6" s="1"/>
  <c r="F92" i="6" s="1"/>
  <c r="D93" i="6" a="1"/>
  <c r="D93" i="6" s="1"/>
  <c r="F93" i="6" s="1"/>
  <c r="D94" i="6" a="1"/>
  <c r="D94" i="6" s="1"/>
  <c r="F94" i="6" s="1"/>
  <c r="D95" i="6" a="1"/>
  <c r="D95" i="6" s="1"/>
  <c r="F95" i="6" s="1"/>
  <c r="D96" i="6" a="1"/>
  <c r="D96" i="6" s="1"/>
  <c r="F96" i="6" s="1"/>
  <c r="D97" i="6" a="1"/>
  <c r="D97" i="6" s="1"/>
  <c r="F97" i="6" s="1"/>
  <c r="F30" i="3"/>
  <c r="F31" i="3"/>
  <c r="F32" i="3"/>
  <c r="F33" i="3"/>
  <c r="F34" i="3"/>
  <c r="F35" i="3"/>
  <c r="F36" i="3"/>
  <c r="F37" i="3"/>
  <c r="F38" i="3"/>
  <c r="F39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A3" i="1"/>
  <c r="B3" i="1"/>
  <c r="B2" i="2"/>
  <c r="L5" i="3" l="1" a="1"/>
  <c r="L5" i="3" s="1"/>
  <c r="F30" i="1"/>
  <c r="K4" i="1" a="1"/>
  <c r="K4" i="1" s="1"/>
  <c r="E45" i="2"/>
  <c r="F45" i="2" s="1"/>
  <c r="E43" i="6"/>
  <c r="F43" i="6" s="1"/>
  <c r="E40" i="3"/>
  <c r="F40" i="3" s="1"/>
  <c r="L6" i="1" l="1" a="1"/>
  <c r="L6" i="1" s="1"/>
  <c r="L4" i="1" a="1"/>
  <c r="L4" i="1" s="1"/>
  <c r="B2" i="4"/>
  <c r="B4" i="4"/>
  <c r="B3" i="4"/>
  <c r="L58" i="4"/>
  <c r="K58" i="4" a="1"/>
  <c r="K58" i="4" s="1"/>
  <c r="L57" i="4"/>
  <c r="K57" i="4" a="1"/>
  <c r="K57" i="4" s="1"/>
  <c r="L56" i="4"/>
  <c r="K56" i="4" a="1"/>
  <c r="K56" i="4" s="1"/>
  <c r="L55" i="4"/>
  <c r="K55" i="4" a="1"/>
  <c r="K55" i="4" s="1"/>
  <c r="L54" i="4"/>
  <c r="K54" i="4" a="1"/>
  <c r="K54" i="4" s="1"/>
  <c r="L53" i="4"/>
  <c r="K53" i="4" a="1"/>
  <c r="K53" i="4" s="1"/>
  <c r="L52" i="4"/>
  <c r="K52" i="4" a="1"/>
  <c r="K52" i="4" s="1"/>
  <c r="L51" i="4"/>
  <c r="J51" i="4" a="1"/>
  <c r="J51" i="4" s="1"/>
  <c r="F34" i="4"/>
  <c r="L50" i="4"/>
  <c r="K50" i="4" a="1"/>
  <c r="K50" i="4" s="1"/>
  <c r="L49" i="4"/>
  <c r="K49" i="4" a="1"/>
  <c r="K49" i="4" s="1"/>
  <c r="L48" i="4"/>
  <c r="K48" i="4" a="1"/>
  <c r="K48" i="4" s="1"/>
  <c r="D31" i="4" a="1"/>
  <c r="D31" i="4" s="1"/>
  <c r="F31" i="4" s="1"/>
  <c r="L47" i="4"/>
  <c r="J47" i="4" a="1"/>
  <c r="J47" i="4" s="1"/>
  <c r="A4" i="4"/>
  <c r="A3" i="4"/>
  <c r="K48" i="3" a="1"/>
  <c r="K48" i="3" s="1"/>
  <c r="L48" i="3"/>
  <c r="K49" i="3" a="1"/>
  <c r="K49" i="3" s="1"/>
  <c r="L49" i="3"/>
  <c r="K50" i="3" a="1"/>
  <c r="K50" i="3" s="1"/>
  <c r="L50" i="3"/>
  <c r="K51" i="3" a="1"/>
  <c r="K51" i="3" s="1"/>
  <c r="L51" i="3"/>
  <c r="J52" i="3" a="1"/>
  <c r="J52" i="3" s="1"/>
  <c r="L52" i="3"/>
  <c r="K53" i="3" a="1"/>
  <c r="K53" i="3" s="1"/>
  <c r="L53" i="3"/>
  <c r="K54" i="3" a="1"/>
  <c r="K54" i="3" s="1"/>
  <c r="L54" i="3"/>
  <c r="J55" i="3" a="1"/>
  <c r="J55" i="3" s="1"/>
  <c r="K55" i="3" a="1"/>
  <c r="K55" i="3" s="1"/>
  <c r="K56" i="3" a="1"/>
  <c r="K56" i="3" s="1"/>
  <c r="L56" i="3"/>
  <c r="J57" i="3" a="1"/>
  <c r="J57" i="3" s="1"/>
  <c r="K57" i="3" a="1"/>
  <c r="K57" i="3" s="1"/>
  <c r="K58" i="3" a="1"/>
  <c r="K58" i="3" s="1"/>
  <c r="L58" i="3"/>
  <c r="K54" i="6" a="1"/>
  <c r="K54" i="6" s="1"/>
  <c r="L55" i="6"/>
  <c r="J56" i="6" a="1"/>
  <c r="J56" i="6" s="1"/>
  <c r="K56" i="6" a="1"/>
  <c r="K56" i="6" s="1"/>
  <c r="L56" i="6"/>
  <c r="K57" i="6" a="1"/>
  <c r="K57" i="6" s="1"/>
  <c r="L57" i="6"/>
  <c r="J58" i="6" a="1"/>
  <c r="J58" i="6" s="1"/>
  <c r="K58" i="6" a="1"/>
  <c r="K58" i="6" s="1"/>
  <c r="L58" i="6"/>
  <c r="J59" i="6" a="1"/>
  <c r="J59" i="6" s="1"/>
  <c r="L59" i="6"/>
  <c r="J60" i="6" a="1"/>
  <c r="J60" i="6" s="1"/>
  <c r="L60" i="6"/>
  <c r="J61" i="6" a="1"/>
  <c r="J61" i="6" s="1"/>
  <c r="K61" i="6" a="1"/>
  <c r="K61" i="6" s="1"/>
  <c r="J62" i="6" a="1"/>
  <c r="J62" i="6" s="1"/>
  <c r="K62" i="6" a="1"/>
  <c r="K62" i="6" s="1"/>
  <c r="L62" i="6"/>
  <c r="K63" i="6" a="1"/>
  <c r="K63" i="6" s="1"/>
  <c r="L63" i="6"/>
  <c r="K64" i="6" a="1"/>
  <c r="K64" i="6" s="1"/>
  <c r="L64" i="6"/>
  <c r="J65" i="6" a="1"/>
  <c r="J65" i="6" s="1"/>
  <c r="K65" i="6" a="1"/>
  <c r="K65" i="6" s="1"/>
  <c r="L65" i="6"/>
  <c r="B2" i="6"/>
  <c r="B3" i="6"/>
  <c r="C3" i="6" s="1"/>
  <c r="B4" i="6"/>
  <c r="C2" i="2"/>
  <c r="B4" i="2"/>
  <c r="J57" i="2" a="1"/>
  <c r="J57" i="2" s="1"/>
  <c r="K57" i="2" a="1"/>
  <c r="K57" i="2" s="1"/>
  <c r="J58" i="2" a="1"/>
  <c r="J58" i="2" s="1"/>
  <c r="K58" i="2" a="1"/>
  <c r="K58" i="2" s="1"/>
  <c r="L58" i="2"/>
  <c r="K59" i="2" a="1"/>
  <c r="K59" i="2" s="1"/>
  <c r="L59" i="2"/>
  <c r="K60" i="2" a="1"/>
  <c r="K60" i="2" s="1"/>
  <c r="L60" i="2"/>
  <c r="J61" i="2" a="1"/>
  <c r="J61" i="2" s="1"/>
  <c r="K61" i="2" a="1"/>
  <c r="K61" i="2" s="1"/>
  <c r="L61" i="2"/>
  <c r="J62" i="2" a="1"/>
  <c r="J62" i="2" s="1"/>
  <c r="K62" i="2" a="1"/>
  <c r="K62" i="2" s="1"/>
  <c r="L62" i="2"/>
  <c r="K63" i="2" a="1"/>
  <c r="K63" i="2" s="1"/>
  <c r="L63" i="2"/>
  <c r="K64" i="2" a="1"/>
  <c r="K64" i="2" s="1"/>
  <c r="L64" i="2"/>
  <c r="J65" i="2" a="1"/>
  <c r="J65" i="2" s="1"/>
  <c r="K65" i="2" a="1"/>
  <c r="K65" i="2" s="1"/>
  <c r="L65" i="2"/>
  <c r="K66" i="2" a="1"/>
  <c r="K66" i="2" s="1"/>
  <c r="L66" i="2"/>
  <c r="K67" i="2" a="1"/>
  <c r="K67" i="2" s="1"/>
  <c r="L67" i="2"/>
  <c r="J68" i="2" a="1"/>
  <c r="J68" i="2" s="1"/>
  <c r="K68" i="2" a="1"/>
  <c r="K68" i="2" s="1"/>
  <c r="C4" i="6" l="1"/>
  <c r="K5" i="4" a="1"/>
  <c r="K5" i="4" s="1"/>
  <c r="K6" i="4" a="1"/>
  <c r="K6" i="4" s="1"/>
  <c r="K11" i="4" a="1"/>
  <c r="K11" i="4" s="1"/>
  <c r="K7" i="4" a="1"/>
  <c r="K7" i="4" s="1"/>
  <c r="K9" i="4" a="1"/>
  <c r="K9" i="4" s="1"/>
  <c r="K13" i="4" a="1"/>
  <c r="K13" i="4" s="1"/>
  <c r="K8" i="4" a="1"/>
  <c r="K8" i="4" s="1"/>
  <c r="K10" i="4" a="1"/>
  <c r="K10" i="4" s="1"/>
  <c r="K14" i="4" a="1"/>
  <c r="K14" i="4" s="1"/>
  <c r="K15" i="4" a="1"/>
  <c r="K15" i="4" s="1"/>
  <c r="K4" i="4" a="1"/>
  <c r="K4" i="4" s="1"/>
  <c r="L15" i="4" a="1"/>
  <c r="L15" i="4" s="1"/>
  <c r="K12" i="4" a="1"/>
  <c r="K12" i="4" s="1"/>
  <c r="L10" i="2" a="1"/>
  <c r="L10" i="2" s="1"/>
  <c r="K9" i="2" a="1"/>
  <c r="K9" i="2" s="1"/>
  <c r="K7" i="2" a="1"/>
  <c r="K7" i="2" s="1"/>
  <c r="K11" i="2" a="1"/>
  <c r="K11" i="2" s="1"/>
  <c r="K6" i="2" a="1"/>
  <c r="K6" i="2" s="1"/>
  <c r="K10" i="2" a="1"/>
  <c r="K10" i="2" s="1"/>
  <c r="K13" i="2" a="1"/>
  <c r="K13" i="2" s="1"/>
  <c r="K8" i="2" a="1"/>
  <c r="K8" i="2" s="1"/>
  <c r="K12" i="2" a="1"/>
  <c r="K12" i="2" s="1"/>
  <c r="K14" i="2" a="1"/>
  <c r="K14" i="2" s="1"/>
  <c r="K15" i="2" a="1"/>
  <c r="K15" i="2" s="1"/>
  <c r="K4" i="2" a="1"/>
  <c r="K4" i="2" s="1"/>
  <c r="K5" i="2" a="1"/>
  <c r="K5" i="2" s="1"/>
  <c r="K8" i="6" a="1"/>
  <c r="K8" i="6" s="1"/>
  <c r="K15" i="6" a="1"/>
  <c r="K15" i="6" s="1"/>
  <c r="K9" i="6" a="1"/>
  <c r="K9" i="6" s="1"/>
  <c r="K14" i="6" a="1"/>
  <c r="K14" i="6" s="1"/>
  <c r="K10" i="6" a="1"/>
  <c r="K10" i="6" s="1"/>
  <c r="K13" i="6" a="1"/>
  <c r="K13" i="6" s="1"/>
  <c r="K6" i="6" a="1"/>
  <c r="K6" i="6" s="1"/>
  <c r="K11" i="6" a="1"/>
  <c r="K11" i="6" s="1"/>
  <c r="K12" i="6" a="1"/>
  <c r="K12" i="6" s="1"/>
  <c r="K7" i="6" a="1"/>
  <c r="K7" i="6" s="1"/>
  <c r="K4" i="6" a="1"/>
  <c r="K4" i="6" s="1"/>
  <c r="L10" i="6" a="1"/>
  <c r="L10" i="6" s="1"/>
  <c r="K5" i="6" a="1"/>
  <c r="K5" i="6" s="1"/>
  <c r="C4" i="2"/>
  <c r="L4" i="6" a="1"/>
  <c r="L4" i="6" s="1"/>
  <c r="L14" i="6" a="1"/>
  <c r="L14" i="6" s="1"/>
  <c r="L9" i="4" a="1"/>
  <c r="L9" i="4" s="1"/>
  <c r="L5" i="4" a="1"/>
  <c r="L5" i="4" s="1"/>
  <c r="L6" i="4" a="1"/>
  <c r="L6" i="4" s="1"/>
  <c r="L14" i="4" a="1"/>
  <c r="L14" i="4" s="1"/>
  <c r="L4" i="4" a="1"/>
  <c r="L4" i="4" s="1"/>
  <c r="L61" i="6"/>
  <c r="M44" i="6"/>
  <c r="M61" i="6" s="1" a="1"/>
  <c r="M61" i="6" s="1"/>
  <c r="M43" i="6"/>
  <c r="M60" i="6" s="1" a="1"/>
  <c r="M60" i="6" s="1"/>
  <c r="K60" i="6" a="1"/>
  <c r="K60" i="6" s="1"/>
  <c r="C2" i="6"/>
  <c r="C2" i="4"/>
  <c r="C3" i="4"/>
  <c r="J54" i="3" a="1"/>
  <c r="J54" i="3" s="1"/>
  <c r="M37" i="3"/>
  <c r="M54" i="3" s="1" a="1"/>
  <c r="M54" i="3" s="1"/>
  <c r="M34" i="4"/>
  <c r="M51" i="4" s="1" a="1"/>
  <c r="M51" i="4" s="1"/>
  <c r="K51" i="4" a="1"/>
  <c r="K51" i="4" s="1"/>
  <c r="J58" i="4" a="1"/>
  <c r="J58" i="4" s="1"/>
  <c r="M41" i="4"/>
  <c r="M58" i="4" s="1" a="1"/>
  <c r="M58" i="4" s="1"/>
  <c r="M31" i="4"/>
  <c r="M48" i="4" s="1" a="1"/>
  <c r="M48" i="4" s="1"/>
  <c r="J48" i="4" a="1"/>
  <c r="J48" i="4" s="1"/>
  <c r="M35" i="4"/>
  <c r="M52" i="4" s="1" a="1"/>
  <c r="M52" i="4" s="1"/>
  <c r="J52" i="4" a="1"/>
  <c r="J52" i="4" s="1"/>
  <c r="J50" i="4" a="1"/>
  <c r="J50" i="4" s="1"/>
  <c r="M33" i="4"/>
  <c r="M50" i="4" s="1" a="1"/>
  <c r="M50" i="4" s="1"/>
  <c r="M40" i="4"/>
  <c r="M57" i="4" s="1" a="1"/>
  <c r="M57" i="4" s="1"/>
  <c r="J57" i="4" a="1"/>
  <c r="J57" i="4" s="1"/>
  <c r="M37" i="4"/>
  <c r="M54" i="4" s="1" a="1"/>
  <c r="M54" i="4" s="1"/>
  <c r="J54" i="4" a="1"/>
  <c r="J54" i="4" s="1"/>
  <c r="L42" i="4"/>
  <c r="L59" i="4" s="1"/>
  <c r="M38" i="4"/>
  <c r="M55" i="4" s="1" a="1"/>
  <c r="M55" i="4" s="1"/>
  <c r="J55" i="4" a="1"/>
  <c r="J55" i="4" s="1"/>
  <c r="J42" i="4"/>
  <c r="M30" i="4"/>
  <c r="M47" i="4" s="1" a="1"/>
  <c r="M47" i="4" s="1"/>
  <c r="M32" i="4"/>
  <c r="M49" i="4" s="1" a="1"/>
  <c r="M49" i="4" s="1"/>
  <c r="J49" i="4" a="1"/>
  <c r="J49" i="4" s="1"/>
  <c r="M39" i="4"/>
  <c r="M56" i="4" s="1" a="1"/>
  <c r="M56" i="4" s="1"/>
  <c r="J56" i="4" a="1"/>
  <c r="J56" i="4" s="1"/>
  <c r="J53" i="4" a="1"/>
  <c r="J53" i="4" s="1"/>
  <c r="M36" i="4"/>
  <c r="M53" i="4" s="1" a="1"/>
  <c r="M53" i="4" s="1"/>
  <c r="K42" i="4"/>
  <c r="K59" i="4" s="1"/>
  <c r="K47" i="4" a="1"/>
  <c r="K47" i="4" s="1"/>
  <c r="C4" i="4"/>
  <c r="M47" i="2"/>
  <c r="M64" i="2" s="1" a="1"/>
  <c r="M64" i="2" s="1"/>
  <c r="J64" i="2" a="1"/>
  <c r="J64" i="2" s="1"/>
  <c r="M51" i="2"/>
  <c r="M68" i="2" s="1" a="1"/>
  <c r="M68" i="2" s="1"/>
  <c r="L68" i="2"/>
  <c r="M43" i="2"/>
  <c r="M60" i="2" s="1" a="1"/>
  <c r="M60" i="2" s="1"/>
  <c r="J60" i="2" a="1"/>
  <c r="J60" i="2" s="1"/>
  <c r="M34" i="3"/>
  <c r="M51" i="3" s="1" a="1"/>
  <c r="M51" i="3" s="1"/>
  <c r="J51" i="3" a="1"/>
  <c r="J51" i="3" s="1"/>
  <c r="M41" i="3"/>
  <c r="M58" i="3" s="1" a="1"/>
  <c r="M58" i="3" s="1"/>
  <c r="J58" i="3" a="1"/>
  <c r="J58" i="3" s="1"/>
  <c r="L57" i="3"/>
  <c r="M40" i="3"/>
  <c r="M57" i="3" s="1" a="1"/>
  <c r="M57" i="3" s="1"/>
  <c r="J50" i="3" a="1"/>
  <c r="J50" i="3" s="1"/>
  <c r="M33" i="3"/>
  <c r="M50" i="3" s="1" a="1"/>
  <c r="M50" i="3" s="1"/>
  <c r="M35" i="3"/>
  <c r="M52" i="3" s="1" a="1"/>
  <c r="M52" i="3" s="1"/>
  <c r="K52" i="3" a="1"/>
  <c r="K52" i="3" s="1"/>
  <c r="M31" i="3"/>
  <c r="M48" i="3" s="1" a="1"/>
  <c r="M48" i="3" s="1"/>
  <c r="J48" i="3" a="1"/>
  <c r="J48" i="3" s="1"/>
  <c r="M32" i="3"/>
  <c r="M49" i="3" s="1" a="1"/>
  <c r="M49" i="3" s="1"/>
  <c r="L47" i="3"/>
  <c r="L42" i="3"/>
  <c r="L59" i="3" s="1"/>
  <c r="K47" i="3" a="1"/>
  <c r="K47" i="3" s="1"/>
  <c r="K42" i="3"/>
  <c r="K59" i="3" s="1"/>
  <c r="J56" i="3" a="1"/>
  <c r="J56" i="3" s="1"/>
  <c r="M39" i="3"/>
  <c r="M56" i="3" s="1" a="1"/>
  <c r="M56" i="3" s="1"/>
  <c r="M36" i="3"/>
  <c r="M53" i="3" s="1" a="1"/>
  <c r="M53" i="3" s="1"/>
  <c r="J53" i="3" a="1"/>
  <c r="J53" i="3" s="1"/>
  <c r="L55" i="3"/>
  <c r="M38" i="3"/>
  <c r="M55" i="3" s="1" a="1"/>
  <c r="M55" i="3" s="1"/>
  <c r="M30" i="3"/>
  <c r="M47" i="3" s="1" a="1"/>
  <c r="M47" i="3" s="1"/>
  <c r="J42" i="3"/>
  <c r="J47" i="3" a="1"/>
  <c r="J47" i="3" s="1"/>
  <c r="J49" i="3" a="1"/>
  <c r="J49" i="3" s="1"/>
  <c r="M42" i="6"/>
  <c r="M59" i="6" s="1" a="1"/>
  <c r="M59" i="6" s="1"/>
  <c r="K59" i="6" a="1"/>
  <c r="K59" i="6" s="1"/>
  <c r="L49" i="6"/>
  <c r="L66" i="6" s="1"/>
  <c r="L54" i="6"/>
  <c r="M40" i="6"/>
  <c r="M57" i="6" s="1" a="1"/>
  <c r="M57" i="6" s="1"/>
  <c r="J57" i="6" a="1"/>
  <c r="J57" i="6" s="1"/>
  <c r="M39" i="6"/>
  <c r="M56" i="6" s="1" a="1"/>
  <c r="M56" i="6" s="1"/>
  <c r="M48" i="6"/>
  <c r="M65" i="6" s="1" a="1"/>
  <c r="M65" i="6" s="1"/>
  <c r="M46" i="6"/>
  <c r="M63" i="6" s="1" a="1"/>
  <c r="M63" i="6" s="1"/>
  <c r="J63" i="6" a="1"/>
  <c r="J63" i="6" s="1"/>
  <c r="M41" i="6"/>
  <c r="M58" i="6" s="1" a="1"/>
  <c r="M58" i="6" s="1"/>
  <c r="M47" i="6"/>
  <c r="M64" i="6" s="1" a="1"/>
  <c r="M64" i="6" s="1"/>
  <c r="J64" i="6" a="1"/>
  <c r="J64" i="6" s="1"/>
  <c r="K55" i="6" a="1"/>
  <c r="K55" i="6" s="1"/>
  <c r="K49" i="6"/>
  <c r="K66" i="6" s="1"/>
  <c r="M38" i="6"/>
  <c r="M55" i="6" s="1" a="1"/>
  <c r="M55" i="6" s="1"/>
  <c r="J55" i="6" a="1"/>
  <c r="J55" i="6" s="1"/>
  <c r="M37" i="6"/>
  <c r="M54" i="6" s="1" a="1"/>
  <c r="M54" i="6" s="1"/>
  <c r="J49" i="6"/>
  <c r="J54" i="6" a="1"/>
  <c r="J54" i="6" s="1"/>
  <c r="M45" i="6"/>
  <c r="M62" i="6" s="1" a="1"/>
  <c r="M62" i="6" s="1"/>
  <c r="M50" i="2"/>
  <c r="M67" i="2" s="1" a="1"/>
  <c r="M67" i="2" s="1"/>
  <c r="J67" i="2" a="1"/>
  <c r="J67" i="2" s="1"/>
  <c r="L52" i="2"/>
  <c r="L69" i="2" s="1"/>
  <c r="L57" i="2"/>
  <c r="M44" i="2"/>
  <c r="M61" i="2" s="1" a="1"/>
  <c r="M61" i="2" s="1"/>
  <c r="K52" i="2"/>
  <c r="K69" i="2" s="1"/>
  <c r="J63" i="2" a="1"/>
  <c r="J63" i="2" s="1"/>
  <c r="M46" i="2"/>
  <c r="M63" i="2" s="1" a="1"/>
  <c r="M63" i="2" s="1"/>
  <c r="M48" i="2"/>
  <c r="M65" i="2" s="1" a="1"/>
  <c r="M65" i="2" s="1"/>
  <c r="M42" i="2"/>
  <c r="M59" i="2" s="1" a="1"/>
  <c r="M59" i="2" s="1"/>
  <c r="J59" i="2" a="1"/>
  <c r="J59" i="2" s="1"/>
  <c r="M40" i="2"/>
  <c r="M45" i="2"/>
  <c r="M62" i="2" s="1" a="1"/>
  <c r="M62" i="2" s="1"/>
  <c r="J66" i="2" a="1"/>
  <c r="J66" i="2" s="1"/>
  <c r="M49" i="2"/>
  <c r="M66" i="2" s="1" a="1"/>
  <c r="M66" i="2" s="1"/>
  <c r="M41" i="2"/>
  <c r="J52" i="2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47" i="1" a="1"/>
  <c r="L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47" i="1" a="1"/>
  <c r="K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B4" i="3"/>
  <c r="B3" i="3"/>
  <c r="B2" i="3"/>
  <c r="B2" i="1"/>
  <c r="C3" i="3" l="1"/>
  <c r="C2" i="3"/>
  <c r="M57" i="2" a="1"/>
  <c r="M57" i="2" s="1"/>
  <c r="M58" i="2" a="1"/>
  <c r="M58" i="2" s="1"/>
  <c r="K16" i="4"/>
  <c r="L7" i="4" a="1"/>
  <c r="L7" i="4" s="1"/>
  <c r="L13" i="4" a="1"/>
  <c r="L13" i="4" s="1"/>
  <c r="L11" i="4" a="1"/>
  <c r="L11" i="4" s="1"/>
  <c r="L8" i="4" a="1"/>
  <c r="L8" i="4" s="1"/>
  <c r="L10" i="4" a="1"/>
  <c r="L10" i="4" s="1"/>
  <c r="L12" i="4" a="1"/>
  <c r="L12" i="4" s="1"/>
  <c r="K16" i="2"/>
  <c r="K16" i="6"/>
  <c r="L9" i="6" a="1"/>
  <c r="L9" i="6" s="1"/>
  <c r="L11" i="6" a="1"/>
  <c r="L11" i="6" s="1"/>
  <c r="L6" i="6" a="1"/>
  <c r="L6" i="6" s="1"/>
  <c r="L12" i="6" a="1"/>
  <c r="L12" i="6" s="1"/>
  <c r="L15" i="6" a="1"/>
  <c r="L15" i="6" s="1"/>
  <c r="L8" i="6" a="1"/>
  <c r="L8" i="6" s="1"/>
  <c r="L5" i="6" a="1"/>
  <c r="L5" i="6" s="1"/>
  <c r="L13" i="6" a="1"/>
  <c r="L13" i="6" s="1"/>
  <c r="L7" i="6" a="1"/>
  <c r="L7" i="6" s="1"/>
  <c r="K8" i="3" a="1"/>
  <c r="K8" i="3" s="1"/>
  <c r="K14" i="3" a="1"/>
  <c r="K14" i="3" s="1"/>
  <c r="K9" i="3" a="1"/>
  <c r="K9" i="3" s="1"/>
  <c r="K15" i="3" a="1"/>
  <c r="K15" i="3" s="1"/>
  <c r="K10" i="3" a="1"/>
  <c r="K10" i="3" s="1"/>
  <c r="K13" i="3" a="1"/>
  <c r="K13" i="3" s="1"/>
  <c r="K4" i="3" a="1"/>
  <c r="K4" i="3" s="1"/>
  <c r="K11" i="3" a="1"/>
  <c r="K11" i="3" s="1"/>
  <c r="K12" i="3" a="1"/>
  <c r="K12" i="3" s="1"/>
  <c r="K7" i="3" a="1"/>
  <c r="K7" i="3" s="1"/>
  <c r="K5" i="3" a="1"/>
  <c r="K5" i="3" s="1"/>
  <c r="K6" i="3" a="1"/>
  <c r="K6" i="3" s="1"/>
  <c r="K7" i="1" a="1"/>
  <c r="K7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5" i="1" a="1"/>
  <c r="K5" i="1" s="1"/>
  <c r="K6" i="1" a="1"/>
  <c r="K6" i="1" s="1"/>
  <c r="K8" i="1" a="1"/>
  <c r="K8" i="1" s="1"/>
  <c r="K9" i="1" a="1"/>
  <c r="K9" i="1" s="1"/>
  <c r="L7" i="2" a="1"/>
  <c r="L7" i="2" s="1"/>
  <c r="L6" i="2" a="1"/>
  <c r="L6" i="2" s="1"/>
  <c r="L11" i="2" a="1"/>
  <c r="L11" i="2" s="1"/>
  <c r="L13" i="2" a="1"/>
  <c r="L13" i="2" s="1"/>
  <c r="L12" i="2" a="1"/>
  <c r="L12" i="2" s="1"/>
  <c r="L15" i="2" a="1"/>
  <c r="L15" i="2" s="1"/>
  <c r="L9" i="2" a="1"/>
  <c r="L9" i="2" s="1"/>
  <c r="L14" i="2" a="1"/>
  <c r="L14" i="2" s="1"/>
  <c r="L4" i="2" a="1"/>
  <c r="L4" i="2" s="1"/>
  <c r="L8" i="2" a="1"/>
  <c r="L8" i="2" s="1"/>
  <c r="L5" i="2" a="1"/>
  <c r="L5" i="2" s="1"/>
  <c r="M42" i="4"/>
  <c r="M59" i="4" s="1"/>
  <c r="J59" i="4"/>
  <c r="M42" i="3"/>
  <c r="M59" i="3" s="1"/>
  <c r="J59" i="3"/>
  <c r="J66" i="6"/>
  <c r="M49" i="6"/>
  <c r="M66" i="6" s="1"/>
  <c r="M52" i="2"/>
  <c r="M69" i="2" s="1"/>
  <c r="J69" i="2"/>
  <c r="M33" i="1"/>
  <c r="M50" i="1" s="1" a="1"/>
  <c r="M50" i="1" s="1"/>
  <c r="J42" i="1"/>
  <c r="M32" i="1"/>
  <c r="M49" i="1" s="1" a="1"/>
  <c r="M49" i="1" s="1"/>
  <c r="M40" i="1"/>
  <c r="M57" i="1" s="1" a="1"/>
  <c r="M57" i="1" s="1"/>
  <c r="M41" i="1"/>
  <c r="M58" i="1" s="1" a="1"/>
  <c r="M58" i="1" s="1"/>
  <c r="M38" i="1"/>
  <c r="M55" i="1" s="1" a="1"/>
  <c r="M55" i="1" s="1"/>
  <c r="M35" i="1"/>
  <c r="M52" i="1" s="1" a="1"/>
  <c r="M52" i="1" s="1"/>
  <c r="M36" i="1"/>
  <c r="M53" i="1" s="1" a="1"/>
  <c r="M53" i="1" s="1"/>
  <c r="M34" i="1"/>
  <c r="M51" i="1" s="1" a="1"/>
  <c r="M51" i="1" s="1"/>
  <c r="M39" i="1"/>
  <c r="M56" i="1" s="1" a="1"/>
  <c r="M56" i="1" s="1"/>
  <c r="M37" i="1"/>
  <c r="M54" i="1" s="1" a="1"/>
  <c r="M54" i="1" s="1"/>
  <c r="M31" i="1"/>
  <c r="M48" i="1" s="1" a="1"/>
  <c r="M48" i="1" s="1"/>
  <c r="M30" i="1"/>
  <c r="M47" i="1" s="1" a="1"/>
  <c r="M47" i="1" s="1"/>
  <c r="L59" i="1" a="1"/>
  <c r="L59" i="1" s="1"/>
  <c r="C4" i="3"/>
  <c r="A2" i="1"/>
  <c r="A4" i="1"/>
  <c r="B4" i="1"/>
  <c r="J59" i="1" l="1"/>
  <c r="M42" i="1"/>
  <c r="L16" i="4"/>
  <c r="L16" i="6"/>
  <c r="K16" i="3"/>
  <c r="L12" i="3" a="1"/>
  <c r="L12" i="3" s="1"/>
  <c r="L4" i="3" a="1"/>
  <c r="L4" i="3" s="1"/>
  <c r="K16" i="1"/>
  <c r="N2" i="1" s="1"/>
  <c r="L6" i="3" a="1"/>
  <c r="L6" i="3" s="1"/>
  <c r="L15" i="3" a="1"/>
  <c r="L15" i="3" s="1"/>
  <c r="L16" i="2"/>
  <c r="L14" i="3" a="1"/>
  <c r="L14" i="3" s="1"/>
  <c r="L13" i="3" a="1"/>
  <c r="L13" i="3" s="1"/>
  <c r="L11" i="3" a="1"/>
  <c r="L11" i="3" s="1"/>
  <c r="L8" i="3" a="1"/>
  <c r="L8" i="3" s="1"/>
  <c r="L10" i="3" a="1"/>
  <c r="L10" i="3" s="1"/>
  <c r="L9" i="3" a="1"/>
  <c r="L9" i="3" s="1"/>
  <c r="L7" i="3" a="1"/>
  <c r="L7" i="3" s="1"/>
  <c r="L5" i="1" a="1"/>
  <c r="L5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M59" i="1"/>
  <c r="K59" i="1"/>
  <c r="C3" i="1"/>
  <c r="C4" i="1"/>
  <c r="C2" i="1"/>
  <c r="U19" i="1" l="1"/>
  <c r="V19" i="1" s="1"/>
  <c r="L16" i="3"/>
  <c r="U30" i="1" l="1"/>
  <c r="V30" i="1" s="1"/>
  <c r="L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T28" authorId="0" shapeId="0" xr:uid="{00000000-0006-0000-0100-000002000000}">
      <text>
        <r>
          <rPr>
            <sz val="10"/>
            <color indexed="81"/>
            <rFont val="Tahoma"/>
            <family val="2"/>
            <charset val="204"/>
          </rPr>
          <t xml:space="preserve">1) При </t>
        </r>
        <r>
          <rPr>
            <b/>
            <sz val="10"/>
            <color indexed="81"/>
            <rFont val="Tahoma"/>
            <family val="2"/>
            <charset val="204"/>
          </rPr>
          <t>25%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общие </t>
        </r>
        <r>
          <rPr>
            <b/>
            <sz val="10"/>
            <color indexed="81"/>
            <rFont val="Tahoma"/>
            <family val="2"/>
            <charset val="204"/>
          </rPr>
          <t>1170</t>
        </r>
        <r>
          <rPr>
            <sz val="10"/>
            <color indexed="81"/>
            <rFont val="Tahoma"/>
            <family val="2"/>
            <charset val="204"/>
          </rPr>
          <t xml:space="preserve">
2) При </t>
        </r>
        <r>
          <rPr>
            <b/>
            <sz val="10"/>
            <color indexed="81"/>
            <rFont val="Tahoma"/>
            <family val="2"/>
            <charset val="204"/>
          </rPr>
          <t>20%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общие </t>
        </r>
        <r>
          <rPr>
            <b/>
            <sz val="10"/>
            <color indexed="81"/>
            <rFont val="Tahoma"/>
            <family val="2"/>
            <charset val="204"/>
          </rPr>
          <t>936</t>
        </r>
        <r>
          <rPr>
            <sz val="10"/>
            <color indexed="81"/>
            <rFont val="Tahoma"/>
            <family val="2"/>
            <charset val="204"/>
          </rPr>
          <t xml:space="preserve">
3) При </t>
        </r>
        <r>
          <rPr>
            <b/>
            <sz val="10"/>
            <color indexed="81"/>
            <rFont val="Tahoma"/>
            <family val="2"/>
            <charset val="204"/>
          </rPr>
          <t>15%</t>
        </r>
        <r>
          <rPr>
            <sz val="10"/>
            <color indexed="81"/>
            <rFont val="Tahoma"/>
            <family val="2"/>
            <charset val="204"/>
          </rPr>
          <t xml:space="preserve"> продаж об общего числа: общие </t>
        </r>
        <r>
          <rPr>
            <b/>
            <sz val="10"/>
            <color indexed="81"/>
            <rFont val="Tahoma"/>
            <family val="2"/>
            <charset val="204"/>
          </rPr>
          <t>702</t>
        </r>
        <r>
          <rPr>
            <sz val="10"/>
            <color indexed="81"/>
            <rFont val="Tahoma"/>
            <family val="2"/>
            <charset val="204"/>
          </rPr>
          <t xml:space="preserve">
В 2024 году 534 шт.
</t>
        </r>
        <r>
          <rPr>
            <b/>
            <sz val="10"/>
            <color indexed="81"/>
            <rFont val="Tahoma"/>
            <family val="2"/>
            <charset val="204"/>
          </rPr>
          <t>-6% или +20% от данного количества 502-641.
41,8-53,4 в месяц.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26" authorId="0" shapeId="0" xr:uid="{00000000-0006-0000-0200-000001000000}">
      <text>
        <r>
          <rPr>
            <sz val="10"/>
            <color indexed="81"/>
            <rFont val="Tahoma"/>
            <family val="2"/>
            <charset val="204"/>
          </rPr>
          <t xml:space="preserve">1) При </t>
        </r>
        <r>
          <rPr>
            <b/>
            <sz val="10"/>
            <color indexed="81"/>
            <rFont val="Tahoma"/>
            <family val="2"/>
            <charset val="204"/>
          </rPr>
          <t>25%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2525</t>
        </r>
        <r>
          <rPr>
            <sz val="10"/>
            <color indexed="81"/>
            <rFont val="Tahoma"/>
            <family val="2"/>
            <charset val="204"/>
          </rPr>
          <t xml:space="preserve">
2) При </t>
        </r>
        <r>
          <rPr>
            <b/>
            <sz val="10"/>
            <color indexed="81"/>
            <rFont val="Tahoma"/>
            <family val="2"/>
            <charset val="204"/>
          </rPr>
          <t>20%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2020</t>
        </r>
        <r>
          <rPr>
            <sz val="10"/>
            <color indexed="81"/>
            <rFont val="Tahoma"/>
            <family val="2"/>
            <charset val="204"/>
          </rPr>
          <t xml:space="preserve">
3) При </t>
        </r>
        <r>
          <rPr>
            <b/>
            <sz val="10"/>
            <color indexed="81"/>
            <rFont val="Tahoma"/>
            <family val="2"/>
            <charset val="204"/>
          </rPr>
          <t>15%</t>
        </r>
        <r>
          <rPr>
            <sz val="10"/>
            <color indexed="81"/>
            <rFont val="Tahoma"/>
            <family val="2"/>
            <charset val="204"/>
          </rPr>
          <t xml:space="preserve"> продаж об общего числа: </t>
        </r>
        <r>
          <rPr>
            <b/>
            <sz val="10"/>
            <color indexed="81"/>
            <rFont val="Tahoma"/>
            <family val="2"/>
            <charset val="204"/>
          </rPr>
          <t xml:space="preserve">1515
</t>
        </r>
        <r>
          <rPr>
            <sz val="10"/>
            <color indexed="81"/>
            <rFont val="Tahoma"/>
            <family val="2"/>
            <charset val="204"/>
          </rPr>
          <t xml:space="preserve">4) При 10%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 xml:space="preserve">1010
</t>
        </r>
        <r>
          <rPr>
            <sz val="10"/>
            <color indexed="81"/>
            <rFont val="Tahoma"/>
            <family val="2"/>
            <charset val="204"/>
          </rPr>
          <t>В 2024 году 779 шт.</t>
        </r>
        <r>
          <rPr>
            <b/>
            <sz val="10"/>
            <color indexed="81"/>
            <rFont val="Tahoma"/>
            <family val="2"/>
            <charset val="204"/>
          </rPr>
          <t xml:space="preserve">
-5% или +20% от данного количества 740-934.
51,67-77,83 в месяц.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34" authorId="0" shapeId="0" xr:uid="{00000000-0006-0000-0300-000001000000}">
      <text>
        <r>
          <rPr>
            <sz val="10"/>
            <color indexed="81"/>
            <rFont val="Tahoma"/>
            <family val="2"/>
            <charset val="204"/>
          </rPr>
          <t xml:space="preserve">1) При </t>
        </r>
        <r>
          <rPr>
            <b/>
            <sz val="10"/>
            <color indexed="81"/>
            <rFont val="Tahoma"/>
            <family val="2"/>
            <charset val="204"/>
          </rPr>
          <t>25%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2673</t>
        </r>
        <r>
          <rPr>
            <sz val="10"/>
            <color indexed="81"/>
            <rFont val="Tahoma"/>
            <family val="2"/>
            <charset val="204"/>
          </rPr>
          <t xml:space="preserve">
2) При </t>
        </r>
        <r>
          <rPr>
            <b/>
            <sz val="10"/>
            <color indexed="81"/>
            <rFont val="Tahoma"/>
            <family val="2"/>
            <charset val="204"/>
          </rPr>
          <t>20%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2138</t>
        </r>
        <r>
          <rPr>
            <sz val="10"/>
            <color indexed="81"/>
            <rFont val="Tahoma"/>
            <family val="2"/>
            <charset val="204"/>
          </rPr>
          <t xml:space="preserve">
3) При </t>
        </r>
        <r>
          <rPr>
            <b/>
            <sz val="10"/>
            <color indexed="81"/>
            <rFont val="Tahoma"/>
            <family val="2"/>
            <charset val="204"/>
          </rPr>
          <t>15%</t>
        </r>
        <r>
          <rPr>
            <sz val="10"/>
            <color indexed="81"/>
            <rFont val="Tahoma"/>
            <family val="2"/>
            <charset val="204"/>
          </rPr>
          <t xml:space="preserve"> продаж об общего числа: </t>
        </r>
        <r>
          <rPr>
            <b/>
            <sz val="10"/>
            <color indexed="81"/>
            <rFont val="Tahoma"/>
            <family val="2"/>
            <charset val="204"/>
          </rPr>
          <t>1603</t>
        </r>
        <r>
          <rPr>
            <sz val="10"/>
            <color indexed="81"/>
            <rFont val="Tahoma"/>
            <family val="2"/>
            <charset val="204"/>
          </rPr>
          <t xml:space="preserve">
В 2024 году 1045 шт.
</t>
        </r>
        <r>
          <rPr>
            <b/>
            <sz val="10"/>
            <color indexed="81"/>
            <rFont val="Tahoma"/>
            <family val="2"/>
            <charset val="204"/>
          </rPr>
          <t>-3% или +20% от данного количества 1013-1254.
84,47-104,5 в месяц.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37" authorId="0" shapeId="0" xr:uid="{00000000-0006-0000-0400-000001000000}">
      <text>
        <r>
          <rPr>
            <sz val="10"/>
            <color indexed="81"/>
            <rFont val="Tahoma"/>
            <family val="2"/>
            <charset val="204"/>
          </rPr>
          <t xml:space="preserve">1) При </t>
        </r>
        <r>
          <rPr>
            <b/>
            <sz val="10"/>
            <color indexed="81"/>
            <rFont val="Tahoma"/>
            <family val="2"/>
            <charset val="204"/>
          </rPr>
          <t>25%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3306</t>
        </r>
        <r>
          <rPr>
            <sz val="10"/>
            <color indexed="81"/>
            <rFont val="Tahoma"/>
            <family val="2"/>
            <charset val="204"/>
          </rPr>
          <t xml:space="preserve">
2) При </t>
        </r>
        <r>
          <rPr>
            <b/>
            <sz val="10"/>
            <color indexed="81"/>
            <rFont val="Tahoma"/>
            <family val="2"/>
            <charset val="204"/>
          </rPr>
          <t>20%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2645</t>
        </r>
        <r>
          <rPr>
            <sz val="10"/>
            <color indexed="81"/>
            <rFont val="Tahoma"/>
            <family val="2"/>
            <charset val="204"/>
          </rPr>
          <t xml:space="preserve">
3) При </t>
        </r>
        <r>
          <rPr>
            <b/>
            <sz val="10"/>
            <color indexed="81"/>
            <rFont val="Tahoma"/>
            <family val="2"/>
            <charset val="204"/>
          </rPr>
          <t>15%</t>
        </r>
        <r>
          <rPr>
            <sz val="10"/>
            <color indexed="81"/>
            <rFont val="Tahoma"/>
            <family val="2"/>
            <charset val="204"/>
          </rPr>
          <t xml:space="preserve"> продаж об общего числа: </t>
        </r>
        <r>
          <rPr>
            <b/>
            <sz val="10"/>
            <color indexed="81"/>
            <rFont val="Tahoma"/>
            <family val="2"/>
            <charset val="204"/>
          </rPr>
          <t>1984</t>
        </r>
        <r>
          <rPr>
            <sz val="10"/>
            <color indexed="81"/>
            <rFont val="Tahoma"/>
            <family val="2"/>
            <charset val="204"/>
          </rPr>
          <t xml:space="preserve">
В 2024 году 1223 шт.
</t>
        </r>
        <r>
          <rPr>
            <b/>
            <sz val="10"/>
            <color indexed="81"/>
            <rFont val="Tahoma"/>
            <family val="2"/>
            <charset val="204"/>
          </rPr>
          <t>-4% или +20% от данного количества 1174-1467 в год.
97,83-122,25 в месяц.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24" authorId="0" shapeId="0" xr:uid="{00000000-0006-0000-0500-000001000000}">
      <text>
        <r>
          <rPr>
            <sz val="10"/>
            <color indexed="81"/>
            <rFont val="Tahoma"/>
            <family val="2"/>
            <charset val="204"/>
          </rPr>
          <t xml:space="preserve">1) При </t>
        </r>
        <r>
          <rPr>
            <b/>
            <sz val="10"/>
            <color indexed="81"/>
            <rFont val="Tahoma"/>
            <family val="2"/>
            <charset val="204"/>
          </rPr>
          <t>25%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538</t>
        </r>
        <r>
          <rPr>
            <sz val="10"/>
            <color indexed="81"/>
            <rFont val="Tahoma"/>
            <family val="2"/>
            <charset val="204"/>
          </rPr>
          <t xml:space="preserve">
2) При </t>
        </r>
        <r>
          <rPr>
            <b/>
            <sz val="10"/>
            <color indexed="81"/>
            <rFont val="Tahoma"/>
            <family val="2"/>
            <charset val="204"/>
          </rPr>
          <t>20%</t>
        </r>
        <r>
          <rPr>
            <sz val="10"/>
            <color indexed="81"/>
            <rFont val="Tahoma"/>
            <family val="2"/>
            <charset val="204"/>
          </rPr>
          <t xml:space="preserve"> продаж от общего числа: </t>
        </r>
        <r>
          <rPr>
            <b/>
            <sz val="10"/>
            <color indexed="81"/>
            <rFont val="Tahoma"/>
            <family val="2"/>
            <charset val="204"/>
          </rPr>
          <t>431</t>
        </r>
        <r>
          <rPr>
            <sz val="10"/>
            <color indexed="81"/>
            <rFont val="Tahoma"/>
            <family val="2"/>
            <charset val="204"/>
          </rPr>
          <t xml:space="preserve">
3) При </t>
        </r>
        <r>
          <rPr>
            <b/>
            <sz val="10"/>
            <color indexed="81"/>
            <rFont val="Tahoma"/>
            <family val="2"/>
            <charset val="204"/>
          </rPr>
          <t>15%</t>
        </r>
        <r>
          <rPr>
            <sz val="10"/>
            <color indexed="81"/>
            <rFont val="Tahoma"/>
            <family val="2"/>
            <charset val="204"/>
          </rPr>
          <t xml:space="preserve"> продаж об общего числа: </t>
        </r>
        <r>
          <rPr>
            <b/>
            <sz val="10"/>
            <color indexed="81"/>
            <rFont val="Tahoma"/>
            <family val="2"/>
            <charset val="204"/>
          </rPr>
          <t>323</t>
        </r>
        <r>
          <rPr>
            <sz val="10"/>
            <color indexed="81"/>
            <rFont val="Tahoma"/>
            <family val="2"/>
            <charset val="204"/>
          </rPr>
          <t xml:space="preserve"> 
В 2024 году 338 шт.
</t>
        </r>
        <r>
          <rPr>
            <b/>
            <sz val="10"/>
            <color indexed="81"/>
            <rFont val="Tahoma"/>
            <family val="2"/>
            <charset val="204"/>
          </rPr>
          <t>-5% или +15% от данного количества
321-388 в год.
26,75- 32,33 в месяц.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45FA4-652C-46CA-A6CF-D6BE05CB158D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B934A6-34B0-4EA5-AA2D-B642E359C9AC}" name="Запрос — Общая прибыль по дням" description="Соединение с запросом &quot;Общая прибыль по дням&quot; в книге." type="100" refreshedVersion="8" minRefreshableVersion="5">
    <extLst>
      <ext xmlns:x15="http://schemas.microsoft.com/office/spreadsheetml/2010/11/main" uri="{DE250136-89BD-433C-8126-D09CA5730AF9}">
        <x15:connection id="1202bf9e-2687-4c96-a897-4da5a7129f3c"/>
      </ext>
    </extLst>
  </connection>
  <connection id="3" xr16:uid="{4E9FA71B-1CDF-449B-B0CB-A5ECC245D6F4}" name="Запрос — Общее кол-во по дням" description="Соединение с запросом &quot;Общее кол-во по дням&quot; в книге." type="100" refreshedVersion="8" minRefreshableVersion="5">
    <extLst>
      <ext xmlns:x15="http://schemas.microsoft.com/office/spreadsheetml/2010/11/main" uri="{DE250136-89BD-433C-8126-D09CA5730AF9}">
        <x15:connection id="01c74147-1764-40c1-90b7-4e13a27967d5"/>
      </ext>
    </extLst>
  </connection>
  <connection id="4" xr16:uid="{3016670B-5FE5-43A6-9155-FAA543525379}" keepAlive="1" name="Запрос — Продажи_Засек(1)" description="Соединение с запросом &quot;Продажи_Засек&quot; в книге." type="5" refreshedVersion="0" background="1">
    <dbPr connection="Provider=Microsoft.Mashup.OleDb.1;Data Source=$Workbook$;Location=Продажи_Засек;Extended Properties=&quot;&quot;" command="SELECT * FROM [Продажи_Засек]"/>
  </connection>
  <connection id="5" xr16:uid="{881C94BC-FE64-4CB5-B680-E717AF5559C2}" keepAlive="1" name="Запрос — Продажи_Засек_Ориг" description="Соединение с запросом &quot;Продажи_Засек_Ориг&quot; в книге." type="5" refreshedVersion="0" background="1">
    <dbPr connection="Provider=Microsoft.Mashup.OleDb.1;Data Source=$Workbook$;Location=Продажи_Засек_Ориг;Extended Properties=&quot;&quot;" command="SELECT * FROM [Продажи_Засек_Ориг]"/>
  </connection>
  <connection id="6" xr16:uid="{CDDA6DAA-62A1-4BDD-A37B-87F39DB4A06B}" keepAlive="1" name="Запрос — Продажи_Засек_Прибыль" description="Соединение с запросом &quot;Продажи_Засек_Прибыль&quot; в книге." type="5" refreshedVersion="0" background="1">
    <dbPr connection="Provider=Microsoft.Mashup.OleDb.1;Data Source=$Workbook$;Location=Продажи_Засек_Прибыль;Extended Properties=&quot;&quot;" command="SELECT * FROM [Продажи_Засек_Прибыль]"/>
  </connection>
  <connection id="7" xr16:uid="{4D5C3B25-6B7E-4F52-891E-6F36D7D766A2}" keepAlive="1" name="Запрос — Продажи_Мичу" description="Соединение с запросом &quot;Продажи_Мичу&quot; в книге." type="5" refreshedVersion="0" background="1">
    <dbPr connection="Provider=Microsoft.Mashup.OleDb.1;Data Source=$Workbook$;Location=Продажи_Мичу;Extended Properties=&quot;&quot;" command="SELECT * FROM [Продажи_Мичу]"/>
  </connection>
  <connection id="8" xr16:uid="{8F8B1ED2-1682-4256-8A06-32F9A477EA60}" keepAlive="1" name="Запрос — Продажи_Мичу_Ориг" description="Соединение с запросом &quot;Продажи_Мичу_Ориг&quot; в книге." type="5" refreshedVersion="0" background="1">
    <dbPr connection="Provider=Microsoft.Mashup.OleDb.1;Data Source=$Workbook$;Location=Продажи_Мичу_Ориг;Extended Properties=&quot;&quot;" command="SELECT * FROM [Продажи_Мичу_Ориг]"/>
  </connection>
  <connection id="9" xr16:uid="{CCE04AA8-569A-4C1C-863C-7489013BE2F7}" keepAlive="1" name="Запрос — Продажи_Мичу_Прибыль" description="Соединение с запросом &quot;Продажи_Мичу_Прибыль&quot; в книге." type="5" refreshedVersion="0" background="1">
    <dbPr connection="Provider=Microsoft.Mashup.OleDb.1;Data Source=$Workbook$;Location=Продажи_Мичу_Прибыль;Extended Properties=&quot;&quot;" command="SELECT * FROM [Продажи_Мичу_Прибыль]"/>
  </connection>
  <connection id="10" xr16:uid="{B1F59557-88EA-4C28-A7FC-879CC9BDFDA3}" keepAlive="1" name="Запрос — Продажи_Новак(1)" description="Соединение с запросом &quot;Продажи_Новак&quot; в книге." type="5" refreshedVersion="0" background="1">
    <dbPr connection="Provider=Microsoft.Mashup.OleDb.1;Data Source=$Workbook$;Location=Продажи_Новак;Extended Properties=&quot;&quot;" command="SELECT * FROM [Продажи_Новак]"/>
  </connection>
  <connection id="11" xr16:uid="{DF4D0F99-2027-4B21-BFEA-2BF3F0156950}" keepAlive="1" name="Запрос — Продажи_Новак_Ориг" description="Соединение с запросом &quot;Продажи_Новак_Ориг&quot; в книге." type="5" refreshedVersion="0" background="1">
    <dbPr connection="Provider=Microsoft.Mashup.OleDb.1;Data Source=$Workbook$;Location=Продажи_Новак_Ориг;Extended Properties=&quot;&quot;" command="SELECT * FROM [Продажи_Новак_Ориг]"/>
  </connection>
  <connection id="12" xr16:uid="{F2B7E272-B8AF-4CC8-9C81-734665202A75}" keepAlive="1" name="Запрос — Продажи_Новак_Прибыль" description="Соединение с запросом &quot;Продажи_Новак_Прибыль&quot; в книге." type="5" refreshedVersion="0" background="1">
    <dbPr connection="Provider=Microsoft.Mashup.OleDb.1;Data Source=$Workbook$;Location=Продажи_Новак_Прибыль;Extended Properties=&quot;&quot;" command="SELECT * FROM [Продажи_Новак_Прибыль]"/>
  </connection>
  <connection id="13" xr16:uid="{9B1C61E6-27E3-4D10-8C94-ADB8B4630621}" keepAlive="1" name="Запрос — Продажи_Сызр" description="Соединение с запросом &quot;Продажи_Сызр&quot; в книге." type="5" refreshedVersion="0" background="1">
    <dbPr connection="Provider=Microsoft.Mashup.OleDb.1;Data Source=$Workbook$;Location=Продажи_Сызр;Extended Properties=&quot;&quot;" command="SELECT * FROM [Продажи_Сызр]"/>
  </connection>
  <connection id="14" xr16:uid="{50E306F3-E40B-4C19-AA6A-2A0152EFE9E9}" keepAlive="1" name="Запрос — Продажи_Сызр_Ориг" description="Соединение с запросом &quot;Продажи_Сызр_Ориг&quot; в книге." type="5" refreshedVersion="0" background="1">
    <dbPr connection="Provider=Microsoft.Mashup.OleDb.1;Data Source=$Workbook$;Location=Продажи_Сызр_Ориг;Extended Properties=&quot;&quot;" command="SELECT * FROM [Продажи_Сызр_Ориг]"/>
  </connection>
  <connection id="15" xr16:uid="{1CABAC4B-08C4-4EBE-A833-6AD37B412940}" keepAlive="1" name="Запрос — Продажи_Сызр_Прибыль" description="Соединение с запросом &quot;Продажи_Сызр_Прибыль&quot; в книге." type="5" refreshedVersion="0" background="1">
    <dbPr connection="Provider=Microsoft.Mashup.OleDb.1;Data Source=$Workbook$;Location=Продажи_Сызр_Прибыль;Extended Properties=&quot;&quot;" command="SELECT * FROM [Продажи_Сызр_Прибыль]"/>
  </connection>
  <connection id="16" xr16:uid="{114BA578-9FEF-4A18-ACDC-FF32964864E9}" keepAlive="1" name="Запрос — Продажи_Тол(1)" description="Соединение с запросом &quot;Продажи_Тол&quot; в книге." type="5" refreshedVersion="0" background="1">
    <dbPr connection="Provider=Microsoft.Mashup.OleDb.1;Data Source=$Workbook$;Location=Продажи_Тол;Extended Properties=&quot;&quot;" command="SELECT * FROM [Продажи_Тол]"/>
  </connection>
  <connection id="17" xr16:uid="{BAFB0D30-7C04-4EB3-B82E-52086DFAA5E7}" keepAlive="1" name="Запрос — Продажи_Тол_Ориг" description="Соединение с запросом &quot;Продажи_Тол_Ориг&quot; в книге." type="5" refreshedVersion="0" background="1">
    <dbPr connection="Provider=Microsoft.Mashup.OleDb.1;Data Source=$Workbook$;Location=Продажи_Тол_Ориг;Extended Properties=&quot;&quot;" command="SELECT * FROM [Продажи_Тол_Ориг]"/>
  </connection>
  <connection id="18" xr16:uid="{ECA62934-EB72-48B3-929C-B14043B52818}" keepAlive="1" name="Запрос — Продажи_Тол_Прибыль" description="Соединение с запросом &quot;Продажи_Тол_Прибыль&quot; в книге." type="5" refreshedVersion="0" background="1">
    <dbPr connection="Provider=Microsoft.Mashup.OleDb.1;Data Source=$Workbook$;Location=Продажи_Тол_Прибыль;Extended Properties=&quot;&quot;" command="SELECT * FROM [Продажи_Тол_Прибыль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<sst xmlns="http://schemas.openxmlformats.org/spreadsheetml/2006/main" count="2091" uniqueCount="201">
  <si>
    <t>Новак</t>
  </si>
  <si>
    <t>Сумма Кол-ва</t>
  </si>
  <si>
    <t>Продажи без Новака</t>
  </si>
  <si>
    <t>Есмарт</t>
  </si>
  <si>
    <t>Рутокен</t>
  </si>
  <si>
    <t xml:space="preserve">Есмарт </t>
  </si>
  <si>
    <t xml:space="preserve">Рутокен </t>
  </si>
  <si>
    <t xml:space="preserve">Есмарт  </t>
  </si>
  <si>
    <t xml:space="preserve">Рутокен  </t>
  </si>
  <si>
    <t xml:space="preserve">Есмарт   </t>
  </si>
  <si>
    <t xml:space="preserve">Рутокен   </t>
  </si>
  <si>
    <t xml:space="preserve">Есмарт    </t>
  </si>
  <si>
    <t xml:space="preserve">Рутокен    </t>
  </si>
  <si>
    <t>Общее</t>
  </si>
  <si>
    <t xml:space="preserve">Общее </t>
  </si>
  <si>
    <t xml:space="preserve">Общее  </t>
  </si>
  <si>
    <t xml:space="preserve">Общее   </t>
  </si>
  <si>
    <t xml:space="preserve">Общее    </t>
  </si>
  <si>
    <t>Январь</t>
  </si>
  <si>
    <t>Февраль</t>
  </si>
  <si>
    <t>Общий итог</t>
  </si>
  <si>
    <t>Среднее по дням</t>
  </si>
  <si>
    <t>С.Итог</t>
  </si>
  <si>
    <t xml:space="preserve">С.Итог </t>
  </si>
  <si>
    <t xml:space="preserve">С.Итог  </t>
  </si>
  <si>
    <t xml:space="preserve">С.Итог   </t>
  </si>
  <si>
    <t xml:space="preserve">С.Итог    </t>
  </si>
  <si>
    <t>C.Итог</t>
  </si>
  <si>
    <t xml:space="preserve">Итог среднее </t>
  </si>
  <si>
    <t>Марж.Прибыль</t>
  </si>
  <si>
    <t>Общая</t>
  </si>
  <si>
    <t xml:space="preserve">Общая </t>
  </si>
  <si>
    <t xml:space="preserve">Общая  </t>
  </si>
  <si>
    <t xml:space="preserve">Общая   </t>
  </si>
  <si>
    <t xml:space="preserve">Общая    </t>
  </si>
  <si>
    <t>Итог</t>
  </si>
  <si>
    <t>Без новака</t>
  </si>
  <si>
    <t>Загружено</t>
  </si>
  <si>
    <t>Продано</t>
  </si>
  <si>
    <t>В аппарате</t>
  </si>
  <si>
    <t>Закупка</t>
  </si>
  <si>
    <t>Товар</t>
  </si>
  <si>
    <t>На счету с 2024</t>
  </si>
  <si>
    <t>На счету</t>
  </si>
  <si>
    <t>Расходы</t>
  </si>
  <si>
    <t>Договор аренды№4</t>
  </si>
  <si>
    <t>Договор Комуналки№7</t>
  </si>
  <si>
    <t>Эквайринг %</t>
  </si>
  <si>
    <t>Связь</t>
  </si>
  <si>
    <t>налог</t>
  </si>
  <si>
    <t>Страховка</t>
  </si>
  <si>
    <t>мониторинг</t>
  </si>
  <si>
    <t>Выпуски</t>
  </si>
  <si>
    <t>Месяц</t>
  </si>
  <si>
    <t>Выручка</t>
  </si>
  <si>
    <t>Прибыль</t>
  </si>
  <si>
    <t>Счет</t>
  </si>
  <si>
    <t>аренда</t>
  </si>
  <si>
    <t>Токены</t>
  </si>
  <si>
    <t>Коробочки</t>
  </si>
  <si>
    <t>Андрей</t>
  </si>
  <si>
    <t>комуналка</t>
  </si>
  <si>
    <t>Склад</t>
  </si>
  <si>
    <t>Март</t>
  </si>
  <si>
    <t>Апрель</t>
  </si>
  <si>
    <t>Май</t>
  </si>
  <si>
    <t>Июнь</t>
  </si>
  <si>
    <t>Июль</t>
  </si>
  <si>
    <t>Август</t>
  </si>
  <si>
    <t>Дата Загрузки</t>
  </si>
  <si>
    <t>Кол-во</t>
  </si>
  <si>
    <t>Примечание</t>
  </si>
  <si>
    <t>Сентябрь</t>
  </si>
  <si>
    <t>2024</t>
  </si>
  <si>
    <t>Октябрь</t>
  </si>
  <si>
    <t>Ноябрь</t>
  </si>
  <si>
    <t>Декабрь</t>
  </si>
  <si>
    <t>Сумма</t>
  </si>
  <si>
    <t>Вывод</t>
  </si>
  <si>
    <t>Дата</t>
  </si>
  <si>
    <t>на карту</t>
  </si>
  <si>
    <t>комса</t>
  </si>
  <si>
    <t>счет</t>
  </si>
  <si>
    <t>коробочки</t>
  </si>
  <si>
    <t>андрей</t>
  </si>
  <si>
    <t>прибыль</t>
  </si>
  <si>
    <t>Прогноз январь</t>
  </si>
  <si>
    <t>Закупка 1шт</t>
  </si>
  <si>
    <t>Итого</t>
  </si>
  <si>
    <t>-</t>
  </si>
  <si>
    <t xml:space="preserve">На 2025 </t>
  </si>
  <si>
    <t>по 1340</t>
  </si>
  <si>
    <t>связь</t>
  </si>
  <si>
    <t>страховка</t>
  </si>
  <si>
    <t>Среднее</t>
  </si>
  <si>
    <t>Договор аренды№5</t>
  </si>
  <si>
    <t>Договор Комуналки№3</t>
  </si>
  <si>
    <t>Договор аренды№6</t>
  </si>
  <si>
    <t>Договор Комуналки№4</t>
  </si>
  <si>
    <t>Договор аренды№7</t>
  </si>
  <si>
    <t>Договор Комуналки№6</t>
  </si>
  <si>
    <t>Договор аренды№8</t>
  </si>
  <si>
    <t>Договор Комуналки№5</t>
  </si>
  <si>
    <t>вторник</t>
  </si>
  <si>
    <t>понедельник</t>
  </si>
  <si>
    <t>пятница</t>
  </si>
  <si>
    <t>среда</t>
  </si>
  <si>
    <t>четверг</t>
  </si>
  <si>
    <t>Неделя №10</t>
  </si>
  <si>
    <t>Неделя №10 Итог</t>
  </si>
  <si>
    <t>Неделя №11</t>
  </si>
  <si>
    <t>Неделя №11 Итог</t>
  </si>
  <si>
    <t>Есмарт АРМ</t>
  </si>
  <si>
    <t xml:space="preserve">Есмарт АРМ    </t>
  </si>
  <si>
    <t xml:space="preserve">Есмарт АРМ   </t>
  </si>
  <si>
    <t>Среднее по дням без Новака</t>
  </si>
  <si>
    <t>Неделя №09</t>
  </si>
  <si>
    <t>Неделя №08</t>
  </si>
  <si>
    <t>Неделя №07</t>
  </si>
  <si>
    <t>Неделя №06</t>
  </si>
  <si>
    <t>Неделя №05</t>
  </si>
  <si>
    <t>Неделя №04</t>
  </si>
  <si>
    <t>Неделя №03</t>
  </si>
  <si>
    <t>Неделя №02</t>
  </si>
  <si>
    <t>Неделя №09 Итог</t>
  </si>
  <si>
    <t>Неделя №08 Итог</t>
  </si>
  <si>
    <t>Неделя №07 Итог</t>
  </si>
  <si>
    <t>Неделя №06 Итог</t>
  </si>
  <si>
    <t>Неделя №05 Итог</t>
  </si>
  <si>
    <t>Неделя №04 Итог</t>
  </si>
  <si>
    <t>Неделя №03 Итог</t>
  </si>
  <si>
    <t>Неделя №02 Итог</t>
  </si>
  <si>
    <t xml:space="preserve">Есмарт АРМ  </t>
  </si>
  <si>
    <t>Неделя №12</t>
  </si>
  <si>
    <t>Неделя №12 Итог</t>
  </si>
  <si>
    <t xml:space="preserve">Есмарт АРМ </t>
  </si>
  <si>
    <t xml:space="preserve"> Есмарт АРМ  </t>
  </si>
  <si>
    <t>Неделя №13</t>
  </si>
  <si>
    <t>Неделя №13 Итог</t>
  </si>
  <si>
    <t>Засек</t>
  </si>
  <si>
    <t>Мичу</t>
  </si>
  <si>
    <t>Сызр</t>
  </si>
  <si>
    <t>Тол</t>
  </si>
  <si>
    <t>ФН</t>
  </si>
  <si>
    <t>Неделя №14</t>
  </si>
  <si>
    <t>Неделя №14 Итог</t>
  </si>
  <si>
    <t>Неделя №15</t>
  </si>
  <si>
    <t>Неделя №15 Итог</t>
  </si>
  <si>
    <t>рутокен</t>
  </si>
  <si>
    <t>Неделя №16</t>
  </si>
  <si>
    <t>Неделя №16 Итог</t>
  </si>
  <si>
    <t>возврат</t>
  </si>
  <si>
    <t>Рутокены</t>
  </si>
  <si>
    <t>Неделя №17</t>
  </si>
  <si>
    <t>Неделя №17 Итог</t>
  </si>
  <si>
    <t>Неделя №18</t>
  </si>
  <si>
    <t>Неделя №18 Итог</t>
  </si>
  <si>
    <t>Неделя №19</t>
  </si>
  <si>
    <t>Неделя №19 Итог</t>
  </si>
  <si>
    <t>Неделя №20</t>
  </si>
  <si>
    <t>Неделя №20 Итог</t>
  </si>
  <si>
    <t>перенос в тол</t>
  </si>
  <si>
    <t>Неделя №21</t>
  </si>
  <si>
    <t>Неделя №21 Итог</t>
  </si>
  <si>
    <t>коммуналка</t>
  </si>
  <si>
    <t>Неделя №22</t>
  </si>
  <si>
    <t>Неделя №22 Итог</t>
  </si>
  <si>
    <t>100(0)</t>
  </si>
  <si>
    <t>Неделя №23</t>
  </si>
  <si>
    <t>Неделя №23 Итог</t>
  </si>
  <si>
    <t>перенос на мичу</t>
  </si>
  <si>
    <t>перенос в мичу</t>
  </si>
  <si>
    <t>перенос тол</t>
  </si>
  <si>
    <t>Неделя №24</t>
  </si>
  <si>
    <t>Неделя №24 Итог</t>
  </si>
  <si>
    <t>Неделя №25</t>
  </si>
  <si>
    <t>Неделя №25 Итог</t>
  </si>
  <si>
    <t>Есмарт АРМ 30 шт</t>
  </si>
  <si>
    <t>перенос новак</t>
  </si>
  <si>
    <t>на склад</t>
  </si>
  <si>
    <t>Неделя №26</t>
  </si>
  <si>
    <t>Неделя №26 Итог</t>
  </si>
  <si>
    <t>Неделя №27</t>
  </si>
  <si>
    <t>Неделя №27 Итог</t>
  </si>
  <si>
    <t>есмарт нано 100шт</t>
  </si>
  <si>
    <t>Неделя №28</t>
  </si>
  <si>
    <t>Неделя №28 Итог</t>
  </si>
  <si>
    <t>Неделя №29</t>
  </si>
  <si>
    <t>Неделя №29 Итог</t>
  </si>
  <si>
    <t>На август</t>
  </si>
  <si>
    <t>по 810</t>
  </si>
  <si>
    <t>есмарты 300 шт</t>
  </si>
  <si>
    <t>на мичу</t>
  </si>
  <si>
    <t>Неделя №30</t>
  </si>
  <si>
    <t>Неделя №30 Итог</t>
  </si>
  <si>
    <t>брак</t>
  </si>
  <si>
    <t>перенос мичурина</t>
  </si>
  <si>
    <t>Неделя №32</t>
  </si>
  <si>
    <t>Неделя №32 Итог</t>
  </si>
  <si>
    <t>Неделя №31</t>
  </si>
  <si>
    <t>Неделя №31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</si>
</sst>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-* #,##0.00\ &quot;₽&quot;_-;\-* #,##0.00\ &quot;₽&quot;_-;_-* &quot;-&quot;??\ &quot;₽&quot;_-;_-@_-"/>
    <numFmt numFmtId="164" formatCode="_(&quot;₽&quot;* #,##0.00_);_(&quot;₽&quot;* \(#,##0.00\);_(&quot;₽&quot;* &quot;-&quot;??_);_(@_)"/>
    <numFmt numFmtId="165" formatCode="#,##0;\-#,##0;;"/>
    <numFmt numFmtId="166" formatCode="#,##0.00;\-#,##0;;"/>
    <numFmt numFmtId="167" formatCode="#,##0.00;\-#,##0.0;"/>
    <numFmt numFmtId="168" formatCode="#,##0.00;\-#,##0;"/>
    <numFmt numFmtId="169" formatCode="_-* #,##0.00\ [$₽-419]_-;\-* #,##0.00\ [$₽-419]_-;_-* &quot;-&quot;??\ [$₽-419]_-;_-@_-"/>
    <numFmt numFmtId="170" formatCode="_-* #,##0.0\ [$₽-419]_-;\-* #,##0.0\ [$₽-419]_-;_-* &quot;-&quot;?\ [$₽-419]_-;_-@_-"/>
    <numFmt numFmtId="171" formatCode="_-* #,##0.00\ [$₽-419]_-;\-* #,##0.00\ [$₽-419]_-;_-* &quot;-&quot;?\ [$₽-419]_-;_-@_-"/>
    <numFmt numFmtId="172" formatCode="_-* #,##0.0\ [$₽-419]_-;\-* #,##0.0\ [$₽-419]_-;_-* &quot;-&quot;??\ [$₽-419]_-;_-@_-"/>
    <numFmt numFmtId="173" formatCode="_-* #,##0.0\ &quot;₽&quot;_-;\-* #,##0.0\ &quot;₽&quot;_-;_-* &quot;-&quot;??\ &quot;₽&quot;_-;_-@_-"/>
    <numFmt numFmtId="174" formatCode="0.0%"/>
    <numFmt numFmtId="175" formatCode="_-* #,##0.0\ &quot;₽&quot;_-;\-* #,##0.0\ &quot;₽&quot;_-;_-* &quot;-&quot;?\ &quot;₽&quot;_-;_-@_-"/>
    <numFmt numFmtId="176" formatCode="#,##0.0;;"/>
    <numFmt numFmtId="177" formatCode="#,##0\ &quot;₽&quot;"/>
    <numFmt numFmtId="178" formatCode="#,##0\ &quot;₽&quot;;;"/>
    <numFmt numFmtId="179" formatCode="#,##0.00\ &quot;₽&quot;"/>
    <numFmt numFmtId="180" formatCode="#,##0.0\ &quot;₽&quot;"/>
    <numFmt numFmtId="182" formatCode="#,##0\ &quot;₽&quot;;\-#,##0\ &quot;₽&quot;;#,##0\ &quot;₽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C00000"/>
      </left>
      <right/>
      <top style="medium">
        <color rgb="FFC00000"/>
      </top>
      <bottom style="thin">
        <color indexed="64"/>
      </bottom>
      <diagonal/>
    </border>
    <border>
      <left/>
      <right/>
      <top style="medium">
        <color rgb="FFC00000"/>
      </top>
      <bottom style="thin">
        <color indexed="64"/>
      </bottom>
      <diagonal/>
    </border>
    <border>
      <left/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/>
      <right/>
      <top/>
      <bottom style="medium">
        <color theme="3"/>
      </bottom>
      <diagonal/>
    </border>
    <border>
      <left style="medium">
        <color rgb="FFC00000"/>
      </left>
      <right style="thin">
        <color theme="3"/>
      </right>
      <top style="medium">
        <color rgb="FFC00000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rgb="FFC00000"/>
      </top>
      <bottom style="thin">
        <color theme="3"/>
      </bottom>
      <diagonal/>
    </border>
    <border>
      <left style="thin">
        <color theme="3"/>
      </left>
      <right style="medium">
        <color rgb="FFC00000"/>
      </right>
      <top style="medium">
        <color rgb="FFC00000"/>
      </top>
      <bottom style="thin">
        <color theme="3"/>
      </bottom>
      <diagonal/>
    </border>
    <border>
      <left style="medium">
        <color rgb="FFC00000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rgb="FFC00000"/>
      </right>
      <top style="thin">
        <color theme="3"/>
      </top>
      <bottom style="thin">
        <color theme="3"/>
      </bottom>
      <diagonal/>
    </border>
    <border>
      <left style="medium">
        <color rgb="FFC00000"/>
      </left>
      <right style="thin">
        <color theme="3"/>
      </right>
      <top style="thin">
        <color theme="3"/>
      </top>
      <bottom style="medium">
        <color rgb="FFC0000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rgb="FFC00000"/>
      </bottom>
      <diagonal/>
    </border>
    <border>
      <left style="thin">
        <color theme="3"/>
      </left>
      <right style="medium">
        <color rgb="FFC00000"/>
      </right>
      <top style="thin">
        <color theme="3"/>
      </top>
      <bottom style="medium">
        <color rgb="FFC00000"/>
      </bottom>
      <diagonal/>
    </border>
    <border>
      <left style="medium">
        <color rgb="FFC00000"/>
      </left>
      <right style="thin">
        <color theme="3"/>
      </right>
      <top style="medium">
        <color rgb="FFC00000"/>
      </top>
      <bottom/>
      <diagonal/>
    </border>
    <border>
      <left style="thin">
        <color theme="3"/>
      </left>
      <right style="thin">
        <color theme="3"/>
      </right>
      <top style="medium">
        <color rgb="FFC00000"/>
      </top>
      <bottom/>
      <diagonal/>
    </border>
    <border>
      <left style="medium">
        <color rgb="FFC00000"/>
      </left>
      <right style="thin">
        <color theme="3"/>
      </right>
      <top style="medium">
        <color rgb="FFC00000"/>
      </top>
      <bottom style="medium">
        <color rgb="FFC00000"/>
      </bottom>
      <diagonal/>
    </border>
    <border>
      <left style="thin">
        <color theme="3"/>
      </left>
      <right style="thin">
        <color theme="3"/>
      </right>
      <top style="medium">
        <color rgb="FFC00000"/>
      </top>
      <bottom style="medium">
        <color rgb="FFC00000"/>
      </bottom>
      <diagonal/>
    </border>
    <border>
      <left style="thin">
        <color theme="3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indexed="64"/>
      </bottom>
      <diagonal/>
    </border>
    <border>
      <left/>
      <right style="medium">
        <color theme="3"/>
      </right>
      <top style="medium">
        <color theme="3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thin">
        <color indexed="64"/>
      </right>
      <top style="medium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/>
      </top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medium">
        <color theme="3"/>
      </top>
      <bottom style="thin">
        <color indexed="64"/>
      </bottom>
      <diagonal/>
    </border>
    <border>
      <left style="medium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 style="medium">
        <color theme="3"/>
      </bottom>
      <diagonal/>
    </border>
    <border>
      <left style="medium">
        <color theme="3"/>
      </left>
      <right/>
      <top style="thin">
        <color auto="1"/>
      </top>
      <bottom style="thin">
        <color auto="1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medium">
        <color theme="3"/>
      </right>
      <top/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/>
      <diagonal/>
    </border>
    <border>
      <left style="thin">
        <color theme="3"/>
      </left>
      <right/>
      <top style="medium">
        <color rgb="FFC00000"/>
      </top>
      <bottom/>
      <diagonal/>
    </border>
    <border>
      <left style="medium">
        <color theme="5"/>
      </left>
      <right style="thin">
        <color theme="3"/>
      </right>
      <top style="medium">
        <color theme="5"/>
      </top>
      <bottom/>
      <diagonal/>
    </border>
    <border>
      <left style="thin">
        <color theme="3"/>
      </left>
      <right style="thin">
        <color theme="3"/>
      </right>
      <top style="medium">
        <color theme="5"/>
      </top>
      <bottom/>
      <diagonal/>
    </border>
    <border>
      <left style="thin">
        <color theme="3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5"/>
      </right>
      <top style="thin">
        <color theme="3"/>
      </top>
      <bottom style="thin">
        <color theme="3"/>
      </bottom>
      <diagonal/>
    </border>
    <border>
      <left style="medium">
        <color theme="5"/>
      </left>
      <right style="thin">
        <color theme="3"/>
      </right>
      <top style="thin">
        <color theme="3"/>
      </top>
      <bottom style="medium">
        <color theme="5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5"/>
      </bottom>
      <diagonal/>
    </border>
    <border>
      <left style="thin">
        <color theme="3"/>
      </left>
      <right style="medium">
        <color theme="5"/>
      </right>
      <top style="thin">
        <color theme="3"/>
      </top>
      <bottom style="medium">
        <color theme="5"/>
      </bottom>
      <diagonal/>
    </border>
    <border>
      <left style="medium">
        <color theme="5"/>
      </left>
      <right style="thin">
        <color theme="3"/>
      </right>
      <top style="medium">
        <color theme="5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5"/>
      </top>
      <bottom style="thin">
        <color theme="3"/>
      </bottom>
      <diagonal/>
    </border>
    <border>
      <left style="thin">
        <color theme="3"/>
      </left>
      <right style="medium">
        <color theme="5"/>
      </right>
      <top style="medium">
        <color theme="5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20">
    <xf numFmtId="0" fontId="0" fillId="0" borderId="0" xfId="0"/>
    <xf numFmtId="0" fontId="2" fillId="2" borderId="2" xfId="0" applyFont="1" applyFill="1" applyBorder="1"/>
    <xf numFmtId="0" fontId="0" fillId="0" borderId="1" xfId="0" applyBorder="1"/>
    <xf numFmtId="14" fontId="0" fillId="0" borderId="3" xfId="0" applyNumberFormat="1" applyBorder="1"/>
    <xf numFmtId="14" fontId="0" fillId="0" borderId="1" xfId="0" applyNumberFormat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7" xfId="0" applyFont="1" applyFill="1" applyBorder="1"/>
    <xf numFmtId="0" fontId="2" fillId="4" borderId="13" xfId="0" applyFont="1" applyFill="1" applyBorder="1"/>
    <xf numFmtId="0" fontId="0" fillId="0" borderId="5" xfId="0" applyBorder="1"/>
    <xf numFmtId="0" fontId="0" fillId="0" borderId="6" xfId="0" applyBorder="1"/>
    <xf numFmtId="0" fontId="2" fillId="2" borderId="3" xfId="0" applyFont="1" applyFill="1" applyBorder="1"/>
    <xf numFmtId="0" fontId="2" fillId="2" borderId="8" xfId="0" applyFont="1" applyFill="1" applyBorder="1"/>
    <xf numFmtId="0" fontId="0" fillId="0" borderId="4" xfId="0" applyBorder="1"/>
    <xf numFmtId="0" fontId="0" fillId="0" borderId="16" xfId="0" applyBorder="1"/>
    <xf numFmtId="14" fontId="0" fillId="0" borderId="0" xfId="0" applyNumberFormat="1"/>
    <xf numFmtId="0" fontId="2" fillId="2" borderId="17" xfId="0" applyFont="1" applyFill="1" applyBorder="1"/>
    <xf numFmtId="0" fontId="2" fillId="2" borderId="14" xfId="0" applyFont="1" applyFill="1" applyBorder="1"/>
    <xf numFmtId="14" fontId="0" fillId="0" borderId="4" xfId="0" applyNumberFormat="1" applyBorder="1"/>
    <xf numFmtId="0" fontId="0" fillId="0" borderId="20" xfId="0" applyBorder="1"/>
    <xf numFmtId="0" fontId="0" fillId="0" borderId="21" xfId="0" applyBorder="1"/>
    <xf numFmtId="49" fontId="0" fillId="0" borderId="3" xfId="0" applyNumberFormat="1" applyBorder="1"/>
    <xf numFmtId="49" fontId="0" fillId="0" borderId="1" xfId="0" applyNumberFormat="1" applyBorder="1"/>
    <xf numFmtId="0" fontId="2" fillId="4" borderId="1" xfId="0" applyFont="1" applyFill="1" applyBorder="1"/>
    <xf numFmtId="0" fontId="5" fillId="0" borderId="0" xfId="0" applyFont="1"/>
    <xf numFmtId="14" fontId="5" fillId="0" borderId="0" xfId="0" applyNumberFormat="1" applyFont="1"/>
    <xf numFmtId="0" fontId="2" fillId="4" borderId="1" xfId="0" applyFont="1" applyFill="1" applyBorder="1" applyAlignment="1">
      <alignment wrapText="1"/>
    </xf>
    <xf numFmtId="14" fontId="0" fillId="0" borderId="8" xfId="0" applyNumberFormat="1" applyBorder="1"/>
    <xf numFmtId="2" fontId="0" fillId="0" borderId="22" xfId="0" applyNumberFormat="1" applyBorder="1"/>
    <xf numFmtId="0" fontId="2" fillId="6" borderId="0" xfId="0" applyFont="1" applyFill="1"/>
    <xf numFmtId="0" fontId="0" fillId="0" borderId="16" xfId="0" applyBorder="1" applyAlignment="1">
      <alignment horizontal="center"/>
    </xf>
    <xf numFmtId="0" fontId="0" fillId="0" borderId="28" xfId="0" applyBorder="1"/>
    <xf numFmtId="0" fontId="0" fillId="0" borderId="30" xfId="0" applyBorder="1"/>
    <xf numFmtId="0" fontId="0" fillId="0" borderId="19" xfId="0" applyBorder="1"/>
    <xf numFmtId="0" fontId="0" fillId="0" borderId="25" xfId="0" applyBorder="1"/>
    <xf numFmtId="0" fontId="0" fillId="0" borderId="29" xfId="0" applyBorder="1"/>
    <xf numFmtId="0" fontId="5" fillId="0" borderId="25" xfId="0" applyFont="1" applyBorder="1"/>
    <xf numFmtId="0" fontId="0" fillId="0" borderId="27" xfId="0" applyBorder="1"/>
    <xf numFmtId="0" fontId="0" fillId="0" borderId="26" xfId="0" applyBorder="1"/>
    <xf numFmtId="1" fontId="0" fillId="0" borderId="0" xfId="0" applyNumberFormat="1"/>
    <xf numFmtId="0" fontId="2" fillId="4" borderId="1" xfId="0" applyFont="1" applyFill="1" applyBorder="1" applyAlignment="1">
      <alignment horizontal="center"/>
    </xf>
    <xf numFmtId="0" fontId="0" fillId="0" borderId="24" xfId="0" applyBorder="1"/>
    <xf numFmtId="0" fontId="0" fillId="0" borderId="23" xfId="0" applyBorder="1"/>
    <xf numFmtId="0" fontId="2" fillId="4" borderId="31" xfId="0" applyFont="1" applyFill="1" applyBorder="1"/>
    <xf numFmtId="0" fontId="2" fillId="4" borderId="18" xfId="0" applyFont="1" applyFill="1" applyBorder="1"/>
    <xf numFmtId="0" fontId="2" fillId="4" borderId="26" xfId="0" applyFont="1" applyFill="1" applyBorder="1"/>
    <xf numFmtId="0" fontId="2" fillId="4" borderId="15" xfId="0" applyFont="1" applyFill="1" applyBorder="1"/>
    <xf numFmtId="0" fontId="4" fillId="7" borderId="27" xfId="0" applyFont="1" applyFill="1" applyBorder="1"/>
    <xf numFmtId="0" fontId="4" fillId="7" borderId="19" xfId="0" applyFont="1" applyFill="1" applyBorder="1"/>
    <xf numFmtId="0" fontId="9" fillId="4" borderId="1" xfId="0" applyFont="1" applyFill="1" applyBorder="1"/>
    <xf numFmtId="165" fontId="0" fillId="0" borderId="1" xfId="0" applyNumberFormat="1" applyBorder="1"/>
    <xf numFmtId="165" fontId="4" fillId="7" borderId="16" xfId="0" applyNumberFormat="1" applyFont="1" applyFill="1" applyBorder="1"/>
    <xf numFmtId="165" fontId="4" fillId="7" borderId="2" xfId="0" applyNumberFormat="1" applyFont="1" applyFill="1" applyBorder="1"/>
    <xf numFmtId="165" fontId="4" fillId="7" borderId="28" xfId="0" applyNumberFormat="1" applyFont="1" applyFill="1" applyBorder="1"/>
    <xf numFmtId="166" fontId="0" fillId="0" borderId="1" xfId="0" applyNumberFormat="1" applyBorder="1"/>
    <xf numFmtId="14" fontId="0" fillId="8" borderId="0" xfId="0" applyNumberFormat="1" applyFill="1"/>
    <xf numFmtId="167" fontId="4" fillId="7" borderId="16" xfId="0" applyNumberFormat="1" applyFont="1" applyFill="1" applyBorder="1"/>
    <xf numFmtId="166" fontId="0" fillId="7" borderId="1" xfId="0" applyNumberFormat="1" applyFill="1" applyBorder="1"/>
    <xf numFmtId="168" fontId="0" fillId="7" borderId="1" xfId="0" applyNumberFormat="1" applyFill="1" applyBorder="1"/>
    <xf numFmtId="170" fontId="0" fillId="0" borderId="0" xfId="0" applyNumberFormat="1"/>
    <xf numFmtId="169" fontId="0" fillId="0" borderId="1" xfId="0" applyNumberFormat="1" applyBorder="1"/>
    <xf numFmtId="169" fontId="0" fillId="0" borderId="9" xfId="0" applyNumberFormat="1" applyBorder="1"/>
    <xf numFmtId="169" fontId="0" fillId="0" borderId="10" xfId="0" applyNumberFormat="1" applyBorder="1"/>
    <xf numFmtId="169" fontId="3" fillId="5" borderId="12" xfId="0" applyNumberFormat="1" applyFont="1" applyFill="1" applyBorder="1"/>
    <xf numFmtId="169" fontId="4" fillId="0" borderId="1" xfId="0" applyNumberFormat="1" applyFont="1" applyBorder="1"/>
    <xf numFmtId="169" fontId="0" fillId="0" borderId="11" xfId="0" applyNumberFormat="1" applyBorder="1"/>
    <xf numFmtId="169" fontId="4" fillId="3" borderId="1" xfId="0" applyNumberFormat="1" applyFont="1" applyFill="1" applyBorder="1"/>
    <xf numFmtId="169" fontId="4" fillId="0" borderId="9" xfId="0" applyNumberFormat="1" applyFont="1" applyBorder="1"/>
    <xf numFmtId="169" fontId="0" fillId="0" borderId="5" xfId="0" applyNumberFormat="1" applyBorder="1"/>
    <xf numFmtId="169" fontId="0" fillId="0" borderId="6" xfId="0" applyNumberFormat="1" applyBorder="1"/>
    <xf numFmtId="171" fontId="0" fillId="0" borderId="1" xfId="0" applyNumberFormat="1" applyBorder="1"/>
    <xf numFmtId="172" fontId="0" fillId="0" borderId="0" xfId="0" applyNumberFormat="1"/>
    <xf numFmtId="164" fontId="0" fillId="0" borderId="1" xfId="1" applyFont="1" applyBorder="1"/>
    <xf numFmtId="173" fontId="0" fillId="0" borderId="0" xfId="1" applyNumberFormat="1" applyFont="1"/>
    <xf numFmtId="174" fontId="0" fillId="0" borderId="1" xfId="2" applyNumberFormat="1" applyFont="1" applyBorder="1"/>
    <xf numFmtId="0" fontId="0" fillId="0" borderId="0" xfId="0" applyAlignment="1">
      <alignment horizontal="center"/>
    </xf>
    <xf numFmtId="172" fontId="0" fillId="0" borderId="1" xfId="0" applyNumberFormat="1" applyBorder="1"/>
    <xf numFmtId="173" fontId="0" fillId="0" borderId="1" xfId="1" applyNumberFormat="1" applyFon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3" borderId="0" xfId="0" applyFill="1"/>
    <xf numFmtId="0" fontId="0" fillId="0" borderId="41" xfId="0" applyBorder="1" applyAlignment="1">
      <alignment horizontal="left"/>
    </xf>
    <xf numFmtId="0" fontId="0" fillId="0" borderId="35" xfId="0" applyBorder="1"/>
    <xf numFmtId="0" fontId="0" fillId="0" borderId="44" xfId="0" applyBorder="1" applyAlignment="1">
      <alignment horizontal="left"/>
    </xf>
    <xf numFmtId="0" fontId="0" fillId="10" borderId="40" xfId="0" applyFill="1" applyBorder="1" applyAlignment="1">
      <alignment horizontal="left"/>
    </xf>
    <xf numFmtId="0" fontId="0" fillId="10" borderId="0" xfId="0" applyFill="1" applyAlignment="1">
      <alignment horizontal="left"/>
    </xf>
    <xf numFmtId="1" fontId="0" fillId="10" borderId="37" xfId="0" applyNumberFormat="1" applyFill="1" applyBorder="1" applyAlignment="1">
      <alignment horizontal="center"/>
    </xf>
    <xf numFmtId="1" fontId="0" fillId="10" borderId="38" xfId="0" applyNumberFormat="1" applyFill="1" applyBorder="1" applyAlignment="1">
      <alignment horizontal="center"/>
    </xf>
    <xf numFmtId="1" fontId="0" fillId="10" borderId="36" xfId="0" applyNumberFormat="1" applyFill="1" applyBorder="1" applyAlignment="1">
      <alignment horizontal="center"/>
    </xf>
    <xf numFmtId="2" fontId="0" fillId="10" borderId="36" xfId="0" applyNumberFormat="1" applyFill="1" applyBorder="1" applyAlignment="1">
      <alignment horizontal="center"/>
    </xf>
    <xf numFmtId="2" fontId="0" fillId="10" borderId="37" xfId="0" applyNumberFormat="1" applyFill="1" applyBorder="1" applyAlignment="1">
      <alignment horizontal="center"/>
    </xf>
    <xf numFmtId="2" fontId="0" fillId="10" borderId="38" xfId="0" applyNumberFormat="1" applyFill="1" applyBorder="1" applyAlignment="1">
      <alignment horizontal="center"/>
    </xf>
    <xf numFmtId="175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 inden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10" borderId="41" xfId="0" applyFont="1" applyFill="1" applyBorder="1" applyAlignment="1">
      <alignment horizontal="left"/>
    </xf>
    <xf numFmtId="0" fontId="12" fillId="9" borderId="0" xfId="0" applyFont="1" applyFill="1"/>
    <xf numFmtId="0" fontId="12" fillId="9" borderId="13" xfId="0" applyFont="1" applyFill="1" applyBorder="1"/>
    <xf numFmtId="0" fontId="0" fillId="0" borderId="0" xfId="0" applyFont="1" applyAlignment="1">
      <alignment horizontal="left"/>
    </xf>
    <xf numFmtId="0" fontId="0" fillId="10" borderId="0" xfId="0" applyFont="1" applyFill="1" applyAlignment="1">
      <alignment horizontal="left"/>
    </xf>
    <xf numFmtId="0" fontId="0" fillId="0" borderId="44" xfId="0" applyFont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176" fontId="0" fillId="0" borderId="0" xfId="0" applyNumberFormat="1" applyBorder="1" applyAlignment="1">
      <alignment horizontal="center"/>
    </xf>
    <xf numFmtId="0" fontId="0" fillId="0" borderId="32" xfId="0" applyBorder="1"/>
    <xf numFmtId="0" fontId="0" fillId="0" borderId="13" xfId="0" applyBorder="1" applyAlignment="1">
      <alignment horizontal="left"/>
    </xf>
    <xf numFmtId="0" fontId="0" fillId="0" borderId="33" xfId="0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11" fillId="3" borderId="0" xfId="0" applyNumberFormat="1" applyFont="1" applyFill="1" applyBorder="1" applyAlignment="1">
      <alignment horizontal="center"/>
    </xf>
    <xf numFmtId="0" fontId="12" fillId="9" borderId="16" xfId="0" applyFont="1" applyFill="1" applyBorder="1"/>
    <xf numFmtId="3" fontId="0" fillId="10" borderId="38" xfId="0" applyNumberFormat="1" applyFill="1" applyBorder="1" applyAlignment="1">
      <alignment horizontal="center"/>
    </xf>
    <xf numFmtId="2" fontId="0" fillId="10" borderId="50" xfId="0" applyNumberFormat="1" applyFill="1" applyBorder="1" applyAlignment="1">
      <alignment horizontal="center"/>
    </xf>
    <xf numFmtId="2" fontId="0" fillId="10" borderId="51" xfId="0" applyNumberFormat="1" applyFill="1" applyBorder="1" applyAlignment="1">
      <alignment horizontal="center"/>
    </xf>
    <xf numFmtId="2" fontId="0" fillId="10" borderId="52" xfId="0" applyNumberFormat="1" applyFill="1" applyBorder="1" applyAlignment="1">
      <alignment horizontal="center"/>
    </xf>
    <xf numFmtId="4" fontId="0" fillId="10" borderId="52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8" xfId="0" applyBorder="1"/>
    <xf numFmtId="0" fontId="0" fillId="0" borderId="59" xfId="0" applyBorder="1" applyAlignment="1">
      <alignment horizontal="center"/>
    </xf>
    <xf numFmtId="3" fontId="0" fillId="10" borderId="50" xfId="0" applyNumberFormat="1" applyFill="1" applyBorder="1" applyAlignment="1">
      <alignment horizontal="center"/>
    </xf>
    <xf numFmtId="1" fontId="0" fillId="10" borderId="51" xfId="0" applyNumberFormat="1" applyFill="1" applyBorder="1" applyAlignment="1">
      <alignment horizontal="center"/>
    </xf>
    <xf numFmtId="1" fontId="0" fillId="10" borderId="52" xfId="0" applyNumberFormat="1" applyFill="1" applyBorder="1" applyAlignment="1">
      <alignment horizontal="center"/>
    </xf>
    <xf numFmtId="2" fontId="0" fillId="10" borderId="63" xfId="0" applyNumberFormat="1" applyFill="1" applyBorder="1" applyAlignment="1">
      <alignment horizontal="center"/>
    </xf>
    <xf numFmtId="3" fontId="0" fillId="10" borderId="63" xfId="0" applyNumberFormat="1" applyFill="1" applyBorder="1" applyAlignment="1">
      <alignment horizontal="center"/>
    </xf>
    <xf numFmtId="0" fontId="0" fillId="0" borderId="60" xfId="0" applyBorder="1" applyAlignment="1">
      <alignment horizontal="center"/>
    </xf>
    <xf numFmtId="4" fontId="0" fillId="10" borderId="38" xfId="0" applyNumberFormat="1" applyFill="1" applyBorder="1" applyAlignment="1">
      <alignment horizontal="center"/>
    </xf>
    <xf numFmtId="1" fontId="0" fillId="3" borderId="61" xfId="0" applyNumberFormat="1" applyFill="1" applyBorder="1" applyAlignment="1">
      <alignment horizontal="center"/>
    </xf>
    <xf numFmtId="1" fontId="0" fillId="3" borderId="62" xfId="0" applyNumberFormat="1" applyFill="1" applyBorder="1" applyAlignment="1">
      <alignment horizontal="center"/>
    </xf>
    <xf numFmtId="3" fontId="0" fillId="3" borderId="62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2" fontId="0" fillId="3" borderId="61" xfId="0" applyNumberFormat="1" applyFill="1" applyBorder="1" applyAlignment="1">
      <alignment horizontal="center"/>
    </xf>
    <xf numFmtId="2" fontId="0" fillId="3" borderId="62" xfId="0" applyNumberFormat="1" applyFill="1" applyBorder="1" applyAlignment="1">
      <alignment horizontal="center"/>
    </xf>
    <xf numFmtId="4" fontId="0" fillId="3" borderId="62" xfId="0" applyNumberFormat="1" applyFill="1" applyBorder="1" applyAlignment="1">
      <alignment horizontal="center"/>
    </xf>
    <xf numFmtId="2" fontId="0" fillId="3" borderId="49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" fontId="5" fillId="10" borderId="39" xfId="0" applyNumberFormat="1" applyFont="1" applyFill="1" applyBorder="1" applyAlignment="1">
      <alignment horizontal="center"/>
    </xf>
    <xf numFmtId="2" fontId="5" fillId="10" borderId="39" xfId="0" applyNumberFormat="1" applyFont="1" applyFill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33" xfId="0" applyBorder="1"/>
    <xf numFmtId="2" fontId="0" fillId="10" borderId="34" xfId="0" applyNumberFormat="1" applyFill="1" applyBorder="1" applyAlignment="1">
      <alignment horizontal="center"/>
    </xf>
    <xf numFmtId="0" fontId="0" fillId="0" borderId="13" xfId="0" applyFont="1" applyBorder="1" applyAlignment="1">
      <alignment horizontal="left"/>
    </xf>
    <xf numFmtId="0" fontId="5" fillId="10" borderId="40" xfId="0" applyFont="1" applyFill="1" applyBorder="1" applyAlignment="1">
      <alignment horizontal="left"/>
    </xf>
    <xf numFmtId="0" fontId="0" fillId="0" borderId="80" xfId="0" applyBorder="1" applyAlignment="1">
      <alignment horizontal="center"/>
    </xf>
    <xf numFmtId="177" fontId="0" fillId="0" borderId="45" xfId="0" applyNumberFormat="1" applyBorder="1" applyAlignment="1">
      <alignment horizontal="center"/>
    </xf>
    <xf numFmtId="177" fontId="0" fillId="0" borderId="68" xfId="0" applyNumberFormat="1" applyBorder="1" applyAlignment="1">
      <alignment horizontal="center"/>
    </xf>
    <xf numFmtId="177" fontId="0" fillId="10" borderId="73" xfId="0" applyNumberFormat="1" applyFill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178" fontId="0" fillId="0" borderId="66" xfId="0" applyNumberFormat="1" applyBorder="1" applyAlignment="1">
      <alignment horizontal="center"/>
    </xf>
    <xf numFmtId="178" fontId="0" fillId="0" borderId="83" xfId="0" applyNumberFormat="1" applyBorder="1" applyAlignment="1">
      <alignment horizontal="center"/>
    </xf>
    <xf numFmtId="178" fontId="0" fillId="0" borderId="84" xfId="0" applyNumberFormat="1" applyBorder="1" applyAlignment="1">
      <alignment horizontal="center"/>
    </xf>
    <xf numFmtId="0" fontId="0" fillId="0" borderId="85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3" fontId="0" fillId="0" borderId="83" xfId="0" applyNumberFormat="1" applyBorder="1" applyAlignment="1">
      <alignment horizontal="center"/>
    </xf>
    <xf numFmtId="3" fontId="0" fillId="0" borderId="90" xfId="0" applyNumberFormat="1" applyBorder="1" applyAlignment="1">
      <alignment horizontal="center"/>
    </xf>
    <xf numFmtId="178" fontId="0" fillId="0" borderId="90" xfId="0" applyNumberFormat="1" applyBorder="1" applyAlignment="1">
      <alignment horizontal="center"/>
    </xf>
    <xf numFmtId="178" fontId="0" fillId="0" borderId="9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81" xfId="0" applyBorder="1"/>
    <xf numFmtId="0" fontId="0" fillId="0" borderId="2" xfId="0" applyNumberFormat="1" applyBorder="1" applyAlignment="1">
      <alignment horizontal="center"/>
    </xf>
    <xf numFmtId="3" fontId="0" fillId="0" borderId="92" xfId="0" applyNumberFormat="1" applyBorder="1" applyAlignment="1">
      <alignment horizontal="center"/>
    </xf>
    <xf numFmtId="3" fontId="0" fillId="0" borderId="93" xfId="0" applyNumberFormat="1" applyBorder="1" applyAlignment="1">
      <alignment horizontal="center"/>
    </xf>
    <xf numFmtId="3" fontId="0" fillId="0" borderId="94" xfId="0" applyNumberFormat="1" applyBorder="1" applyAlignment="1">
      <alignment horizontal="center"/>
    </xf>
    <xf numFmtId="3" fontId="0" fillId="0" borderId="95" xfId="0" applyNumberFormat="1" applyBorder="1" applyAlignment="1">
      <alignment horizontal="center"/>
    </xf>
    <xf numFmtId="3" fontId="0" fillId="0" borderId="96" xfId="0" applyNumberFormat="1" applyBorder="1" applyAlignment="1">
      <alignment horizontal="center"/>
    </xf>
    <xf numFmtId="3" fontId="0" fillId="0" borderId="97" xfId="0" applyNumberFormat="1" applyBorder="1" applyAlignment="1">
      <alignment horizontal="center"/>
    </xf>
    <xf numFmtId="3" fontId="0" fillId="0" borderId="98" xfId="0" applyNumberFormat="1" applyBorder="1" applyAlignment="1">
      <alignment horizontal="center"/>
    </xf>
    <xf numFmtId="3" fontId="0" fillId="0" borderId="99" xfId="0" applyNumberFormat="1" applyBorder="1" applyAlignment="1">
      <alignment horizontal="center"/>
    </xf>
    <xf numFmtId="178" fontId="0" fillId="0" borderId="89" xfId="0" applyNumberFormat="1" applyBorder="1" applyAlignment="1">
      <alignment horizontal="center"/>
    </xf>
    <xf numFmtId="178" fontId="0" fillId="0" borderId="64" xfId="0" applyNumberFormat="1" applyBorder="1" applyAlignment="1">
      <alignment horizontal="center"/>
    </xf>
    <xf numFmtId="178" fontId="0" fillId="0" borderId="65" xfId="0" applyNumberFormat="1" applyBorder="1" applyAlignment="1">
      <alignment horizontal="center"/>
    </xf>
    <xf numFmtId="0" fontId="1" fillId="0" borderId="25" xfId="0" applyFont="1" applyBorder="1"/>
    <xf numFmtId="0" fontId="0" fillId="0" borderId="34" xfId="0" applyBorder="1" applyAlignment="1">
      <alignment horizontal="center"/>
    </xf>
    <xf numFmtId="3" fontId="0" fillId="0" borderId="0" xfId="0" applyNumberFormat="1"/>
    <xf numFmtId="3" fontId="0" fillId="0" borderId="6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34" xfId="0" applyBorder="1"/>
    <xf numFmtId="1" fontId="0" fillId="0" borderId="35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0" borderId="33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1" fontId="0" fillId="0" borderId="49" xfId="0" applyNumberFormat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90" xfId="0" applyBorder="1"/>
    <xf numFmtId="0" fontId="0" fillId="0" borderId="109" xfId="0" applyNumberFormat="1" applyBorder="1" applyAlignment="1">
      <alignment horizontal="center"/>
    </xf>
    <xf numFmtId="0" fontId="0" fillId="0" borderId="95" xfId="0" applyNumberFormat="1" applyBorder="1" applyAlignment="1">
      <alignment horizontal="center"/>
    </xf>
    <xf numFmtId="0" fontId="0" fillId="0" borderId="96" xfId="0" applyNumberFormat="1" applyBorder="1" applyAlignment="1">
      <alignment horizontal="center"/>
    </xf>
    <xf numFmtId="0" fontId="0" fillId="0" borderId="83" xfId="0" applyNumberFormat="1" applyBorder="1" applyAlignment="1">
      <alignment horizontal="center"/>
    </xf>
    <xf numFmtId="0" fontId="0" fillId="0" borderId="90" xfId="0" applyNumberFormat="1" applyBorder="1" applyAlignment="1">
      <alignment horizontal="center"/>
    </xf>
    <xf numFmtId="0" fontId="0" fillId="0" borderId="110" xfId="0" applyNumberFormat="1" applyBorder="1" applyAlignment="1">
      <alignment horizontal="center"/>
    </xf>
    <xf numFmtId="0" fontId="0" fillId="0" borderId="97" xfId="0" applyNumberFormat="1" applyBorder="1" applyAlignment="1">
      <alignment horizontal="center"/>
    </xf>
    <xf numFmtId="0" fontId="0" fillId="0" borderId="98" xfId="0" applyNumberFormat="1" applyBorder="1" applyAlignment="1">
      <alignment horizontal="center"/>
    </xf>
    <xf numFmtId="0" fontId="0" fillId="0" borderId="99" xfId="0" applyNumberFormat="1" applyBorder="1" applyAlignment="1">
      <alignment horizontal="center"/>
    </xf>
    <xf numFmtId="0" fontId="0" fillId="0" borderId="92" xfId="0" applyNumberFormat="1" applyBorder="1" applyAlignment="1">
      <alignment horizontal="center"/>
    </xf>
    <xf numFmtId="0" fontId="0" fillId="0" borderId="93" xfId="0" applyNumberFormat="1" applyBorder="1" applyAlignment="1">
      <alignment horizontal="center"/>
    </xf>
    <xf numFmtId="0" fontId="0" fillId="0" borderId="94" xfId="0" applyNumberFormat="1" applyBorder="1" applyAlignment="1">
      <alignment horizontal="center"/>
    </xf>
    <xf numFmtId="0" fontId="0" fillId="0" borderId="85" xfId="0" applyBorder="1"/>
    <xf numFmtId="0" fontId="0" fillId="0" borderId="80" xfId="0" applyBorder="1"/>
    <xf numFmtId="1" fontId="0" fillId="0" borderId="6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0" fontId="0" fillId="0" borderId="45" xfId="0" applyNumberFormat="1" applyBorder="1" applyAlignment="1">
      <alignment horizontal="center"/>
    </xf>
    <xf numFmtId="3" fontId="0" fillId="10" borderId="52" xfId="0" applyNumberFormat="1" applyFont="1" applyFill="1" applyBorder="1" applyAlignment="1">
      <alignment horizontal="center"/>
    </xf>
    <xf numFmtId="1" fontId="0" fillId="10" borderId="51" xfId="0" applyNumberFormat="1" applyFont="1" applyFill="1" applyBorder="1" applyAlignment="1">
      <alignment horizontal="center"/>
    </xf>
    <xf numFmtId="1" fontId="0" fillId="10" borderId="52" xfId="0" applyNumberFormat="1" applyFont="1" applyFill="1" applyBorder="1" applyAlignment="1">
      <alignment horizontal="center"/>
    </xf>
    <xf numFmtId="2" fontId="0" fillId="10" borderId="52" xfId="0" applyNumberFormat="1" applyFont="1" applyFill="1" applyBorder="1" applyAlignment="1">
      <alignment horizontal="center"/>
    </xf>
    <xf numFmtId="2" fontId="0" fillId="10" borderId="51" xfId="0" applyNumberFormat="1" applyFont="1" applyFill="1" applyBorder="1" applyAlignment="1">
      <alignment horizontal="center"/>
    </xf>
    <xf numFmtId="0" fontId="0" fillId="10" borderId="118" xfId="0" applyNumberFormat="1" applyFill="1" applyBorder="1" applyAlignment="1">
      <alignment horizontal="center"/>
    </xf>
    <xf numFmtId="0" fontId="0" fillId="0" borderId="121" xfId="0" applyNumberFormat="1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91" xfId="0" applyBorder="1" applyAlignment="1">
      <alignment horizontal="center"/>
    </xf>
    <xf numFmtId="2" fontId="5" fillId="10" borderId="53" xfId="0" applyNumberFormat="1" applyFont="1" applyFill="1" applyBorder="1" applyAlignment="1">
      <alignment horizontal="center"/>
    </xf>
    <xf numFmtId="3" fontId="5" fillId="10" borderId="53" xfId="0" applyNumberFormat="1" applyFont="1" applyFill="1" applyBorder="1" applyAlignment="1">
      <alignment horizontal="center"/>
    </xf>
    <xf numFmtId="169" fontId="0" fillId="0" borderId="1" xfId="1" applyNumberFormat="1" applyFont="1" applyBorder="1"/>
    <xf numFmtId="179" fontId="0" fillId="0" borderId="1" xfId="1" applyNumberFormat="1" applyFont="1" applyBorder="1"/>
    <xf numFmtId="0" fontId="0" fillId="11" borderId="0" xfId="0" applyFill="1" applyAlignment="1"/>
    <xf numFmtId="44" fontId="0" fillId="0" borderId="1" xfId="1" applyNumberFormat="1" applyFont="1" applyBorder="1"/>
    <xf numFmtId="2" fontId="0" fillId="0" borderId="0" xfId="0" applyNumberFormat="1"/>
    <xf numFmtId="180" fontId="0" fillId="0" borderId="0" xfId="1" applyNumberFormat="1" applyFont="1"/>
    <xf numFmtId="177" fontId="0" fillId="0" borderId="0" xfId="1" applyNumberFormat="1" applyFont="1"/>
    <xf numFmtId="177" fontId="0" fillId="0" borderId="1" xfId="1" applyNumberFormat="1" applyFont="1" applyBorder="1"/>
    <xf numFmtId="0" fontId="0" fillId="0" borderId="1" xfId="0" applyFill="1" applyBorder="1"/>
    <xf numFmtId="14" fontId="0" fillId="0" borderId="0" xfId="0" applyNumberFormat="1" applyBorder="1"/>
    <xf numFmtId="164" fontId="0" fillId="0" borderId="0" xfId="1" applyFont="1" applyBorder="1"/>
    <xf numFmtId="169" fontId="0" fillId="0" borderId="1" xfId="2" applyNumberFormat="1" applyFont="1" applyBorder="1"/>
    <xf numFmtId="173" fontId="0" fillId="0" borderId="0" xfId="0" applyNumberFormat="1"/>
    <xf numFmtId="177" fontId="0" fillId="0" borderId="0" xfId="0" applyNumberFormat="1"/>
    <xf numFmtId="169" fontId="0" fillId="0" borderId="1" xfId="1" applyNumberFormat="1" applyFont="1" applyFill="1" applyBorder="1"/>
    <xf numFmtId="169" fontId="0" fillId="0" borderId="1" xfId="0" applyNumberFormat="1" applyFill="1" applyBorder="1"/>
    <xf numFmtId="0" fontId="0" fillId="0" borderId="0" xfId="0" applyFill="1" applyBorder="1"/>
    <xf numFmtId="169" fontId="0" fillId="0" borderId="0" xfId="1" applyNumberFormat="1" applyFont="1" applyFill="1" applyBorder="1"/>
    <xf numFmtId="0" fontId="0" fillId="0" borderId="123" xfId="0" applyFill="1" applyBorder="1"/>
    <xf numFmtId="169" fontId="0" fillId="0" borderId="0" xfId="1" applyNumberFormat="1" applyFont="1" applyBorder="1"/>
    <xf numFmtId="169" fontId="0" fillId="0" borderId="0" xfId="0" applyNumberFormat="1" applyFill="1" applyBorder="1"/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1" fillId="3" borderId="54" xfId="0" applyFont="1" applyFill="1" applyBorder="1" applyAlignment="1">
      <alignment horizontal="center"/>
    </xf>
    <xf numFmtId="0" fontId="11" fillId="3" borderId="55" xfId="0" applyFont="1" applyFill="1" applyBorder="1" applyAlignment="1">
      <alignment horizontal="center"/>
    </xf>
    <xf numFmtId="0" fontId="11" fillId="3" borderId="56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0" fontId="11" fillId="3" borderId="47" xfId="0" applyFont="1" applyFill="1" applyBorder="1" applyAlignment="1">
      <alignment horizontal="center"/>
    </xf>
    <xf numFmtId="0" fontId="11" fillId="3" borderId="48" xfId="0" applyFont="1" applyFill="1" applyBorder="1" applyAlignment="1">
      <alignment horizontal="center"/>
    </xf>
    <xf numFmtId="0" fontId="11" fillId="3" borderId="87" xfId="0" applyFont="1" applyFill="1" applyBorder="1" applyAlignment="1">
      <alignment horizontal="center"/>
    </xf>
    <xf numFmtId="0" fontId="11" fillId="3" borderId="86" xfId="0" applyFont="1" applyFill="1" applyBorder="1" applyAlignment="1">
      <alignment horizontal="center"/>
    </xf>
    <xf numFmtId="0" fontId="11" fillId="3" borderId="88" xfId="0" applyFont="1" applyFill="1" applyBorder="1" applyAlignment="1">
      <alignment horizontal="center"/>
    </xf>
    <xf numFmtId="0" fontId="11" fillId="3" borderId="100" xfId="0" applyFont="1" applyFill="1" applyBorder="1" applyAlignment="1">
      <alignment horizontal="center"/>
    </xf>
    <xf numFmtId="0" fontId="11" fillId="3" borderId="82" xfId="0" applyFont="1" applyFill="1" applyBorder="1" applyAlignment="1">
      <alignment horizontal="center"/>
    </xf>
    <xf numFmtId="0" fontId="11" fillId="3" borderId="101" xfId="0" applyFont="1" applyFill="1" applyBorder="1" applyAlignment="1">
      <alignment horizontal="center"/>
    </xf>
    <xf numFmtId="0" fontId="11" fillId="3" borderId="102" xfId="0" applyFont="1" applyFill="1" applyBorder="1" applyAlignment="1">
      <alignment horizontal="center"/>
    </xf>
    <xf numFmtId="0" fontId="11" fillId="3" borderId="103" xfId="0" applyFont="1" applyFill="1" applyBorder="1" applyAlignment="1">
      <alignment horizontal="center"/>
    </xf>
    <xf numFmtId="0" fontId="11" fillId="3" borderId="89" xfId="0" applyFont="1" applyFill="1" applyBorder="1" applyAlignment="1">
      <alignment horizontal="center"/>
    </xf>
    <xf numFmtId="0" fontId="11" fillId="3" borderId="64" xfId="0" applyFont="1" applyFill="1" applyBorder="1" applyAlignment="1">
      <alignment horizontal="center"/>
    </xf>
    <xf numFmtId="0" fontId="11" fillId="3" borderId="65" xfId="0" applyFont="1" applyFill="1" applyBorder="1" applyAlignment="1">
      <alignment horizontal="center"/>
    </xf>
    <xf numFmtId="0" fontId="11" fillId="3" borderId="112" xfId="0" applyFont="1" applyFill="1" applyBorder="1" applyAlignment="1">
      <alignment horizontal="center"/>
    </xf>
    <xf numFmtId="0" fontId="11" fillId="3" borderId="113" xfId="0" applyFont="1" applyFill="1" applyBorder="1" applyAlignment="1">
      <alignment horizontal="center"/>
    </xf>
    <xf numFmtId="0" fontId="11" fillId="3" borderId="114" xfId="0" applyFont="1" applyFill="1" applyBorder="1" applyAlignment="1">
      <alignment horizontal="center"/>
    </xf>
    <xf numFmtId="0" fontId="11" fillId="3" borderId="75" xfId="0" applyFont="1" applyFill="1" applyBorder="1" applyAlignment="1">
      <alignment horizontal="center"/>
    </xf>
    <xf numFmtId="0" fontId="11" fillId="3" borderId="76" xfId="0" applyFont="1" applyFill="1" applyBorder="1" applyAlignment="1">
      <alignment horizontal="center"/>
    </xf>
    <xf numFmtId="0" fontId="11" fillId="3" borderId="111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182" fontId="0" fillId="0" borderId="45" xfId="0" applyNumberFormat="1" applyBorder="1" applyAlignment="1">
      <alignment horizontal="center"/>
    </xf>
    <xf numFmtId="182" fontId="0" fillId="10" borderId="72" xfId="0" applyNumberFormat="1" applyFill="1" applyBorder="1" applyAlignment="1">
      <alignment horizontal="center"/>
    </xf>
    <xf numFmtId="182" fontId="0" fillId="10" borderId="73" xfId="0" applyNumberFormat="1" applyFill="1" applyBorder="1" applyAlignment="1">
      <alignment horizontal="center"/>
    </xf>
    <xf numFmtId="182" fontId="5" fillId="10" borderId="74" xfId="0" applyNumberFormat="1" applyFont="1" applyFill="1" applyBorder="1" applyAlignment="1">
      <alignment horizontal="center"/>
    </xf>
    <xf numFmtId="182" fontId="0" fillId="10" borderId="69" xfId="0" applyNumberFormat="1" applyFill="1" applyBorder="1" applyAlignment="1">
      <alignment horizontal="center"/>
    </xf>
    <xf numFmtId="182" fontId="0" fillId="10" borderId="71" xfId="0" applyNumberFormat="1" applyFill="1" applyBorder="1" applyAlignment="1">
      <alignment horizontal="center"/>
    </xf>
    <xf numFmtId="182" fontId="0" fillId="3" borderId="67" xfId="0" applyNumberFormat="1" applyFill="1" applyBorder="1" applyAlignment="1">
      <alignment horizontal="center"/>
    </xf>
    <xf numFmtId="182" fontId="0" fillId="3" borderId="68" xfId="0" applyNumberFormat="1" applyFill="1" applyBorder="1" applyAlignment="1">
      <alignment horizontal="center"/>
    </xf>
    <xf numFmtId="182" fontId="0" fillId="3" borderId="70" xfId="0" applyNumberFormat="1" applyFill="1" applyBorder="1" applyAlignment="1">
      <alignment horizontal="center"/>
    </xf>
    <xf numFmtId="182" fontId="0" fillId="3" borderId="45" xfId="0" applyNumberFormat="1" applyFill="1" applyBorder="1" applyAlignment="1">
      <alignment horizontal="center"/>
    </xf>
    <xf numFmtId="182" fontId="0" fillId="0" borderId="120" xfId="0" applyNumberFormat="1" applyBorder="1" applyAlignment="1">
      <alignment horizontal="center"/>
    </xf>
    <xf numFmtId="182" fontId="0" fillId="0" borderId="121" xfId="0" applyNumberFormat="1" applyBorder="1" applyAlignment="1">
      <alignment horizontal="center"/>
    </xf>
    <xf numFmtId="182" fontId="0" fillId="10" borderId="122" xfId="0" applyNumberFormat="1" applyFill="1" applyBorder="1" applyAlignment="1">
      <alignment horizontal="center"/>
    </xf>
    <xf numFmtId="182" fontId="0" fillId="0" borderId="115" xfId="0" applyNumberFormat="1" applyBorder="1" applyAlignment="1">
      <alignment horizontal="center"/>
    </xf>
    <xf numFmtId="182" fontId="0" fillId="10" borderId="116" xfId="0" applyNumberFormat="1" applyFill="1" applyBorder="1" applyAlignment="1">
      <alignment horizontal="center"/>
    </xf>
    <xf numFmtId="182" fontId="0" fillId="10" borderId="117" xfId="0" applyNumberFormat="1" applyFill="1" applyBorder="1" applyAlignment="1">
      <alignment horizontal="center"/>
    </xf>
    <xf numFmtId="182" fontId="0" fillId="10" borderId="118" xfId="0" applyNumberFormat="1" applyFill="1" applyBorder="1" applyAlignment="1">
      <alignment horizontal="center"/>
    </xf>
    <xf numFmtId="182" fontId="5" fillId="10" borderId="119" xfId="0" applyNumberFormat="1" applyFont="1" applyFill="1" applyBorder="1" applyAlignment="1">
      <alignment horizontal="center"/>
    </xf>
    <xf numFmtId="182" fontId="0" fillId="0" borderId="0" xfId="0" applyNumberFormat="1" applyBorder="1" applyAlignment="1">
      <alignment horizontal="center"/>
    </xf>
    <xf numFmtId="182" fontId="0" fillId="0" borderId="32" xfId="0" applyNumberFormat="1" applyBorder="1" applyAlignment="1">
      <alignment horizontal="center"/>
    </xf>
    <xf numFmtId="182" fontId="0" fillId="0" borderId="33" xfId="0" applyNumberFormat="1" applyBorder="1" applyAlignment="1">
      <alignment horizontal="center"/>
    </xf>
    <xf numFmtId="182" fontId="0" fillId="0" borderId="35" xfId="0" applyNumberFormat="1" applyBorder="1" applyAlignment="1">
      <alignment horizontal="center"/>
    </xf>
    <xf numFmtId="182" fontId="0" fillId="10" borderId="37" xfId="0" applyNumberFormat="1" applyFill="1" applyBorder="1" applyAlignment="1">
      <alignment horizontal="center"/>
    </xf>
    <xf numFmtId="182" fontId="0" fillId="10" borderId="38" xfId="0" applyNumberFormat="1" applyFill="1" applyBorder="1" applyAlignment="1">
      <alignment horizontal="center"/>
    </xf>
    <xf numFmtId="182" fontId="0" fillId="10" borderId="39" xfId="0" applyNumberFormat="1" applyFill="1" applyBorder="1" applyAlignment="1">
      <alignment horizontal="center"/>
    </xf>
    <xf numFmtId="182" fontId="0" fillId="10" borderId="34" xfId="0" applyNumberFormat="1" applyFill="1" applyBorder="1" applyAlignment="1">
      <alignment horizontal="center"/>
    </xf>
    <xf numFmtId="182" fontId="0" fillId="10" borderId="36" xfId="0" applyNumberFormat="1" applyFill="1" applyBorder="1" applyAlignment="1">
      <alignment horizont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384"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  <border>
        <bottom style="thin">
          <color rgb="FFFF0000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  <border>
        <bottom style="thin">
          <color rgb="FFFF0000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  <border>
        <bottom style="thin">
          <color rgb="FFFF0000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  <border>
        <bottom style="thin">
          <color rgb="FFFF0000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  <border>
        <bottom style="thin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#,##0.00;\-#,##0.0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3" formatCode="_-* #,##0.0\ &quot;₽&quot;_-;\-* #,##0.0\ &quot;₽&quot;_-;_-* &quot;-&quot;??\ &quot;₽&quot;_-;_-@_-"/>
    </dxf>
    <dxf>
      <numFmt numFmtId="173" formatCode="_-* #,##0.0\ &quot;₽&quot;_-;\-* #,##0.0\ &quot;₽&quot;_-;_-* &quot;-&quot;??\ &quot;₽&quot;_-;_-@_-"/>
    </dxf>
    <dxf>
      <numFmt numFmtId="173" formatCode="_-* #,##0.0\ &quot;₽&quot;_-;\-* #,##0.0\ &quot;₽&quot;_-;_-* &quot;-&quot;??\ &quot;₽&quot;_-;_-@_-"/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#,##0.00;\-#,##0.0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80" formatCode="#,##0.0\ &quot;₽&quot;"/>
    </dxf>
    <dxf>
      <numFmt numFmtId="177" formatCode="#,##0\ &quot;₽&quot;"/>
    </dxf>
    <dxf>
      <numFmt numFmtId="177" formatCode="#,##0\ &quot;₽&quot;"/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#,##0.00;\-#,##0.0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3" formatCode="_-* #,##0.0\ &quot;₽&quot;_-;\-* #,##0.0\ &quot;₽&quot;_-;_-* &quot;-&quot;??\ &quot;₽&quot;_-;_-@_-"/>
    </dxf>
    <dxf>
      <numFmt numFmtId="173" formatCode="_-* #,##0.0\ &quot;₽&quot;_-;\-* #,##0.0\ &quot;₽&quot;_-;_-* &quot;-&quot;??\ &quot;₽&quot;_-;_-@_-"/>
    </dxf>
    <dxf>
      <numFmt numFmtId="173" formatCode="_-* #,##0.0\ &quot;₽&quot;_-;\-* #,##0.0\ &quot;₽&quot;_-;_-* &quot;-&quot;??\ &quot;₽&quot;_-;_-@_-"/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#,##0.00;\-#,##0.0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_-* #,##0.0\ [$₽-419]_-;\-* #,##0.0\ [$₽-419]_-;_-* &quot;-&quot;??\ [$₽-419]_-;_-@_-"/>
    </dxf>
    <dxf>
      <numFmt numFmtId="172" formatCode="_-* #,##0.0\ [$₽-419]_-;\-* #,##0.0\ [$₽-419]_-;_-* &quot;-&quot;??\ [$₽-419]_-;_-@_-"/>
    </dxf>
    <dxf>
      <numFmt numFmtId="172" formatCode="_-* #,##0.0\ [$₽-419]_-;\-* #,##0.0\ [$₽-419]_-;_-* &quot;-&quot;??\ [$₽-419]_-;_-@_-"/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;\-#,##0;;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;\-#,##0;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0" formatCode="_-* #,##0.0\ [$₽-419]_-;\-* #,##0.0\ [$₽-419]_-;_-* &quot;-&quot;?\ [$₽-419]_-;_-@_-"/>
    </dxf>
    <dxf>
      <numFmt numFmtId="170" formatCode="_-* #,##0.0\ [$₽-419]_-;\-* #,##0.0\ [$₽-419]_-;_-* &quot;-&quot;?\ [$₽-419]_-;_-@_-"/>
    </dxf>
    <dxf>
      <numFmt numFmtId="170" formatCode="_-* #,##0.0\ [$₽-419]_-;\-* #,##0.0\ [$₽-419]_-;_-* &quot;-&quot;?\ [$₽-419]_-;_-@_-"/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alignment horizontal="center"/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/>
        <right/>
        <top/>
      </border>
    </dxf>
    <dxf>
      <numFmt numFmtId="178" formatCode="#,##0\ &quot;₽&quot;;;"/>
    </dxf>
    <dxf>
      <numFmt numFmtId="178" formatCode="#,##0\ &quot;₽&quot;;;"/>
    </dxf>
    <dxf>
      <numFmt numFmtId="178" formatCode="#,##0\ &quot;₽&quot;;;"/>
    </dxf>
    <dxf>
      <numFmt numFmtId="181" formatCode="#,##0;;"/>
    </dxf>
    <dxf>
      <alignment horizontal="center"/>
    </dxf>
    <dxf>
      <alignment horizont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rgb="FF00B050"/>
        </patternFill>
      </fill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ill>
        <patternFill>
          <bgColor rgb="FF92D050"/>
        </patternFill>
      </fill>
    </dxf>
    <dxf>
      <alignment horizontal="center"/>
    </dxf>
    <dxf>
      <alignment horizontal="center"/>
    </dxf>
    <dxf>
      <border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</border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numFmt numFmtId="177" formatCode="#,##0\ &quot;₽&quot;"/>
    </dxf>
    <dxf>
      <font>
        <b/>
        <charset val="204"/>
      </font>
    </dxf>
    <dxf>
      <border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right style="medium">
          <color theme="5"/>
        </right>
        <top style="medium">
          <color theme="5"/>
        </top>
        <bottom style="medium">
          <color theme="5"/>
        </bottom>
      </border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alignment horizontal="center"/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border>
        <left style="medium">
          <color rgb="FFFF0000"/>
        </left>
        <right style="medium">
          <color rgb="FFFF0000"/>
        </right>
        <bottom style="medium">
          <color rgb="FFFF0000"/>
        </bottom>
      </border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font>
        <b/>
        <charset val="204"/>
      </font>
    </dxf>
    <dxf>
      <font>
        <b/>
        <charset val="204"/>
      </font>
    </dxf>
    <dxf>
      <numFmt numFmtId="0" formatCode="General"/>
    </dxf>
    <dxf>
      <alignment horizontal="center"/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right style="medium">
          <color theme="3"/>
        </right>
      </border>
    </dxf>
    <dxf>
      <border>
        <right style="medium">
          <color theme="3"/>
        </right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mediumDashed">
          <color rgb="FFFF0000"/>
        </left>
      </border>
    </dxf>
    <dxf>
      <numFmt numFmtId="0" formatCode="General"/>
    </dxf>
    <dxf>
      <alignment horizontal="center"/>
    </dxf>
    <dxf>
      <alignment horizontal="center"/>
    </dxf>
    <dxf>
      <font>
        <sz val="11"/>
      </font>
    </dxf>
    <dxf>
      <alignment horizontal="center"/>
    </dxf>
    <dxf>
      <font>
        <b/>
        <charset val="204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font>
        <b/>
        <charset val="204"/>
      </font>
    </dxf>
    <dxf>
      <font>
        <b val="0"/>
      </font>
    </dxf>
    <dxf>
      <fill>
        <patternFill>
          <bgColor rgb="FF00B050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font>
        <sz val="11"/>
      </font>
    </dxf>
    <dxf>
      <font>
        <b/>
        <charset val="204"/>
      </font>
    </dxf>
    <dxf>
      <alignment horizontal="center"/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ont>
        <b/>
        <charset val="204"/>
      </font>
    </dxf>
    <dxf>
      <font>
        <b/>
        <charset val="204"/>
      </font>
    </dxf>
    <dxf>
      <fill>
        <patternFill>
          <bgColor rgb="FF00B050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font>
        <sz val="11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border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bottom style="medium">
          <color rgb="FFC00000"/>
        </bottom>
      </border>
    </dxf>
    <dxf>
      <border>
        <right style="medium">
          <color rgb="FFC00000"/>
        </right>
        <bottom style="medium">
          <color rgb="FFC00000"/>
        </bottom>
      </border>
    </dxf>
    <dxf>
      <border>
        <right style="medium">
          <color rgb="FFC00000"/>
        </right>
        <bottom style="medium">
          <color rgb="FFC00000"/>
        </bottom>
      </border>
    </dxf>
    <dxf>
      <alignment horizontal="center"/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</border>
    </dxf>
    <dxf>
      <fill>
        <patternFill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font>
        <b val="0"/>
      </font>
    </dxf>
    <dxf>
      <font>
        <b val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border>
        <left style="medium">
          <color rgb="FFFF0000"/>
        </left>
        <right style="medium">
          <color rgb="FFFF0000"/>
        </right>
        <bottom style="medium">
          <color rgb="FFFF0000"/>
        </bottom>
      </border>
    </dxf>
    <dxf>
      <font>
        <b/>
        <charset val="204"/>
      </font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ill>
        <gradientFill degree="45">
          <stop position="0">
            <color theme="0"/>
          </stop>
          <stop position="1">
            <color theme="0" tint="-0.25098422193060094"/>
          </stop>
        </gradientFill>
      </fill>
    </dxf>
    <dxf>
      <fill>
        <gradientFill degree="45">
          <stop position="0">
            <color theme="0"/>
          </stop>
          <stop position="1">
            <color theme="9" tint="0.80001220740379042"/>
          </stop>
        </gradientFill>
      </fill>
    </dxf>
    <dxf>
      <font>
        <color theme="0" tint="-0.24994659260841701"/>
      </font>
    </dxf>
    <dxf>
      <font>
        <b/>
        <i val="0"/>
      </font>
    </dxf>
    <dxf>
      <fill>
        <patternFill>
          <bgColor theme="9" tint="-0.499984740745262"/>
        </patternFill>
      </fill>
    </dxf>
    <dxf>
      <font>
        <color theme="0"/>
      </font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/>
        <right/>
        <vertical/>
      </border>
    </dxf>
    <dxf>
      <font>
        <color auto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2" tint="-9.9948118533890809E-2"/>
        </patternFill>
      </fill>
      <border diagonalUp="0" diagonalDown="0">
        <left style="thin">
          <color rgb="FFFF0000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 tint="-0.2499465926084170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9" tint="0.599963377788628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Medium9">
    <tableStyle name="Стиль сводной таблицы 1" table="0" count="9" xr9:uid="{93EBB186-FEF5-4DDA-A5F9-D97077992B7A}">
      <tableStyleElement type="wholeTable" dxfId="383"/>
      <tableStyleElement type="headerRow" dxfId="382"/>
      <tableStyleElement type="totalRow" dxfId="381"/>
      <tableStyleElement type="firstColumn" dxfId="380"/>
      <tableStyleElement type="firstColumnStripe" dxfId="379"/>
      <tableStyleElement type="secondColumnStripe" dxfId="378"/>
      <tableStyleElement type="firstSubtotalRow" dxfId="377"/>
      <tableStyleElement type="secondSubtotalRow" dxfId="376"/>
      <tableStyleElement type="firstRowSubheading" dxfId="375"/>
    </tableStyle>
    <tableStyle name="Стиль сводной таблицы 2" table="0" count="9" xr9:uid="{F7336DE2-D56F-4BFA-8500-789E2B11062B}">
      <tableStyleElement type="wholeTable" dxfId="374"/>
      <tableStyleElement type="headerRow" dxfId="373"/>
      <tableStyleElement type="totalRow" dxfId="372"/>
      <tableStyleElement type="firstColumn" dxfId="371"/>
      <tableStyleElement type="firstColumnStripe" dxfId="370"/>
      <tableStyleElement type="secondColumnStripe" dxfId="369"/>
      <tableStyleElement type="firstSubtotalRow" dxfId="368"/>
      <tableStyleElement type="secondSubtotalRow" dxfId="367"/>
      <tableStyleElement type="firstRowSubheading" dxfId="366"/>
    </tableStyle>
    <tableStyle name="Столь ФНС" pivot="0" count="3" xr9:uid="{3245DCAD-8F63-4845-83C9-8871322319CF}">
      <tableStyleElement type="wholeTable" dxfId="365"/>
      <tableStyleElement type="headerRow" dxfId="364"/>
      <tableStyleElement type="firstHeaderCell" dxfId="363"/>
    </tableStyle>
  </tableStyles>
  <colors>
    <mruColors>
      <color rgb="FF3B6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5" Type="http://schemas.openxmlformats.org/officeDocument/2006/relationships/worksheet" Target="worksheets/sheet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[2025.xlsx]Общее кол-во!Сводная_Продажи_без_Новака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1">
                    <a:lumMod val="50000"/>
                  </a:schemeClr>
                </a:solidFill>
              </a:rPr>
              <a:t>Общие продажи без Новака,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'Общее кол-во'!$AO$2</c:f>
              <c:strCache>
                <c:ptCount val="1"/>
                <c:pt idx="0">
                  <c:v>Есмарт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кол-во'!$AN$3:$AN$11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кол-во'!$AO$3:$AO$11</c:f>
              <c:numCache>
                <c:formatCode>0</c:formatCode>
                <c:ptCount val="8"/>
                <c:pt idx="0">
                  <c:v>306</c:v>
                </c:pt>
                <c:pt idx="1">
                  <c:v>165</c:v>
                </c:pt>
                <c:pt idx="2">
                  <c:v>166</c:v>
                </c:pt>
                <c:pt idx="3">
                  <c:v>179</c:v>
                </c:pt>
                <c:pt idx="4">
                  <c:v>92</c:v>
                </c:pt>
                <c:pt idx="5">
                  <c:v>85</c:v>
                </c:pt>
                <c:pt idx="6">
                  <c:v>105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strRef>
              <c:f>'Общее кол-во'!$AP$2</c:f>
              <c:strCache>
                <c:ptCount val="1"/>
                <c:pt idx="0">
                  <c:v>Рутокен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кол-во'!$AN$3:$AN$11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кол-во'!$AP$3:$AP$11</c:f>
              <c:numCache>
                <c:formatCode>0</c:formatCode>
                <c:ptCount val="8"/>
                <c:pt idx="0">
                  <c:v>0</c:v>
                </c:pt>
                <c:pt idx="1">
                  <c:v>116</c:v>
                </c:pt>
                <c:pt idx="2">
                  <c:v>133</c:v>
                </c:pt>
                <c:pt idx="3">
                  <c:v>184</c:v>
                </c:pt>
                <c:pt idx="4">
                  <c:v>101</c:v>
                </c:pt>
                <c:pt idx="5">
                  <c:v>126</c:v>
                </c:pt>
                <c:pt idx="6">
                  <c:v>151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strRef>
              <c:f>'Общее кол-во'!$AQ$2</c:f>
              <c:strCache>
                <c:ptCount val="1"/>
                <c:pt idx="0">
                  <c:v>Есмарт АРМ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кол-во'!$AN$3:$AN$11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кол-во'!$AQ$3:$AQ$11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38</c:v>
                </c:pt>
                <c:pt idx="4">
                  <c:v>14</c:v>
                </c:pt>
                <c:pt idx="5">
                  <c:v>19</c:v>
                </c:pt>
                <c:pt idx="6">
                  <c:v>23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strRef>
              <c:f>'Общее кол-во'!$AR$2</c:f>
              <c:strCache>
                <c:ptCount val="1"/>
                <c:pt idx="0">
                  <c:v>Общее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кол-во'!$AN$3:$AN$11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кол-во'!$AR$3:$AR$11</c:f>
              <c:numCache>
                <c:formatCode>0</c:formatCode>
                <c:ptCount val="8"/>
                <c:pt idx="0">
                  <c:v>306</c:v>
                </c:pt>
                <c:pt idx="1">
                  <c:v>281</c:v>
                </c:pt>
                <c:pt idx="2">
                  <c:v>316</c:v>
                </c:pt>
                <c:pt idx="3">
                  <c:v>401</c:v>
                </c:pt>
                <c:pt idx="4">
                  <c:v>207</c:v>
                </c:pt>
                <c:pt idx="5">
                  <c:v>230</c:v>
                </c:pt>
                <c:pt idx="6">
                  <c:v>279</c:v>
                </c:pt>
                <c:pt idx="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bg1">
            <a:lumMod val="75000"/>
          </a:schemeClr>
        </a:gs>
        <a:gs pos="100000">
          <a:schemeClr val="bg1">
            <a:lumMod val="95000"/>
          </a:schemeClr>
        </a:gs>
        <a:gs pos="100000">
          <a:schemeClr val="bg1">
            <a:lumMod val="95000"/>
          </a:scheme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127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[2025.xlsx]Общая прибыль!Сводная_Прибыль_без_Новака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1">
                    <a:lumMod val="50000"/>
                  </a:schemeClr>
                </a:solidFill>
              </a:rPr>
              <a:t>Общая прибыль без Новака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'Общая прибыль'!$S$18</c:f>
              <c:strCache>
                <c:ptCount val="1"/>
                <c:pt idx="0">
                  <c:v>Есмарт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'Общая прибыль'!$R$19:$R$27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'Общая прибыль'!$S$19:$S$27</c:f>
              <c:numCache>
                <c:formatCode>#\ ##0\ "₽";\-#\ ##0\ "₽";#\ ##0\ "₽"</c:formatCode>
                <c:ptCount val="8"/>
                <c:pt idx="0">
                  <c:v>361487.3</c:v>
                </c:pt>
                <c:pt idx="1">
                  <c:v>200255.7</c:v>
                </c:pt>
                <c:pt idx="2">
                  <c:v>202069.6</c:v>
                </c:pt>
                <c:pt idx="3">
                  <c:v>217895.2</c:v>
                </c:pt>
                <c:pt idx="4">
                  <c:v>111841.3</c:v>
                </c:pt>
                <c:pt idx="5">
                  <c:v>103322.8</c:v>
                </c:pt>
                <c:pt idx="6">
                  <c:v>127813.9</c:v>
                </c:pt>
                <c:pt idx="7">
                  <c:v>34084.1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A3-462A-A7F2-18E63C65297A}"/>
            </c:ext>
          </c:extLst>
        </c:ser>
        <c:ser>
          <c:idx val="1"/>
          <c:order val="1"/>
          <c:tx>
            <c:strRef>
              <c:f>'Общая прибыль'!$T$18</c:f>
              <c:strCache>
                <c:ptCount val="1"/>
                <c:pt idx="0">
                  <c:v>Рутокен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9A3-462A-A7F2-18E63C65297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9A3-462A-A7F2-18E63C6529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'Общая прибыль'!$R$19:$R$27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'Общая прибыль'!$T$19:$T$27</c:f>
              <c:numCache>
                <c:formatCode>#\ ##0\ "₽";\-#\ ##0\ "₽";#\ ##0\ "₽"</c:formatCode>
                <c:ptCount val="8"/>
                <c:pt idx="0">
                  <c:v>0</c:v>
                </c:pt>
                <c:pt idx="1">
                  <c:v>113587.2</c:v>
                </c:pt>
                <c:pt idx="2">
                  <c:v>130233.60000000001</c:v>
                </c:pt>
                <c:pt idx="3">
                  <c:v>194742.80000000002</c:v>
                </c:pt>
                <c:pt idx="4">
                  <c:v>114015</c:v>
                </c:pt>
                <c:pt idx="5">
                  <c:v>162570.20000000001</c:v>
                </c:pt>
                <c:pt idx="6">
                  <c:v>223435.40000000002</c:v>
                </c:pt>
                <c:pt idx="7">
                  <c:v>45012.2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A3-462A-A7F2-18E63C65297A}"/>
            </c:ext>
          </c:extLst>
        </c:ser>
        <c:ser>
          <c:idx val="2"/>
          <c:order val="2"/>
          <c:tx>
            <c:strRef>
              <c:f>'Общая прибыль'!$U$18</c:f>
              <c:strCache>
                <c:ptCount val="1"/>
                <c:pt idx="0">
                  <c:v>Есмарт АРМ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99A3-462A-A7F2-18E63C65297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9A3-462A-A7F2-18E63C65297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9A3-462A-A7F2-18E63C6529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9A3-462A-A7F2-18E63C6529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'Общая прибыль'!$R$19:$R$27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'Общая прибыль'!$U$19:$U$27</c:f>
              <c:numCache>
                <c:formatCode>#\ ##0\ "₽";\-#\ ##0\ "₽";#\ ##0\ "₽"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21236.57</c:v>
                </c:pt>
                <c:pt idx="3">
                  <c:v>47469.979999999996</c:v>
                </c:pt>
                <c:pt idx="4">
                  <c:v>17488.940000000002</c:v>
                </c:pt>
                <c:pt idx="5">
                  <c:v>23734.989999999998</c:v>
                </c:pt>
                <c:pt idx="6">
                  <c:v>28731.83</c:v>
                </c:pt>
                <c:pt idx="7">
                  <c:v>3747.6299999999997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A3-462A-A7F2-18E63C652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3972848"/>
        <c:axId val="1593977840"/>
      </c:barChart>
      <c:lineChart>
        <c:grouping val="standard"/>
        <c:varyColors val="0"/>
        <c:ser>
          <c:idx val="3"/>
          <c:order val="3"/>
          <c:tx>
            <c:strRef>
              <c:f>'Общая прибыль'!$V$18</c:f>
              <c:strCache>
                <c:ptCount val="1"/>
                <c:pt idx="0">
                  <c:v>Общая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'Общая прибыль'!$R$19:$R$27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'Общая прибыль'!$V$19:$V$27</c:f>
              <c:numCache>
                <c:formatCode>#\ ##0\ "₽";\-#\ ##0\ "₽";#\ ##0\ "₽"</c:formatCode>
                <c:ptCount val="8"/>
                <c:pt idx="0">
                  <c:v>361487.3</c:v>
                </c:pt>
                <c:pt idx="1">
                  <c:v>313842.90000000002</c:v>
                </c:pt>
                <c:pt idx="2">
                  <c:v>353539.77</c:v>
                </c:pt>
                <c:pt idx="3">
                  <c:v>460107.98</c:v>
                </c:pt>
                <c:pt idx="4">
                  <c:v>243345.24</c:v>
                </c:pt>
                <c:pt idx="5">
                  <c:v>289627.99</c:v>
                </c:pt>
                <c:pt idx="6">
                  <c:v>379981.13</c:v>
                </c:pt>
                <c:pt idx="7">
                  <c:v>82843.930000000008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A3-462A-A7F2-18E63C652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967199"/>
        <c:axId val="1435952799"/>
      </c:lineChart>
      <c:catAx>
        <c:axId val="159397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977840"/>
        <c:crosses val="autoZero"/>
        <c:auto val="1"/>
        <c:lblAlgn val="ctr"/>
        <c:lblOffset val="100"/>
        <c:noMultiLvlLbl val="0"/>
      </c:catAx>
      <c:valAx>
        <c:axId val="1593977840"/>
        <c:scaling>
          <c:orientation val="minMax"/>
        </c:scaling>
        <c:delete val="1"/>
        <c:axPos val="l"/>
        <c:numFmt formatCode="#\ ##0\ &quot;₽&quot;;\-#\ ##0\ &quot;₽&quot;;#\ ##0\ &quot;₽&quot;" sourceLinked="1"/>
        <c:majorTickMark val="none"/>
        <c:minorTickMark val="none"/>
        <c:tickLblPos val="nextTo"/>
        <c:crossAx val="1593972848"/>
        <c:crosses val="autoZero"/>
        <c:crossBetween val="between"/>
      </c:valAx>
      <c:valAx>
        <c:axId val="1435952799"/>
        <c:scaling>
          <c:orientation val="minMax"/>
        </c:scaling>
        <c:delete val="1"/>
        <c:axPos val="r"/>
        <c:numFmt formatCode="#\ ##0\ &quot;₽&quot;;\-#\ ##0\ &quot;₽&quot;;#\ ##0\ &quot;₽&quot;" sourceLinked="1"/>
        <c:majorTickMark val="none"/>
        <c:minorTickMark val="none"/>
        <c:tickLblPos val="nextTo"/>
        <c:crossAx val="1435967199"/>
        <c:crosses val="max"/>
        <c:crossBetween val="between"/>
      </c:valAx>
      <c:catAx>
        <c:axId val="143596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52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bg1">
            <a:lumMod val="75000"/>
          </a:schemeClr>
        </a:gs>
        <a:gs pos="100000">
          <a:schemeClr val="bg1">
            <a:lumMod val="95000"/>
          </a:schemeClr>
        </a:gs>
        <a:gs pos="100000">
          <a:schemeClr val="bg1">
            <a:lumMod val="95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127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[2025.xlsx]Общее кол-во!Сводная_Среднее_без_Новака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1">
                    <a:lumMod val="50000"/>
                  </a:schemeClr>
                </a:solidFill>
              </a:rPr>
              <a:t>Среднее в день без Новака,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C6FC88E-E3D4-4903-AB90-38888C557658}" type="VALUE">
                  <a:rPr lang="en-US">
                    <a:solidFill>
                      <a:schemeClr val="bg1"/>
                    </a:solidFill>
                  </a:rPr>
                  <a:pPr>
                    <a:defRPr sz="800" b="1">
                      <a:solidFill>
                        <a:schemeClr val="bg1"/>
                      </a:solidFill>
                    </a:defRPr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1"/>
        <c:spPr>
          <a:gradFill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9239C65-CA4F-499D-8AE8-788B9DF344CD}" type="VALUE">
                  <a:rPr lang="en-US">
                    <a:solidFill>
                      <a:schemeClr val="bg1"/>
                    </a:solidFill>
                  </a:rPr>
                  <a:pPr>
                    <a:defRPr sz="800" b="1">
                      <a:solidFill>
                        <a:schemeClr val="bg1"/>
                      </a:solidFill>
                    </a:defRPr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'Общее кол-во'!$AO$18</c:f>
              <c:strCache>
                <c:ptCount val="1"/>
                <c:pt idx="0">
                  <c:v>Есмарт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кол-во'!$AN$19:$AN$27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кол-во'!$AO$19:$AO$27</c:f>
              <c:numCache>
                <c:formatCode>0.00</c:formatCode>
                <c:ptCount val="8"/>
                <c:pt idx="0">
                  <c:v>18</c:v>
                </c:pt>
                <c:pt idx="1">
                  <c:v>8.25</c:v>
                </c:pt>
                <c:pt idx="2">
                  <c:v>7.9047619047619051</c:v>
                </c:pt>
                <c:pt idx="3">
                  <c:v>8.1363636363636367</c:v>
                </c:pt>
                <c:pt idx="4">
                  <c:v>5.1111111111111107</c:v>
                </c:pt>
                <c:pt idx="5">
                  <c:v>4.4736842105263159</c:v>
                </c:pt>
                <c:pt idx="6">
                  <c:v>4.5652173913043477</c:v>
                </c:pt>
                <c:pt idx="7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3C-4E26-B091-8FEA9BDA1234}"/>
            </c:ext>
          </c:extLst>
        </c:ser>
        <c:ser>
          <c:idx val="1"/>
          <c:order val="1"/>
          <c:tx>
            <c:strRef>
              <c:f>'Общее кол-во'!$AP$18</c:f>
              <c:strCache>
                <c:ptCount val="1"/>
                <c:pt idx="0">
                  <c:v>Рутокен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63C-4E26-B091-8FEA9BDA123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3C-4E26-B091-8FEA9BDA12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кол-во'!$AN$19:$AN$27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кол-во'!$AP$19:$AP$27</c:f>
              <c:numCache>
                <c:formatCode>0.00</c:formatCode>
                <c:ptCount val="8"/>
                <c:pt idx="0">
                  <c:v>0</c:v>
                </c:pt>
                <c:pt idx="1">
                  <c:v>5.8</c:v>
                </c:pt>
                <c:pt idx="2">
                  <c:v>6.333333333333333</c:v>
                </c:pt>
                <c:pt idx="3">
                  <c:v>8.3636363636363633</c:v>
                </c:pt>
                <c:pt idx="4">
                  <c:v>5.6111111111111107</c:v>
                </c:pt>
                <c:pt idx="5">
                  <c:v>6.6315789473684212</c:v>
                </c:pt>
                <c:pt idx="6">
                  <c:v>6.5652173913043477</c:v>
                </c:pt>
                <c:pt idx="7">
                  <c:v>6.833333333333333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3C-4E26-B091-8FEA9BDA1234}"/>
            </c:ext>
          </c:extLst>
        </c:ser>
        <c:ser>
          <c:idx val="2"/>
          <c:order val="2"/>
          <c:tx>
            <c:strRef>
              <c:f>'Общее кол-во'!$AQ$18</c:f>
              <c:strCache>
                <c:ptCount val="1"/>
                <c:pt idx="0">
                  <c:v>Есмарт АРМ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D63C-4E26-B091-8FEA9BDA123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D63C-4E26-B091-8FEA9BDA123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D63C-4E26-B091-8FEA9BDA123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C99-4FD3-BC6B-8D821C52ED3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3C-4E26-B091-8FEA9BDA123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3C-4E26-B091-8FEA9BDA12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6FC88E-E3D4-4903-AB90-38888C557658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D63C-4E26-B091-8FEA9BDA123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9239C65-CA4F-499D-8AE8-788B9DF344CD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C99-4FD3-BC6B-8D821C52ED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'Общее кол-во'!$AN$19:$AN$27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кол-во'!$AQ$19:$AQ$27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0.80952380952380953</c:v>
                </c:pt>
                <c:pt idx="3">
                  <c:v>1.7272727272727273</c:v>
                </c:pt>
                <c:pt idx="4">
                  <c:v>0.77777777777777779</c:v>
                </c:pt>
                <c:pt idx="5">
                  <c:v>1</c:v>
                </c:pt>
                <c:pt idx="6">
                  <c:v>1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63C-4E26-B091-8FEA9BDA12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69301663"/>
        <c:axId val="269316223"/>
      </c:barChart>
      <c:lineChart>
        <c:grouping val="standard"/>
        <c:varyColors val="0"/>
        <c:ser>
          <c:idx val="3"/>
          <c:order val="3"/>
          <c:tx>
            <c:strRef>
              <c:f>'Общее кол-во'!$AR$18</c:f>
              <c:strCache>
                <c:ptCount val="1"/>
                <c:pt idx="0">
                  <c:v>C.Итог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'Общее кол-во'!$AN$19:$AN$27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'Общее кол-во'!$AR$19:$AR$27</c:f>
              <c:numCache>
                <c:formatCode>0.00</c:formatCode>
                <c:ptCount val="8"/>
                <c:pt idx="0">
                  <c:v>18</c:v>
                </c:pt>
                <c:pt idx="1">
                  <c:v>14.05</c:v>
                </c:pt>
                <c:pt idx="2">
                  <c:v>15.047619047619047</c:v>
                </c:pt>
                <c:pt idx="3">
                  <c:v>18.227272727272727</c:v>
                </c:pt>
                <c:pt idx="4">
                  <c:v>11.5</c:v>
                </c:pt>
                <c:pt idx="5">
                  <c:v>12.105263157894736</c:v>
                </c:pt>
                <c:pt idx="6">
                  <c:v>12.130434782608695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3C-4E26-B091-8FEA9BDA12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4479"/>
        <c:axId val="1435941279"/>
      </c:lineChart>
      <c:catAx>
        <c:axId val="269301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316223"/>
        <c:crosses val="autoZero"/>
        <c:auto val="1"/>
        <c:lblAlgn val="ctr"/>
        <c:lblOffset val="100"/>
        <c:noMultiLvlLbl val="0"/>
      </c:catAx>
      <c:valAx>
        <c:axId val="2693162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69301663"/>
        <c:crosses val="autoZero"/>
        <c:crossBetween val="between"/>
      </c:valAx>
      <c:valAx>
        <c:axId val="1435941279"/>
        <c:scaling>
          <c:orientation val="minMax"/>
        </c:scaling>
        <c:delete val="1"/>
        <c:axPos val="r"/>
        <c:numFmt formatCode="0.00" sourceLinked="1"/>
        <c:majorTickMark val="none"/>
        <c:minorTickMark val="none"/>
        <c:tickLblPos val="nextTo"/>
        <c:crossAx val="1435924479"/>
        <c:crosses val="max"/>
        <c:crossBetween val="between"/>
      </c:valAx>
      <c:catAx>
        <c:axId val="1435924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41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bg1">
            <a:lumMod val="75000"/>
          </a:schemeClr>
        </a:gs>
        <a:gs pos="100000">
          <a:schemeClr val="bg1">
            <a:lumMod val="95000"/>
          </a:schemeClr>
        </a:gs>
        <a:gs pos="100000">
          <a:schemeClr val="bg1">
            <a:lumMod val="95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127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Новак,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кол-во'!$S$3:$S$14</c15:sqref>
                  </c15:fullRef>
                </c:ext>
              </c:extLst>
              <c:f>'Общее кол-во'!$S$3:$S$10</c:f>
              <c:numCache>
                <c:formatCode>0</c:formatCode>
                <c:ptCount val="8"/>
                <c:pt idx="0">
                  <c:v>10</c:v>
                </c:pt>
                <c:pt idx="1">
                  <c:v>23</c:v>
                </c:pt>
                <c:pt idx="2">
                  <c:v>40</c:v>
                </c:pt>
                <c:pt idx="3">
                  <c:v>29</c:v>
                </c:pt>
                <c:pt idx="4">
                  <c:v>16</c:v>
                </c:pt>
                <c:pt idx="5">
                  <c:v>39</c:v>
                </c:pt>
                <c:pt idx="6">
                  <c:v>30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кол-во'!$T$3:$T$14</c15:sqref>
                  </c15:fullRef>
                </c:ext>
              </c:extLst>
              <c:f>'Общее кол-во'!$T$3:$T$10</c:f>
              <c:numCache>
                <c:formatCode>0</c:formatCode>
                <c:ptCount val="8"/>
                <c:pt idx="0">
                  <c:v>9</c:v>
                </c:pt>
                <c:pt idx="1">
                  <c:v>6</c:v>
                </c:pt>
                <c:pt idx="2">
                  <c:v>13</c:v>
                </c:pt>
                <c:pt idx="3">
                  <c:v>14</c:v>
                </c:pt>
                <c:pt idx="4">
                  <c:v>21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кол-во'!$U$3:$U$14</c15:sqref>
                  </c15:fullRef>
                </c:ext>
              </c:extLst>
              <c:f>'Общее кол-во'!$U$3:$U$10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Общее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кол-во'!$V$3:$V$14</c15:sqref>
                  </c15:fullRef>
                </c:ext>
              </c:extLst>
              <c:f>'Общее кол-во'!$V$3:$V$10</c:f>
              <c:numCache>
                <c:formatCode>#,##0</c:formatCode>
                <c:ptCount val="8"/>
                <c:pt idx="0">
                  <c:v>19</c:v>
                </c:pt>
                <c:pt idx="1">
                  <c:v>29</c:v>
                </c:pt>
                <c:pt idx="2">
                  <c:v>56</c:v>
                </c:pt>
                <c:pt idx="3">
                  <c:v>49</c:v>
                </c:pt>
                <c:pt idx="4">
                  <c:v>41</c:v>
                </c:pt>
                <c:pt idx="5">
                  <c:v>48</c:v>
                </c:pt>
                <c:pt idx="6">
                  <c:v>39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4F81BD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1F497D">
          <a:lumMod val="75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bg1">
                    <a:lumMod val="50000"/>
                  </a:schemeClr>
                </a:solidFill>
              </a:rPr>
              <a:t>Средние в день Новак,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кол-во'!$S$19:$S$30</c15:sqref>
                  </c15:fullRef>
                </c:ext>
              </c:extLst>
              <c:f>'Общее кол-во'!$S$19:$S$26</c:f>
              <c:numCache>
                <c:formatCode>0.00</c:formatCode>
                <c:ptCount val="8"/>
                <c:pt idx="0">
                  <c:v>0.58823529411764708</c:v>
                </c:pt>
                <c:pt idx="1">
                  <c:v>1.1499999999999999</c:v>
                </c:pt>
                <c:pt idx="2">
                  <c:v>1.9047619047619047</c:v>
                </c:pt>
                <c:pt idx="3">
                  <c:v>1.3181818181818181</c:v>
                </c:pt>
                <c:pt idx="4">
                  <c:v>0.88888888888888884</c:v>
                </c:pt>
                <c:pt idx="5">
                  <c:v>2.0526315789473686</c:v>
                </c:pt>
                <c:pt idx="6">
                  <c:v>1.3043478260869565</c:v>
                </c:pt>
                <c:pt idx="7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кол-во'!$T$19:$T$30</c15:sqref>
                  </c15:fullRef>
                </c:ext>
              </c:extLst>
              <c:f>'Общее кол-во'!$T$19:$T$26</c:f>
              <c:numCache>
                <c:formatCode>0.00</c:formatCode>
                <c:ptCount val="8"/>
                <c:pt idx="0">
                  <c:v>0.52941176470588236</c:v>
                </c:pt>
                <c:pt idx="1">
                  <c:v>0.3</c:v>
                </c:pt>
                <c:pt idx="2">
                  <c:v>0.61904761904761907</c:v>
                </c:pt>
                <c:pt idx="3">
                  <c:v>0.63636363636363635</c:v>
                </c:pt>
                <c:pt idx="4">
                  <c:v>1.1666666666666667</c:v>
                </c:pt>
                <c:pt idx="5">
                  <c:v>0.21052631578947367</c:v>
                </c:pt>
                <c:pt idx="6">
                  <c:v>0.30434782608695654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кол-во'!$U$19:$U$30</c15:sqref>
                  </c15:fullRef>
                </c:ext>
              </c:extLst>
              <c:f>'Общее кол-во'!$U$19:$U$26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0.27272727272727271</c:v>
                </c:pt>
                <c:pt idx="4">
                  <c:v>0.22222222222222221</c:v>
                </c:pt>
                <c:pt idx="5">
                  <c:v>0.26315789473684209</c:v>
                </c:pt>
                <c:pt idx="6">
                  <c:v>8.6956521739130432E-2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С.Итог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кол-во'!$V$19:$V$30</c15:sqref>
                  </c15:fullRef>
                </c:ext>
              </c:extLst>
              <c:f>'Общее кол-во'!$V$19:$V$26</c:f>
              <c:numCache>
                <c:formatCode>0.00</c:formatCode>
                <c:ptCount val="8"/>
                <c:pt idx="0">
                  <c:v>1.1176470588235294</c:v>
                </c:pt>
                <c:pt idx="1">
                  <c:v>1.45</c:v>
                </c:pt>
                <c:pt idx="2">
                  <c:v>2.6666666666666665</c:v>
                </c:pt>
                <c:pt idx="3">
                  <c:v>2.2272727272727271</c:v>
                </c:pt>
                <c:pt idx="4">
                  <c:v>2.2777777777777777</c:v>
                </c:pt>
                <c:pt idx="5">
                  <c:v>2.5263157894736841</c:v>
                </c:pt>
                <c:pt idx="6">
                  <c:v>1.6956521739130435</c:v>
                </c:pt>
                <c:pt idx="7">
                  <c:v>2.1666666666666665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0.0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F79646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F79646">
          <a:lumMod val="50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Тол,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кол-во'!$R$3:$R$15</c15:sqref>
                  </c15:fullRef>
                </c:ext>
              </c:extLst>
              <c:f>('Общее кол-во'!$R$3:$R$10,'Общее кол-во'!$R$15)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кол-во'!$AA$3:$AA$14</c15:sqref>
                  </c15:fullRef>
                </c:ext>
              </c:extLst>
              <c:f>'Общее кол-во'!$AA$3:$AA$10</c:f>
              <c:numCache>
                <c:formatCode>0</c:formatCode>
                <c:ptCount val="8"/>
                <c:pt idx="0">
                  <c:v>90</c:v>
                </c:pt>
                <c:pt idx="1">
                  <c:v>40</c:v>
                </c:pt>
                <c:pt idx="2">
                  <c:v>55</c:v>
                </c:pt>
                <c:pt idx="3">
                  <c:v>74</c:v>
                </c:pt>
                <c:pt idx="4">
                  <c:v>44</c:v>
                </c:pt>
                <c:pt idx="5">
                  <c:v>49</c:v>
                </c:pt>
                <c:pt idx="6">
                  <c:v>41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кол-во'!$R$3:$R$15</c15:sqref>
                  </c15:fullRef>
                </c:ext>
              </c:extLst>
              <c:f>('Общее кол-во'!$R$3:$R$10,'Общее кол-во'!$R$15)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кол-во'!$AB$3:$AB$14</c15:sqref>
                  </c15:fullRef>
                </c:ext>
              </c:extLst>
              <c:f>'Общее кол-во'!$AB$3:$AB$10</c:f>
              <c:numCache>
                <c:formatCode>0</c:formatCode>
                <c:ptCount val="8"/>
                <c:pt idx="0">
                  <c:v>0</c:v>
                </c:pt>
                <c:pt idx="1">
                  <c:v>44</c:v>
                </c:pt>
                <c:pt idx="2">
                  <c:v>43</c:v>
                </c:pt>
                <c:pt idx="3">
                  <c:v>55</c:v>
                </c:pt>
                <c:pt idx="4">
                  <c:v>22</c:v>
                </c:pt>
                <c:pt idx="5">
                  <c:v>32</c:v>
                </c:pt>
                <c:pt idx="6">
                  <c:v>49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кол-во'!$AC$3:$AC$14</c15:sqref>
                  </c15:fullRef>
                </c:ext>
              </c:extLst>
              <c:f>'Общее кол-во'!$AC$3:$AC$10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10</c:v>
                </c:pt>
                <c:pt idx="4">
                  <c:v>2</c:v>
                </c:pt>
                <c:pt idx="5">
                  <c:v>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Общее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кол-во'!$AD$3:$AD$14</c15:sqref>
                  </c15:fullRef>
                </c:ext>
              </c:extLst>
              <c:f>'Общее кол-во'!$AD$3:$AD$10</c:f>
              <c:numCache>
                <c:formatCode>#,##0</c:formatCode>
                <c:ptCount val="8"/>
                <c:pt idx="0">
                  <c:v>90</c:v>
                </c:pt>
                <c:pt idx="1">
                  <c:v>84</c:v>
                </c:pt>
                <c:pt idx="2">
                  <c:v>102</c:v>
                </c:pt>
                <c:pt idx="3">
                  <c:v>139</c:v>
                </c:pt>
                <c:pt idx="4">
                  <c:v>68</c:v>
                </c:pt>
                <c:pt idx="5">
                  <c:v>87</c:v>
                </c:pt>
                <c:pt idx="6">
                  <c:v>98</c:v>
                </c:pt>
                <c:pt idx="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4F81BD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1F497D">
          <a:lumMod val="75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bg1">
                    <a:lumMod val="50000"/>
                  </a:schemeClr>
                </a:solidFill>
              </a:rPr>
              <a:t>Среднее в день Засек,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кол-во'!$W$19:$W$30</c15:sqref>
                  </c15:fullRef>
                </c:ext>
              </c:extLst>
              <c:f>'Общее кол-во'!$W$19:$W$26</c:f>
              <c:numCache>
                <c:formatCode>0.00</c:formatCode>
                <c:ptCount val="8"/>
                <c:pt idx="0">
                  <c:v>4.4705882352941178</c:v>
                </c:pt>
                <c:pt idx="1">
                  <c:v>2.1</c:v>
                </c:pt>
                <c:pt idx="2">
                  <c:v>1.6190476190476191</c:v>
                </c:pt>
                <c:pt idx="3">
                  <c:v>2.1363636363636362</c:v>
                </c:pt>
                <c:pt idx="4">
                  <c:v>0.61111111111111116</c:v>
                </c:pt>
                <c:pt idx="5">
                  <c:v>0.73684210526315785</c:v>
                </c:pt>
                <c:pt idx="6">
                  <c:v>1.7826086956521738</c:v>
                </c:pt>
                <c:pt idx="7">
                  <c:v>1.1666666666666667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кол-во'!$X$19:$X$30</c15:sqref>
                  </c15:fullRef>
                </c:ext>
              </c:extLst>
              <c:f>'Общее кол-во'!$X$19:$X$26</c:f>
              <c:numCache>
                <c:formatCode>0.00</c:formatCode>
                <c:ptCount val="8"/>
                <c:pt idx="0">
                  <c:v>0</c:v>
                </c:pt>
                <c:pt idx="1">
                  <c:v>1.1499999999999999</c:v>
                </c:pt>
                <c:pt idx="2">
                  <c:v>1.3809523809523809</c:v>
                </c:pt>
                <c:pt idx="3">
                  <c:v>1.2727272727272727</c:v>
                </c:pt>
                <c:pt idx="4">
                  <c:v>1.2222222222222223</c:v>
                </c:pt>
                <c:pt idx="5">
                  <c:v>1.1578947368421053</c:v>
                </c:pt>
                <c:pt idx="6">
                  <c:v>1.1304347826086956</c:v>
                </c:pt>
                <c:pt idx="7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кол-во'!$Y$19:$Y$30</c15:sqref>
                  </c15:fullRef>
                </c:ext>
              </c:extLst>
              <c:f>'Общее кол-во'!$Y$19:$Y$26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0.2857142857142857</c:v>
                </c:pt>
                <c:pt idx="3">
                  <c:v>0.45454545454545453</c:v>
                </c:pt>
                <c:pt idx="4">
                  <c:v>0.27777777777777779</c:v>
                </c:pt>
                <c:pt idx="5">
                  <c:v>0.36842105263157893</c:v>
                </c:pt>
                <c:pt idx="6">
                  <c:v>0.17391304347826086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С.Итог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кол-во'!$Z$19:$Z$30</c15:sqref>
                  </c15:fullRef>
                </c:ext>
              </c:extLst>
              <c:f>'Общее кол-во'!$Z$19:$Z$26</c:f>
              <c:numCache>
                <c:formatCode>0.00</c:formatCode>
                <c:ptCount val="8"/>
                <c:pt idx="0">
                  <c:v>4.4705882352941178</c:v>
                </c:pt>
                <c:pt idx="1">
                  <c:v>3.25</c:v>
                </c:pt>
                <c:pt idx="2">
                  <c:v>3.2857142857142856</c:v>
                </c:pt>
                <c:pt idx="3">
                  <c:v>3.8636363636363638</c:v>
                </c:pt>
                <c:pt idx="4">
                  <c:v>2.1111111111111112</c:v>
                </c:pt>
                <c:pt idx="5">
                  <c:v>2.263157894736842</c:v>
                </c:pt>
                <c:pt idx="6">
                  <c:v>3.0869565217391304</c:v>
                </c:pt>
                <c:pt idx="7">
                  <c:v>2.1666666666666665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0.0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F79646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F79646">
          <a:lumMod val="50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bg1">
                    <a:lumMod val="50000"/>
                  </a:schemeClr>
                </a:solidFill>
              </a:rPr>
              <a:t>Среднее в день Тол,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кол-во'!$AA$19:$AA$30</c15:sqref>
                  </c15:fullRef>
                </c:ext>
              </c:extLst>
              <c:f>'Общее кол-во'!$AA$19:$AA$26</c:f>
              <c:numCache>
                <c:formatCode>0.00</c:formatCode>
                <c:ptCount val="8"/>
                <c:pt idx="0">
                  <c:v>5.2941176470588234</c:v>
                </c:pt>
                <c:pt idx="1">
                  <c:v>2</c:v>
                </c:pt>
                <c:pt idx="2">
                  <c:v>2.6190476190476191</c:v>
                </c:pt>
                <c:pt idx="3">
                  <c:v>3.3636363636363638</c:v>
                </c:pt>
                <c:pt idx="4">
                  <c:v>2.4444444444444446</c:v>
                </c:pt>
                <c:pt idx="5">
                  <c:v>2.5789473684210527</c:v>
                </c:pt>
                <c:pt idx="6">
                  <c:v>1.7826086956521738</c:v>
                </c:pt>
                <c:pt idx="7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кол-во'!$AB$19:$AB$30</c15:sqref>
                  </c15:fullRef>
                </c:ext>
              </c:extLst>
              <c:f>'Общее кол-во'!$AB$19:$AB$26</c:f>
              <c:numCache>
                <c:formatCode>0.00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2.0476190476190474</c:v>
                </c:pt>
                <c:pt idx="3">
                  <c:v>2.5</c:v>
                </c:pt>
                <c:pt idx="4">
                  <c:v>1.2222222222222223</c:v>
                </c:pt>
                <c:pt idx="5">
                  <c:v>1.6842105263157894</c:v>
                </c:pt>
                <c:pt idx="6">
                  <c:v>2.1304347826086958</c:v>
                </c:pt>
                <c:pt idx="7">
                  <c:v>2.6666666666666665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кол-во'!$AC$19:$AC$30</c15:sqref>
                  </c15:fullRef>
                </c:ext>
              </c:extLst>
              <c:f>'Общее кол-во'!$AC$19:$AC$26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0.19047619047619047</c:v>
                </c:pt>
                <c:pt idx="3">
                  <c:v>0.45454545454545453</c:v>
                </c:pt>
                <c:pt idx="4">
                  <c:v>0.1111111111111111</c:v>
                </c:pt>
                <c:pt idx="5">
                  <c:v>0.31578947368421051</c:v>
                </c:pt>
                <c:pt idx="6">
                  <c:v>0.34782608695652173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С.Итог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кол-во'!$AD$19:$AD$30</c15:sqref>
                  </c15:fullRef>
                </c:ext>
              </c:extLst>
              <c:f>'Общее кол-во'!$AD$19:$AD$26</c:f>
              <c:numCache>
                <c:formatCode>0.00</c:formatCode>
                <c:ptCount val="8"/>
                <c:pt idx="0">
                  <c:v>5.2941176470588234</c:v>
                </c:pt>
                <c:pt idx="1">
                  <c:v>4.2</c:v>
                </c:pt>
                <c:pt idx="2">
                  <c:v>4.8571428571428568</c:v>
                </c:pt>
                <c:pt idx="3">
                  <c:v>6.3181818181818183</c:v>
                </c:pt>
                <c:pt idx="4">
                  <c:v>3.7777777777777777</c:v>
                </c:pt>
                <c:pt idx="5">
                  <c:v>4.5789473684210522</c:v>
                </c:pt>
                <c:pt idx="6">
                  <c:v>4.2608695652173916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0.0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F79646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F79646">
          <a:lumMod val="50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Мичу,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97-4CDD-8BBD-03059F7902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кол-во'!$R$3:$R$15</c15:sqref>
                  </c15:fullRef>
                </c:ext>
              </c:extLst>
              <c:f>('Общее кол-во'!$R$3:$R$10,'Общее кол-во'!$R$15)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кол-во'!$AE$3:$AE$14</c15:sqref>
                  </c15:fullRef>
                </c:ext>
              </c:extLst>
              <c:f>'Общее кол-во'!$AE$3:$AE$10</c:f>
              <c:numCache>
                <c:formatCode>0</c:formatCode>
                <c:ptCount val="8"/>
                <c:pt idx="0">
                  <c:v>113</c:v>
                </c:pt>
                <c:pt idx="1">
                  <c:v>54</c:v>
                </c:pt>
                <c:pt idx="2">
                  <c:v>45</c:v>
                </c:pt>
                <c:pt idx="3">
                  <c:v>34</c:v>
                </c:pt>
                <c:pt idx="4">
                  <c:v>26</c:v>
                </c:pt>
                <c:pt idx="5">
                  <c:v>16</c:v>
                </c:pt>
                <c:pt idx="6">
                  <c:v>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кол-во'!$R$3:$R$15</c15:sqref>
                  </c15:fullRef>
                </c:ext>
              </c:extLst>
              <c:f>('Общее кол-во'!$R$3:$R$10,'Общее кол-во'!$R$15)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кол-во'!$AF$3:$AF$14</c15:sqref>
                  </c15:fullRef>
                </c:ext>
              </c:extLst>
              <c:f>'Общее кол-во'!$AF$3:$AF$10</c:f>
              <c:numCache>
                <c:formatCode>0</c:formatCode>
                <c:ptCount val="8"/>
                <c:pt idx="0">
                  <c:v>0</c:v>
                </c:pt>
                <c:pt idx="1">
                  <c:v>39</c:v>
                </c:pt>
                <c:pt idx="2">
                  <c:v>48</c:v>
                </c:pt>
                <c:pt idx="3">
                  <c:v>88</c:v>
                </c:pt>
                <c:pt idx="4">
                  <c:v>52</c:v>
                </c:pt>
                <c:pt idx="5">
                  <c:v>63</c:v>
                </c:pt>
                <c:pt idx="6">
                  <c:v>71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кол-во'!$AG$3:$AG$14</c15:sqref>
                  </c15:fullRef>
                </c:ext>
              </c:extLst>
              <c:f>'Общее кол-во'!$AG$3:$AG$10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17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Общее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кол-во'!$AH$3:$AH$14</c15:sqref>
                  </c15:fullRef>
                </c:ext>
              </c:extLst>
              <c:f>'Общее кол-во'!$AH$3:$AH$10</c:f>
              <c:numCache>
                <c:formatCode>#,##0</c:formatCode>
                <c:ptCount val="8"/>
                <c:pt idx="0">
                  <c:v>113</c:v>
                </c:pt>
                <c:pt idx="1">
                  <c:v>93</c:v>
                </c:pt>
                <c:pt idx="2">
                  <c:v>99</c:v>
                </c:pt>
                <c:pt idx="3">
                  <c:v>139</c:v>
                </c:pt>
                <c:pt idx="4">
                  <c:v>84</c:v>
                </c:pt>
                <c:pt idx="5">
                  <c:v>83</c:v>
                </c:pt>
                <c:pt idx="6">
                  <c:v>80</c:v>
                </c:pt>
                <c:pt idx="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4F81BD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1F497D">
          <a:lumMod val="75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bg1">
                    <a:lumMod val="50000"/>
                  </a:schemeClr>
                </a:solidFill>
              </a:rPr>
              <a:t>Среднее в день Мичу,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0D-43A4-9265-BBEBB80DA8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кол-во'!$AE$19:$AE$30</c15:sqref>
                  </c15:fullRef>
                </c:ext>
              </c:extLst>
              <c:f>'Общее кол-во'!$AE$19:$AE$26</c:f>
              <c:numCache>
                <c:formatCode>0.00</c:formatCode>
                <c:ptCount val="8"/>
                <c:pt idx="0">
                  <c:v>6.6470588235294121</c:v>
                </c:pt>
                <c:pt idx="1">
                  <c:v>2.7</c:v>
                </c:pt>
                <c:pt idx="2">
                  <c:v>2.1428571428571428</c:v>
                </c:pt>
                <c:pt idx="3">
                  <c:v>1.5454545454545454</c:v>
                </c:pt>
                <c:pt idx="4">
                  <c:v>1.4444444444444444</c:v>
                </c:pt>
                <c:pt idx="5">
                  <c:v>0.84210526315789469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кол-во'!$AF$19:$AF$30</c15:sqref>
                  </c15:fullRef>
                </c:ext>
              </c:extLst>
              <c:f>'Общее кол-во'!$AF$19:$AF$26</c:f>
              <c:numCache>
                <c:formatCode>0.00</c:formatCode>
                <c:ptCount val="8"/>
                <c:pt idx="0">
                  <c:v>0</c:v>
                </c:pt>
                <c:pt idx="1">
                  <c:v>1.95</c:v>
                </c:pt>
                <c:pt idx="2">
                  <c:v>2.2857142857142856</c:v>
                </c:pt>
                <c:pt idx="3">
                  <c:v>4</c:v>
                </c:pt>
                <c:pt idx="4">
                  <c:v>2.8888888888888888</c:v>
                </c:pt>
                <c:pt idx="5">
                  <c:v>3.3157894736842106</c:v>
                </c:pt>
                <c:pt idx="6">
                  <c:v>3.0869565217391304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кол-во'!$AG$19:$AG$30</c15:sqref>
                  </c15:fullRef>
                </c:ext>
              </c:extLst>
              <c:f>'Общее кол-во'!$AG$19:$AG$26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0.2857142857142857</c:v>
                </c:pt>
                <c:pt idx="3">
                  <c:v>0.77272727272727271</c:v>
                </c:pt>
                <c:pt idx="4">
                  <c:v>0.33333333333333331</c:v>
                </c:pt>
                <c:pt idx="5">
                  <c:v>0.21052631578947367</c:v>
                </c:pt>
                <c:pt idx="6">
                  <c:v>0.39130434782608697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С.Итог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кол-во'!$AH$19:$AH$30</c15:sqref>
                  </c15:fullRef>
                </c:ext>
              </c:extLst>
              <c:f>'Общее кол-во'!$AH$19:$AH$26</c:f>
              <c:numCache>
                <c:formatCode>0.00</c:formatCode>
                <c:ptCount val="8"/>
                <c:pt idx="0">
                  <c:v>6.6470588235294121</c:v>
                </c:pt>
                <c:pt idx="1">
                  <c:v>4.6500000000000004</c:v>
                </c:pt>
                <c:pt idx="2">
                  <c:v>4.7142857142857144</c:v>
                </c:pt>
                <c:pt idx="3">
                  <c:v>6.3181818181818183</c:v>
                </c:pt>
                <c:pt idx="4">
                  <c:v>4.666666666666667</c:v>
                </c:pt>
                <c:pt idx="5">
                  <c:v>4.3684210526315788</c:v>
                </c:pt>
                <c:pt idx="6">
                  <c:v>3.4782608695652173</c:v>
                </c:pt>
                <c:pt idx="7">
                  <c:v>4.666666666666667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0.0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F79646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F79646">
          <a:lumMod val="50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Сызр,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2934266833948539E-2"/>
          <c:y val="0.2981817108901319"/>
          <c:w val="0.92754461296531321"/>
          <c:h val="0.57926494833152053"/>
        </c:manualLayout>
      </c:layout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кол-во'!$R$3:$R$15</c15:sqref>
                  </c15:fullRef>
                </c:ext>
              </c:extLst>
              <c:f>('Общее кол-во'!$R$3:$R$10,'Общее кол-во'!$R$15)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кол-во'!$AI$3:$AI$14</c15:sqref>
                  </c15:fullRef>
                </c:ext>
              </c:extLst>
              <c:f>'Общее кол-во'!$AI$3:$AI$10</c:f>
              <c:numCache>
                <c:formatCode>0</c:formatCode>
                <c:ptCount val="8"/>
                <c:pt idx="0">
                  <c:v>27</c:v>
                </c:pt>
                <c:pt idx="1">
                  <c:v>29</c:v>
                </c:pt>
                <c:pt idx="2">
                  <c:v>32</c:v>
                </c:pt>
                <c:pt idx="3">
                  <c:v>24</c:v>
                </c:pt>
                <c:pt idx="4">
                  <c:v>11</c:v>
                </c:pt>
                <c:pt idx="5">
                  <c:v>6</c:v>
                </c:pt>
                <c:pt idx="6">
                  <c:v>23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кол-во'!$R$3:$R$15</c15:sqref>
                  </c15:fullRef>
                </c:ext>
              </c:extLst>
              <c:f>('Общее кол-во'!$R$3:$R$10,'Общее кол-во'!$R$15)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кол-во'!$AJ$3:$AJ$14</c15:sqref>
                  </c15:fullRef>
                </c:ext>
              </c:extLst>
              <c:f>'Общее кол-во'!$AJ$3:$AJ$10</c:f>
              <c:numCache>
                <c:formatCode>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13</c:v>
                </c:pt>
                <c:pt idx="3">
                  <c:v>13</c:v>
                </c:pt>
                <c:pt idx="4">
                  <c:v>5</c:v>
                </c:pt>
                <c:pt idx="5">
                  <c:v>9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кол-во'!$AK$3:$AK$14</c15:sqref>
                  </c15:fullRef>
                </c:ext>
              </c:extLst>
              <c:f>'Общее кол-во'!$AK$3:$AK$10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Общее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кол-во'!$AL$3:$AL$14</c15:sqref>
                  </c15:fullRef>
                </c:ext>
              </c:extLst>
              <c:f>'Общее кол-во'!$AL$3:$AL$10</c:f>
              <c:numCache>
                <c:formatCode>#,##0</c:formatCode>
                <c:ptCount val="8"/>
                <c:pt idx="0">
                  <c:v>27</c:v>
                </c:pt>
                <c:pt idx="1">
                  <c:v>39</c:v>
                </c:pt>
                <c:pt idx="2">
                  <c:v>46</c:v>
                </c:pt>
                <c:pt idx="3">
                  <c:v>38</c:v>
                </c:pt>
                <c:pt idx="4">
                  <c:v>17</c:v>
                </c:pt>
                <c:pt idx="5">
                  <c:v>17</c:v>
                </c:pt>
                <c:pt idx="6">
                  <c:v>30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4F81BD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1F497D">
          <a:lumMod val="75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bg1">
                    <a:lumMod val="50000"/>
                  </a:schemeClr>
                </a:solidFill>
              </a:rPr>
              <a:t>Среднее в день Сызр,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кол-во'!$AI$19:$AI$30</c15:sqref>
                  </c15:fullRef>
                </c:ext>
              </c:extLst>
              <c:f>'Общее кол-во'!$AI$19:$AI$26</c:f>
              <c:numCache>
                <c:formatCode>0.00</c:formatCode>
                <c:ptCount val="8"/>
                <c:pt idx="0">
                  <c:v>1.588235294117647</c:v>
                </c:pt>
                <c:pt idx="1">
                  <c:v>1.45</c:v>
                </c:pt>
                <c:pt idx="2">
                  <c:v>1.5238095238095237</c:v>
                </c:pt>
                <c:pt idx="3">
                  <c:v>1.0909090909090908</c:v>
                </c:pt>
                <c:pt idx="4">
                  <c:v>0.61111111111111116</c:v>
                </c:pt>
                <c:pt idx="5">
                  <c:v>0.31578947368421051</c:v>
                </c:pt>
                <c:pt idx="6">
                  <c:v>1</c:v>
                </c:pt>
                <c:pt idx="7">
                  <c:v>1.1666666666666667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кол-во'!$AJ$19:$AJ$30</c15:sqref>
                  </c15:fullRef>
                </c:ext>
              </c:extLst>
              <c:f>'Общее кол-во'!$AJ$19:$AJ$26</c:f>
              <c:numCache>
                <c:formatCode>0.00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0.61904761904761907</c:v>
                </c:pt>
                <c:pt idx="3">
                  <c:v>0.59090909090909094</c:v>
                </c:pt>
                <c:pt idx="4">
                  <c:v>0.27777777777777779</c:v>
                </c:pt>
                <c:pt idx="5">
                  <c:v>0.47368421052631576</c:v>
                </c:pt>
                <c:pt idx="6">
                  <c:v>0.21739130434782608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кол-во'!$AK$19:$AK$30</c15:sqref>
                  </c15:fullRef>
                </c:ext>
              </c:extLst>
              <c:f>'Общее кол-во'!$AK$19:$AK$26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4.7619047619047616E-2</c:v>
                </c:pt>
                <c:pt idx="3">
                  <c:v>4.5454545454545456E-2</c:v>
                </c:pt>
                <c:pt idx="4">
                  <c:v>5.5555555555555552E-2</c:v>
                </c:pt>
                <c:pt idx="5">
                  <c:v>0.10526315789473684</c:v>
                </c:pt>
                <c:pt idx="6">
                  <c:v>8.6956521739130432E-2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С.Итог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кол-во'!$R$19:$R$30</c15:sqref>
                  </c15:fullRef>
                </c:ext>
              </c:extLst>
              <c:f>'Общее кол-во'!$R$19:$R$26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кол-во'!$AL$19:$AL$30</c15:sqref>
                  </c15:fullRef>
                </c:ext>
              </c:extLst>
              <c:f>'Общее кол-во'!$AL$19:$AL$26</c:f>
              <c:numCache>
                <c:formatCode>0.00</c:formatCode>
                <c:ptCount val="8"/>
                <c:pt idx="0">
                  <c:v>1.588235294117647</c:v>
                </c:pt>
                <c:pt idx="1">
                  <c:v>1.95</c:v>
                </c:pt>
                <c:pt idx="2">
                  <c:v>2.1904761904761907</c:v>
                </c:pt>
                <c:pt idx="3">
                  <c:v>1.7272727272727273</c:v>
                </c:pt>
                <c:pt idx="4">
                  <c:v>0.94444444444444442</c:v>
                </c:pt>
                <c:pt idx="5">
                  <c:v>0.89473684210526316</c:v>
                </c:pt>
                <c:pt idx="6">
                  <c:v>1.3043478260869565</c:v>
                </c:pt>
                <c:pt idx="7">
                  <c:v>1.1666666666666667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0.0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F79646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F79646">
          <a:lumMod val="50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по дням Новак</a:t>
            </a:r>
          </a:p>
        </c:rich>
      </c:tx>
      <c:layout>
        <c:manualLayout>
          <c:xMode val="edge"/>
          <c:yMode val="edge"/>
          <c:x val="0.19967651306021253"/>
          <c:y val="6.66666433362577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Продажи по дням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AE-458D-98EA-B69329225C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AE-458D-98EA-B69329225C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AE-458D-98EA-B69329225C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AE-458D-98EA-B69329225C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AE-458D-98EA-B69329225C0C}"/>
              </c:ext>
            </c:extLst>
          </c:dPt>
          <c:dLbls>
            <c:dLbl>
              <c:idx val="0"/>
              <c:layout>
                <c:manualLayout>
                  <c:x val="0.223914331953975"/>
                  <c:y val="-9.33333006707609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19168223707378"/>
                      <c:h val="0.161360573452117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0AE-458D-98EA-B69329225C0C}"/>
                </c:ext>
              </c:extLst>
            </c:dLbl>
            <c:dLbl>
              <c:idx val="1"/>
              <c:layout>
                <c:manualLayout>
                  <c:x val="0.13244603503165517"/>
                  <c:y val="0.138789834333011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E-458D-98EA-B69329225C0C}"/>
                </c:ext>
              </c:extLst>
            </c:dLbl>
            <c:dLbl>
              <c:idx val="2"/>
              <c:layout>
                <c:manualLayout>
                  <c:x val="-0.14545459172976755"/>
                  <c:y val="8.41988312967435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E-458D-98EA-B69329225C0C}"/>
                </c:ext>
              </c:extLst>
            </c:dLbl>
            <c:dLbl>
              <c:idx val="3"/>
              <c:layout>
                <c:manualLayout>
                  <c:x val="-0.13189637448858274"/>
                  <c:y val="0.128574921072486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AE-458D-98EA-B69329225C0C}"/>
                </c:ext>
              </c:extLst>
            </c:dLbl>
            <c:dLbl>
              <c:idx val="4"/>
              <c:layout>
                <c:manualLayout>
                  <c:x val="-0.14545459172976752"/>
                  <c:y val="-8.88888577816770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AE-458D-98EA-B69329225C0C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rgbClr val="EEECE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'Общее кол-во'!$R$35:$R$39</c:f>
              <c:strCache>
                <c:ptCount val="5"/>
                <c:pt idx="0">
                  <c:v>понедельник</c:v>
                </c:pt>
                <c:pt idx="1">
                  <c:v>вторник</c:v>
                </c:pt>
                <c:pt idx="2">
                  <c:v>среда</c:v>
                </c:pt>
                <c:pt idx="3">
                  <c:v>четверг</c:v>
                </c:pt>
                <c:pt idx="4">
                  <c:v>пятница</c:v>
                </c:pt>
              </c:strCache>
            </c:strRef>
          </c:cat>
          <c:val>
            <c:numRef>
              <c:f>'Общее кол-во'!$S$35:$S$39</c:f>
              <c:numCache>
                <c:formatCode>General</c:formatCode>
                <c:ptCount val="5"/>
                <c:pt idx="0">
                  <c:v>71</c:v>
                </c:pt>
                <c:pt idx="1">
                  <c:v>70</c:v>
                </c:pt>
                <c:pt idx="2">
                  <c:v>55</c:v>
                </c:pt>
                <c:pt idx="3">
                  <c:v>52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AE-458D-98EA-B69329225C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по дням Засекина</a:t>
            </a:r>
          </a:p>
        </c:rich>
      </c:tx>
      <c:layout>
        <c:manualLayout>
          <c:xMode val="edge"/>
          <c:yMode val="edge"/>
          <c:x val="0.15927245980194377"/>
          <c:y val="1.1094867198752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Продажи по дням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82-4A77-ACFD-24DBD5C40E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82-4A77-ACFD-24DBD5C40E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82-4A77-ACFD-24DBD5C40E8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82-4A77-ACFD-24DBD5C40E8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82-4A77-ACFD-24DBD5C40E80}"/>
              </c:ext>
            </c:extLst>
          </c:dPt>
          <c:dLbls>
            <c:dLbl>
              <c:idx val="0"/>
              <c:layout>
                <c:manualLayout>
                  <c:x val="0.14949499705559438"/>
                  <c:y val="-0.11070111987693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13401419995681"/>
                      <c:h val="0.160765221926980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B82-4A77-ACFD-24DBD5C40E80}"/>
                </c:ext>
              </c:extLst>
            </c:dLbl>
            <c:dLbl>
              <c:idx val="1"/>
              <c:layout>
                <c:manualLayout>
                  <c:x val="0.12525256510063312"/>
                  <c:y val="1.771217918030963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82-4A77-ACFD-24DBD5C40E80}"/>
                </c:ext>
              </c:extLst>
            </c:dLbl>
            <c:dLbl>
              <c:idx val="2"/>
              <c:layout>
                <c:manualLayout>
                  <c:x val="0.12121215977480633"/>
                  <c:y val="8.8560895901548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82-4A77-ACFD-24DBD5C40E80}"/>
                </c:ext>
              </c:extLst>
            </c:dLbl>
            <c:dLbl>
              <c:idx val="3"/>
              <c:layout>
                <c:manualLayout>
                  <c:x val="-0.13737378107811377"/>
                  <c:y val="8.8560895901548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82-4A77-ACFD-24DBD5C40E80}"/>
                </c:ext>
              </c:extLst>
            </c:dLbl>
            <c:dLbl>
              <c:idx val="4"/>
              <c:layout>
                <c:manualLayout>
                  <c:x val="-0.15353540238142127"/>
                  <c:y val="-0.123985254262167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82-4A77-ACFD-24DBD5C40E80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rgbClr val="EEECE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'Общее кол-во'!$R$35:$R$39</c:f>
              <c:strCache>
                <c:ptCount val="5"/>
                <c:pt idx="0">
                  <c:v>понедельник</c:v>
                </c:pt>
                <c:pt idx="1">
                  <c:v>вторник</c:v>
                </c:pt>
                <c:pt idx="2">
                  <c:v>среда</c:v>
                </c:pt>
                <c:pt idx="3">
                  <c:v>четверг</c:v>
                </c:pt>
                <c:pt idx="4">
                  <c:v>пятница</c:v>
                </c:pt>
              </c:strCache>
            </c:strRef>
          </c:cat>
          <c:val>
            <c:numRef>
              <c:f>'Общее кол-во'!$T$35:$T$39</c:f>
              <c:numCache>
                <c:formatCode>#,##0</c:formatCode>
                <c:ptCount val="5"/>
                <c:pt idx="0">
                  <c:v>107</c:v>
                </c:pt>
                <c:pt idx="1">
                  <c:v>103</c:v>
                </c:pt>
                <c:pt idx="2">
                  <c:v>91</c:v>
                </c:pt>
                <c:pt idx="3">
                  <c:v>76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82-4A77-ACFD-24DBD5C4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по дням Тольятти</a:t>
            </a:r>
          </a:p>
        </c:rich>
      </c:tx>
      <c:layout>
        <c:manualLayout>
          <c:xMode val="edge"/>
          <c:yMode val="edge"/>
          <c:x val="0.15927245980194377"/>
          <c:y val="6.66682240367520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Продажи по дням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71-4055-AD03-6A64160255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71-4055-AD03-6A64160255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71-4055-AD03-6A64160255F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71-4055-AD03-6A64160255F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71-4055-AD03-6A64160255F5}"/>
              </c:ext>
            </c:extLst>
          </c:dPt>
          <c:dLbls>
            <c:dLbl>
              <c:idx val="0"/>
              <c:layout>
                <c:manualLayout>
                  <c:x val="0.24040411688669908"/>
                  <c:y val="-7.97048063113933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2552301774374"/>
                      <c:h val="0.160765221926980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71-4055-AD03-6A64160255F5}"/>
                </c:ext>
              </c:extLst>
            </c:dLbl>
            <c:dLbl>
              <c:idx val="1"/>
              <c:layout>
                <c:manualLayout>
                  <c:x val="0.10505053847149876"/>
                  <c:y val="0.1505535230326319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71-4055-AD03-6A64160255F5}"/>
                </c:ext>
              </c:extLst>
            </c:dLbl>
            <c:dLbl>
              <c:idx val="2"/>
              <c:layout>
                <c:manualLayout>
                  <c:x val="-0.12525256510063312"/>
                  <c:y val="8.41328511064707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71-4055-AD03-6A64160255F5}"/>
                </c:ext>
              </c:extLst>
            </c:dLbl>
            <c:dLbl>
              <c:idx val="3"/>
              <c:layout>
                <c:manualLayout>
                  <c:x val="-0.14545459172976752"/>
                  <c:y val="-3.54243583606192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71-4055-AD03-6A64160255F5}"/>
                </c:ext>
              </c:extLst>
            </c:dLbl>
            <c:dLbl>
              <c:idx val="4"/>
              <c:layout>
                <c:manualLayout>
                  <c:x val="-0.16161621303307502"/>
                  <c:y val="-0.101845030286780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71-4055-AD03-6A64160255F5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rgbClr val="EEECE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'Общее кол-во'!$R$35:$R$39</c:f>
              <c:strCache>
                <c:ptCount val="5"/>
                <c:pt idx="0">
                  <c:v>понедельник</c:v>
                </c:pt>
                <c:pt idx="1">
                  <c:v>вторник</c:v>
                </c:pt>
                <c:pt idx="2">
                  <c:v>среда</c:v>
                </c:pt>
                <c:pt idx="3">
                  <c:v>четверг</c:v>
                </c:pt>
                <c:pt idx="4">
                  <c:v>пятница</c:v>
                </c:pt>
              </c:strCache>
            </c:strRef>
          </c:cat>
          <c:val>
            <c:numRef>
              <c:f>'Общее кол-во'!$U$35:$U$39</c:f>
              <c:numCache>
                <c:formatCode>#,##0</c:formatCode>
                <c:ptCount val="5"/>
                <c:pt idx="0">
                  <c:v>124</c:v>
                </c:pt>
                <c:pt idx="1">
                  <c:v>152</c:v>
                </c:pt>
                <c:pt idx="2">
                  <c:v>145</c:v>
                </c:pt>
                <c:pt idx="3">
                  <c:v>136</c:v>
                </c:pt>
                <c:pt idx="4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71-4055-AD03-6A64160255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по дням Мичурина</a:t>
            </a:r>
          </a:p>
        </c:rich>
      </c:tx>
      <c:layout>
        <c:manualLayout>
          <c:xMode val="edge"/>
          <c:yMode val="edge"/>
          <c:x val="0.14715124382446315"/>
          <c:y val="6.66682240367520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Продажи по дням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F7-4D48-95C7-975F2B6F3C9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F7-4D48-95C7-975F2B6F3C9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F7-4D48-95C7-975F2B6F3C9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F7-4D48-95C7-975F2B6F3C9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F7-4D48-95C7-975F2B6F3C9A}"/>
              </c:ext>
            </c:extLst>
          </c:dPt>
          <c:dLbls>
            <c:dLbl>
              <c:idx val="0"/>
              <c:layout>
                <c:manualLayout>
                  <c:x val="0.14545459172976752"/>
                  <c:y val="-0.1239852542621674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80760417008008"/>
                      <c:h val="0.160765221926980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FF7-4D48-95C7-975F2B6F3C9A}"/>
                </c:ext>
              </c:extLst>
            </c:dLbl>
            <c:dLbl>
              <c:idx val="1"/>
              <c:layout>
                <c:manualLayout>
                  <c:x val="0.14545459172976735"/>
                  <c:y val="9.29889406966255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F7-4D48-95C7-975F2B6F3C9A}"/>
                </c:ext>
              </c:extLst>
            </c:dLbl>
            <c:dLbl>
              <c:idx val="2"/>
              <c:layout>
                <c:manualLayout>
                  <c:x val="-0.11717175444897938"/>
                  <c:y val="7.97048063113933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F7-4D48-95C7-975F2B6F3C9A}"/>
                </c:ext>
              </c:extLst>
            </c:dLbl>
            <c:dLbl>
              <c:idx val="3"/>
              <c:layout>
                <c:manualLayout>
                  <c:x val="-0.14545459172976752"/>
                  <c:y val="4.42804479507740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F7-4D48-95C7-975F2B6F3C9A}"/>
                </c:ext>
              </c:extLst>
            </c:dLbl>
            <c:dLbl>
              <c:idx val="4"/>
              <c:layout>
                <c:manualLayout>
                  <c:x val="-0.14141418640394063"/>
                  <c:y val="-0.101845030286780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F7-4D48-95C7-975F2B6F3C9A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'Общее кол-во'!$R$35:$R$39</c:f>
              <c:strCache>
                <c:ptCount val="5"/>
                <c:pt idx="0">
                  <c:v>понедельник</c:v>
                </c:pt>
                <c:pt idx="1">
                  <c:v>вторник</c:v>
                </c:pt>
                <c:pt idx="2">
                  <c:v>среда</c:v>
                </c:pt>
                <c:pt idx="3">
                  <c:v>четверг</c:v>
                </c:pt>
                <c:pt idx="4">
                  <c:v>пятница</c:v>
                </c:pt>
              </c:strCache>
            </c:strRef>
          </c:cat>
          <c:val>
            <c:numRef>
              <c:f>'Общее кол-во'!$V$35:$V$39</c:f>
              <c:numCache>
                <c:formatCode>#,##0</c:formatCode>
                <c:ptCount val="5"/>
                <c:pt idx="0">
                  <c:v>167</c:v>
                </c:pt>
                <c:pt idx="1">
                  <c:v>147</c:v>
                </c:pt>
                <c:pt idx="2">
                  <c:v>148</c:v>
                </c:pt>
                <c:pt idx="3">
                  <c:v>145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F7-4D48-95C7-975F2B6F3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по дням Сызрань</a:t>
            </a:r>
          </a:p>
        </c:rich>
      </c:tx>
      <c:layout>
        <c:manualLayout>
          <c:xMode val="edge"/>
          <c:yMode val="edge"/>
          <c:x val="0.1552320544761169"/>
          <c:y val="1.1094867198752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Продажи по дням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5E-479E-B983-A48E2F14250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5E-479E-B983-A48E2F14250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5E-479E-B983-A48E2F14250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5E-479E-B983-A48E2F14250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5E-479E-B983-A48E2F142507}"/>
              </c:ext>
            </c:extLst>
          </c:dPt>
          <c:dLbls>
            <c:dLbl>
              <c:idx val="0"/>
              <c:layout>
                <c:manualLayout>
                  <c:x val="0.18585864498803625"/>
                  <c:y val="-9.298894069662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37644615491807"/>
                      <c:h val="0.160765221926980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F5E-479E-B983-A48E2F142507}"/>
                </c:ext>
              </c:extLst>
            </c:dLbl>
            <c:dLbl>
              <c:idx val="1"/>
              <c:layout>
                <c:manualLayout>
                  <c:x val="0.14141418640394063"/>
                  <c:y val="3.542435836061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5E-479E-B983-A48E2F142507}"/>
                </c:ext>
              </c:extLst>
            </c:dLbl>
            <c:dLbl>
              <c:idx val="2"/>
              <c:layout>
                <c:manualLayout>
                  <c:x val="0.16161621303307486"/>
                  <c:y val="7.08487167212385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5E-479E-B983-A48E2F142507}"/>
                </c:ext>
              </c:extLst>
            </c:dLbl>
            <c:dLbl>
              <c:idx val="3"/>
              <c:layout>
                <c:manualLayout>
                  <c:x val="-0.14949499705559441"/>
                  <c:y val="9.29889406966255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5E-479E-B983-A48E2F142507}"/>
                </c:ext>
              </c:extLst>
            </c:dLbl>
            <c:dLbl>
              <c:idx val="4"/>
              <c:layout>
                <c:manualLayout>
                  <c:x val="-0.16161621303307502"/>
                  <c:y val="-0.1195572094670900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5E-479E-B983-A48E2F142507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rgbClr val="EEECE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'Общее кол-во'!$R$35:$R$39</c:f>
              <c:strCache>
                <c:ptCount val="5"/>
                <c:pt idx="0">
                  <c:v>понедельник</c:v>
                </c:pt>
                <c:pt idx="1">
                  <c:v>вторник</c:v>
                </c:pt>
                <c:pt idx="2">
                  <c:v>среда</c:v>
                </c:pt>
                <c:pt idx="3">
                  <c:v>четверг</c:v>
                </c:pt>
                <c:pt idx="4">
                  <c:v>пятница</c:v>
                </c:pt>
              </c:strCache>
            </c:strRef>
          </c:cat>
          <c:val>
            <c:numRef>
              <c:f>'Общее кол-во'!$W$35:$W$39</c:f>
              <c:numCache>
                <c:formatCode>#,##0</c:formatCode>
                <c:ptCount val="5"/>
                <c:pt idx="0">
                  <c:v>42</c:v>
                </c:pt>
                <c:pt idx="1">
                  <c:v>37</c:v>
                </c:pt>
                <c:pt idx="2">
                  <c:v>59</c:v>
                </c:pt>
                <c:pt idx="3">
                  <c:v>46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5E-479E-B983-A48E2F142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Продажи Засек,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73000">
                <a:schemeClr val="accent1">
                  <a:lumMod val="60000"/>
                  <a:lumOff val="4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sunrise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4">
                  <a:lumMod val="75000"/>
                </a:schemeClr>
              </a:gs>
              <a:gs pos="75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7500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  <a:scene3d>
            <a:camera prst="orthographicFront"/>
            <a:lightRig rig="morning" dir="t"/>
          </a:scene3d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Есмарт</c:v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3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sunrise" dir="t"/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кол-во'!$W$3:$W$14</c15:sqref>
                  </c15:fullRef>
                </c:ext>
              </c:extLst>
              <c:f>'Общее кол-во'!$W$3:$W$10</c:f>
              <c:numCache>
                <c:formatCode>0</c:formatCode>
                <c:ptCount val="8"/>
                <c:pt idx="0">
                  <c:v>76</c:v>
                </c:pt>
                <c:pt idx="1">
                  <c:v>42</c:v>
                </c:pt>
                <c:pt idx="2">
                  <c:v>34</c:v>
                </c:pt>
                <c:pt idx="3">
                  <c:v>47</c:v>
                </c:pt>
                <c:pt idx="4">
                  <c:v>11</c:v>
                </c:pt>
                <c:pt idx="5">
                  <c:v>14</c:v>
                </c:pt>
                <c:pt idx="6">
                  <c:v>41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3-4C8A-8765-859B1EBF2C29}"/>
            </c:ext>
          </c:extLst>
        </c:ser>
        <c:ser>
          <c:idx val="1"/>
          <c:order val="1"/>
          <c:tx>
            <c:v>Рутокен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75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кол-во'!$X$3:$X$14</c15:sqref>
                  </c15:fullRef>
                </c:ext>
              </c:extLst>
              <c:f>'Общее кол-во'!$X$3:$X$10</c:f>
              <c:numCache>
                <c:formatCode>0</c:formatCode>
                <c:ptCount val="8"/>
                <c:pt idx="0">
                  <c:v>0</c:v>
                </c:pt>
                <c:pt idx="1">
                  <c:v>23</c:v>
                </c:pt>
                <c:pt idx="2">
                  <c:v>29</c:v>
                </c:pt>
                <c:pt idx="3">
                  <c:v>28</c:v>
                </c:pt>
                <c:pt idx="4">
                  <c:v>22</c:v>
                </c:pt>
                <c:pt idx="5">
                  <c:v>22</c:v>
                </c:pt>
                <c:pt idx="6">
                  <c:v>26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3-4C8A-8765-859B1EBF2C29}"/>
            </c:ext>
          </c:extLst>
        </c:ser>
        <c:ser>
          <c:idx val="2"/>
          <c:order val="2"/>
          <c:tx>
            <c:v>Есмарт АРМ</c:v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75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morning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003-4C8A-8765-859B1EBF2C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003-4C8A-8765-859B1EBF2C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03-4C8A-8765-859B1EBF2C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03-4C8A-8765-859B1EBF2C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кол-во'!$Y$3:$Y$14</c15:sqref>
                  </c15:fullRef>
                </c:ext>
              </c:extLst>
              <c:f>'Общее кол-во'!$Y$3:$Y$10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10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810015"/>
        <c:axId val="2080829151"/>
      </c:barChart>
      <c:lineChart>
        <c:grouping val="standard"/>
        <c:varyColors val="0"/>
        <c:ser>
          <c:idx val="3"/>
          <c:order val="3"/>
          <c:tx>
            <c:v>Общее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'Общее кол-во'!$R$3:$R$14</c15:sqref>
                  </c15:fullRef>
                </c:ext>
              </c:extLst>
              <c:f>'Общее кол-во'!$R$3:$R$10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'Общее кол-во'!$Z$3:$Z$14</c15:sqref>
                  </c15:fullRef>
                </c:ext>
              </c:extLst>
              <c:f>'Общее кол-во'!$Z$3:$Z$10</c:f>
              <c:numCache>
                <c:formatCode>#,##0</c:formatCode>
                <c:ptCount val="8"/>
                <c:pt idx="0">
                  <c:v>76</c:v>
                </c:pt>
                <c:pt idx="1">
                  <c:v>65</c:v>
                </c:pt>
                <c:pt idx="2">
                  <c:v>69</c:v>
                </c:pt>
                <c:pt idx="3">
                  <c:v>85</c:v>
                </c:pt>
                <c:pt idx="4">
                  <c:v>38</c:v>
                </c:pt>
                <c:pt idx="5">
                  <c:v>43</c:v>
                </c:pt>
                <c:pt idx="6">
                  <c:v>71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3-4C8A-8765-859B1EBF2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925919"/>
        <c:axId val="1435911039"/>
      </c:lineChart>
      <c:catAx>
        <c:axId val="208081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829151"/>
        <c:crosses val="autoZero"/>
        <c:auto val="1"/>
        <c:lblAlgn val="ctr"/>
        <c:lblOffset val="100"/>
        <c:noMultiLvlLbl val="0"/>
      </c:catAx>
      <c:valAx>
        <c:axId val="20808291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80810015"/>
        <c:crosses val="autoZero"/>
        <c:crossBetween val="between"/>
      </c:valAx>
      <c:valAx>
        <c:axId val="1435911039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1435925919"/>
        <c:crosses val="max"/>
        <c:crossBetween val="between"/>
      </c:valAx>
      <c:catAx>
        <c:axId val="143592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9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gradFill rotWithShape="1">
      <a:gsLst>
        <a:gs pos="0">
          <a:srgbClr val="4F81BD">
            <a:lumMod val="20000"/>
            <a:lumOff val="80000"/>
          </a:srgbClr>
        </a:gs>
        <a:gs pos="100000">
          <a:sysClr val="window" lastClr="FFFFFF">
            <a:lumMod val="95000"/>
          </a:sysClr>
        </a:gs>
        <a:gs pos="100000">
          <a:sysClr val="window" lastClr="FFFFFF">
            <a:lumMod val="95000"/>
          </a:sysClr>
        </a:gs>
      </a:gsLst>
      <a:lin ang="16200000" scaled="1"/>
    </a:gradFill>
    <a:ln w="9525" cap="flat" cmpd="sng" algn="ctr">
      <a:solidFill>
        <a:schemeClr val="bg1">
          <a:lumMod val="85000"/>
        </a:schemeClr>
      </a:solidFill>
      <a:prstDash val="solid"/>
      <a:round/>
    </a:ln>
    <a:effectLst>
      <a:outerShdw blurRad="50800" dist="38100" dir="2700000" sx="101000" sy="101000" algn="tl" rotWithShape="0">
        <a:srgbClr val="1F497D">
          <a:lumMod val="75000"/>
          <a:alpha val="40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201083</xdr:colOff>
      <xdr:row>1</xdr:row>
      <xdr:rowOff>0</xdr:rowOff>
    </xdr:from>
    <xdr:to>
      <xdr:col>9</xdr:col>
      <xdr:colOff>496083</xdr:colOff>
      <xdr:row>16</xdr:row>
      <xdr:rowOff>0</xdr:rowOff>
    </xdr:to>
    <xdr:graphicFrame macro="">
      <xdr:nvGraphicFramePr>
        <xdr:cNvPr id="5" name="Диаграмма продаж без новака">
          <a:extLst>
            <a:ext uri="{FF2B5EF4-FFF2-40B4-BE49-F238E27FC236}">
              <a16:creationId xmlns:a16="http://schemas.microsoft.com/office/drawing/2014/main" id="{C336EE50-ECCB-4669-98CA-7D7E1353A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572832</xdr:colOff>
      <xdr:row>1</xdr:row>
      <xdr:rowOff>0</xdr:rowOff>
    </xdr:from>
    <xdr:to>
      <xdr:col>30</xdr:col>
      <xdr:colOff>84666</xdr:colOff>
      <xdr:row>15</xdr:row>
      <xdr:rowOff>189016</xdr:rowOff>
    </xdr:to>
    <xdr:graphicFrame macro="">
      <xdr:nvGraphicFramePr>
        <xdr:cNvPr id="6" name="Диаграмма прибыли без новака">
          <a:extLst>
            <a:ext uri="{FF2B5EF4-FFF2-40B4-BE49-F238E27FC236}">
              <a16:creationId xmlns:a16="http://schemas.microsoft.com/office/drawing/2014/main" id="{ABD0C5C6-7CDD-4A4F-B94C-FB0E3308C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624419</xdr:colOff>
      <xdr:row>1</xdr:row>
      <xdr:rowOff>0</xdr:rowOff>
    </xdr:from>
    <xdr:to>
      <xdr:col>19</xdr:col>
      <xdr:colOff>453752</xdr:colOff>
      <xdr:row>16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BDA3427-6309-40E9-8488-09C3B15C1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197250</xdr:colOff>
      <xdr:row>17</xdr:row>
      <xdr:rowOff>0</xdr:rowOff>
    </xdr:from>
    <xdr:to>
      <xdr:col>6</xdr:col>
      <xdr:colOff>0</xdr:colOff>
      <xdr:row>30</xdr:row>
      <xdr:rowOff>43500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8495218-2B2B-48E0-9427-DB335E2A7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186667</xdr:colOff>
      <xdr:row>31</xdr:row>
      <xdr:rowOff>84667</xdr:rowOff>
    </xdr:from>
    <xdr:to>
      <xdr:col>5</xdr:col>
      <xdr:colOff>677334</xdr:colOff>
      <xdr:row>44</xdr:row>
      <xdr:rowOff>128167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F8F68E0-D9D6-47C3-B050-37BAF3D5A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539753</xdr:colOff>
      <xdr:row>17</xdr:row>
      <xdr:rowOff>0</xdr:rowOff>
    </xdr:from>
    <xdr:to>
      <xdr:col>17</xdr:col>
      <xdr:colOff>416586</xdr:colOff>
      <xdr:row>30</xdr:row>
      <xdr:rowOff>43500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C1CCD33-5542-4CAA-8F59-A5A94BDE4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127003</xdr:colOff>
      <xdr:row>31</xdr:row>
      <xdr:rowOff>74083</xdr:rowOff>
    </xdr:from>
    <xdr:to>
      <xdr:col>11</xdr:col>
      <xdr:colOff>395420</xdr:colOff>
      <xdr:row>44</xdr:row>
      <xdr:rowOff>117583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3A1651B-0FE8-4CED-B5CA-94EDBE813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529170</xdr:colOff>
      <xdr:row>31</xdr:row>
      <xdr:rowOff>74083</xdr:rowOff>
    </xdr:from>
    <xdr:to>
      <xdr:col>17</xdr:col>
      <xdr:colOff>406003</xdr:colOff>
      <xdr:row>44</xdr:row>
      <xdr:rowOff>117583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A42F61DA-DF1F-4C2B-BB2E-8D7A281DC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544523</xdr:colOff>
      <xdr:row>17</xdr:row>
      <xdr:rowOff>0</xdr:rowOff>
    </xdr:from>
    <xdr:to>
      <xdr:col>23</xdr:col>
      <xdr:colOff>569523</xdr:colOff>
      <xdr:row>30</xdr:row>
      <xdr:rowOff>43500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3F67EDBA-90D3-43ED-9F91-2AC968388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544523</xdr:colOff>
      <xdr:row>31</xdr:row>
      <xdr:rowOff>74083</xdr:rowOff>
    </xdr:from>
    <xdr:to>
      <xdr:col>23</xdr:col>
      <xdr:colOff>569523</xdr:colOff>
      <xdr:row>44</xdr:row>
      <xdr:rowOff>117583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D5926106-35CE-444F-9338-A52F761E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95018</xdr:colOff>
      <xdr:row>17</xdr:row>
      <xdr:rowOff>0</xdr:rowOff>
    </xdr:from>
    <xdr:to>
      <xdr:col>30</xdr:col>
      <xdr:colOff>120018</xdr:colOff>
      <xdr:row>30</xdr:row>
      <xdr:rowOff>43500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7E5B727-D2AA-425B-96C3-D41A983A9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95018</xdr:colOff>
      <xdr:row>31</xdr:row>
      <xdr:rowOff>63500</xdr:rowOff>
    </xdr:from>
    <xdr:to>
      <xdr:col>30</xdr:col>
      <xdr:colOff>120018</xdr:colOff>
      <xdr:row>44</xdr:row>
      <xdr:rowOff>107000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2B22E65-DBD0-4B1A-BD30-4ED23CCA0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186666</xdr:colOff>
      <xdr:row>45</xdr:row>
      <xdr:rowOff>125834</xdr:rowOff>
    </xdr:from>
    <xdr:to>
      <xdr:col>5</xdr:col>
      <xdr:colOff>677333</xdr:colOff>
      <xdr:row>58</xdr:row>
      <xdr:rowOff>169334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5E45B339-B6E6-472E-98D8-B0AA9EE6E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137586</xdr:colOff>
      <xdr:row>45</xdr:row>
      <xdr:rowOff>125834</xdr:rowOff>
    </xdr:from>
    <xdr:to>
      <xdr:col>11</xdr:col>
      <xdr:colOff>406003</xdr:colOff>
      <xdr:row>58</xdr:row>
      <xdr:rowOff>169334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705F42CF-5C10-4927-96DC-94F5BE2DA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529170</xdr:colOff>
      <xdr:row>45</xdr:row>
      <xdr:rowOff>125834</xdr:rowOff>
    </xdr:from>
    <xdr:to>
      <xdr:col>17</xdr:col>
      <xdr:colOff>406003</xdr:colOff>
      <xdr:row>58</xdr:row>
      <xdr:rowOff>169334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3A738060-2E18-4F4D-8FA8-4323CA296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544523</xdr:colOff>
      <xdr:row>45</xdr:row>
      <xdr:rowOff>125834</xdr:rowOff>
    </xdr:from>
    <xdr:to>
      <xdr:col>23</xdr:col>
      <xdr:colOff>569523</xdr:colOff>
      <xdr:row>58</xdr:row>
      <xdr:rowOff>169334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0909F4B6-06D3-492F-B98D-A88701D30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95018</xdr:colOff>
      <xdr:row>45</xdr:row>
      <xdr:rowOff>125834</xdr:rowOff>
    </xdr:from>
    <xdr:to>
      <xdr:col>30</xdr:col>
      <xdr:colOff>120018</xdr:colOff>
      <xdr:row>58</xdr:row>
      <xdr:rowOff>169334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8C999672-BE57-417C-AB67-4B19B2867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137586</xdr:colOff>
      <xdr:row>17</xdr:row>
      <xdr:rowOff>0</xdr:rowOff>
    </xdr:from>
    <xdr:to>
      <xdr:col>11</xdr:col>
      <xdr:colOff>406003</xdr:colOff>
      <xdr:row>30</xdr:row>
      <xdr:rowOff>43500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0D4265-4607-487C-8A4A-39AB3A944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08796295" createdVersion="7" refreshedVersion="8" minRefreshableVersion="3" recordCount="0" supportSubquery="1" supportAdvancedDrill="1" xr:uid="{711773DF-397E-4B7D-8314-F692B6BA5754}">
  <cacheSource type="external" connectionId="1"/>
  <cacheFields count="5">
    <cacheField name="[Общая прибыль по дням].[Название месяца].[Название месяца]" caption="Название месяца" numFmtId="0" hierarchy="1" level="1">
      <sharedItems count="8">
        <s v="Август"/>
        <s v="Апрель"/>
        <s v="Июль"/>
        <s v="Июнь"/>
        <s v="Май"/>
        <s v="Март"/>
        <s v="Февраль"/>
        <s v="Январь"/>
      </sharedItems>
    </cacheField>
    <cacheField name="[Measures].[Общая по Есмарт без Новака]" caption="Общая по Есмарт без Новака" numFmtId="0" hierarchy="102" level="32767"/>
    <cacheField name="[Measures].[Общая по Рутокен без Новака]" caption="Общая по Рутокен без Новака" numFmtId="0" hierarchy="103" level="32767"/>
    <cacheField name="[Measures].[Общая по Есмарт АРМ без Новака]" caption="Общая по Есмарт АРМ без Новака" numFmtId="0" hierarchy="139" level="32767"/>
    <cacheField name="[Measures].[Общая без Новака]" caption="Общая без Новака" numFmtId="0" hierarchy="104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2" memberValueDatatype="130" unbalanced="0">
      <fieldsUsage count="2">
        <fieldUsage x="-1"/>
        <fieldUsage x="0"/>
      </fieldsUsage>
    </cacheHierarchy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0" memberValueDatatype="130" unbalanced="0"/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 oneField="1">
      <fieldsUsage count="1">
        <fieldUsage x="1"/>
      </fieldsUsage>
    </cacheHierarchy>
    <cacheHierarchy uniqueName="[Measures].[Общая по Рутокен без Новака]" caption="Общая по Рутокен без Новака" measure="1" displayFolder="" measureGroup="Общая прибыль по дням" count="0" oneField="1">
      <fieldsUsage count="1">
        <fieldUsage x="2"/>
      </fieldsUsage>
    </cacheHierarchy>
    <cacheHierarchy uniqueName="[Measures].[Общая без Новака]" caption="Общая без Новака" measure="1" displayFolder="" measureGroup="Общая прибыль по дням" count="0" oneField="1">
      <fieldsUsage count="1">
        <fieldUsage x="4"/>
      </fieldsUsage>
    </cacheHierarchy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 oneField="1">
      <fieldsUsage count="1">
        <fieldUsage x="3"/>
      </fieldsUsage>
    </cacheHierarchy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09722219" createdVersion="7" refreshedVersion="8" minRefreshableVersion="3" recordCount="0" supportSubquery="1" supportAdvancedDrill="1" xr:uid="{0B0968B2-EE1C-469B-8DC8-187EB84C47BC}">
  <cacheSource type="external" connectionId="1"/>
  <cacheFields count="21">
    <cacheField name="[Общее кол-во по дням для сводной].[Название месяца].[Название месяца]" caption="Название месяца" numFmtId="0" hierarchy="20" level="1">
      <sharedItems count="8">
        <s v="Август"/>
        <s v="Апрель"/>
        <s v="Июль"/>
        <s v="Июнь"/>
        <s v="Май"/>
        <s v="Март"/>
        <s v="Февраль"/>
        <s v="Январь"/>
      </sharedItems>
    </cacheField>
    <cacheField name="[Measures].[Общее Есмарт по Новаку]" caption="Общее Есмарт по Новаку" numFmtId="0" hierarchy="105" level="32767"/>
    <cacheField name="[Measures].[Общее Рутокен по Новаку]" caption="Общее Рутокен по Новаку" numFmtId="0" hierarchy="106" level="32767"/>
    <cacheField name="[Measures].[Общее по Новаку]" caption="Общее по Новаку" numFmtId="0" hierarchy="107" level="32767"/>
    <cacheField name="[Measures].[Общее Есмарт АРМ по Новаку]" caption="Общее Есмарт АРМ по Новаку" numFmtId="0" hierarchy="132" level="32767"/>
    <cacheField name="[Measures].[Общее Есмарт по Засек]" caption="Общее Есмарт по Засек" numFmtId="0" hierarchy="108" level="32767"/>
    <cacheField name="[Measures].[Общее Рутокен по Засек]" caption="Общее Рутокен по Засек" numFmtId="0" hierarchy="109" level="32767"/>
    <cacheField name="[Measures].[Общее Есмарт АРМ по Засек]" caption="Общее Есмарт АРМ по Засек" numFmtId="0" hierarchy="133" level="32767"/>
    <cacheField name="[Measures].[Общее по Засек]" caption="Общее по Засек" numFmtId="0" hierarchy="110" level="32767"/>
    <cacheField name="[Measures].[Общее Есмарт по Тол]" caption="Общее Есмарт по Тол" numFmtId="0" hierarchy="111" level="32767"/>
    <cacheField name="[Measures].[Общее Рутокен по Тол]" caption="Общее Рутокен по Тол" numFmtId="0" hierarchy="112" level="32767"/>
    <cacheField name="[Measures].[Общее Есмарт АРМ по Тол]" caption="Общее Есмарт АРМ по Тол" numFmtId="0" hierarchy="134" level="32767"/>
    <cacheField name="[Measures].[Общее по Тол]" caption="Общее по Тол" numFmtId="0" hierarchy="113" level="32767"/>
    <cacheField name="[Measures].[Общее Есмарт по Мичу]" caption="Общее Есмарт по Мичу" numFmtId="0" hierarchy="114" level="32767"/>
    <cacheField name="[Measures].[Общее Рутокен по Мичу]" caption="Общее Рутокен по Мичу" numFmtId="0" hierarchy="115" level="32767"/>
    <cacheField name="[Measures].[Общее Есмарт АРМ по Мичу]" caption="Общее Есмарт АРМ по Мичу" numFmtId="0" hierarchy="135" level="32767"/>
    <cacheField name="[Measures].[Общее по Мичу]" caption="Общее по Мичу" numFmtId="0" hierarchy="116" level="32767"/>
    <cacheField name="[Measures].[Общее Есмарт по Сызр]" caption="Общее Есмарт по Сызр" numFmtId="0" hierarchy="117" level="32767"/>
    <cacheField name="[Measures].[Общее Рутокен по Сызр]" caption="Общее Рутокен по Сызр" numFmtId="0" hierarchy="118" level="32767"/>
    <cacheField name="[Measures].[Общее Есмарт АРМ по Сызр]" caption="Общее Есмарт АРМ по Сызр" numFmtId="0" hierarchy="136" level="32767"/>
    <cacheField name="[Measures].[Общее по Сызр]" caption="Общее по Сызр" numFmtId="0" hierarchy="119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2" memberValueDatatype="130" unbalanced="0">
      <fieldsUsage count="2">
        <fieldUsage x="-1"/>
        <fieldUsage x="0"/>
      </fieldsUsage>
    </cacheHierarchy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 oneField="1">
      <fieldsUsage count="1">
        <fieldUsage x="1"/>
      </fieldsUsage>
    </cacheHierarchy>
    <cacheHierarchy uniqueName="[Measures].[Общее Рутокен по Новаку]" caption="Общее Рутокен по Новаку" measure="1" displayFolder="" measureGroup="Общее кол-во по дням для сводной" count="0" oneField="1">
      <fieldsUsage count="1">
        <fieldUsage x="2"/>
      </fieldsUsage>
    </cacheHierarchy>
    <cacheHierarchy uniqueName="[Measures].[Общее по Новаку]" caption="Общее по Новаку" measure="1" displayFolder="" measureGroup="Общее кол-во по дням для сводной" count="0" oneField="1">
      <fieldsUsage count="1">
        <fieldUsage x="3"/>
      </fieldsUsage>
    </cacheHierarchy>
    <cacheHierarchy uniqueName="[Measures].[Общее Есмарт по Засек]" caption="Общее Есмарт по Засек" measure="1" displayFolder="" measureGroup="Общее кол-во по дням для сводной" count="0" oneField="1">
      <fieldsUsage count="1">
        <fieldUsage x="5"/>
      </fieldsUsage>
    </cacheHierarchy>
    <cacheHierarchy uniqueName="[Measures].[Общее Рутокен по Засек]" caption="Общее Рутокен по Засек" measure="1" displayFolder="" measureGroup="Общее кол-во по дням для сводной" count="0" oneField="1">
      <fieldsUsage count="1">
        <fieldUsage x="6"/>
      </fieldsUsage>
    </cacheHierarchy>
    <cacheHierarchy uniqueName="[Measures].[Общее по Засек]" caption="Общее по Засек" measure="1" displayFolder="" measureGroup="Общее кол-во по дням для сводной" count="0" oneField="1">
      <fieldsUsage count="1">
        <fieldUsage x="8"/>
      </fieldsUsage>
    </cacheHierarchy>
    <cacheHierarchy uniqueName="[Measures].[Общее Есмарт по Тол]" caption="Общее Есмарт по Тол" measure="1" displayFolder="" measureGroup="Общее кол-во по дням для сводной" count="0" oneField="1">
      <fieldsUsage count="1">
        <fieldUsage x="9"/>
      </fieldsUsage>
    </cacheHierarchy>
    <cacheHierarchy uniqueName="[Measures].[Общее Рутокен по Тол]" caption="Общее Рутокен по Тол" measure="1" displayFolder="" measureGroup="Общее кол-во по дням для сводной" count="0" oneField="1">
      <fieldsUsage count="1">
        <fieldUsage x="10"/>
      </fieldsUsage>
    </cacheHierarchy>
    <cacheHierarchy uniqueName="[Measures].[Общее по Тол]" caption="Общее по Тол" measure="1" displayFolder="" measureGroup="Общее кол-во по дням для сводной" count="0" oneField="1">
      <fieldsUsage count="1">
        <fieldUsage x="12"/>
      </fieldsUsage>
    </cacheHierarchy>
    <cacheHierarchy uniqueName="[Measures].[Общее Есмарт по Мичу]" caption="Общее Есмарт по Мичу" measure="1" displayFolder="" measureGroup="Общее кол-во по дням для сводной" count="0" oneField="1">
      <fieldsUsage count="1">
        <fieldUsage x="13"/>
      </fieldsUsage>
    </cacheHierarchy>
    <cacheHierarchy uniqueName="[Measures].[Общее Рутокен по Мичу]" caption="Общее Рутокен по Мичу" measure="1" displayFolder="" measureGroup="Общее кол-во по дням для сводной" count="0" oneField="1">
      <fieldsUsage count="1">
        <fieldUsage x="14"/>
      </fieldsUsage>
    </cacheHierarchy>
    <cacheHierarchy uniqueName="[Measures].[Общее по Мичу]" caption="Общее по Мичу" measure="1" displayFolder="" measureGroup="Общее кол-во по дням для сводной" count="0" oneField="1">
      <fieldsUsage count="1">
        <fieldUsage x="16"/>
      </fieldsUsage>
    </cacheHierarchy>
    <cacheHierarchy uniqueName="[Measures].[Общее Есмарт по Сызр]" caption="Общее Есмарт по Сызр" measure="1" displayFolder="" measureGroup="Общее кол-во по дням для сводной" count="0" oneField="1">
      <fieldsUsage count="1">
        <fieldUsage x="17"/>
      </fieldsUsage>
    </cacheHierarchy>
    <cacheHierarchy uniqueName="[Measures].[Общее Рутокен по Сызр]" caption="Общее Рутокен по Сызр" measure="1" displayFolder="" measureGroup="Общее кол-во по дням для сводной" count="0" oneField="1">
      <fieldsUsage count="1">
        <fieldUsage x="18"/>
      </fieldsUsage>
    </cacheHierarchy>
    <cacheHierarchy uniqueName="[Measures].[Общее по Сызр]" caption="Общее по Сызр" measure="1" displayFolder="" measureGroup="Общее кол-во по дням для сводной" count="0" oneField="1">
      <fieldsUsage count="1">
        <fieldUsage x="20"/>
      </fieldsUsage>
    </cacheHierarchy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 oneField="1">
      <fieldsUsage count="1">
        <fieldUsage x="4"/>
      </fieldsUsage>
    </cacheHierarchy>
    <cacheHierarchy uniqueName="[Measures].[Общее Есмарт АРМ по Засек]" caption="Общее Есмарт АРМ по Засек" measure="1" displayFolder="" measureGroup="Общее кол-во по дням для сводной" count="0" oneField="1">
      <fieldsUsage count="1">
        <fieldUsage x="7"/>
      </fieldsUsage>
    </cacheHierarchy>
    <cacheHierarchy uniqueName="[Measures].[Общее Есмарт АРМ по Тол]" caption="Общее Есмарт АРМ по Тол" measure="1" displayFolder="" measureGroup="Общее кол-во по дням для сводной" count="0" oneField="1">
      <fieldsUsage count="1">
        <fieldUsage x="11"/>
      </fieldsUsage>
    </cacheHierarchy>
    <cacheHierarchy uniqueName="[Measures].[Общее Есмарт АРМ по Мичу]" caption="Общее Есмарт АРМ по Мичу" measure="1" displayFolder="" measureGroup="Общее кол-во по дням для сводной" count="0" oneField="1">
      <fieldsUsage count="1">
        <fieldUsage x="15"/>
      </fieldsUsage>
    </cacheHierarchy>
    <cacheHierarchy uniqueName="[Measures].[Общее Есмарт АРМ по Сызр]" caption="Общее Есмарт АРМ по Сызр" measure="1" displayFolder="" measureGroup="Общее кол-во по дням для сводной" count="0" oneField="1">
      <fieldsUsage count="1">
        <fieldUsage x="19"/>
      </fieldsUsage>
    </cacheHierarchy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064815" createdVersion="7" refreshedVersion="8" minRefreshableVersion="3" recordCount="0" supportSubquery="1" supportAdvancedDrill="1" xr:uid="{6A44EA5F-3A6C-43E3-8D51-A21A1505481A}">
  <cacheSource type="external" connectionId="1"/>
  <cacheFields count="6">
    <cacheField name="[Общее кол-во по дням для сводной].[День недели].[День недели]" caption="День недели" numFmtId="0" hierarchy="37" level="1">
      <sharedItems count="5">
        <s v="вторник"/>
        <s v="понедельник"/>
        <s v="пятница"/>
        <s v="среда"/>
        <s v="четверг"/>
      </sharedItems>
    </cacheField>
    <cacheField name="[Measures].[Общее по Новаку]" caption="Общее по Новаку" numFmtId="0" hierarchy="107" level="32767"/>
    <cacheField name="[Measures].[Общее по Засек]" caption="Общее по Засек" numFmtId="0" hierarchy="110" level="32767"/>
    <cacheField name="[Measures].[Общее по Тол]" caption="Общее по Тол" numFmtId="0" hierarchy="113" level="32767"/>
    <cacheField name="[Measures].[Общее по Мичу]" caption="Общее по Мичу" numFmtId="0" hierarchy="116" level="32767"/>
    <cacheField name="[Measures].[Общее по Сызр]" caption="Общее по Сызр" numFmtId="0" hierarchy="119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0" memberValueDatatype="130" unbalanced="0"/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2" memberValueDatatype="130" unbalanced="0">
      <fieldsUsage count="2">
        <fieldUsage x="-1"/>
        <fieldUsage x="0"/>
      </fieldsUsage>
    </cacheHierarchy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 oneField="1">
      <fieldsUsage count="1">
        <fieldUsage x="1"/>
      </fieldsUsage>
    </cacheHierarchy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 oneField="1">
      <fieldsUsage count="1">
        <fieldUsage x="2"/>
      </fieldsUsage>
    </cacheHierarchy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 oneField="1">
      <fieldsUsage count="1">
        <fieldUsage x="3"/>
      </fieldsUsage>
    </cacheHierarchy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 oneField="1">
      <fieldsUsage count="1">
        <fieldUsage x="4"/>
      </fieldsUsage>
    </cacheHierarchy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 oneField="1">
      <fieldsUsage count="1">
        <fieldUsage x="5"/>
      </fieldsUsage>
    </cacheHierarchy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2499997" createdVersion="5" refreshedVersion="8" minRefreshableVersion="3" recordCount="0" supportSubquery="1" supportAdvancedDrill="1" xr:uid="{82643344-8A0A-48C3-8B18-74DF7C0B3249}">
  <cacheSource type="external" connectionId="1"/>
  <cacheFields count="18">
    <cacheField name="[Общее кол-во по дням для сводной].[Дата].[Дата]" caption="Дата" numFmtId="0" hierarchy="19" level="1">
      <sharedItems containsSemiMixedTypes="0" containsNonDate="0" containsDate="1" containsString="0" minDate="2025-01-09T00:00:00" maxDate="2025-08-09T00:00:00" count="146"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5T00:00:00"/>
        <d v="2025-05-06T00:00:00"/>
        <d v="2025-05-07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</sharedItems>
    </cacheField>
    <cacheField name="[Measures].[Сумма по столбцу Есмарт_Новак 2]" caption="Сумма по столбцу Есмарт_Новак 2" numFmtId="0" hierarchy="42" level="32767"/>
    <cacheField name="[Measures].[Сумма по столбцу Рутокен_Новак]" caption="Сумма по столбцу Рутокен_Новак" numFmtId="0" hierarchy="43" level="32767"/>
    <cacheField name="[Общее кол-во по дням для сводной].[Неделя №].[Неделя №]" caption="Неделя №" numFmtId="0" hierarchy="21" level="1">
      <sharedItems count="31">
        <s v="Неделя №02"/>
        <s v="Неделя №03"/>
        <s v="Неделя №04"/>
        <s v="Неделя №05"/>
        <s v="Неделя №06"/>
        <s v="Неделя №07"/>
        <s v="Неделя №08"/>
        <s v="Неделя №09"/>
        <s v="Неделя №10"/>
        <s v="Неделя №11"/>
        <s v="Неделя №12"/>
        <s v="Неделя №13"/>
        <s v="Неделя №14"/>
        <s v="Неделя №15"/>
        <s v="Неделя №16"/>
        <s v="Неделя №17"/>
        <s v="Неделя №18"/>
        <s v="Неделя №19"/>
        <s v="Неделя №20"/>
        <s v="Неделя №21"/>
        <s v="Неделя №22"/>
        <s v="Неделя №23"/>
        <s v="Неделя №24"/>
        <s v="Неделя №25"/>
        <s v="Неделя №26"/>
        <s v="Неделя №27"/>
        <s v="Неделя №28"/>
        <s v="Неделя №29"/>
        <s v="Неделя №30"/>
        <s v="Неделя №31"/>
        <s v="Неделя №32"/>
      </sharedItems>
    </cacheField>
    <cacheField name="[Общее кол-во по дням для сводной].[Номер Недели].[Номер Недели]" caption="Номер Недели" numFmtId="0" hierarchy="38" level="1">
      <sharedItems containsSemiMixedTypes="0" containsString="0" containsNumber="1" containsInteger="1" minValue="2" maxValue="11" count="10">
        <n v="2"/>
        <n v="3"/>
        <n v="4"/>
        <n v="5"/>
        <n v="6"/>
        <n v="7"/>
        <n v="8"/>
        <n v="9"/>
        <n v="10"/>
        <n v="11"/>
      </sharedItems>
      <extLst>
        <ext xmlns:x15="http://schemas.microsoft.com/office/spreadsheetml/2010/11/main" uri="{4F2E5C28-24EA-4eb8-9CBF-B6C8F9C3D259}">
          <x15:cachedUniqueNames>
            <x15:cachedUniqueName index="0" name="[Общее кол-во по дням для сводной].[Номер Недели].&amp;[2]"/>
            <x15:cachedUniqueName index="1" name="[Общее кол-во по дням для сводной].[Номер Недели].&amp;[3]"/>
            <x15:cachedUniqueName index="2" name="[Общее кол-во по дням для сводной].[Номер Недели].&amp;[4]"/>
            <x15:cachedUniqueName index="3" name="[Общее кол-во по дням для сводной].[Номер Недели].&amp;[5]"/>
            <x15:cachedUniqueName index="4" name="[Общее кол-во по дням для сводной].[Номер Недели].&amp;[6]"/>
            <x15:cachedUniqueName index="5" name="[Общее кол-во по дням для сводной].[Номер Недели].&amp;[7]"/>
            <x15:cachedUniqueName index="6" name="[Общее кол-во по дням для сводной].[Номер Недели].&amp;[8]"/>
            <x15:cachedUniqueName index="7" name="[Общее кол-во по дням для сводной].[Номер Недели].&amp;[9]"/>
            <x15:cachedUniqueName index="8" name="[Общее кол-во по дням для сводной].[Номер Недели].&amp;[10]"/>
            <x15:cachedUniqueName index="9" name="[Общее кол-во по дням для сводной].[Номер Недели].&amp;[11]"/>
          </x15:cachedUniqueNames>
        </ext>
      </extLst>
    </cacheField>
    <cacheField name="[Measures].[Сумма по столбцу Есмарт АРМ_Новак]" caption="Сумма по столбцу Есмарт АРМ_Новак" numFmtId="0" hierarchy="48" level="32767"/>
    <cacheField name="[Measures].[Сумма по столбцу Есмарт_Засек 2]" caption="Сумма по столбцу Есмарт_Засек 2" numFmtId="0" hierarchy="51" level="32767"/>
    <cacheField name="[Measures].[Сумма по столбцу Рутокен_Засек 2]" caption="Сумма по столбцу Рутокен_Засек 2" numFmtId="0" hierarchy="52" level="32767"/>
    <cacheField name="[Measures].[Сумма по столбцу Есмарт АРМ_Засек 2]" caption="Сумма по столбцу Есмарт АРМ_Засек 2" numFmtId="0" hierarchy="53" level="32767"/>
    <cacheField name="[Measures].[Сумма по столбцу Есмарт_Тол 2]" caption="Сумма по столбцу Есмарт_Тол 2" numFmtId="0" hierarchy="54" level="32767"/>
    <cacheField name="[Measures].[Сумма по столбцу Рутокен_Тол 2]" caption="Сумма по столбцу Рутокен_Тол 2" numFmtId="0" hierarchy="55" level="32767"/>
    <cacheField name="[Measures].[Сумма по столбцу Есмарт АРМ_Тол 2]" caption="Сумма по столбцу Есмарт АРМ_Тол 2" numFmtId="0" hierarchy="56" level="32767"/>
    <cacheField name="[Measures].[Сумма по столбцу Есмарт_Мичу 2]" caption="Сумма по столбцу Есмарт_Мичу 2" numFmtId="0" hierarchy="57" level="32767"/>
    <cacheField name="[Measures].[Сумма по столбцу Рутокен_Мичу 2]" caption="Сумма по столбцу Рутокен_Мичу 2" numFmtId="0" hierarchy="58" level="32767"/>
    <cacheField name="[Measures].[Сумма по столбцу Есмарт АРМ_Мичу 2]" caption="Сумма по столбцу Есмарт АРМ_Мичу 2" numFmtId="0" hierarchy="59" level="32767"/>
    <cacheField name="[Measures].[Сумма по столбцу Есмарт_Сызр 2]" caption="Сумма по столбцу Есмарт_Сызр 2" numFmtId="0" hierarchy="60" level="32767"/>
    <cacheField name="[Measures].[Сумма по столбцу Рутокен_Сызр 2]" caption="Сумма по столбцу Рутокен_Сызр 2" numFmtId="0" hierarchy="61" level="32767"/>
    <cacheField name="[Measures].[Сумма по столбцу Есмарт АРМ_Сызр 2]" caption="Сумма по столбцу Есмарт АРМ_Сызр 2" numFmtId="0" hierarchy="62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2" memberValueDatatype="7" unbalanced="0">
      <fieldsUsage count="2">
        <fieldUsage x="-1"/>
        <fieldUsage x="0"/>
      </fieldsUsage>
    </cacheHierarchy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0" memberValueDatatype="130" unbalanced="0"/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2" memberValueDatatype="130" unbalanced="0">
      <fieldsUsage count="2">
        <fieldUsage x="-1"/>
        <fieldUsage x="3"/>
      </fieldsUsage>
    </cacheHierarchy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2" memberValueDatatype="20" unbalanced="0">
      <fieldsUsage count="2">
        <fieldUsage x="-1"/>
        <fieldUsage x="4"/>
      </fieldsUsage>
    </cacheHierarchy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 oneField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 oneField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 oneField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 oneField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 oneField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 oneField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 oneField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 oneField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 oneField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 oneField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3541667" createdVersion="7" refreshedVersion="8" minRefreshableVersion="3" recordCount="0" supportSubquery="1" supportAdvancedDrill="1" xr:uid="{D96A530E-7D16-4EFF-94FB-3956EEC17075}">
  <cacheSource type="external" connectionId="1"/>
  <cacheFields count="5">
    <cacheField name="[Общее кол-во по дням для сводной].[Название месяца].[Название месяца]" caption="Название месяца" numFmtId="0" hierarchy="20" level="1">
      <sharedItems count="8">
        <s v="Август"/>
        <s v="Апрель"/>
        <s v="Июль"/>
        <s v="Июнь"/>
        <s v="Май"/>
        <s v="Март"/>
        <s v="Февраль"/>
        <s v="Январь"/>
      </sharedItems>
    </cacheField>
    <cacheField name="[Measures].[Среднее Есмарт без Новака]" caption="Среднее Есмарт без Новака" numFmtId="0" hierarchy="128" level="32767"/>
    <cacheField name="[Measures].[Среднее Рутокен без Новака]" caption="Среднее Рутокен без Новака" numFmtId="0" hierarchy="129" level="32767"/>
    <cacheField name="[Measures].[Среднее Есмарт АРМ без Новака]" caption="Среднее Есмарт АРМ без Новака" numFmtId="0" hierarchy="138" level="32767"/>
    <cacheField name="[Measures].[Среднее без Новака]" caption="Среднее без Новака" numFmtId="0" hierarchy="130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2" memberValueDatatype="130" unbalanced="0">
      <fieldsUsage count="2">
        <fieldUsage x="-1"/>
        <fieldUsage x="0"/>
      </fieldsUsage>
    </cacheHierarchy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 oneField="1">
      <fieldsUsage count="1">
        <fieldUsage x="1"/>
      </fieldsUsage>
    </cacheHierarchy>
    <cacheHierarchy uniqueName="[Measures].[Среднее Рутокен без Новака]" caption="Среднее Рутокен без Новака" measure="1" displayFolder="" measureGroup="Общее кол-во по дням для сводной" count="0" oneField="1">
      <fieldsUsage count="1">
        <fieldUsage x="2"/>
      </fieldsUsage>
    </cacheHierarchy>
    <cacheHierarchy uniqueName="[Measures].[Среднее без Новака]" caption="Среднее без Новака" measure="1" displayFolder="" measureGroup="Общее кол-во по дням для сводной" count="0" oneField="1">
      <fieldsUsage count="1">
        <fieldUsage x="4"/>
      </fieldsUsage>
    </cacheHierarchy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 oneField="1">
      <fieldsUsage count="1">
        <fieldUsage x="3"/>
      </fieldsUsage>
    </cacheHierarchy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4351852" createdVersion="7" refreshedVersion="8" minRefreshableVersion="3" recordCount="0" supportSubquery="1" supportAdvancedDrill="1" xr:uid="{DD2F6872-28D9-476F-8A01-60484C384596}">
  <cacheSource type="external" connectionId="1"/>
  <cacheFields count="5">
    <cacheField name="[Общее кол-во по дням для сводной].[Название месяца].[Название месяца]" caption="Название месяца" numFmtId="0" hierarchy="20" level="1">
      <sharedItems count="8">
        <s v="Август"/>
        <s v="Апрель"/>
        <s v="Июль"/>
        <s v="Июнь"/>
        <s v="Май"/>
        <s v="Март"/>
        <s v="Февраль"/>
        <s v="Январь"/>
      </sharedItems>
    </cacheField>
    <cacheField name="[Measures].[Есмарт без Новака]" caption="Есмарт без Новака" numFmtId="0" hierarchy="125" level="32767"/>
    <cacheField name="[Measures].[Рутокен без Новака]" caption="Рутокен без Новака" numFmtId="0" hierarchy="126" level="32767"/>
    <cacheField name="[Measures].[Есмарт АРМ без Новака]" caption="Есмарт АРМ без Новака" numFmtId="0" hierarchy="137" level="32767"/>
    <cacheField name="[Measures].[Общее без Новака]" caption="Общее без Новака" numFmtId="0" hierarchy="127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2" memberValueDatatype="130" unbalanced="0">
      <fieldsUsage count="2">
        <fieldUsage x="-1"/>
        <fieldUsage x="0"/>
      </fieldsUsage>
    </cacheHierarchy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 oneField="1">
      <fieldsUsage count="1">
        <fieldUsage x="1"/>
      </fieldsUsage>
    </cacheHierarchy>
    <cacheHierarchy uniqueName="[Measures].[Рутокен без Новака]" caption="Рутокен без Новака" measure="1" displayFolder="" measureGroup="Общее кол-во по дням для сводной" count="0" oneField="1">
      <fieldsUsage count="1">
        <fieldUsage x="2"/>
      </fieldsUsage>
    </cacheHierarchy>
    <cacheHierarchy uniqueName="[Measures].[Общее без Новака]" caption="Общее без Новака" measure="1" displayFolder="" measureGroup="Общее кол-во по дням для сводной" count="0" oneField="1">
      <fieldsUsage count="1">
        <fieldUsage x="4"/>
      </fieldsUsage>
    </cacheHierarchy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 oneField="1">
      <fieldsUsage count="1">
        <fieldUsage x="3"/>
      </fieldsUsage>
    </cacheHierarchy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5624999" createdVersion="7" refreshedVersion="8" minRefreshableVersion="3" recordCount="0" supportSubquery="1" supportAdvancedDrill="1" xr:uid="{748BAB17-77BC-4105-86B4-B37FF04C798C}">
  <cacheSource type="external" connectionId="1"/>
  <cacheFields count="21">
    <cacheField name="[Общее кол-во по дням для сводной].[Название месяца].[Название месяца]" caption="Название месяца" numFmtId="0" hierarchy="20" level="1">
      <sharedItems count="8">
        <s v="Август"/>
        <s v="Апрель"/>
        <s v="Июль"/>
        <s v="Июнь"/>
        <s v="Май"/>
        <s v="Март"/>
        <s v="Февраль"/>
        <s v="Январь"/>
      </sharedItems>
    </cacheField>
    <cacheField name="[Measures].[Среднее по столбцу Есмарт_Новак 2]" caption="Среднее по столбцу Есмарт_Новак 2" numFmtId="0" hierarchy="45" level="32767"/>
    <cacheField name="[Measures].[Среднее по столбцу Рутокен_Новак]" caption="Среднее по столбцу Рутокен_Новак" numFmtId="0" hierarchy="46" level="32767"/>
    <cacheField name="[Measures].[Среднее по дням Новак]" caption="Среднее по дням Новак" numFmtId="0" hierarchy="120" level="32767"/>
    <cacheField name="[Measures].[Среднее по столбцу Есмарт АРМ_Новак]" caption="Среднее по столбцу Есмарт АРМ_Новак" numFmtId="0" hierarchy="50" level="32767"/>
    <cacheField name="[Measures].[Среднее по дням Засек]" caption="Среднее по дням Засек" numFmtId="0" hierarchy="121" level="32767"/>
    <cacheField name="[Measures].[Среднее по дням Тол]" caption="Среднее по дням Тол" numFmtId="0" hierarchy="122" level="32767"/>
    <cacheField name="[Measures].[Среднее по дням Мичу]" caption="Среднее по дням Мичу" numFmtId="0" hierarchy="123" level="32767"/>
    <cacheField name="[Measures].[Среднее по дням Сызр]" caption="Среднее по дням Сызр" numFmtId="0" hierarchy="124" level="32767"/>
    <cacheField name="[Measures].[Среднее по столбцу Есмарт_Засек]" caption="Среднее по столбцу Есмарт_Засек" numFmtId="0" hierarchy="75" level="32767"/>
    <cacheField name="[Measures].[Среднее по столбцу Рутокен_Засек]" caption="Среднее по столбцу Рутокен_Засек" numFmtId="0" hierarchy="76" level="32767"/>
    <cacheField name="[Measures].[Среднее по столбцу Есмарт АРМ_Засек]" caption="Среднее по столбцу Есмарт АРМ_Засек" numFmtId="0" hierarchy="77" level="32767"/>
    <cacheField name="[Measures].[Среднее по столбцу Есмарт_Тол]" caption="Среднее по столбцу Есмарт_Тол" numFmtId="0" hierarchy="78" level="32767"/>
    <cacheField name="[Measures].[Среднее по столбцу Рутокен_Тол]" caption="Среднее по столбцу Рутокен_Тол" numFmtId="0" hierarchy="79" level="32767"/>
    <cacheField name="[Measures].[Среднее по столбцу Есмарт АРМ_Тол]" caption="Среднее по столбцу Есмарт АРМ_Тол" numFmtId="0" hierarchy="80" level="32767"/>
    <cacheField name="[Measures].[Среднее по столбцу Есмарт_Мичу]" caption="Среднее по столбцу Есмарт_Мичу" numFmtId="0" hierarchy="81" level="32767"/>
    <cacheField name="[Measures].[Среднее по столбцу Рутокен_Мичу]" caption="Среднее по столбцу Рутокен_Мичу" numFmtId="0" hierarchy="82" level="32767"/>
    <cacheField name="[Measures].[Среднее по столбцу Есмарт АРМ_Мичу]" caption="Среднее по столбцу Есмарт АРМ_Мичу" numFmtId="0" hierarchy="83" level="32767"/>
    <cacheField name="[Measures].[Среднее по столбцу Есмарт_Сызр]" caption="Среднее по столбцу Есмарт_Сызр" numFmtId="0" hierarchy="84" level="32767"/>
    <cacheField name="[Measures].[Среднее по столбцу Рутокен_Сызр]" caption="Среднее по столбцу Рутокен_Сызр" numFmtId="0" hierarchy="85" level="32767"/>
    <cacheField name="[Measures].[Среднее по столбцу Есмарт АРМ_Сызр]" caption="Среднее по столбцу Есмарт АРМ_Сызр" numFmtId="0" hierarchy="86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2" memberValueDatatype="130" unbalanced="0">
      <fieldsUsage count="2">
        <fieldUsage x="-1"/>
        <fieldUsage x="0"/>
      </fieldsUsage>
    </cacheHierarchy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 oneField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 oneField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 oneField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 oneField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 oneField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 oneField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 oneField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 oneField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 oneField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 oneField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 oneField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 oneField="1">
      <fieldsUsage count="1">
        <fieldUsage x="2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 oneField="1">
      <fieldsUsage count="1">
        <fieldUsage x="3"/>
      </fieldsUsage>
    </cacheHierarchy>
    <cacheHierarchy uniqueName="[Measures].[Среднее по дням Засек]" caption="Среднее по дням Засек" measure="1" displayFolder="" measureGroup="Общее кол-во по дням для сводной" count="0" oneField="1">
      <fieldsUsage count="1">
        <fieldUsage x="5"/>
      </fieldsUsage>
    </cacheHierarchy>
    <cacheHierarchy uniqueName="[Measures].[Среднее по дням Тол]" caption="Среднее по дням Тол" measure="1" displayFolder="" measureGroup="Общее кол-во по дням для сводной" count="0" oneField="1">
      <fieldsUsage count="1">
        <fieldUsage x="6"/>
      </fieldsUsage>
    </cacheHierarchy>
    <cacheHierarchy uniqueName="[Measures].[Среднее по дням Мичу]" caption="Среднее по дням Мичу" measure="1" displayFolder="" measureGroup="Общее кол-во по дням для сводной" count="0" oneField="1">
      <fieldsUsage count="1">
        <fieldUsage x="7"/>
      </fieldsUsage>
    </cacheHierarchy>
    <cacheHierarchy uniqueName="[Measures].[Среднее по дням Сызр]" caption="Среднее по дням Сызр" measure="1" displayFolder="" measureGroup="Общее кол-во по дням для сводной" count="0" oneField="1">
      <fieldsUsage count="1">
        <fieldUsage x="8"/>
      </fieldsUsage>
    </cacheHierarchy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7013892" createdVersion="5" refreshedVersion="8" minRefreshableVersion="3" recordCount="0" supportSubquery="1" supportAdvancedDrill="1" xr:uid="{2EB8EC5A-6EAF-4BA5-BE6F-6BE9F116ABB8}">
  <cacheSource type="external" connectionId="1"/>
  <cacheFields count="17">
    <cacheField name="[Measures].[Сумма по столбцу Есмарт_Новак]" caption="Сумма по столбцу Есмарт_Новак" numFmtId="0" hierarchy="39" level="32767"/>
    <cacheField name="[Measures].[Сумма по столбцу Рутокен_Новак 2]" caption="Сумма по столбцу Рутокен_Новак 2" numFmtId="0" hierarchy="40" level="32767"/>
    <cacheField name="[Общая прибыль по дням].[Неделя №].[Неделя №]" caption="Неделя №" numFmtId="0" hierarchy="2" level="1">
      <sharedItems count="31">
        <s v="Неделя №02"/>
        <s v="Неделя №03"/>
        <s v="Неделя №04"/>
        <s v="Неделя №05"/>
        <s v="Неделя №06"/>
        <s v="Неделя №07"/>
        <s v="Неделя №08"/>
        <s v="Неделя №09"/>
        <s v="Неделя №10"/>
        <s v="Неделя №11"/>
        <s v="Неделя №12"/>
        <s v="Неделя №13"/>
        <s v="Неделя №14"/>
        <s v="Неделя №15"/>
        <s v="Неделя №16"/>
        <s v="Неделя №17"/>
        <s v="Неделя №18"/>
        <s v="Неделя №19"/>
        <s v="Неделя №20"/>
        <s v="Неделя №21"/>
        <s v="Неделя №22"/>
        <s v="Неделя №23"/>
        <s v="Неделя №24"/>
        <s v="Неделя №25"/>
        <s v="Неделя №26"/>
        <s v="Неделя №27"/>
        <s v="Неделя №28"/>
        <s v="Неделя №29"/>
        <s v="Неделя №30"/>
        <s v="Неделя №31"/>
        <s v="Неделя №32"/>
      </sharedItems>
    </cacheField>
    <cacheField name="[Общая прибыль по дням].[Дата].[Дата]" caption="Дата" numFmtId="0" level="1">
      <sharedItems containsSemiMixedTypes="0" containsNonDate="0" containsDate="1" containsString="0" minDate="2025-01-09T00:00:00" maxDate="2025-08-09T00:00:00" count="146"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5T00:00:00"/>
        <d v="2025-05-06T00:00:00"/>
        <d v="2025-05-07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</sharedItems>
    </cacheField>
    <cacheField name="[Measures].[Сумма по столбцу Есмарт АРМ_Новак 2]" caption="Сумма по столбцу Есмарт АРМ_Новак 2" numFmtId="0" hierarchy="49" level="32767"/>
    <cacheField name="[Measures].[Сумма по столбцу Есмарт_Засек 3]" caption="Сумма по столбцу Есмарт_Засек 3" numFmtId="0" hierarchy="63" level="32767"/>
    <cacheField name="[Measures].[Сумма по столбцу Рутокен_Засек 3]" caption="Сумма по столбцу Рутокен_Засек 3" numFmtId="0" hierarchy="64" level="32767"/>
    <cacheField name="[Measures].[Сумма по столбцу Есмарт АРМ_Засек 3]" caption="Сумма по столбцу Есмарт АРМ_Засек 3" numFmtId="0" hierarchy="65" level="32767"/>
    <cacheField name="[Measures].[Сумма по столбцу Есмарт_Тол 3]" caption="Сумма по столбцу Есмарт_Тол 3" numFmtId="0" hierarchy="66" level="32767"/>
    <cacheField name="[Measures].[Сумма по столбцу Рутокен_Тол 3]" caption="Сумма по столбцу Рутокен_Тол 3" numFmtId="0" hierarchy="67" level="32767"/>
    <cacheField name="[Measures].[Сумма по столбцу Есмарт АРМ_Тол 3]" caption="Сумма по столбцу Есмарт АРМ_Тол 3" numFmtId="0" hierarchy="68" level="32767"/>
    <cacheField name="[Measures].[Сумма по столбцу Есмарт_Мичу 3]" caption="Сумма по столбцу Есмарт_Мичу 3" numFmtId="0" hierarchy="69" level="32767"/>
    <cacheField name="[Measures].[Сумма по столбцу Рутокен_Мичу 3]" caption="Сумма по столбцу Рутокен_Мичу 3" numFmtId="0" hierarchy="70" level="32767"/>
    <cacheField name="[Measures].[Сумма по столбцу Есмарт АРМ_Мичу 3]" caption="Сумма по столбцу Есмарт АРМ_Мичу 3" numFmtId="0" hierarchy="71" level="32767"/>
    <cacheField name="[Measures].[Сумма по столбцу Есмарт_Сызр 3]" caption="Сумма по столбцу Есмарт_Сызр 3" numFmtId="0" hierarchy="72" level="32767"/>
    <cacheField name="[Measures].[Сумма по столбцу Рутокен_Сызр 3]" caption="Сумма по столбцу Рутокен_Сызр 3" numFmtId="0" hierarchy="73" level="32767"/>
    <cacheField name="[Measures].[Сумма по столбцу Есмарт АРМ_Сызр 3]" caption="Сумма по столбцу Есмарт АРМ_Сызр 3" numFmtId="0" hierarchy="74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2" memberValueDatatype="7" unbalanced="0">
      <fieldsUsage count="2">
        <fieldUsage x="-1"/>
        <fieldUsage x="3"/>
      </fieldsUsage>
    </cacheHierarchy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0" memberValueDatatype="130" unbalanced="0"/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2" memberValueDatatype="130" unbalanced="0">
      <fieldsUsage count="2">
        <fieldUsage x="-1"/>
        <fieldUsage x="2"/>
      </fieldsUsage>
    </cacheHierarchy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0" memberValueDatatype="130" unbalanced="0"/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 oneField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 oneField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 oneField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 oneField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 oneField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 oneField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 oneField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 oneField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 oneField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/>
    <cacheHierarchy uniqueName="[Measures].[Общая по Рутокен Новак]" caption="Общая по Рутокен Новак" measure="1" displayFolder="" measureGroup="Общая прибыль по дням" count="0"/>
    <cacheHierarchy uniqueName="[Measures].[Общая прибыль Новак]" caption="Общая прибыль Новак" measure="1" displayFolder="" measureGroup="Общая прибыль по дням" count="0"/>
    <cacheHierarchy uniqueName="[Measures].[Общая по Есмарт ЗасеК]" caption="Общая по Есмарт ЗасеК" measure="1" displayFolder="" measureGroup="Общая прибыль по дням" count="0"/>
    <cacheHierarchy uniqueName="[Measures].[Общая по Рутокен Засек]" caption="Общая по Рутокен Засек" measure="1" displayFolder="" measureGroup="Общая прибыль по дням" count="0"/>
    <cacheHierarchy uniqueName="[Measures].[Общая по Засек]" caption="Общая по Засек" measure="1" displayFolder="" measureGroup="Общая прибыль по дням" count="0"/>
    <cacheHierarchy uniqueName="[Measures].[Общая по Есмарт Тол]" caption="Общая по Есмарт Тол" measure="1" displayFolder="" measureGroup="Общая прибыль по дням" count="0"/>
    <cacheHierarchy uniqueName="[Measures].[Общая по Рутокен Тол]" caption="Общая по Рутокен Тол" measure="1" displayFolder="" measureGroup="Общая прибыль по дням" count="0"/>
    <cacheHierarchy uniqueName="[Measures].[Общая по Тол]" caption="Общая по Тол" measure="1" displayFolder="" measureGroup="Общая прибыль по дням" count="0"/>
    <cacheHierarchy uniqueName="[Measures].[Общая по Есмарт Мичу]" caption="Общая по Есмарт Мичу" measure="1" displayFolder="" measureGroup="Общая прибыль по дням" count="0"/>
    <cacheHierarchy uniqueName="[Measures].[Общая по Рутокен Мичу]" caption="Общая по Рутокен Мичу" measure="1" displayFolder="" measureGroup="Общая прибыль по дням" count="0"/>
    <cacheHierarchy uniqueName="[Measures].[Общая по Мичу]" caption="Общая по Мичу" measure="1" displayFolder="" measureGroup="Общая прибыль по дням" count="0"/>
    <cacheHierarchy uniqueName="[Measures].[Общая по Есмарт Сызр]" caption="Общая по Есмарт Сызр" measure="1" displayFolder="" measureGroup="Общая прибыль по дням" count="0"/>
    <cacheHierarchy uniqueName="[Measures].[Общая по Рутокен Сызр]" caption="Общая по Рутокен Сызр" measure="1" displayFolder="" measureGroup="Общая прибыль по дням" count="0"/>
    <cacheHierarchy uniqueName="[Measures].[Общая по Сызр]" caption="Общая по Сызр" measure="1" displayFolder="" measureGroup="Общая прибыль по дням" count="0"/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880.395018055555" createdVersion="7" refreshedVersion="8" minRefreshableVersion="3" recordCount="0" supportSubquery="1" supportAdvancedDrill="1" xr:uid="{3449EB1E-0B11-4AD2-916C-1E4FC27F25EC}">
  <cacheSource type="external" connectionId="1"/>
  <cacheFields count="21">
    <cacheField name="[Общая прибыль по дням].[Название месяца].[Название месяца]" caption="Название месяца" numFmtId="0" hierarchy="1" level="1">
      <sharedItems count="8">
        <s v="Август"/>
        <s v="Апрель"/>
        <s v="Июль"/>
        <s v="Июнь"/>
        <s v="Май"/>
        <s v="Март"/>
        <s v="Февраль"/>
        <s v="Январь"/>
      </sharedItems>
    </cacheField>
    <cacheField name="[Measures].[Общая по Есмарт Новак]" caption="Общая по Есмарт Новак" numFmtId="0" hierarchy="87" level="32767"/>
    <cacheField name="[Measures].[Общая по Рутокен Новак]" caption="Общая по Рутокен Новак" numFmtId="0" hierarchy="88" level="32767"/>
    <cacheField name="[Measures].[Общая прибыль Новак]" caption="Общая прибыль Новак" numFmtId="0" hierarchy="89" level="32767"/>
    <cacheField name="[Measures].[Сумма по столбцу Есмарт АРМ_Новак 2]" caption="Сумма по столбцу Есмарт АРМ_Новак 2" numFmtId="0" hierarchy="49" level="32767"/>
    <cacheField name="[Measures].[Общая по Есмарт ЗасеК]" caption="Общая по Есмарт ЗасеК" numFmtId="0" hierarchy="90" level="32767"/>
    <cacheField name="[Measures].[Общая по Рутокен Засек]" caption="Общая по Рутокен Засек" numFmtId="0" hierarchy="91" level="32767"/>
    <cacheField name="[Measures].[Сумма по столбцу Есмарт АРМ_Засек 3]" caption="Сумма по столбцу Есмарт АРМ_Засек 3" numFmtId="0" hierarchy="65" level="32767"/>
    <cacheField name="[Measures].[Общая по Засек]" caption="Общая по Засек" numFmtId="0" hierarchy="92" level="32767"/>
    <cacheField name="[Measures].[Общая по Есмарт Тол]" caption="Общая по Есмарт Тол" numFmtId="0" hierarchy="93" level="32767"/>
    <cacheField name="[Measures].[Общая по Рутокен Тол]" caption="Общая по Рутокен Тол" numFmtId="0" hierarchy="94" level="32767"/>
    <cacheField name="[Measures].[Сумма по столбцу Есмарт АРМ_Тол 3]" caption="Сумма по столбцу Есмарт АРМ_Тол 3" numFmtId="0" hierarchy="68" level="32767"/>
    <cacheField name="[Measures].[Общая по Тол]" caption="Общая по Тол" numFmtId="0" hierarchy="95" level="32767"/>
    <cacheField name="[Measures].[Общая по Есмарт Мичу]" caption="Общая по Есмарт Мичу" numFmtId="0" hierarchy="96" level="32767"/>
    <cacheField name="[Measures].[Общая по Рутокен Мичу]" caption="Общая по Рутокен Мичу" numFmtId="0" hierarchy="97" level="32767"/>
    <cacheField name="[Measures].[Сумма по столбцу Есмарт АРМ_Мичу 3]" caption="Сумма по столбцу Есмарт АРМ_Мичу 3" numFmtId="0" hierarchy="71" level="32767"/>
    <cacheField name="[Measures].[Общая по Мичу]" caption="Общая по Мичу" numFmtId="0" hierarchy="98" level="32767"/>
    <cacheField name="[Measures].[Общая по Есмарт Сызр]" caption="Общая по Есмарт Сызр" numFmtId="0" hierarchy="99" level="32767"/>
    <cacheField name="[Measures].[Общая по Рутокен Сызр]" caption="Общая по Рутокен Сызр" numFmtId="0" hierarchy="100" level="32767"/>
    <cacheField name="[Measures].[Сумма по столбцу Есмарт АРМ_Сызр 3]" caption="Сумма по столбцу Есмарт АРМ_Сызр 3" numFmtId="0" hierarchy="74" level="32767"/>
    <cacheField name="[Measures].[Общая по Сызр]" caption="Общая по Сызр" numFmtId="0" hierarchy="101" level="32767"/>
  </cacheFields>
  <cacheHierarchies count="143">
    <cacheHierarchy uniqueName="[Общая прибыль по дням].[Дата]" caption="Дата" attribute="1" time="1" defaultMemberUniqueName="[Общая прибыль по дням].[Дата].[All]" allUniqueName="[Общая прибыль по дням].[Дата].[All]" dimensionUniqueName="[Общая прибыль по дням]" displayFolder="" count="0" memberValueDatatype="7" unbalanced="0"/>
    <cacheHierarchy uniqueName="[Общая прибыль по дням].[Название месяца]" caption="Название месяца" attribute="1" defaultMemberUniqueName="[Общая прибыль по дням].[Название месяца].[All]" allUniqueName="[Общая прибыль по дням].[Название месяца].[All]" dimensionUniqueName="[Общая прибыль по дням]" displayFolder="" count="2" memberValueDatatype="130" unbalanced="0">
      <fieldsUsage count="2">
        <fieldUsage x="-1"/>
        <fieldUsage x="0"/>
      </fieldsUsage>
    </cacheHierarchy>
    <cacheHierarchy uniqueName="[Общая прибыль по дням].[Неделя №]" caption="Неделя №" attribute="1" defaultMemberUniqueName="[Общая прибыль по дням].[Неделя №].[All]" allUniqueName="[Общая прибыль по дням].[Неделя №].[All]" dimensionUniqueName="[Общая прибыль по дням]" displayFolder="" count="0" memberValueDatatype="130" unbalanced="0"/>
    <cacheHierarchy uniqueName="[Общая прибыль по дням].[Есмарт_Новак]" caption="Есмарт_Новак" attribute="1" defaultMemberUniqueName="[Общая прибыль по дням].[Есмарт_Новак].[All]" allUniqueName="[Общая прибыль по дням].[Есмарт_Новак].[All]" dimensionUniqueName="[Общая прибыль по дням]" displayFolder="" count="0" memberValueDatatype="5" unbalanced="0"/>
    <cacheHierarchy uniqueName="[Общая прибыль по дням].[Рутокен_Новак]" caption="Рутокен_Новак" attribute="1" defaultMemberUniqueName="[Общая прибыль по дням].[Рутокен_Новак].[All]" allUniqueName="[Общая прибыль по дням].[Рутокен_Новак].[All]" dimensionUniqueName="[Общая прибыль по дням]" displayFolder="" count="0" memberValueDatatype="5" unbalanced="0"/>
    <cacheHierarchy uniqueName="[Общая прибыль по дням].[Есмарт АРМ_Новак]" caption="Есмарт АРМ_Новак" attribute="1" defaultMemberUniqueName="[Общая прибыль по дням].[Есмарт АРМ_Новак].[All]" allUniqueName="[Общая прибыль по дням].[Есмарт АРМ_Новак].[All]" dimensionUniqueName="[Общая прибыль по дням]" displayFolder="" count="0" memberValueDatatype="5" unbalanced="0"/>
    <cacheHierarchy uniqueName="[Общая прибыль по дням].[Есмарт_Засек]" caption="Есмарт_Засек" attribute="1" defaultMemberUniqueName="[Общая прибыль по дням].[Есмарт_Засек].[All]" allUniqueName="[Общая прибыль по дням].[Есмарт_Засек].[All]" dimensionUniqueName="[Общая прибыль по дням]" displayFolder="" count="0" memberValueDatatype="5" unbalanced="0"/>
    <cacheHierarchy uniqueName="[Общая прибыль по дням].[Рутокен_Засек]" caption="Рутокен_Засек" attribute="1" defaultMemberUniqueName="[Общая прибыль по дням].[Рутокен_Засек].[All]" allUniqueName="[Общая прибыль по дням].[Рутокен_Засек].[All]" dimensionUniqueName="[Общая прибыль по дням]" displayFolder="" count="0" memberValueDatatype="5" unbalanced="0"/>
    <cacheHierarchy uniqueName="[Общая прибыль по дням].[Есмарт АРМ_Засек]" caption="Есмарт АРМ_Засек" attribute="1" defaultMemberUniqueName="[Общая прибыль по дням].[Есмарт АРМ_Засек].[All]" allUniqueName="[Общая прибыль по дням].[Есмарт АРМ_Засек].[All]" dimensionUniqueName="[Общая прибыль по дням]" displayFolder="" count="0" memberValueDatatype="5" unbalanced="0"/>
    <cacheHierarchy uniqueName="[Общая прибыль по дням].[Есмарт_Тол]" caption="Есмарт_Тол" attribute="1" defaultMemberUniqueName="[Общая прибыль по дням].[Есмарт_Тол].[All]" allUniqueName="[Общая прибыль по дням].[Есмарт_Тол].[All]" dimensionUniqueName="[Общая прибыль по дням]" displayFolder="" count="0" memberValueDatatype="5" unbalanced="0"/>
    <cacheHierarchy uniqueName="[Общая прибыль по дням].[Рутокен_Тол]" caption="Рутокен_Тол" attribute="1" defaultMemberUniqueName="[Общая прибыль по дням].[Рутокен_Тол].[All]" allUniqueName="[Общая прибыль по дням].[Рутокен_Тол].[All]" dimensionUniqueName="[Общая прибыль по дням]" displayFolder="" count="0" memberValueDatatype="5" unbalanced="0"/>
    <cacheHierarchy uniqueName="[Общая прибыль по дням].[Есмарт АРМ_Тол]" caption="Есмарт АРМ_Тол" attribute="1" defaultMemberUniqueName="[Общая прибыль по дням].[Есмарт АРМ_Тол].[All]" allUniqueName="[Общая прибыль по дням].[Есмарт АРМ_Тол].[All]" dimensionUniqueName="[Общая прибыль по дням]" displayFolder="" count="0" memberValueDatatype="5" unbalanced="0"/>
    <cacheHierarchy uniqueName="[Общая прибыль по дням].[Есмарт_Мичу]" caption="Есмарт_Мичу" attribute="1" defaultMemberUniqueName="[Общая прибыль по дням].[Есмарт_Мичу].[All]" allUniqueName="[Общая прибыль по дням].[Есмарт_Мичу].[All]" dimensionUniqueName="[Общая прибыль по дням]" displayFolder="" count="0" memberValueDatatype="5" unbalanced="0"/>
    <cacheHierarchy uniqueName="[Общая прибыль по дням].[Рутокен_Мичу]" caption="Рутокен_Мичу" attribute="1" defaultMemberUniqueName="[Общая прибыль по дням].[Рутокен_Мичу].[All]" allUniqueName="[Общая прибыль по дням].[Рутокен_Мичу].[All]" dimensionUniqueName="[Общая прибыль по дням]" displayFolder="" count="0" memberValueDatatype="5" unbalanced="0"/>
    <cacheHierarchy uniqueName="[Общая прибыль по дням].[Есмарт АРМ_Мичу]" caption="Есмарт АРМ_Мичу" attribute="1" defaultMemberUniqueName="[Общая прибыль по дням].[Есмарт АРМ_Мичу].[All]" allUniqueName="[Общая прибыль по дням].[Есмарт АРМ_Мичу].[All]" dimensionUniqueName="[Общая прибыль по дням]" displayFolder="" count="0" memberValueDatatype="5" unbalanced="0"/>
    <cacheHierarchy uniqueName="[Общая прибыль по дням].[Есмарт_Сызр]" caption="Есмарт_Сызр" attribute="1" defaultMemberUniqueName="[Общая прибыль по дням].[Есмарт_Сызр].[All]" allUniqueName="[Общая прибыль по дням].[Есмарт_Сызр].[All]" dimensionUniqueName="[Общая прибыль по дням]" displayFolder="" count="0" memberValueDatatype="5" unbalanced="0"/>
    <cacheHierarchy uniqueName="[Общая прибыль по дням].[Рутокен_Сызр]" caption="Рутокен_Сызр" attribute="1" defaultMemberUniqueName="[Общая прибыль по дням].[Рутокен_Сызр].[All]" allUniqueName="[Общая прибыль по дням].[Рутокен_Сызр].[All]" dimensionUniqueName="[Общая прибыль по дням]" displayFolder="" count="0" memberValueDatatype="5" unbalanced="0"/>
    <cacheHierarchy uniqueName="[Общая прибыль по дням].[Есмарт АРМ_Сызр]" caption="Есмарт АРМ_Сызр" attribute="1" defaultMemberUniqueName="[Общая прибыль по дням].[Есмарт АРМ_Сызр].[All]" allUniqueName="[Общая прибыль по дням].[Есмарт АРМ_Сызр].[All]" dimensionUniqueName="[Общая прибыль по дням]" displayFolder="" count="0" memberValueDatatype="5" unbalanced="0"/>
    <cacheHierarchy uniqueName="[Общая прибыль по дням].[Номер недели]" caption="Номер недели" attribute="1" defaultMemberUniqueName="[Общая прибыль по дням].[Номер недели].[All]" allUniqueName="[Общая прибыль по дням].[Номер недели].[All]" dimensionUniqueName="[Общая прибыль по дням]" displayFolder="" count="0" memberValueDatatype="20" unbalanced="0"/>
    <cacheHierarchy uniqueName="[Общее кол-во по дням для сводной].[Дата]" caption="Дата" attribute="1" time="1" defaultMemberUniqueName="[Общее кол-во по дням для сводной].[Дата].[All]" allUniqueName="[Общее кол-во по дням для сводной].[Дата].[All]" dimensionUniqueName="[Общее кол-во по дням для сводной]" displayFolder="" count="0" memberValueDatatype="7" unbalanced="0"/>
    <cacheHierarchy uniqueName="[Общее кол-во по дням для сводной].[Название месяца]" caption="Название месяца" attribute="1" defaultMemberUniqueName="[Общее кол-во по дням для сводной].[Название месяца].[All]" allUniqueName="[Общее кол-во по дням для сводной].[Название месяца].[All]" dimensionUniqueName="[Общее кол-во по дням для сводной]" displayFolder="" count="0" memberValueDatatype="130" unbalanced="0"/>
    <cacheHierarchy uniqueName="[Общее кол-во по дням для сводной].[Неделя №]" caption="Неделя №" attribute="1" defaultMemberUniqueName="[Общее кол-во по дням для сводной].[Неделя №].[All]" allUniqueName="[Общее кол-во по дням для сводной].[Неделя №].[All]" dimensionUniqueName="[Общее кол-во по дням для сводной]" displayFolder="" count="0" memberValueDatatype="130" unbalanced="0"/>
    <cacheHierarchy uniqueName="[Общее кол-во по дням для сводной].[Есмарт_Новак]" caption="Есмарт_Новак" attribute="1" defaultMemberUniqueName="[Общее кол-во по дням для сводной].[Есмарт_Новак].[All]" allUniqueName="[Общее кол-во по дням для сводной].[Есмарт_Новак].[All]" dimensionUniqueName="[Общее кол-во по дням для сводной]" displayFolder="" count="0" memberValueDatatype="5" unbalanced="0"/>
    <cacheHierarchy uniqueName="[Общее кол-во по дням для сводной].[Рутокен_Новак]" caption="Рутокен_Новак" attribute="1" defaultMemberUniqueName="[Общее кол-во по дням для сводной].[Рутокен_Новак].[All]" allUniqueName="[Общее кол-во по дням для сводной].[Рутокен_Новак].[All]" dimensionUniqueName="[Общее кол-во по дням для сводной]" displayFolder="" count="0" memberValueDatatype="5" unbalanced="0"/>
    <cacheHierarchy uniqueName="[Общее кол-во по дням для сводной].[Есмарт АРМ_Новак]" caption="Есмарт АРМ_Новак" attribute="1" defaultMemberUniqueName="[Общее кол-во по дням для сводной].[Есмарт АРМ_Новак].[All]" allUniqueName="[Общее кол-во по дням для сводной].[Есмарт АРМ_Новак].[All]" dimensionUniqueName="[Общее кол-во по дням для сводной]" displayFolder="" count="0" memberValueDatatype="5" unbalanced="0"/>
    <cacheHierarchy uniqueName="[Общее кол-во по дням для сводной].[Есмарт_Засек]" caption="Есмарт_Засек" attribute="1" defaultMemberUniqueName="[Общее кол-во по дням для сводной].[Есмарт_Засек].[All]" allUniqueName="[Общее кол-во по дням для сводной].[Есмарт_Засек].[All]" dimensionUniqueName="[Общее кол-во по дням для сводной]" displayFolder="" count="0" memberValueDatatype="5" unbalanced="0"/>
    <cacheHierarchy uniqueName="[Общее кол-во по дням для сводной].[Рутокен_Засек]" caption="Рутокен_Засек" attribute="1" defaultMemberUniqueName="[Общее кол-во по дням для сводной].[Рутокен_Засек].[All]" allUniqueName="[Общее кол-во по дням для сводной].[Рутокен_Засек].[All]" dimensionUniqueName="[Общее кол-во по дням для сводной]" displayFolder="" count="0" memberValueDatatype="5" unbalanced="0"/>
    <cacheHierarchy uniqueName="[Общее кол-во по дням для сводной].[Есмарт АРМ_Засек]" caption="Есмарт АРМ_Засек" attribute="1" defaultMemberUniqueName="[Общее кол-во по дням для сводной].[Есмарт АРМ_Засек].[All]" allUniqueName="[Общее кол-во по дням для сводной].[Есмарт АРМ_Засек].[All]" dimensionUniqueName="[Общее кол-во по дням для сводной]" displayFolder="" count="0" memberValueDatatype="5" unbalanced="0"/>
    <cacheHierarchy uniqueName="[Общее кол-во по дням для сводной].[Есмарт_Тол]" caption="Есмарт_Тол" attribute="1" defaultMemberUniqueName="[Общее кол-во по дням для сводной].[Есмарт_Тол].[All]" allUniqueName="[Общее кол-во по дням для сводной].[Есмарт_Тол].[All]" dimensionUniqueName="[Общее кол-во по дням для сводной]" displayFolder="" count="0" memberValueDatatype="5" unbalanced="0"/>
    <cacheHierarchy uniqueName="[Общее кол-во по дням для сводной].[Рутокен_Тол]" caption="Рутокен_Тол" attribute="1" defaultMemberUniqueName="[Общее кол-во по дням для сводной].[Рутокен_Тол].[All]" allUniqueName="[Общее кол-во по дням для сводной].[Рутокен_Тол].[All]" dimensionUniqueName="[Общее кол-во по дням для сводной]" displayFolder="" count="0" memberValueDatatype="5" unbalanced="0"/>
    <cacheHierarchy uniqueName="[Общее кол-во по дням для сводной].[Есмарт АРМ_Тол]" caption="Есмарт АРМ_Тол" attribute="1" defaultMemberUniqueName="[Общее кол-во по дням для сводной].[Есмарт АРМ_Тол].[All]" allUniqueName="[Общее кол-во по дням для сводной].[Есмарт АРМ_Тол].[All]" dimensionUniqueName="[Общее кол-во по дням для сводной]" displayFolder="" count="0" memberValueDatatype="5" unbalanced="0"/>
    <cacheHierarchy uniqueName="[Общее кол-во по дням для сводной].[Есмарт_Мичу]" caption="Есмарт_Мичу" attribute="1" defaultMemberUniqueName="[Общее кол-во по дням для сводной].[Есмарт_Мичу].[All]" allUniqueName="[Общее кол-во по дням для сводной].[Есмарт_Мичу].[All]" dimensionUniqueName="[Общее кол-во по дням для сводной]" displayFolder="" count="0" memberValueDatatype="5" unbalanced="0"/>
    <cacheHierarchy uniqueName="[Общее кол-во по дням для сводной].[Рутокен_Мичу]" caption="Рутокен_Мичу" attribute="1" defaultMemberUniqueName="[Общее кол-во по дням для сводной].[Рутокен_Мичу].[All]" allUniqueName="[Общее кол-во по дням для сводной].[Рутокен_Мичу].[All]" dimensionUniqueName="[Общее кол-во по дням для сводной]" displayFolder="" count="0" memberValueDatatype="5" unbalanced="0"/>
    <cacheHierarchy uniqueName="[Общее кол-во по дням для сводной].[Есмарт АРМ_Мичу]" caption="Есмарт АРМ_Мичу" attribute="1" defaultMemberUniqueName="[Общее кол-во по дням для сводной].[Есмарт АРМ_Мичу].[All]" allUniqueName="[Общее кол-во по дням для сводной].[Есмарт АРМ_Мичу].[All]" dimensionUniqueName="[Общее кол-во по дням для сводной]" displayFolder="" count="0" memberValueDatatype="5" unbalanced="0"/>
    <cacheHierarchy uniqueName="[Общее кол-во по дням для сводной].[Есмарт_Сызр]" caption="Есмарт_Сызр" attribute="1" defaultMemberUniqueName="[Общее кол-во по дням для сводной].[Есмарт_Сызр].[All]" allUniqueName="[Общее кол-во по дням для сводной].[Есмарт_Сызр].[All]" dimensionUniqueName="[Общее кол-во по дням для сводной]" displayFolder="" count="0" memberValueDatatype="5" unbalanced="0"/>
    <cacheHierarchy uniqueName="[Общее кол-во по дням для сводной].[Рутокен_Сызр]" caption="Рутокен_Сызр" attribute="1" defaultMemberUniqueName="[Общее кол-во по дням для сводной].[Рутокен_Сызр].[All]" allUniqueName="[Общее кол-во по дням для сводной].[Рутокен_Сызр].[All]" dimensionUniqueName="[Общее кол-во по дням для сводной]" displayFolder="" count="0" memberValueDatatype="5" unbalanced="0"/>
    <cacheHierarchy uniqueName="[Общее кол-во по дням для сводной].[Есмарт АРМ_Сызр]" caption="Есмарт АРМ_Сызр" attribute="1" defaultMemberUniqueName="[Общее кол-во по дням для сводной].[Есмарт АРМ_Сызр].[All]" allUniqueName="[Общее кол-во по дням для сводной].[Есмарт АРМ_Сызр].[All]" dimensionUniqueName="[Общее кол-во по дням для сводной]" displayFolder="" count="0" memberValueDatatype="5" unbalanced="0"/>
    <cacheHierarchy uniqueName="[Общее кол-во по дням для сводной].[День недели]" caption="День недели" attribute="1" defaultMemberUniqueName="[Общее кол-во по дням для сводной].[День недели].[All]" allUniqueName="[Общее кол-во по дням для сводной].[День недели].[All]" dimensionUniqueName="[Общее кол-во по дням для сводной]" displayFolder="" count="0" memberValueDatatype="130" unbalanced="0"/>
    <cacheHierarchy uniqueName="[Общее кол-во по дням для сводной].[Номер Недели]" caption="Номер Недели" attribute="1" defaultMemberUniqueName="[Общее кол-во по дням для сводной].[Номер Недели].[All]" allUniqueName="[Общее кол-во по дням для сводной].[Номер Недели].[All]" dimensionUniqueName="[Общее кол-во по дням для сводной]" displayFolder="" count="0" memberValueDatatype="20" unbalanced="0"/>
    <cacheHierarchy uniqueName="[Measures].[Сумма по столбцу Есмарт_Новак]" caption="Сумма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Рутокен_Новак 2]" caption="Сумма по столбцу Рутокен_Новак 2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Есмарт_Новак]" caption="Среднее по столбцу Есмарт_Новак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Есмарт_Новак 2]" caption="Сумма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Рутокен_Новак]" caption="Сумма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мещенная дисперсия Рутокен_Новак]" caption="Смещенная дисперсия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реднее по столбцу Есмарт_Новак 2]" caption="Среднее по столбцу Есмарт_Нова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реднее по столбцу Рутокен_Новак]" caption="Среднее по столбцу Рутокен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Есмарт АРМ_Новак]" caption="Число элементов в столбце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]" caption="Сумма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 АРМ_Новак 2]" caption="Сумма по столбцу Есмарт АРМ_Новак 2" measure="1" displayFolder="" measureGroup="Общая прибыль по дням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реднее по столбцу Есмарт АРМ_Новак]" caption="Среднее по столбцу Есмарт АРМ_Нова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умма по столбцу Есмарт_Засек 2]" caption="Сумма по столбцу Есмарт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Рутокен_Засек 2]" caption="Сумма по столбцу Рутокен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Есмарт АРМ_Засек 2]" caption="Сумма по столбцу Есмарт АРМ_Засек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умма по столбцу Есмарт_Тол 2]" caption="Сумма по столбцу Есмарт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Рутокен_Тол 2]" caption="Сумма по столбцу Рутокен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Есмарт АРМ_Тол 2]" caption="Сумма по столбцу Есмарт АРМ_Тол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Есмарт_Мичу 2]" caption="Сумма по столбцу Есмарт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Рутокен_Мичу 2]" caption="Сумма по столбцу Рутокен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Есмарт АРМ_Мичу 2]" caption="Сумма по столбцу Есмарт АРМ_Мичу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Есмарт_Сызр 2]" caption="Сумма по столбцу Есмарт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Рутокен_Сызр 2]" caption="Сумма по столбцу Рутокен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умма по столбцу Есмарт АРМ_Сызр 2]" caption="Сумма по столбцу Есмарт АРМ_Сызр 2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Есмарт_Засек 3]" caption="Сумма по столбцу Есмарт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Рутокен_Засек 3]" caption="Сумма по столбцу Рутокен_Засек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Есмарт АРМ_Засек 3]" caption="Сумма по столбцу Есмарт АРМ_Засек 3" measure="1" displayFolder="" measureGroup="Общая прибыль по дням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Есмарт_Тол 3]" caption="Сумма по столбцу Есмарт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Рутокен_Тол 3]" caption="Сумма по столбцу Рутокен_Тол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Есмарт АРМ_Тол 3]" caption="Сумма по столбцу Есмарт АРМ_Тол 3" measure="1" displayFolder="" measureGroup="Общая прибыль по дням" count="0" oneField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Есмарт_Мичу 3]" caption="Сумма по столбцу Есмарт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Рутокен_Мичу 3]" caption="Сумма по столбцу Рутокен_Мичу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Есмарт АРМ_Мичу 3]" caption="Сумма по столбцу Есмарт АРМ_Мичу 3" measure="1" displayFolder="" measureGroup="Общая прибыль по дням" count="0" oneField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Есмарт_Сызр 3]" caption="Сумма по столбцу Есмарт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Рутокен_Сызр 3]" caption="Сумма по столбцу Рутокен_Сызр 3" measure="1" displayFolder="" measureGroup="Общая прибыль по дням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Есмарт АРМ_Сызр 3]" caption="Сумма по столбцу Есмарт АРМ_Сызр 3" measure="1" displayFolder="" measureGroup="Общая прибыль по дням" count="0" oneField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реднее по столбцу Есмарт_Засек]" caption="Среднее по столбцу Есмарт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Рутокен_Засек]" caption="Среднее по столбцу Рутокен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реднее по столбцу Есмарт АРМ_Засек]" caption="Среднее по столбцу Есмарт АРМ_Засек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Среднее по столбцу Есмарт_Тол]" caption="Среднее по столбцу Есмарт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реднее по столбцу Рутокен_Тол]" caption="Среднее по столбцу Рутокен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реднее по столбцу Есмарт АРМ_Тол]" caption="Среднее по столбцу Есмарт АРМ_Тол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реднее по столбцу Есмарт_Мичу]" caption="Среднее по столбцу Есмарт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реднее по столбцу Рутокен_Мичу]" caption="Среднее по столбцу Рутокен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реднее по столбцу Есмарт АРМ_Мичу]" caption="Среднее по столбцу Есмарт АРМ_Мичу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реднее по столбцу Есмарт_Сызр]" caption="Среднее по столбцу Есмарт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Рутокен_Сызр]" caption="Среднее по столбцу Рутокен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Среднее по столбцу Есмарт АРМ_Сызр]" caption="Среднее по столбцу Есмарт АРМ_Сызр" measure="1" displayFolder="" measureGroup="Общее кол-во по дням для сводной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Общая по Есмарт Новак]" caption="Общая по Есмарт Новак" measure="1" displayFolder="" measureGroup="Общая прибыль по дням" count="0" oneField="1">
      <fieldsUsage count="1">
        <fieldUsage x="1"/>
      </fieldsUsage>
    </cacheHierarchy>
    <cacheHierarchy uniqueName="[Measures].[Общая по Рутокен Новак]" caption="Общая по Рутокен Новак" measure="1" displayFolder="" measureGroup="Общая прибыль по дням" count="0" oneField="1">
      <fieldsUsage count="1">
        <fieldUsage x="2"/>
      </fieldsUsage>
    </cacheHierarchy>
    <cacheHierarchy uniqueName="[Measures].[Общая прибыль Новак]" caption="Общая прибыль Новак" measure="1" displayFolder="" measureGroup="Общая прибыль по дням" count="0" oneField="1">
      <fieldsUsage count="1">
        <fieldUsage x="3"/>
      </fieldsUsage>
    </cacheHierarchy>
    <cacheHierarchy uniqueName="[Measures].[Общая по Есмарт ЗасеК]" caption="Общая по Есмарт ЗасеК" measure="1" displayFolder="" measureGroup="Общая прибыль по дням" count="0" oneField="1">
      <fieldsUsage count="1">
        <fieldUsage x="5"/>
      </fieldsUsage>
    </cacheHierarchy>
    <cacheHierarchy uniqueName="[Measures].[Общая по Рутокен Засек]" caption="Общая по Рутокен Засек" measure="1" displayFolder="" measureGroup="Общая прибыль по дням" count="0" oneField="1">
      <fieldsUsage count="1">
        <fieldUsage x="6"/>
      </fieldsUsage>
    </cacheHierarchy>
    <cacheHierarchy uniqueName="[Measures].[Общая по Засек]" caption="Общая по Засек" measure="1" displayFolder="" measureGroup="Общая прибыль по дням" count="0" oneField="1">
      <fieldsUsage count="1">
        <fieldUsage x="8"/>
      </fieldsUsage>
    </cacheHierarchy>
    <cacheHierarchy uniqueName="[Measures].[Общая по Есмарт Тол]" caption="Общая по Есмарт Тол" measure="1" displayFolder="" measureGroup="Общая прибыль по дням" count="0" oneField="1">
      <fieldsUsage count="1">
        <fieldUsage x="9"/>
      </fieldsUsage>
    </cacheHierarchy>
    <cacheHierarchy uniqueName="[Measures].[Общая по Рутокен Тол]" caption="Общая по Рутокен Тол" measure="1" displayFolder="" measureGroup="Общая прибыль по дням" count="0" oneField="1">
      <fieldsUsage count="1">
        <fieldUsage x="10"/>
      </fieldsUsage>
    </cacheHierarchy>
    <cacheHierarchy uniqueName="[Measures].[Общая по Тол]" caption="Общая по Тол" measure="1" displayFolder="" measureGroup="Общая прибыль по дням" count="0" oneField="1">
      <fieldsUsage count="1">
        <fieldUsage x="12"/>
      </fieldsUsage>
    </cacheHierarchy>
    <cacheHierarchy uniqueName="[Measures].[Общая по Есмарт Мичу]" caption="Общая по Есмарт Мичу" measure="1" displayFolder="" measureGroup="Общая прибыль по дням" count="0" oneField="1">
      <fieldsUsage count="1">
        <fieldUsage x="13"/>
      </fieldsUsage>
    </cacheHierarchy>
    <cacheHierarchy uniqueName="[Measures].[Общая по Рутокен Мичу]" caption="Общая по Рутокен Мичу" measure="1" displayFolder="" measureGroup="Общая прибыль по дням" count="0" oneField="1">
      <fieldsUsage count="1">
        <fieldUsage x="14"/>
      </fieldsUsage>
    </cacheHierarchy>
    <cacheHierarchy uniqueName="[Measures].[Общая по Мичу]" caption="Общая по Мичу" measure="1" displayFolder="" measureGroup="Общая прибыль по дням" count="0" oneField="1">
      <fieldsUsage count="1">
        <fieldUsage x="16"/>
      </fieldsUsage>
    </cacheHierarchy>
    <cacheHierarchy uniqueName="[Measures].[Общая по Есмарт Сызр]" caption="Общая по Есмарт Сызр" measure="1" displayFolder="" measureGroup="Общая прибыль по дням" count="0" oneField="1">
      <fieldsUsage count="1">
        <fieldUsage x="17"/>
      </fieldsUsage>
    </cacheHierarchy>
    <cacheHierarchy uniqueName="[Measures].[Общая по Рутокен Сызр]" caption="Общая по Рутокен Сызр" measure="1" displayFolder="" measureGroup="Общая прибыль по дням" count="0" oneField="1">
      <fieldsUsage count="1">
        <fieldUsage x="18"/>
      </fieldsUsage>
    </cacheHierarchy>
    <cacheHierarchy uniqueName="[Measures].[Общая по Сызр]" caption="Общая по Сызр" measure="1" displayFolder="" measureGroup="Общая прибыль по дням" count="0" oneField="1">
      <fieldsUsage count="1">
        <fieldUsage x="20"/>
      </fieldsUsage>
    </cacheHierarchy>
    <cacheHierarchy uniqueName="[Measures].[Общая по Есмарт без Новака]" caption="Общая по Есмарт без Новака" measure="1" displayFolder="" measureGroup="Общая прибыль по дням" count="0"/>
    <cacheHierarchy uniqueName="[Measures].[Общая по Рутокен без Новака]" caption="Общая по Рутокен без Новака" measure="1" displayFolder="" measureGroup="Общая прибыль по дням" count="0"/>
    <cacheHierarchy uniqueName="[Measures].[Общая без Новака]" caption="Общая без Новака" measure="1" displayFolder="" measureGroup="Общая прибыль по дням" count="0"/>
    <cacheHierarchy uniqueName="[Measures].[Общее Есмарт по Новаку]" caption="Общее Есмарт по Новаку" measure="1" displayFolder="" measureGroup="Общее кол-во по дням для сводной" count="0"/>
    <cacheHierarchy uniqueName="[Measures].[Общее Рутокен по Новаку]" caption="Общее Рутокен по Новаку" measure="1" displayFolder="" measureGroup="Общее кол-во по дням для сводной" count="0"/>
    <cacheHierarchy uniqueName="[Measures].[Общее по Новаку]" caption="Общее по Новаку" measure="1" displayFolder="" measureGroup="Общее кол-во по дням для сводной" count="0"/>
    <cacheHierarchy uniqueName="[Measures].[Общее Есмарт по Засек]" caption="Общее Есмарт по Засек" measure="1" displayFolder="" measureGroup="Общее кол-во по дням для сводной" count="0"/>
    <cacheHierarchy uniqueName="[Measures].[Общее Рутокен по Засек]" caption="Общее Рутокен по Засек" measure="1" displayFolder="" measureGroup="Общее кол-во по дням для сводной" count="0"/>
    <cacheHierarchy uniqueName="[Measures].[Общее по Засек]" caption="Общее по Засек" measure="1" displayFolder="" measureGroup="Общее кол-во по дням для сводной" count="0"/>
    <cacheHierarchy uniqueName="[Measures].[Общее Есмарт по Тол]" caption="Общее Есмарт по Тол" measure="1" displayFolder="" measureGroup="Общее кол-во по дням для сводной" count="0"/>
    <cacheHierarchy uniqueName="[Measures].[Общее Рутокен по Тол]" caption="Общее Рутокен по Тол" measure="1" displayFolder="" measureGroup="Общее кол-во по дням для сводной" count="0"/>
    <cacheHierarchy uniqueName="[Measures].[Общее по Тол]" caption="Общее по Тол" measure="1" displayFolder="" measureGroup="Общее кол-во по дням для сводной" count="0"/>
    <cacheHierarchy uniqueName="[Measures].[Общее Есмарт по Мичу]" caption="Общее Есмарт по Мичу" measure="1" displayFolder="" measureGroup="Общее кол-во по дням для сводной" count="0"/>
    <cacheHierarchy uniqueName="[Measures].[Общее Рутокен по Мичу]" caption="Общее Рутокен по Мичу" measure="1" displayFolder="" measureGroup="Общее кол-во по дням для сводной" count="0"/>
    <cacheHierarchy uniqueName="[Measures].[Общее по Мичу]" caption="Общее по Мичу" measure="1" displayFolder="" measureGroup="Общее кол-во по дням для сводной" count="0"/>
    <cacheHierarchy uniqueName="[Measures].[Общее Есмарт по Сызр]" caption="Общее Есмарт по Сызр" measure="1" displayFolder="" measureGroup="Общее кол-во по дням для сводной" count="0"/>
    <cacheHierarchy uniqueName="[Measures].[Общее Рутокен по Сызр]" caption="Общее Рутокен по Сызр" measure="1" displayFolder="" measureGroup="Общее кол-во по дням для сводной" count="0"/>
    <cacheHierarchy uniqueName="[Measures].[Общее по Сызр]" caption="Общее по Сызр" measure="1" displayFolder="" measureGroup="Общее кол-во по дням для сводной" count="0"/>
    <cacheHierarchy uniqueName="[Measures].[Среднее по дням Новак]" caption="Среднее по дням Новак" measure="1" displayFolder="" measureGroup="Общее кол-во по дням для сводной" count="0"/>
    <cacheHierarchy uniqueName="[Measures].[Среднее по дням Засек]" caption="Среднее по дням Засек" measure="1" displayFolder="" measureGroup="Общее кол-во по дням для сводной" count="0"/>
    <cacheHierarchy uniqueName="[Measures].[Среднее по дням Тол]" caption="Среднее по дням Тол" measure="1" displayFolder="" measureGroup="Общее кол-во по дням для сводной" count="0"/>
    <cacheHierarchy uniqueName="[Measures].[Среднее по дням Мичу]" caption="Среднее по дням Мичу" measure="1" displayFolder="" measureGroup="Общее кол-во по дням для сводной" count="0"/>
    <cacheHierarchy uniqueName="[Measures].[Среднее по дням Сызр]" caption="Среднее по дням Сызр" measure="1" displayFolder="" measureGroup="Общее кол-во по дням для сводной" count="0"/>
    <cacheHierarchy uniqueName="[Measures].[Есмарт без Новака]" caption="Есмарт без Новака" measure="1" displayFolder="" measureGroup="Общее кол-во по дням для сводной" count="0"/>
    <cacheHierarchy uniqueName="[Measures].[Рутокен без Новака]" caption="Рутокен без Новака" measure="1" displayFolder="" measureGroup="Общее кол-во по дням для сводной" count="0"/>
    <cacheHierarchy uniqueName="[Measures].[Общее без Новака]" caption="Общее без Новака" measure="1" displayFolder="" measureGroup="Общее кол-во по дням для сводной" count="0"/>
    <cacheHierarchy uniqueName="[Measures].[Среднее Есмарт без Новака]" caption="Среднее Есмарт без Новака" measure="1" displayFolder="" measureGroup="Общее кол-во по дням для сводной" count="0"/>
    <cacheHierarchy uniqueName="[Measures].[Среднее Рутокен без Новака]" caption="Среднее Рутокен без Новака" measure="1" displayFolder="" measureGroup="Общее кол-во по дням для сводной" count="0"/>
    <cacheHierarchy uniqueName="[Measures].[Среднее без Новака]" caption="Среднее без Новака" measure="1" displayFolder="" measureGroup="Общее кол-во по дням для сводной" count="0"/>
    <cacheHierarchy uniqueName="[Measures].[Общие продажи]" caption="Общие продажи" measure="1" displayFolder="" measureGroup="Общее кол-во по дням для сводной" count="0"/>
    <cacheHierarchy uniqueName="[Measures].[Общее Есмарт АРМ по Новаку]" caption="Общее Есмарт АРМ по Новаку" measure="1" displayFolder="" measureGroup="Общее кол-во по дням для сводной" count="0"/>
    <cacheHierarchy uniqueName="[Measures].[Общее Есмарт АРМ по Засек]" caption="Общее Есмарт АРМ по Засек" measure="1" displayFolder="" measureGroup="Общее кол-во по дням для сводной" count="0"/>
    <cacheHierarchy uniqueName="[Measures].[Общее Есмарт АРМ по Тол]" caption="Общее Есмарт АРМ по Тол" measure="1" displayFolder="" measureGroup="Общее кол-во по дням для сводной" count="0"/>
    <cacheHierarchy uniqueName="[Measures].[Общее Есмарт АРМ по Мичу]" caption="Общее Есмарт АРМ по Мичу" measure="1" displayFolder="" measureGroup="Общее кол-во по дням для сводной" count="0"/>
    <cacheHierarchy uniqueName="[Measures].[Общее Есмарт АРМ по Сызр]" caption="Общее Есмарт АРМ по Сызр" measure="1" displayFolder="" measureGroup="Общее кол-во по дням для сводной" count="0"/>
    <cacheHierarchy uniqueName="[Measures].[Есмарт АРМ без Новака]" caption="Есмарт АРМ без Новака" measure="1" displayFolder="" measureGroup="Общее кол-во по дням для сводной" count="0"/>
    <cacheHierarchy uniqueName="[Measures].[Среднее Есмарт АРМ без Новака]" caption="Среднее Есмарт АРМ без Новака" measure="1" displayFolder="" measureGroup="Общее кол-во по дням для сводной" count="0"/>
    <cacheHierarchy uniqueName="[Measures].[Общая по Есмарт АРМ без Новака]" caption="Общая по Есмарт АРМ без Новака" measure="1" displayFolder="" measureGroup="Общая прибыль по дням" count="0"/>
    <cacheHierarchy uniqueName="[Measures].[__XL_Count Общая прибыль по дням]" caption="__XL_Count Общая прибыль по дням" measure="1" displayFolder="" measureGroup="Общая прибыль по дням" count="0" hidden="1"/>
    <cacheHierarchy uniqueName="[Measures].[__XL_Count Общее кол-во по дням для сводной]" caption="__XL_Count Общее кол-во по дням для сводной" measure="1" displayFolder="" measureGroup="Общее кол-во по дням для сводной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Общая прибыль по дням" uniqueName="[Общая прибыль по дням]" caption="Общая прибыль по дням"/>
    <dimension name="Общее кол-во по дням для сводной" uniqueName="[Общее кол-во по дням для сводной]" caption="Общее кол-во по дням для сводной"/>
  </dimensions>
  <measureGroups count="2">
    <measureGroup name="Общая прибыль по дням" caption="Общая прибыль по дням"/>
    <measureGroup name="Общее кол-во по дням для сводной" caption="Общее кол-во по дням для сводной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5A660-2C57-493F-B54F-AB680DDD094E}" name="Сводная_ Кол-во_Месяц" cacheId="41" applyNumberFormats="0" applyBorderFormats="0" applyFontFormats="0" applyPatternFormats="0" applyAlignmentFormats="0" applyWidthHeightFormats="1" dataCaption="Значения" tag="ac623188-83ff-4f85-b8dc-ff60ede7b775" updatedVersion="8" minRefreshableVersion="3" showDrill="0" subtotalHiddenItems="1" itemPrintTitles="1" createdVersion="7" indent="0" showHeaders="0" outline="1" outlineData="1" multipleFieldFilters="0" chartFormat="2" rowHeaderCaption="Сумма Кол-ва">
  <location ref="R2:AL11" firstHeaderRow="0" firstDataRow="1" firstDataCol="1"/>
  <pivotFields count="21">
    <pivotField axis="axisRow" allDrilled="1" subtotalTop="0" showAll="0" sortType="ascending" defaultSubtotal="0" defaultAttributeDrillState="1">
      <items count="8">
        <item x="7"/>
        <item x="6"/>
        <item x="5"/>
        <item x="1"/>
        <item x="4"/>
        <item x="3"/>
        <item x="2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Есмарт" fld="1" subtotal="count" baseField="0" baseItem="0"/>
    <dataField name="Рутокен" fld="2" subtotal="count" baseField="0" baseItem="0"/>
    <dataField name="Есмарт АРМ" fld="4" subtotal="count" baseField="0" baseItem="0"/>
    <dataField name="Общее" fld="3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  <dataField fld="12" subtotal="count" baseField="0" baseItem="0"/>
    <dataField fld="13" subtotal="count" baseField="0" baseItem="0"/>
    <dataField fld="14" subtotal="count" baseField="0" baseItem="0"/>
    <dataField fld="15" subtotal="count" baseField="0" baseItem="0"/>
    <dataField fld="16" subtotal="count" baseField="0" baseItem="0"/>
    <dataField fld="17" subtotal="count" baseField="0" baseItem="0"/>
    <dataField fld="18" subtotal="count" baseField="0" baseItem="0"/>
    <dataField fld="19" subtotal="count" baseField="0" baseItem="0"/>
    <dataField fld="20" subtotal="count" baseField="0" baseItem="0"/>
  </dataFields>
  <formats count="39">
    <format dxfId="249">
      <pivotArea outline="0" collapsedLevelsAreSubtotals="1" fieldPosition="0"/>
    </format>
    <format dxfId="248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5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44">
      <pivotArea outline="0" collapsedLevelsAreSubtotals="1" fieldPosition="0">
        <references count="1">
          <reference field="4294967294" count="3" selected="0">
            <x v="0"/>
            <x v="1"/>
            <x v="3"/>
          </reference>
        </references>
      </pivotArea>
    </format>
    <format dxfId="243">
      <pivotArea field="0" grandRow="1" outline="0" collapsedLevelsAreSubtotals="1" axis="axisRow" fieldPosition="0">
        <references count="1">
          <reference field="4294967294" count="3" selected="0">
            <x v="0"/>
            <x v="1"/>
            <x v="3"/>
          </reference>
        </references>
      </pivotArea>
    </format>
    <format dxfId="242">
      <pivotArea dataOnly="0" labelOnly="1" grandRow="1" outline="0" fieldPosition="0"/>
    </format>
    <format dxfId="24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40">
      <pivotArea dataOnly="0" labelOnly="1" fieldPosition="0">
        <references count="1">
          <reference field="0" count="0"/>
        </references>
      </pivotArea>
    </format>
    <format dxfId="239">
      <pivotArea dataOnly="0" labelOnly="1" grandRow="1" outline="0" fieldPosition="0"/>
    </format>
    <format dxfId="238">
      <pivotArea outline="0" collapsedLevelsAreSubtotals="1" fieldPosition="0"/>
    </format>
    <format dxfId="2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23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31">
      <pivotArea grandRow="1" outline="0" collapsedLevelsAreSubtotals="1" fieldPosition="0"/>
    </format>
    <format dxfId="230">
      <pivotArea outline="0" collapsedLevelsAreSubtotals="1" fieldPosition="0">
        <references count="1">
          <reference field="4294967294" count="1" selected="0">
            <x v="19"/>
          </reference>
        </references>
      </pivotArea>
    </format>
    <format dxfId="229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228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227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26">
      <pivotArea dataOnly="0" labelOnly="1" outline="0" fieldPosition="0">
        <references count="1">
          <reference field="4294967294" count="16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25">
      <pivotArea field="0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224">
      <pivotArea field="0" grandRow="1" outline="0" collapsedLevelsAreSubtotals="1" axis="axisRow" fieldPosition="0">
        <references count="1">
          <reference field="4294967294" count="1" selected="0">
            <x v="11"/>
          </reference>
        </references>
      </pivotArea>
    </format>
    <format dxfId="223">
      <pivotArea field="0" grandRow="1" outline="0" collapsedLevelsAreSubtotals="1" axis="axisRow" fieldPosition="0">
        <references count="1">
          <reference field="4294967294" count="1" selected="0">
            <x v="15"/>
          </reference>
        </references>
      </pivotArea>
    </format>
    <format dxfId="222">
      <pivotArea field="0" grandRow="1" outline="0" collapsedLevelsAreSubtotals="1" axis="axisRow" fieldPosition="0">
        <references count="1">
          <reference field="4294967294" count="1" selected="0">
            <x v="19"/>
          </reference>
        </references>
      </pivotArea>
    </format>
    <format dxfId="221">
      <pivotArea dataOnly="0" labelOnly="1" outline="0" fieldPosition="0">
        <references count="1">
          <reference field="4294967294" count="16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20">
      <pivotArea outline="0" collapsedLevelsAreSubtotals="1" fieldPosition="0">
        <references count="1">
          <reference field="4294967294" count="4" selected="0">
            <x v="4"/>
            <x v="5"/>
            <x v="6"/>
            <x v="7"/>
          </reference>
        </references>
      </pivotArea>
    </format>
    <format dxfId="219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218">
      <pivotArea dataOnly="0" labelOnly="1" outline="0" fieldPosition="0">
        <references count="1">
          <reference field="4294967294" count="1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17">
      <pivotArea outline="0" collapsedLevelsAreSubtotals="1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216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215">
      <pivotArea outline="0" collapsedLevelsAreSubtotals="1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214">
      <pivotArea dataOnly="0" labelOnly="1" outline="0" fieldPosition="0">
        <references count="1">
          <reference field="4294967294" count="4">
            <x v="12"/>
            <x v="13"/>
            <x v="14"/>
            <x v="15"/>
          </reference>
        </references>
      </pivotArea>
    </format>
    <format dxfId="213">
      <pivotArea outline="0" collapsedLevelsAreSubtotals="1" fieldPosition="0">
        <references count="1">
          <reference field="4294967294" count="4" selected="0">
            <x v="16"/>
            <x v="17"/>
            <x v="18"/>
            <x v="19"/>
          </reference>
        </references>
      </pivotArea>
    </format>
    <format dxfId="212">
      <pivotArea dataOnly="0" labelOnly="1" outline="0" fieldPosition="0">
        <references count="1">
          <reference field="4294967294" count="4">
            <x v="16"/>
            <x v="17"/>
            <x v="18"/>
            <x v="19"/>
          </reference>
        </references>
      </pivotArea>
    </format>
    <format dxfId="211">
      <pivotArea field="0" grandRow="1" outline="0" collapsedLevelsAreSubtotals="1" axis="axisRow" fieldPosition="0">
        <references count="1">
          <reference field="4294967294" count="1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ее"/>
    <pivotHierarchy dragToRow="0" dragToCol="0" dragToPage="0" dragToData="1" caption="Есмарт "/>
    <pivotHierarchy dragToRow="0" dragToCol="0" dragToPage="0" dragToData="1" caption="Рутокен "/>
    <pivotHierarchy dragToRow="0" dragToCol="0" dragToPage="0" dragToData="1" caption="Общее "/>
    <pivotHierarchy dragToRow="0" dragToCol="0" dragToPage="0" dragToData="1" caption="Есмарт  "/>
    <pivotHierarchy dragToRow="0" dragToCol="0" dragToPage="0" dragToData="1" caption="Рутокен  "/>
    <pivotHierarchy dragToRow="0" dragToCol="0" dragToPage="0" dragToData="1" caption="Общее  "/>
    <pivotHierarchy dragToRow="0" dragToCol="0" dragToPage="0" dragToData="1" caption="Есмарт   "/>
    <pivotHierarchy dragToRow="0" dragToCol="0" dragToPage="0" dragToData="1" caption="Рутокен   "/>
    <pivotHierarchy dragToRow="0" dragToCol="0" dragToPage="0" dragToData="1" caption="Общее   "/>
    <pivotHierarchy dragToRow="0" dragToCol="0" dragToPage="0" dragToData="1" caption="Есмарт    "/>
    <pivotHierarchy dragToRow="0" dragToCol="0" dragToPage="0" dragToData="1" caption="Рутокен    "/>
    <pivotHierarchy dragToRow="0" dragToCol="0" dragToPage="0" dragToData="1" caption="Общее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 АРМ"/>
    <pivotHierarchy dragToRow="0" dragToCol="0" dragToPage="0" dragToData="1" caption="Есмарт АРМ "/>
    <pivotHierarchy dragToRow="0" dragToCol="0" dragToPage="0" dragToData="1" caption="Есмарт АРМ  "/>
    <pivotHierarchy dragToRow="0" dragToCol="0" dragToPage="0" dragToData="1" caption="Есмарт АРМ   "/>
    <pivotHierarchy dragToRow="0" dragToCol="0" dragToPage="0" dragToData="1" caption="Есмарт АРМ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ее кол-во по дням для сводной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32A9F-03AF-4FA2-8BE3-1BA3E1C59CA5}" name="Сводная таблица1" cacheId="44" applyNumberFormats="0" applyBorderFormats="0" applyFontFormats="0" applyPatternFormats="0" applyAlignmentFormats="0" applyWidthHeightFormats="1" dataCaption="Значения" tag="f40f7197-1580-4ce5-9c5a-200d03a81d48" updatedVersion="8" minRefreshableVersion="3" showDrill="0" subtotalHiddenItems="1" rowGrandTotals="0" colGrandTotals="0" itemPrintTitles="1" createdVersion="7" indent="0" showHeaders="0" outline="1" outlineData="1" multipleFieldFilters="0" chartFormat="5" rowHeaderCaption="Продажи по дням">
  <location ref="R34:W39" firstHeaderRow="0" firstDataRow="1" firstDataCol="1"/>
  <pivotFields count="6">
    <pivotField axis="axisRow" allDrilled="1" subtotalTop="0" showAll="0" sortType="ascending" defaultSubtotal="0" defaultAttributeDrillState="1">
      <items count="5">
        <item x="1"/>
        <item x="0"/>
        <item x="3"/>
        <item x="4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Новак"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4">
    <format dxfId="253">
      <pivotArea dataOnly="0" outline="0" fieldPosition="0">
        <references count="1">
          <reference field="4294967294" count="1">
            <x v="0"/>
          </reference>
        </references>
      </pivotArea>
    </format>
    <format dxfId="252">
      <pivotArea outline="0" fieldPosition="0">
        <references count="1">
          <reference field="4294967294" count="1">
            <x v="0"/>
          </reference>
        </references>
      </pivotArea>
    </format>
    <format dxfId="2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0">
      <pivotArea dataOnly="0" labelOnly="1" fieldPosition="0">
        <references count="1">
          <reference field="0" count="0"/>
        </references>
      </pivotArea>
    </format>
  </formats>
  <conditionalFormats count="5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Новак"/>
    <pivotHierarchy dragToRow="0" dragToCol="0" dragToPage="0" dragToData="1"/>
    <pivotHierarchy dragToRow="0" dragToCol="0" dragToPage="0" dragToData="1"/>
    <pivotHierarchy dragToRow="0" dragToCol="0" dragToPage="0" dragToData="1" caption="Засек"/>
    <pivotHierarchy dragToRow="0" dragToCol="0" dragToPage="0" dragToData="1"/>
    <pivotHierarchy dragToRow="0" dragToCol="0" dragToPage="0" dragToData="1"/>
    <pivotHierarchy dragToRow="0" dragToCol="0" dragToPage="0" dragToData="1" caption="Тол"/>
    <pivotHierarchy dragToRow="0" dragToCol="0" dragToPage="0" dragToData="1"/>
    <pivotHierarchy dragToRow="0" dragToCol="0" dragToPage="0" dragToData="1"/>
    <pivotHierarchy dragToRow="0" dragToCol="0" dragToPage="0" dragToData="1" caption="Мичу"/>
    <pivotHierarchy dragToRow="0" dragToCol="0" dragToPage="0" dragToData="1"/>
    <pivotHierarchy dragToRow="0" dragToCol="0" dragToPage="0" dragToData="1"/>
    <pivotHierarchy dragToRow="0" dragToCol="0" dragToPage="0" dragToData="1" caption="Сызр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Общие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ее кол-во по дням для сводной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A79D9-D699-412D-9EA9-268C8BE4FCC1}" name="Сводная _Кол-во" cacheId="47" applyNumberFormats="0" applyBorderFormats="0" applyFontFormats="0" applyPatternFormats="0" applyAlignmentFormats="0" applyWidthHeightFormats="1" dataCaption="Значения" tag="8603cf2a-dbb3-4128-b3cc-7d841152e67a" updatedVersion="8" minRefreshableVersion="3" showDrill="0" subtotalHiddenItems="1" rowGrandTotals="0" colGrandTotals="0" itemPrintTitles="1" createdVersion="5" indent="0" showHeaders="0" outline="1" outlineData="1" multipleFieldFilters="0">
  <location ref="A2:P210" firstHeaderRow="0" firstDataRow="1" firstDataCol="1"/>
  <pivotFields count="18">
    <pivotField axis="axisRow" allDrilled="1" subtotalTop="0" showAll="0" sortType="descending" defaultAttributeDrillState="1">
      <items count="147"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ubtotalTop="0" showAll="0" defaultSubtotal="0"/>
    <pivotField dataField="1" subtotalTop="0" showAll="0" defaultSubtotal="0"/>
    <pivotField axis="axisRow" allDrilled="1" subtotalTop="0" showAll="0" sortType="descending" defaultAttributeDrillState="1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llDrilled="1" subtotalTop="0" showAll="0" sortType="descending" defaultAttributeDrillState="1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</pivotFields>
  <rowFields count="2">
    <field x="3"/>
    <field x="0"/>
  </rowFields>
  <rowItems count="208">
    <i>
      <x/>
    </i>
    <i r="1">
      <x/>
    </i>
    <i r="1">
      <x v="1"/>
    </i>
    <i r="1">
      <x v="2"/>
    </i>
    <i r="1">
      <x v="3"/>
    </i>
    <i r="1">
      <x v="4"/>
    </i>
    <i t="default">
      <x/>
    </i>
    <i>
      <x v="1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</i>
    <i r="1">
      <x v="10"/>
    </i>
    <i r="1">
      <x v="11"/>
    </i>
    <i r="1">
      <x v="12"/>
    </i>
    <i r="1">
      <x v="13"/>
    </i>
    <i r="1">
      <x v="14"/>
    </i>
    <i t="default">
      <x v="2"/>
    </i>
    <i>
      <x v="3"/>
    </i>
    <i r="1">
      <x v="15"/>
    </i>
    <i r="1">
      <x v="16"/>
    </i>
    <i r="1">
      <x v="17"/>
    </i>
    <i r="1">
      <x v="18"/>
    </i>
    <i r="1">
      <x v="19"/>
    </i>
    <i t="default">
      <x v="3"/>
    </i>
    <i>
      <x v="4"/>
    </i>
    <i r="1">
      <x v="20"/>
    </i>
    <i r="1">
      <x v="21"/>
    </i>
    <i r="1">
      <x v="22"/>
    </i>
    <i r="1">
      <x v="23"/>
    </i>
    <i r="1">
      <x v="24"/>
    </i>
    <i t="default">
      <x v="4"/>
    </i>
    <i>
      <x v="5"/>
    </i>
    <i r="1">
      <x v="25"/>
    </i>
    <i r="1">
      <x v="26"/>
    </i>
    <i r="1">
      <x v="27"/>
    </i>
    <i r="1">
      <x v="28"/>
    </i>
    <i r="1">
      <x v="29"/>
    </i>
    <i t="default">
      <x v="5"/>
    </i>
    <i>
      <x v="6"/>
    </i>
    <i r="1">
      <x v="30"/>
    </i>
    <i r="1">
      <x v="31"/>
    </i>
    <i r="1">
      <x v="32"/>
    </i>
    <i r="1">
      <x v="33"/>
    </i>
    <i r="1">
      <x v="34"/>
    </i>
    <i t="default">
      <x v="6"/>
    </i>
    <i>
      <x v="7"/>
    </i>
    <i r="1">
      <x v="35"/>
    </i>
    <i r="1">
      <x v="36"/>
    </i>
    <i r="1">
      <x v="37"/>
    </i>
    <i r="1">
      <x v="38"/>
    </i>
    <i r="1">
      <x v="39"/>
    </i>
    <i t="default">
      <x v="7"/>
    </i>
    <i>
      <x v="8"/>
    </i>
    <i r="1">
      <x v="40"/>
    </i>
    <i r="1">
      <x v="41"/>
    </i>
    <i r="1">
      <x v="42"/>
    </i>
    <i t="default">
      <x v="8"/>
    </i>
    <i>
      <x v="9"/>
    </i>
    <i r="1">
      <x v="43"/>
    </i>
    <i r="1">
      <x v="44"/>
    </i>
    <i r="1">
      <x v="45"/>
    </i>
    <i r="1">
      <x v="46"/>
    </i>
    <i r="1">
      <x v="47"/>
    </i>
    <i t="default">
      <x v="9"/>
    </i>
    <i>
      <x v="10"/>
    </i>
    <i r="1">
      <x v="48"/>
    </i>
    <i r="1">
      <x v="49"/>
    </i>
    <i r="1">
      <x v="50"/>
    </i>
    <i r="1">
      <x v="51"/>
    </i>
    <i r="1">
      <x v="52"/>
    </i>
    <i t="default">
      <x v="10"/>
    </i>
    <i>
      <x v="11"/>
    </i>
    <i r="1">
      <x v="53"/>
    </i>
    <i r="1">
      <x v="54"/>
    </i>
    <i r="1">
      <x v="55"/>
    </i>
    <i r="1">
      <x v="56"/>
    </i>
    <i r="1">
      <x v="57"/>
    </i>
    <i t="default">
      <x v="11"/>
    </i>
    <i>
      <x v="12"/>
    </i>
    <i r="1">
      <x v="58"/>
    </i>
    <i r="1">
      <x v="59"/>
    </i>
    <i r="1">
      <x v="60"/>
    </i>
    <i r="1">
      <x v="61"/>
    </i>
    <i r="1">
      <x v="62"/>
    </i>
    <i t="default">
      <x v="12"/>
    </i>
    <i>
      <x v="13"/>
    </i>
    <i r="1">
      <x v="63"/>
    </i>
    <i r="1">
      <x v="64"/>
    </i>
    <i r="1">
      <x v="65"/>
    </i>
    <i t="default">
      <x v="13"/>
    </i>
    <i>
      <x v="14"/>
    </i>
    <i r="1">
      <x v="66"/>
    </i>
    <i r="1">
      <x v="67"/>
    </i>
    <i r="1">
      <x v="68"/>
    </i>
    <i t="default">
      <x v="14"/>
    </i>
    <i>
      <x v="15"/>
    </i>
    <i r="1">
      <x v="69"/>
    </i>
    <i r="1">
      <x v="70"/>
    </i>
    <i r="1">
      <x v="71"/>
    </i>
    <i r="1">
      <x v="72"/>
    </i>
    <i r="1">
      <x v="73"/>
    </i>
    <i t="default">
      <x v="15"/>
    </i>
    <i>
      <x v="16"/>
    </i>
    <i r="1">
      <x v="74"/>
    </i>
    <i r="1">
      <x v="75"/>
    </i>
    <i r="1">
      <x v="76"/>
    </i>
    <i r="1">
      <x v="77"/>
    </i>
    <i r="1">
      <x v="78"/>
    </i>
    <i t="default">
      <x v="16"/>
    </i>
    <i>
      <x v="17"/>
    </i>
    <i r="1">
      <x v="79"/>
    </i>
    <i r="1">
      <x v="80"/>
    </i>
    <i r="1">
      <x v="81"/>
    </i>
    <i r="1">
      <x v="82"/>
    </i>
    <i r="1">
      <x v="83"/>
    </i>
    <i t="default">
      <x v="17"/>
    </i>
    <i>
      <x v="18"/>
    </i>
    <i r="1">
      <x v="84"/>
    </i>
    <i r="1">
      <x v="85"/>
    </i>
    <i r="1">
      <x v="86"/>
    </i>
    <i r="1">
      <x v="87"/>
    </i>
    <i r="1">
      <x v="88"/>
    </i>
    <i t="default">
      <x v="18"/>
    </i>
    <i>
      <x v="19"/>
    </i>
    <i r="1">
      <x v="89"/>
    </i>
    <i r="1">
      <x v="90"/>
    </i>
    <i r="1">
      <x v="91"/>
    </i>
    <i r="1">
      <x v="92"/>
    </i>
    <i r="1">
      <x v="93"/>
    </i>
    <i t="default">
      <x v="19"/>
    </i>
    <i>
      <x v="20"/>
    </i>
    <i r="1">
      <x v="94"/>
    </i>
    <i r="1">
      <x v="95"/>
    </i>
    <i r="1">
      <x v="96"/>
    </i>
    <i r="1">
      <x v="97"/>
    </i>
    <i r="1">
      <x v="98"/>
    </i>
    <i t="default">
      <x v="20"/>
    </i>
    <i>
      <x v="21"/>
    </i>
    <i r="1">
      <x v="99"/>
    </i>
    <i r="1">
      <x v="100"/>
    </i>
    <i r="1">
      <x v="101"/>
    </i>
    <i r="1">
      <x v="102"/>
    </i>
    <i r="1">
      <x v="103"/>
    </i>
    <i t="default">
      <x v="21"/>
    </i>
    <i>
      <x v="22"/>
    </i>
    <i r="1">
      <x v="104"/>
    </i>
    <i r="1">
      <x v="105"/>
    </i>
    <i r="1">
      <x v="106"/>
    </i>
    <i r="1">
      <x v="107"/>
    </i>
    <i r="1">
      <x v="108"/>
    </i>
    <i t="default">
      <x v="22"/>
    </i>
    <i>
      <x v="23"/>
    </i>
    <i r="1">
      <x v="109"/>
    </i>
    <i r="1">
      <x v="110"/>
    </i>
    <i r="1">
      <x v="111"/>
    </i>
    <i r="1">
      <x v="112"/>
    </i>
    <i r="1">
      <x v="113"/>
    </i>
    <i t="default">
      <x v="23"/>
    </i>
    <i>
      <x v="24"/>
    </i>
    <i r="1">
      <x v="114"/>
    </i>
    <i r="1">
      <x v="115"/>
    </i>
    <i r="1">
      <x v="116"/>
    </i>
    <i r="1">
      <x v="117"/>
    </i>
    <i r="1">
      <x v="118"/>
    </i>
    <i t="default">
      <x v="24"/>
    </i>
    <i>
      <x v="25"/>
    </i>
    <i r="1">
      <x v="119"/>
    </i>
    <i r="1">
      <x v="120"/>
    </i>
    <i r="1">
      <x v="121"/>
    </i>
    <i r="1">
      <x v="122"/>
    </i>
    <i r="1">
      <x v="123"/>
    </i>
    <i t="default">
      <x v="25"/>
    </i>
    <i>
      <x v="26"/>
    </i>
    <i r="1">
      <x v="124"/>
    </i>
    <i r="1">
      <x v="125"/>
    </i>
    <i r="1">
      <x v="126"/>
    </i>
    <i r="1">
      <x v="127"/>
    </i>
    <i r="1">
      <x v="128"/>
    </i>
    <i t="default">
      <x v="26"/>
    </i>
    <i>
      <x v="27"/>
    </i>
    <i r="1">
      <x v="129"/>
    </i>
    <i r="1">
      <x v="130"/>
    </i>
    <i r="1">
      <x v="131"/>
    </i>
    <i r="1">
      <x v="132"/>
    </i>
    <i r="1">
      <x v="133"/>
    </i>
    <i t="default">
      <x v="27"/>
    </i>
    <i>
      <x v="28"/>
    </i>
    <i r="1">
      <x v="134"/>
    </i>
    <i r="1">
      <x v="135"/>
    </i>
    <i r="1">
      <x v="136"/>
    </i>
    <i r="1">
      <x v="137"/>
    </i>
    <i r="1">
      <x v="138"/>
    </i>
    <i t="default">
      <x v="28"/>
    </i>
    <i>
      <x v="29"/>
    </i>
    <i r="1">
      <x v="139"/>
    </i>
    <i r="1">
      <x v="140"/>
    </i>
    <i r="1">
      <x v="141"/>
    </i>
    <i r="1">
      <x v="142"/>
    </i>
    <i r="1">
      <x v="143"/>
    </i>
    <i t="default">
      <x v="29"/>
    </i>
    <i>
      <x v="30"/>
    </i>
    <i r="1">
      <x v="144"/>
    </i>
    <i r="1">
      <x v="145"/>
    </i>
    <i t="default">
      <x v="30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Есмарт" fld="1" baseField="0" baseItem="2" numFmtId="3"/>
    <dataField name="Рутокен" fld="2" baseField="0" baseItem="2" numFmtId="3"/>
    <dataField name="Есмарт АРМ" fld="5" baseField="0" baseItem="3" numFmtId="3"/>
    <dataField name="Есмарт " fld="6" baseField="0" baseItem="0"/>
    <dataField name="Рутокен " fld="7" baseField="0" baseItem="0"/>
    <dataField name="Есмарт АРМ " fld="8" baseField="0" baseItem="0"/>
    <dataField name="Есмарт  " fld="9" baseField="0" baseItem="0"/>
    <dataField name="Рутокен  " fld="10" baseField="0" baseItem="0"/>
    <dataField name=" Есмарт АРМ  " fld="11" baseField="0" baseItem="0"/>
    <dataField name="Есмарт   " fld="12" baseField="0" baseItem="0"/>
    <dataField name="Рутокен   " fld="13" baseField="0" baseItem="0"/>
    <dataField name="Есмарт АРМ   " fld="14" baseField="0" baseItem="0"/>
    <dataField name="Есмарт    " fld="15" baseField="0" baseItem="0"/>
    <dataField name="Рутокен    " fld="16" baseField="0" baseItem="0"/>
    <dataField name="Есмарт АРМ    " fld="17" baseField="0" baseItem="0"/>
  </dataFields>
  <formats count="25">
    <format dxfId="278">
      <pivotArea outline="0" collapsedLevelsAreSubtotals="1" fieldPosition="0"/>
    </format>
    <format dxfId="2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6">
      <pivotArea dataOnly="0" labelOnly="1" fieldPosition="0">
        <references count="1">
          <reference field="3" count="0"/>
        </references>
      </pivotArea>
    </format>
    <format dxfId="275">
      <pivotArea collapsedLevelsAreSubtotals="1" fieldPosition="0">
        <references count="2">
          <reference field="4294967294" count="2" selected="0">
            <x v="0"/>
            <x v="1"/>
          </reference>
          <reference field="3" count="1">
            <x v="21"/>
          </reference>
        </references>
      </pivotArea>
    </format>
    <format dxfId="274">
      <pivotArea outline="0" fieldPosition="0">
        <references count="1">
          <reference field="4294967294" count="1">
            <x v="0"/>
          </reference>
        </references>
      </pivotArea>
    </format>
    <format dxfId="273">
      <pivotArea outline="0" fieldPosition="0">
        <references count="1">
          <reference field="4294967294" count="1">
            <x v="1"/>
          </reference>
        </references>
      </pivotArea>
    </format>
    <format dxfId="272">
      <pivotArea outline="0" fieldPosition="0">
        <references count="1">
          <reference field="4294967294" count="1">
            <x v="2"/>
          </reference>
        </references>
      </pivotArea>
    </format>
    <format dxfId="271">
      <pivotArea outline="0" collapsedLevelsAreSubtotals="1" fieldPosition="0"/>
    </format>
    <format dxfId="270">
      <pivotArea outline="0" collapsedLevelsAreSubtotals="1" fieldPosition="0"/>
    </format>
    <format dxfId="269">
      <pivotArea collapsedLevelsAreSubtotals="1" fieldPosition="0">
        <references count="1">
          <reference field="3" count="1">
            <x v="19"/>
          </reference>
        </references>
      </pivotArea>
    </format>
    <format dxfId="268">
      <pivotArea collapsedLevelsAreSubtotals="1" fieldPosition="0">
        <references count="2">
          <reference field="0" count="2">
            <x v="92"/>
            <x v="93"/>
          </reference>
          <reference field="3" count="1" selected="0">
            <x v="19"/>
          </reference>
        </references>
      </pivotArea>
    </format>
    <format dxfId="267">
      <pivotArea collapsedLevelsAreSubtotals="1" fieldPosition="0">
        <references count="1">
          <reference field="3" count="1" defaultSubtotal="1">
            <x v="19"/>
          </reference>
        </references>
      </pivotArea>
    </format>
    <format dxfId="266">
      <pivotArea collapsedLevelsAreSubtotals="1" fieldPosition="0">
        <references count="1">
          <reference field="3" count="1">
            <x v="20"/>
          </reference>
        </references>
      </pivotArea>
    </format>
    <format dxfId="265">
      <pivotArea collapsedLevelsAreSubtotals="1" fieldPosition="0">
        <references count="2">
          <reference field="0" count="3">
            <x v="94"/>
            <x v="95"/>
            <x v="96"/>
          </reference>
          <reference field="3" count="1" selected="0">
            <x v="20"/>
          </reference>
        </references>
      </pivotArea>
    </format>
    <format dxfId="264">
      <pivotArea outline="0" collapsedLevelsAreSubtotals="1" fieldPosition="0"/>
    </format>
    <format dxfId="263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1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60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259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258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257">
      <pivotArea outline="0" collapsedLevelsAreSubtotals="1" fieldPosition="0">
        <references count="1">
          <reference field="4294967294" count="3" selected="0">
            <x v="9"/>
            <x v="10"/>
            <x v="11"/>
          </reference>
        </references>
      </pivotArea>
    </format>
    <format dxfId="256">
      <pivotArea dataOnly="0" labelOnly="1" outline="0" fieldPosition="0">
        <references count="1">
          <reference field="4294967294" count="3">
            <x v="9"/>
            <x v="10"/>
            <x v="11"/>
          </reference>
        </references>
      </pivotArea>
    </format>
    <format dxfId="255">
      <pivotArea outline="0" collapsedLevelsAreSubtotals="1" fieldPosition="0">
        <references count="1">
          <reference field="4294967294" count="3" selected="0">
            <x v="12"/>
            <x v="13"/>
            <x v="14"/>
          </reference>
        </references>
      </pivotArea>
    </format>
    <format dxfId="254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</formats>
  <conditionalFormats count="4">
    <conditionalFormat priority="10">
      <pivotAreas count="1">
        <pivotArea type="data" outline="0" collapsedLevelsAreSubtotals="1" fieldPosition="0"/>
      </pivotAreas>
    </conditionalFormat>
    <conditionalFormat priority="11">
      <pivotAreas count="1">
        <pivotArea type="data" outline="0" collapsedLevelsAreSubtotals="1" fieldPosition="0"/>
      </pivotAreas>
    </conditionalFormat>
    <conditionalFormat priority="7">
      <pivotAreas count="5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9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6">
      <pivotAreas count="5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8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11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14"/>
            </reference>
          </references>
        </pivotArea>
      </pivotAreas>
    </conditionalFormat>
  </conditional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Рутокен"/>
    <pivotHierarchy dragToData="1"/>
    <pivotHierarchy dragToData="1"/>
    <pivotHierarchy dragToData="1"/>
    <pivotHierarchy dragToData="1" caption="Есмарт АРМ"/>
    <pivotHierarchy dragToData="1" caption="Есмарт АРМ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2" showRowHeaders="1" showColHeaders="1" showRowStripes="0" showColStripes="0" showLastColumn="1"/>
  <rowHierarchiesUsage count="2">
    <rowHierarchyUsage hierarchyUsage="21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ее кол-во по дням для сводной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0E3A-F648-43D3-AFB3-1D4ADFBD374B}" name="Сводная_Среднее_без_Новака" cacheId="50" applyNumberFormats="0" applyBorderFormats="0" applyFontFormats="0" applyPatternFormats="0" applyAlignmentFormats="0" applyWidthHeightFormats="1" dataCaption="Значения" tag="34795da0-5695-4d23-882b-d3eb333ac7e9" updatedVersion="8" minRefreshableVersion="3" showDrill="0" subtotalHiddenItems="1" itemPrintTitles="1" createdVersion="7" indent="0" showHeaders="0" outline="1" outlineData="1" multipleFieldFilters="0" chartFormat="12" rowHeaderCaption="Сумма Кол-ва">
  <location ref="AN18:AR27" firstHeaderRow="0" firstDataRow="1" firstDataCol="1"/>
  <pivotFields count="5">
    <pivotField axis="axisRow" allDrilled="1" subtotalTop="0" showAll="0" sortType="ascending" defaultSubtotal="0" defaultAttributeDrillState="1">
      <items count="8">
        <item x="7"/>
        <item x="6"/>
        <item x="5"/>
        <item x="1"/>
        <item x="4"/>
        <item x="3"/>
        <item x="2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17">
    <format dxfId="295">
      <pivotArea outline="0" collapsedLevelsAreSubtotals="1" fieldPosition="0"/>
    </format>
    <format dxfId="294">
      <pivotArea type="all" dataOnly="0" outline="0" fieldPosition="0"/>
    </format>
    <format dxfId="293">
      <pivotArea outline="0" collapsedLevelsAreSubtotals="1" fieldPosition="0"/>
    </format>
    <format dxfId="292">
      <pivotArea dataOnly="0" labelOnly="1" fieldPosition="0">
        <references count="1">
          <reference field="0" count="0"/>
        </references>
      </pivotArea>
    </format>
    <format dxfId="291">
      <pivotArea dataOnly="0" labelOnly="1" grandRow="1" outline="0" fieldPosition="0"/>
    </format>
    <format dxfId="290">
      <pivotArea dataOnly="0" labelOnly="1" grandRow="1" outline="0" fieldPosition="0"/>
    </format>
    <format dxfId="289">
      <pivotArea dataOnly="0" labelOnly="1" fieldPosition="0">
        <references count="1">
          <reference field="0" count="0"/>
        </references>
      </pivotArea>
    </format>
    <format dxfId="288">
      <pivotArea dataOnly="0" labelOnly="1" grandRow="1" outline="0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dataOnly="0" labelOnly="1" fieldPosition="0">
        <references count="1">
          <reference field="0" count="0"/>
        </references>
      </pivotArea>
    </format>
    <format dxfId="284">
      <pivotArea dataOnly="0" labelOnly="1" grandRow="1" outline="0" fieldPosition="0"/>
    </format>
    <format dxfId="283">
      <pivotArea grandRow="1" outline="0" collapsedLevelsAreSubtotals="1" fieldPosition="0"/>
    </format>
    <format dxfId="28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1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9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chartFormats count="9"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ее"/>
    <pivotHierarchy dragToRow="0" dragToCol="0" dragToPage="0" dragToData="1" caption="Есмарт "/>
    <pivotHierarchy dragToRow="0" dragToCol="0" dragToPage="0" dragToData="1" caption="Рутокен "/>
    <pivotHierarchy dragToRow="0" dragToCol="0" dragToPage="0" dragToData="1" caption="Общее "/>
    <pivotHierarchy dragToRow="0" dragToCol="0" dragToPage="0" dragToData="1" caption="Есмарт  "/>
    <pivotHierarchy dragToRow="0" dragToCol="0" dragToPage="0" dragToData="1" caption="Рутокен  "/>
    <pivotHierarchy dragToRow="0" dragToCol="0" dragToPage="0" dragToData="1" caption="Общее  "/>
    <pivotHierarchy dragToRow="0" dragToCol="0" dragToPage="0" dragToData="1" caption="Есмарт   "/>
    <pivotHierarchy dragToRow="0" dragToCol="0" dragToPage="0" dragToData="1" caption="Рутокен   "/>
    <pivotHierarchy dragToRow="0" dragToCol="0" dragToPage="0" dragToData="1" caption="Общее   "/>
    <pivotHierarchy dragToRow="0" dragToCol="0" dragToPage="0" dragToData="1" caption="Есмарт    "/>
    <pivotHierarchy dragToRow="0" dragToCol="0" dragToPage="0" dragToData="1" caption="Рутокен    "/>
    <pivotHierarchy dragToRow="0" dragToCol="0" dragToPage="0" dragToData="1" caption="Общее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ее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C.Итог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 АРМ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ее кол-во по дням для сводной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ABC45-3AAE-487C-8117-2E44A2870440}" name="Сводная_Продажи_без_Новака" cacheId="53" applyNumberFormats="0" applyBorderFormats="0" applyFontFormats="0" applyPatternFormats="0" applyAlignmentFormats="0" applyWidthHeightFormats="1" dataCaption="Значения" tag="f1de9c0a-1502-4e47-b89c-8d1c966eda61" updatedVersion="8" minRefreshableVersion="3" showDrill="0" subtotalHiddenItems="1" itemPrintTitles="1" createdVersion="7" indent="0" showHeaders="0" outline="1" outlineData="1" multipleFieldFilters="0" chartFormat="41" rowHeaderCaption="Сумма Кол-ва">
  <location ref="AN2:AR11" firstHeaderRow="0" firstDataRow="1" firstDataCol="1"/>
  <pivotFields count="5">
    <pivotField axis="axisRow" allDrilled="1" subtotalTop="0" showAll="0" sortType="ascending" defaultSubtotal="0" defaultAttributeDrillState="1">
      <items count="8">
        <item x="7"/>
        <item x="6"/>
        <item x="5"/>
        <item x="1"/>
        <item x="4"/>
        <item x="3"/>
        <item x="2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13">
    <format dxfId="308">
      <pivotArea outline="0" collapsedLevelsAreSubtotals="1" fieldPosition="0"/>
    </format>
    <format dxfId="307">
      <pivotArea type="all" dataOnly="0" outline="0" fieldPosition="0"/>
    </format>
    <format dxfId="306">
      <pivotArea outline="0" collapsedLevelsAreSubtotals="1" fieldPosition="0"/>
    </format>
    <format dxfId="305">
      <pivotArea dataOnly="0" labelOnly="1" fieldPosition="0">
        <references count="1">
          <reference field="0" count="0"/>
        </references>
      </pivotArea>
    </format>
    <format dxfId="304">
      <pivotArea dataOnly="0" labelOnly="1" grandRow="1" outline="0" fieldPosition="0"/>
    </format>
    <format dxfId="303">
      <pivotArea dataOnly="0" labelOnly="1" grandRow="1" outline="0" fieldPosition="0"/>
    </format>
    <format dxfId="302">
      <pivotArea dataOnly="0" labelOnly="1" fieldPosition="0">
        <references count="1">
          <reference field="0" count="0"/>
        </references>
      </pivotArea>
    </format>
    <format dxfId="301">
      <pivotArea dataOnly="0" labelOnly="1" grandRow="1" outline="0" fieldPosition="0"/>
    </format>
    <format dxfId="300">
      <pivotArea grandRow="1" outline="0" collapsedLevelsAreSubtotals="1" fieldPosition="0"/>
    </format>
    <format dxfId="299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29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7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96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chartFormats count="8"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ее"/>
    <pivotHierarchy dragToRow="0" dragToCol="0" dragToPage="0" dragToData="1" caption="Есмарт "/>
    <pivotHierarchy dragToRow="0" dragToCol="0" dragToPage="0" dragToData="1" caption="Рутокен "/>
    <pivotHierarchy dragToRow="0" dragToCol="0" dragToPage="0" dragToData="1" caption="Общее "/>
    <pivotHierarchy dragToRow="0" dragToCol="0" dragToPage="0" dragToData="1" caption="Есмарт  "/>
    <pivotHierarchy dragToRow="0" dragToCol="0" dragToPage="0" dragToData="1" caption="Рутокен  "/>
    <pivotHierarchy dragToRow="0" dragToCol="0" dragToPage="0" dragToData="1" caption="Общее  "/>
    <pivotHierarchy dragToRow="0" dragToCol="0" dragToPage="0" dragToData="1" caption="Есмарт   "/>
    <pivotHierarchy dragToRow="0" dragToCol="0" dragToPage="0" dragToData="1" caption="Рутокен   "/>
    <pivotHierarchy dragToRow="0" dragToCol="0" dragToPage="0" dragToData="1" caption="Общее   "/>
    <pivotHierarchy dragToRow="0" dragToCol="0" dragToPage="0" dragToData="1" caption="Есмарт    "/>
    <pivotHierarchy dragToRow="0" dragToCol="0" dragToPage="0" dragToData="1" caption="Рутокен    "/>
    <pivotHierarchy dragToRow="0" dragToCol="0" dragToPage="0" dragToData="1" caption="Общее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ее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 АРМ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ее кол-во по дням для сводной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EDB49-1ED4-406D-8069-F19E82954A74}" name="Сводная Среднее_по_дням" cacheId="56" applyNumberFormats="0" applyBorderFormats="0" applyFontFormats="0" applyPatternFormats="0" applyAlignmentFormats="0" applyWidthHeightFormats="1" dataCaption="Значения" grandTotalCaption="Итог среднее " tag="dfa3307b-13a8-40f7-a2e8-160778c27892" updatedVersion="8" minRefreshableVersion="3" showDrill="0" subtotalHiddenItems="1" itemPrintTitles="1" createdVersion="7" indent="0" showHeaders="0" outline="1" outlineData="1" multipleFieldFilters="0" chartFormat="3" rowHeaderCaption="Среднее по дням">
  <location ref="R18:AL27" firstHeaderRow="0" firstDataRow="1" firstDataCol="1"/>
  <pivotFields count="21">
    <pivotField axis="axisRow" allDrilled="1" subtotalTop="0" showAll="0" sortType="ascending" defaultSubtotal="0" defaultAttributeDrillState="1">
      <items count="8">
        <item x="7"/>
        <item x="6"/>
        <item x="5"/>
        <item x="1"/>
        <item x="4"/>
        <item x="3"/>
        <item x="2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Есмарт" fld="1" subtotal="average" baseField="0" baseItem="0" numFmtId="2"/>
    <dataField name="Рутокен" fld="2" subtotal="average" baseField="0" baseItem="0" numFmtId="2"/>
    <dataField name="Есмарт АРМ" fld="4" subtotal="average" baseField="0" baseItem="0" numFmtId="4"/>
    <dataField name="С.Итог" fld="3" subtotal="count" baseField="0" baseItem="0"/>
    <dataField name="Есмарт " fld="9" subtotal="average" baseField="0" baseItem="1" numFmtId="2"/>
    <dataField name="Рутокен " fld="10" subtotal="average" baseField="0" baseItem="1" numFmtId="2"/>
    <dataField name="Есмарт АРМ " fld="11" subtotal="average" baseField="0" baseItem="1" numFmtId="2"/>
    <dataField fld="5" subtotal="count" baseField="0" baseItem="0"/>
    <dataField name="Есмарт  " fld="12" subtotal="average" baseField="0" baseItem="1" numFmtId="2"/>
    <dataField name="Рутокен  " fld="13" subtotal="average" baseField="0" baseItem="1" numFmtId="2"/>
    <dataField name="Есмарт АРМ  " fld="14" subtotal="average" baseField="0" baseItem="1" numFmtId="2"/>
    <dataField fld="6" subtotal="count" baseField="0" baseItem="0"/>
    <dataField name="Есмарт   " fld="15" subtotal="average" baseField="0" baseItem="1" numFmtId="2"/>
    <dataField name="Рутокен   " fld="16" subtotal="average" baseField="0" baseItem="1" numFmtId="2"/>
    <dataField name="Есмарт АРМ   " fld="17" subtotal="average" baseField="0" baseItem="1" numFmtId="2"/>
    <dataField fld="7" subtotal="count" baseField="0" baseItem="0"/>
    <dataField name="Есмарт    " fld="18" subtotal="average" baseField="0" baseItem="1" numFmtId="2"/>
    <dataField name="Рутокен    " fld="19" subtotal="average" baseField="0" baseItem="1" numFmtId="2"/>
    <dataField name="Есмарт АРМ    " fld="20" subtotal="average" baseField="0" baseItem="1" numFmtId="2"/>
    <dataField fld="8" subtotal="count" baseField="0" baseItem="0"/>
  </dataFields>
  <formats count="50">
    <format dxfId="358">
      <pivotArea outline="0" fieldPosition="0">
        <references count="1">
          <reference field="4294967294" count="1">
            <x v="0"/>
          </reference>
        </references>
      </pivotArea>
    </format>
    <format dxfId="357">
      <pivotArea outline="0" fieldPosition="0">
        <references count="1">
          <reference field="4294967294" count="1">
            <x v="1"/>
          </reference>
        </references>
      </pivotArea>
    </format>
    <format dxfId="356">
      <pivotArea outline="0" collapsedLevelsAreSubtotals="1" fieldPosition="0"/>
    </format>
    <format dxfId="35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54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53">
      <pivotArea outline="0" collapsedLevelsAreSubtotals="1" fieldPosition="0">
        <references count="1">
          <reference field="4294967294" count="3" selected="0">
            <x v="0"/>
            <x v="1"/>
            <x v="3"/>
          </reference>
        </references>
      </pivotArea>
    </format>
    <format dxfId="352">
      <pivotArea field="0" grandRow="1" outline="0" collapsedLevelsAreSubtotals="1" axis="axisRow" fieldPosition="0">
        <references count="1">
          <reference field="4294967294" count="3" selected="0">
            <x v="0"/>
            <x v="1"/>
            <x v="3"/>
          </reference>
        </references>
      </pivotArea>
    </format>
    <format dxfId="351">
      <pivotArea dataOnly="0" labelOnly="1" grandRow="1" outline="0" fieldPosition="0"/>
    </format>
    <format dxfId="35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49">
      <pivotArea dataOnly="0" labelOnly="1" fieldPosition="0">
        <references count="1">
          <reference field="0" count="0"/>
        </references>
      </pivotArea>
    </format>
    <format dxfId="348">
      <pivotArea dataOnly="0" labelOnly="1" grandRow="1" outline="0" fieldPosition="0"/>
    </format>
    <format dxfId="347">
      <pivotArea outline="0" fieldPosition="0">
        <references count="1">
          <reference field="4294967294" count="1">
            <x v="2"/>
          </reference>
        </references>
      </pivotArea>
    </format>
    <format dxfId="346">
      <pivotArea outline="0" collapsedLevelsAreSubtotals="1" fieldPosition="0"/>
    </format>
    <format dxfId="3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4">
      <pivotArea dataOnly="0" labelOnly="1" grandRow="1" outline="0" fieldPosition="0"/>
    </format>
    <format dxfId="343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3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40">
      <pivotArea grandRow="1" outline="0" collapsedLevelsAreSubtotals="1" fieldPosition="0"/>
    </format>
    <format dxfId="339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338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337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336">
      <pivotArea outline="0" collapsedLevelsAreSubtotals="1" fieldPosition="0">
        <references count="1">
          <reference field="4294967294" count="1" selected="0">
            <x v="19"/>
          </reference>
        </references>
      </pivotArea>
    </format>
    <format dxfId="335">
      <pivotArea dataOnly="0" labelOnly="1" outline="0" fieldPosition="0">
        <references count="1">
          <reference field="4294967294" count="16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334">
      <pivotArea outline="0" collapsedLevelsAreSubtotals="1" fieldPosition="0">
        <references count="1">
          <reference field="4294967294" count="4" selected="0">
            <x v="4"/>
            <x v="5"/>
            <x v="6"/>
            <x v="7"/>
          </reference>
        </references>
      </pivotArea>
    </format>
    <format dxfId="333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332">
      <pivotArea outline="0" collapsedLevelsAreSubtotals="1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331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330">
      <pivotArea outline="0" collapsedLevelsAreSubtotals="1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329">
      <pivotArea dataOnly="0" labelOnly="1" outline="0" fieldPosition="0">
        <references count="1">
          <reference field="4294967294" count="4">
            <x v="12"/>
            <x v="13"/>
            <x v="14"/>
            <x v="15"/>
          </reference>
        </references>
      </pivotArea>
    </format>
    <format dxfId="328">
      <pivotArea outline="0" collapsedLevelsAreSubtotals="1" fieldPosition="0">
        <references count="1">
          <reference field="4294967294" count="4" selected="0">
            <x v="16"/>
            <x v="17"/>
            <x v="18"/>
            <x v="19"/>
          </reference>
        </references>
      </pivotArea>
    </format>
    <format dxfId="327">
      <pivotArea dataOnly="0" labelOnly="1" outline="0" fieldPosition="0">
        <references count="1">
          <reference field="4294967294" count="4">
            <x v="16"/>
            <x v="17"/>
            <x v="18"/>
            <x v="19"/>
          </reference>
        </references>
      </pivotArea>
    </format>
    <format dxfId="326">
      <pivotArea dataOnly="0" labelOnly="1" outline="0" fieldPosition="0">
        <references count="1">
          <reference field="4294967294" count="16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325">
      <pivotArea field="0" grandRow="1" outline="0" collapsedLevelsAreSubtotals="1" axis="axisRow" fieldPosition="0">
        <references count="1">
          <reference field="4294967294" count="1" selected="0">
            <x v="19"/>
          </reference>
        </references>
      </pivotArea>
    </format>
    <format dxfId="324">
      <pivotArea field="0" grandRow="1" outline="0" collapsedLevelsAreSubtotals="1" axis="axisRow" fieldPosition="0">
        <references count="1">
          <reference field="4294967294" count="1" selected="0">
            <x v="15"/>
          </reference>
        </references>
      </pivotArea>
    </format>
    <format dxfId="323">
      <pivotArea field="0" grandRow="1" outline="0" collapsedLevelsAreSubtotals="1" axis="axisRow" fieldPosition="0">
        <references count="1">
          <reference field="4294967294" count="1" selected="0">
            <x v="11"/>
          </reference>
        </references>
      </pivotArea>
    </format>
    <format dxfId="322">
      <pivotArea field="0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321">
      <pivotArea outline="0" fieldPosition="0">
        <references count="1">
          <reference field="4294967294" count="1">
            <x v="4"/>
          </reference>
        </references>
      </pivotArea>
    </format>
    <format dxfId="320">
      <pivotArea outline="0" fieldPosition="0">
        <references count="1">
          <reference field="4294967294" count="1">
            <x v="5"/>
          </reference>
        </references>
      </pivotArea>
    </format>
    <format dxfId="319">
      <pivotArea outline="0" fieldPosition="0">
        <references count="1">
          <reference field="4294967294" count="1">
            <x v="6"/>
          </reference>
        </references>
      </pivotArea>
    </format>
    <format dxfId="318">
      <pivotArea outline="0" fieldPosition="0">
        <references count="1">
          <reference field="4294967294" count="1">
            <x v="8"/>
          </reference>
        </references>
      </pivotArea>
    </format>
    <format dxfId="317">
      <pivotArea outline="0" fieldPosition="0">
        <references count="1">
          <reference field="4294967294" count="1">
            <x v="9"/>
          </reference>
        </references>
      </pivotArea>
    </format>
    <format dxfId="316">
      <pivotArea outline="0" fieldPosition="0">
        <references count="1">
          <reference field="4294967294" count="1">
            <x v="10"/>
          </reference>
        </references>
      </pivotArea>
    </format>
    <format dxfId="315">
      <pivotArea outline="0" fieldPosition="0">
        <references count="1">
          <reference field="4294967294" count="1">
            <x v="12"/>
          </reference>
        </references>
      </pivotArea>
    </format>
    <format dxfId="314">
      <pivotArea outline="0" fieldPosition="0">
        <references count="1">
          <reference field="4294967294" count="1">
            <x v="13"/>
          </reference>
        </references>
      </pivotArea>
    </format>
    <format dxfId="313">
      <pivotArea outline="0" fieldPosition="0">
        <references count="1">
          <reference field="4294967294" count="1">
            <x v="14"/>
          </reference>
        </references>
      </pivotArea>
    </format>
    <format dxfId="312">
      <pivotArea outline="0" fieldPosition="0">
        <references count="1">
          <reference field="4294967294" count="1">
            <x v="16"/>
          </reference>
        </references>
      </pivotArea>
    </format>
    <format dxfId="311">
      <pivotArea outline="0" fieldPosition="0">
        <references count="1">
          <reference field="4294967294" count="1">
            <x v="17"/>
          </reference>
        </references>
      </pivotArea>
    </format>
    <format dxfId="310">
      <pivotArea outline="0" fieldPosition="0">
        <references count="1">
          <reference field="4294967294" count="1">
            <x v="18"/>
          </reference>
        </references>
      </pivotArea>
    </format>
    <format dxfId="309">
      <pivotArea field="0" grandRow="1" outline="0" collapsedLevelsAreSubtotals="1" axis="axisRow" fieldPosition="0">
        <references count="1">
          <reference field="4294967294" count="17" selected="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Есмарт"/>
    <pivotHierarchy dragToData="1" caption="Рутокен"/>
    <pivotHierarchy dragToData="1"/>
    <pivotHierarchy dragToData="1"/>
    <pivotHierarchy dragToData="1"/>
    <pivotHierarchy dragToData="1" caption="Есмарт АРМ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Есмарт "/>
    <pivotHierarchy dragToData="1" caption="Рутокен "/>
    <pivotHierarchy dragToData="1" caption="Есмарт АРМ "/>
    <pivotHierarchy dragToData="1" caption="Есмарт  "/>
    <pivotHierarchy dragToData="1" caption="Рутокен  "/>
    <pivotHierarchy dragToData="1" caption="Есмарт АРМ  "/>
    <pivotHierarchy dragToData="1" caption="Есмарт   "/>
    <pivotHierarchy dragToData="1" caption="Рутокен   "/>
    <pivotHierarchy dragToData="1" caption="Есмарт АРМ   "/>
    <pivotHierarchy dragToData="1" caption="Есмарт    "/>
    <pivotHierarchy dragToData="1" caption="Рутокен    "/>
    <pivotHierarchy dragToData="1" caption="Есмарт АРМ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ее"/>
    <pivotHierarchy dragToRow="0" dragToCol="0" dragToPage="0" dragToData="1" caption="Есмарт "/>
    <pivotHierarchy dragToRow="0" dragToCol="0" dragToPage="0" dragToData="1" caption="Рутокен "/>
    <pivotHierarchy dragToRow="0" dragToCol="0" dragToPage="0" dragToData="1" caption="Общее "/>
    <pivotHierarchy dragToRow="0" dragToCol="0" dragToPage="0" dragToData="1" caption="Есмарт  "/>
    <pivotHierarchy dragToRow="0" dragToCol="0" dragToPage="0" dragToData="1" caption="Рутокен  "/>
    <pivotHierarchy dragToRow="0" dragToCol="0" dragToPage="0" dragToData="1" caption="Общее  "/>
    <pivotHierarchy dragToRow="0" dragToCol="0" dragToPage="0" dragToData="1" caption="Есмарт   "/>
    <pivotHierarchy dragToRow="0" dragToCol="0" dragToPage="0" dragToData="1" caption="Рутокен   "/>
    <pivotHierarchy dragToRow="0" dragToCol="0" dragToPage="0" dragToData="1" caption="Общее   "/>
    <pivotHierarchy dragToRow="0" dragToCol="0" dragToPage="0" dragToData="1" caption="Есмарт    "/>
    <pivotHierarchy dragToRow="0" dragToCol="0" dragToPage="0" dragToData="1" caption="Рутокен    "/>
    <pivotHierarchy dragToRow="0" dragToCol="0" dragToPage="0" dragToData="1" caption="Общее    "/>
    <pivotHierarchy dragToRow="0" dragToCol="0" dragToPage="0" dragToData="1" caption="С.Итог"/>
    <pivotHierarchy dragToRow="0" dragToCol="0" dragToPage="0" dragToData="1" caption="С.Итог "/>
    <pivotHierarchy dragToRow="0" dragToCol="0" dragToPage="0" dragToData="1" caption="С.Итог  "/>
    <pivotHierarchy dragToRow="0" dragToCol="0" dragToPage="0" dragToData="1" caption="С.Итог   "/>
    <pivotHierarchy dragToRow="0" dragToCol="0" dragToPage="0" dragToData="1" caption="С.Итог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ее кол-во по дням для сводной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ADB06-3642-40F2-9EFD-A869D2FD076E}" name="Сводная_Прибыль" cacheId="59" applyNumberFormats="0" applyBorderFormats="0" applyFontFormats="0" applyPatternFormats="0" applyAlignmentFormats="0" applyWidthHeightFormats="1" dataCaption="Значения" tag="21fcb559-7fd9-4622-89e4-3617b72ee9fa" updatedVersion="8" minRefreshableVersion="3" showDrill="0" subtotalHiddenItems="1" rowGrandTotals="0" colGrandTotals="0" itemPrintTitles="1" createdVersion="5" indent="0" showHeaders="0" outline="1" outlineData="1" multipleFieldFilters="0">
  <location ref="A2:P210" firstHeaderRow="0" firstDataRow="1" firstDataCol="1"/>
  <pivotFields count="17">
    <pivotField dataField="1" subtotalTop="0" showAll="0" defaultSubtotal="0"/>
    <pivotField dataField="1" subtotalTop="0" showAll="0" defaultSubtotal="0"/>
    <pivotField axis="axisRow" allDrilled="1" subtotalTop="0" showAll="0" sortType="descending" defaultAttributeDrillState="1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allDrilled="1" subtotalTop="0" showAll="0" sortType="descending" defaultAttributeDrillState="1">
      <items count="147"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</pivotFields>
  <rowFields count="2">
    <field x="2"/>
    <field x="3"/>
  </rowFields>
  <rowItems count="208">
    <i>
      <x/>
    </i>
    <i r="1">
      <x/>
    </i>
    <i r="1">
      <x v="1"/>
    </i>
    <i r="1">
      <x v="2"/>
    </i>
    <i r="1">
      <x v="3"/>
    </i>
    <i r="1">
      <x v="4"/>
    </i>
    <i t="default">
      <x/>
    </i>
    <i>
      <x v="1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</i>
    <i r="1">
      <x v="10"/>
    </i>
    <i r="1">
      <x v="11"/>
    </i>
    <i r="1">
      <x v="12"/>
    </i>
    <i r="1">
      <x v="13"/>
    </i>
    <i r="1">
      <x v="14"/>
    </i>
    <i t="default">
      <x v="2"/>
    </i>
    <i>
      <x v="3"/>
    </i>
    <i r="1">
      <x v="15"/>
    </i>
    <i r="1">
      <x v="16"/>
    </i>
    <i r="1">
      <x v="17"/>
    </i>
    <i r="1">
      <x v="18"/>
    </i>
    <i r="1">
      <x v="19"/>
    </i>
    <i t="default">
      <x v="3"/>
    </i>
    <i>
      <x v="4"/>
    </i>
    <i r="1">
      <x v="20"/>
    </i>
    <i r="1">
      <x v="21"/>
    </i>
    <i r="1">
      <x v="22"/>
    </i>
    <i r="1">
      <x v="23"/>
    </i>
    <i r="1">
      <x v="24"/>
    </i>
    <i t="default">
      <x v="4"/>
    </i>
    <i>
      <x v="5"/>
    </i>
    <i r="1">
      <x v="25"/>
    </i>
    <i r="1">
      <x v="26"/>
    </i>
    <i r="1">
      <x v="27"/>
    </i>
    <i r="1">
      <x v="28"/>
    </i>
    <i r="1">
      <x v="29"/>
    </i>
    <i t="default">
      <x v="5"/>
    </i>
    <i>
      <x v="6"/>
    </i>
    <i r="1">
      <x v="30"/>
    </i>
    <i r="1">
      <x v="31"/>
    </i>
    <i r="1">
      <x v="32"/>
    </i>
    <i r="1">
      <x v="33"/>
    </i>
    <i r="1">
      <x v="34"/>
    </i>
    <i t="default">
      <x v="6"/>
    </i>
    <i>
      <x v="7"/>
    </i>
    <i r="1">
      <x v="35"/>
    </i>
    <i r="1">
      <x v="36"/>
    </i>
    <i r="1">
      <x v="37"/>
    </i>
    <i r="1">
      <x v="38"/>
    </i>
    <i r="1">
      <x v="39"/>
    </i>
    <i t="default">
      <x v="7"/>
    </i>
    <i>
      <x v="8"/>
    </i>
    <i r="1">
      <x v="40"/>
    </i>
    <i r="1">
      <x v="41"/>
    </i>
    <i r="1">
      <x v="42"/>
    </i>
    <i t="default">
      <x v="8"/>
    </i>
    <i>
      <x v="9"/>
    </i>
    <i r="1">
      <x v="43"/>
    </i>
    <i r="1">
      <x v="44"/>
    </i>
    <i r="1">
      <x v="45"/>
    </i>
    <i r="1">
      <x v="46"/>
    </i>
    <i r="1">
      <x v="47"/>
    </i>
    <i t="default">
      <x v="9"/>
    </i>
    <i>
      <x v="10"/>
    </i>
    <i r="1">
      <x v="48"/>
    </i>
    <i r="1">
      <x v="49"/>
    </i>
    <i r="1">
      <x v="50"/>
    </i>
    <i r="1">
      <x v="51"/>
    </i>
    <i r="1">
      <x v="52"/>
    </i>
    <i t="default">
      <x v="10"/>
    </i>
    <i>
      <x v="11"/>
    </i>
    <i r="1">
      <x v="53"/>
    </i>
    <i r="1">
      <x v="54"/>
    </i>
    <i r="1">
      <x v="55"/>
    </i>
    <i r="1">
      <x v="56"/>
    </i>
    <i r="1">
      <x v="57"/>
    </i>
    <i t="default">
      <x v="11"/>
    </i>
    <i>
      <x v="12"/>
    </i>
    <i r="1">
      <x v="58"/>
    </i>
    <i r="1">
      <x v="59"/>
    </i>
    <i r="1">
      <x v="60"/>
    </i>
    <i r="1">
      <x v="61"/>
    </i>
    <i r="1">
      <x v="62"/>
    </i>
    <i t="default">
      <x v="12"/>
    </i>
    <i>
      <x v="13"/>
    </i>
    <i r="1">
      <x v="63"/>
    </i>
    <i r="1">
      <x v="64"/>
    </i>
    <i r="1">
      <x v="65"/>
    </i>
    <i t="default">
      <x v="13"/>
    </i>
    <i>
      <x v="14"/>
    </i>
    <i r="1">
      <x v="66"/>
    </i>
    <i r="1">
      <x v="67"/>
    </i>
    <i r="1">
      <x v="68"/>
    </i>
    <i t="default">
      <x v="14"/>
    </i>
    <i>
      <x v="15"/>
    </i>
    <i r="1">
      <x v="69"/>
    </i>
    <i r="1">
      <x v="70"/>
    </i>
    <i r="1">
      <x v="71"/>
    </i>
    <i r="1">
      <x v="72"/>
    </i>
    <i r="1">
      <x v="73"/>
    </i>
    <i t="default">
      <x v="15"/>
    </i>
    <i>
      <x v="16"/>
    </i>
    <i r="1">
      <x v="74"/>
    </i>
    <i r="1">
      <x v="75"/>
    </i>
    <i r="1">
      <x v="76"/>
    </i>
    <i r="1">
      <x v="77"/>
    </i>
    <i r="1">
      <x v="78"/>
    </i>
    <i t="default">
      <x v="16"/>
    </i>
    <i>
      <x v="17"/>
    </i>
    <i r="1">
      <x v="79"/>
    </i>
    <i r="1">
      <x v="80"/>
    </i>
    <i r="1">
      <x v="81"/>
    </i>
    <i r="1">
      <x v="82"/>
    </i>
    <i r="1">
      <x v="83"/>
    </i>
    <i t="default">
      <x v="17"/>
    </i>
    <i>
      <x v="18"/>
    </i>
    <i r="1">
      <x v="84"/>
    </i>
    <i r="1">
      <x v="85"/>
    </i>
    <i r="1">
      <x v="86"/>
    </i>
    <i r="1">
      <x v="87"/>
    </i>
    <i r="1">
      <x v="88"/>
    </i>
    <i t="default">
      <x v="18"/>
    </i>
    <i>
      <x v="19"/>
    </i>
    <i r="1">
      <x v="89"/>
    </i>
    <i r="1">
      <x v="90"/>
    </i>
    <i r="1">
      <x v="91"/>
    </i>
    <i r="1">
      <x v="92"/>
    </i>
    <i r="1">
      <x v="93"/>
    </i>
    <i t="default">
      <x v="19"/>
    </i>
    <i>
      <x v="20"/>
    </i>
    <i r="1">
      <x v="94"/>
    </i>
    <i r="1">
      <x v="95"/>
    </i>
    <i r="1">
      <x v="96"/>
    </i>
    <i r="1">
      <x v="97"/>
    </i>
    <i r="1">
      <x v="98"/>
    </i>
    <i t="default">
      <x v="20"/>
    </i>
    <i>
      <x v="21"/>
    </i>
    <i r="1">
      <x v="99"/>
    </i>
    <i r="1">
      <x v="100"/>
    </i>
    <i r="1">
      <x v="101"/>
    </i>
    <i r="1">
      <x v="102"/>
    </i>
    <i r="1">
      <x v="103"/>
    </i>
    <i t="default">
      <x v="21"/>
    </i>
    <i>
      <x v="22"/>
    </i>
    <i r="1">
      <x v="104"/>
    </i>
    <i r="1">
      <x v="105"/>
    </i>
    <i r="1">
      <x v="106"/>
    </i>
    <i r="1">
      <x v="107"/>
    </i>
    <i r="1">
      <x v="108"/>
    </i>
    <i t="default">
      <x v="22"/>
    </i>
    <i>
      <x v="23"/>
    </i>
    <i r="1">
      <x v="109"/>
    </i>
    <i r="1">
      <x v="110"/>
    </i>
    <i r="1">
      <x v="111"/>
    </i>
    <i r="1">
      <x v="112"/>
    </i>
    <i r="1">
      <x v="113"/>
    </i>
    <i t="default">
      <x v="23"/>
    </i>
    <i>
      <x v="24"/>
    </i>
    <i r="1">
      <x v="114"/>
    </i>
    <i r="1">
      <x v="115"/>
    </i>
    <i r="1">
      <x v="116"/>
    </i>
    <i r="1">
      <x v="117"/>
    </i>
    <i r="1">
      <x v="118"/>
    </i>
    <i t="default">
      <x v="24"/>
    </i>
    <i>
      <x v="25"/>
    </i>
    <i r="1">
      <x v="119"/>
    </i>
    <i r="1">
      <x v="120"/>
    </i>
    <i r="1">
      <x v="121"/>
    </i>
    <i r="1">
      <x v="122"/>
    </i>
    <i r="1">
      <x v="123"/>
    </i>
    <i t="default">
      <x v="25"/>
    </i>
    <i>
      <x v="26"/>
    </i>
    <i r="1">
      <x v="124"/>
    </i>
    <i r="1">
      <x v="125"/>
    </i>
    <i r="1">
      <x v="126"/>
    </i>
    <i r="1">
      <x v="127"/>
    </i>
    <i r="1">
      <x v="128"/>
    </i>
    <i t="default">
      <x v="26"/>
    </i>
    <i>
      <x v="27"/>
    </i>
    <i r="1">
      <x v="129"/>
    </i>
    <i r="1">
      <x v="130"/>
    </i>
    <i r="1">
      <x v="131"/>
    </i>
    <i r="1">
      <x v="132"/>
    </i>
    <i r="1">
      <x v="133"/>
    </i>
    <i t="default">
      <x v="27"/>
    </i>
    <i>
      <x v="28"/>
    </i>
    <i r="1">
      <x v="134"/>
    </i>
    <i r="1">
      <x v="135"/>
    </i>
    <i r="1">
      <x v="136"/>
    </i>
    <i r="1">
      <x v="137"/>
    </i>
    <i r="1">
      <x v="138"/>
    </i>
    <i t="default">
      <x v="28"/>
    </i>
    <i>
      <x v="29"/>
    </i>
    <i r="1">
      <x v="139"/>
    </i>
    <i r="1">
      <x v="140"/>
    </i>
    <i r="1">
      <x v="141"/>
    </i>
    <i r="1">
      <x v="142"/>
    </i>
    <i r="1">
      <x v="143"/>
    </i>
    <i t="default">
      <x v="29"/>
    </i>
    <i>
      <x v="30"/>
    </i>
    <i r="1">
      <x v="144"/>
    </i>
    <i r="1">
      <x v="145"/>
    </i>
    <i t="default">
      <x v="30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Есмарт" fld="0" baseField="3" baseItem="3" numFmtId="178"/>
    <dataField name="Рутокен" fld="1" baseField="3" baseItem="2" numFmtId="178"/>
    <dataField name="Есмарт АРМ" fld="4" baseField="3" baseItem="3" numFmtId="178"/>
    <dataField name="Есмарт " fld="5" baseField="3" baseItem="5" numFmtId="178"/>
    <dataField name="Рутокен " fld="6" baseField="3" baseItem="5" numFmtId="178"/>
    <dataField name="Есмарт АРМ " fld="7" baseField="3" baseItem="5" numFmtId="178"/>
    <dataField name="Есмарт  " fld="8" baseField="3" baseItem="5" numFmtId="178"/>
    <dataField name="Рутокен  " fld="9" baseField="3" baseItem="5" numFmtId="178"/>
    <dataField name="Есмарт АРМ  " fld="10" baseField="3" baseItem="5" numFmtId="178"/>
    <dataField name="Есмарт   " fld="11" baseField="3" baseItem="5" numFmtId="178"/>
    <dataField name="Рутокен   " fld="12" baseField="3" baseItem="5" numFmtId="178"/>
    <dataField name="Есмарт АРМ   " fld="13" baseField="3" baseItem="5" numFmtId="178"/>
    <dataField name="Есмарт    " fld="14" baseField="3" baseItem="5" numFmtId="178"/>
    <dataField name="Рутокен    " fld="15" baseField="3" baseItem="5" numFmtId="178"/>
    <dataField name="Есмарт АРМ    " fld="16" baseField="3" baseItem="5" numFmtId="178"/>
  </dataFields>
  <formats count="30">
    <format dxfId="160">
      <pivotArea type="all" dataOnly="0" outline="0" fieldPosition="0"/>
    </format>
    <format dxfId="159">
      <pivotArea outline="0" collapsedLevelsAreSubtotals="1" fieldPosition="0"/>
    </format>
    <format dxfId="158">
      <pivotArea dataOnly="0" labelOnly="1" grandRow="1" outline="0" fieldPosition="0"/>
    </format>
    <format dxfId="1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6">
      <pivotArea outline="0" collapsedLevelsAreSubtotals="1" fieldPosition="0"/>
    </format>
    <format dxfId="1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4">
      <pivotArea outline="0" collapsedLevelsAreSubtotals="1" fieldPosition="0"/>
    </format>
    <format dxfId="153">
      <pivotArea outline="0" fieldPosition="0">
        <references count="1">
          <reference field="4294967294" count="1">
            <x v="1"/>
          </reference>
        </references>
      </pivotArea>
    </format>
    <format dxfId="152">
      <pivotArea outline="0" fieldPosition="0">
        <references count="1">
          <reference field="4294967294" count="1">
            <x v="0"/>
          </reference>
        </references>
      </pivotArea>
    </format>
    <format dxfId="151">
      <pivotArea outline="0" fieldPosition="0">
        <references count="1">
          <reference field="4294967294" count="1">
            <x v="2"/>
          </reference>
        </references>
      </pivotArea>
    </format>
    <format dxfId="150">
      <pivotArea outline="0" collapsedLevelsAreSubtotals="1" fieldPosition="0"/>
    </format>
    <format dxfId="14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7">
      <pivotArea outline="0" fieldPosition="0">
        <references count="1">
          <reference field="4294967294" count="1">
            <x v="3"/>
          </reference>
        </references>
      </pivotArea>
    </format>
    <format dxfId="146">
      <pivotArea outline="0" fieldPosition="0">
        <references count="1">
          <reference field="4294967294" count="1">
            <x v="4"/>
          </reference>
        </references>
      </pivotArea>
    </format>
    <format dxfId="145">
      <pivotArea outline="0" fieldPosition="0">
        <references count="1">
          <reference field="4294967294" count="1">
            <x v="5"/>
          </reference>
        </references>
      </pivotArea>
    </format>
    <format dxfId="144">
      <pivotArea outline="0" fieldPosition="0">
        <references count="1">
          <reference field="4294967294" count="1">
            <x v="6"/>
          </reference>
        </references>
      </pivotArea>
    </format>
    <format dxfId="143">
      <pivotArea outline="0" fieldPosition="0">
        <references count="1">
          <reference field="4294967294" count="1">
            <x v="7"/>
          </reference>
        </references>
      </pivotArea>
    </format>
    <format dxfId="142">
      <pivotArea outline="0" fieldPosition="0">
        <references count="1">
          <reference field="4294967294" count="1">
            <x v="8"/>
          </reference>
        </references>
      </pivotArea>
    </format>
    <format dxfId="141">
      <pivotArea outline="0" fieldPosition="0">
        <references count="1">
          <reference field="4294967294" count="1">
            <x v="9"/>
          </reference>
        </references>
      </pivotArea>
    </format>
    <format dxfId="140">
      <pivotArea outline="0" fieldPosition="0">
        <references count="1">
          <reference field="4294967294" count="1">
            <x v="10"/>
          </reference>
        </references>
      </pivotArea>
    </format>
    <format dxfId="139">
      <pivotArea outline="0" fieldPosition="0">
        <references count="1">
          <reference field="4294967294" count="1">
            <x v="11"/>
          </reference>
        </references>
      </pivotArea>
    </format>
    <format dxfId="138">
      <pivotArea outline="0" fieldPosition="0">
        <references count="1">
          <reference field="4294967294" count="1">
            <x v="12"/>
          </reference>
        </references>
      </pivotArea>
    </format>
    <format dxfId="137">
      <pivotArea outline="0" fieldPosition="0">
        <references count="1">
          <reference field="4294967294" count="1">
            <x v="13"/>
          </reference>
        </references>
      </pivotArea>
    </format>
    <format dxfId="136">
      <pivotArea outline="0" fieldPosition="0">
        <references count="1">
          <reference field="4294967294" count="1">
            <x v="14"/>
          </reference>
        </references>
      </pivotArea>
    </format>
    <format dxfId="135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134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133">
      <pivotArea outline="0" collapsedLevelsAreSubtotals="1" fieldPosition="0">
        <references count="1">
          <reference field="4294967294" count="3" selected="0">
            <x v="12"/>
            <x v="13"/>
            <x v="14"/>
          </reference>
        </references>
      </pivotArea>
    </format>
    <format dxfId="132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31">
      <pivotArea dataOnly="0" labelOnly="1" outline="0" fieldPosition="0">
        <references count="1">
          <reference field="4294967294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Есмарт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Есмарт "/>
    <pivotHierarchy dragToData="1" caption="Рутокен "/>
    <pivotHierarchy dragToData="1" caption="Есмарт АРМ "/>
    <pivotHierarchy dragToData="1" caption="Есмарт  "/>
    <pivotHierarchy dragToData="1" caption="Рутокен  "/>
    <pivotHierarchy dragToData="1" caption="Есмарт АРМ  "/>
    <pivotHierarchy dragToData="1" caption="Есмарт   "/>
    <pivotHierarchy dragToData="1" caption="Рутокен   "/>
    <pivotHierarchy dragToData="1" caption="Есмарт АРМ   "/>
    <pivotHierarchy dragToData="1" caption="Есмарт    "/>
    <pivotHierarchy dragToData="1" caption="Рутокен    "/>
    <pivotHierarchy dragToData="1" caption="Есмарт АРМ   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2" showRowHeaders="1" showColHeaders="1" showRowStripes="0" showColStripes="0" showLastColumn="1"/>
  <rowHierarchiesUsage count="2">
    <rowHierarchyUsage hierarchyUsage="2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ая прибыль по дням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94E9E-91B4-431A-B21D-AE05EA6E6298}" name="Сводная_Прибыль_без_Новака" cacheId="38" applyNumberFormats="0" applyBorderFormats="0" applyFontFormats="0" applyPatternFormats="0" applyAlignmentFormats="0" applyWidthHeightFormats="1" dataCaption="Значения" grandTotalCaption="Итог" tag="99191983-03a8-4dee-85e3-11224c8f948b" updatedVersion="8" minRefreshableVersion="3" showDrill="0" subtotalHiddenItems="1" itemPrintTitles="1" createdVersion="7" indent="0" showHeaders="0" outline="1" outlineData="1" multipleFieldFilters="0" chartFormat="14" rowHeaderCaption="Марж.Прибыль">
  <location ref="R18:V27" firstHeaderRow="0" firstDataRow="1" firstDataCol="1"/>
  <pivotFields count="5">
    <pivotField axis="axisRow" allDrilled="1" subtotalTop="0" showAll="0" sortType="ascending" defaultSubtotal="0" defaultAttributeDrillState="1">
      <items count="8">
        <item x="7"/>
        <item x="6"/>
        <item x="5"/>
        <item x="1"/>
        <item x="4"/>
        <item x="3"/>
        <item x="2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15">
    <format dxfId="175">
      <pivotArea dataOnly="0" labelOnly="1" outline="0" axis="axisValues" fieldPosition="0"/>
    </format>
    <format dxfId="174">
      <pivotArea dataOnly="0" labelOnly="1" grandRow="1" outline="0" fieldPosition="0"/>
    </format>
    <format dxfId="173">
      <pivotArea outline="0" collapsedLevelsAreSubtotals="1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0" type="button" dataOnly="0" labelOnly="1" outline="0" axis="axisRow" fieldPosition="0"/>
    </format>
    <format dxfId="169">
      <pivotArea dataOnly="0" labelOnly="1" fieldPosition="0">
        <references count="1">
          <reference field="0" count="0"/>
        </references>
      </pivotArea>
    </format>
    <format dxfId="168">
      <pivotArea dataOnly="0" labelOnly="1" grandRow="1" outline="0" fieldPosition="0"/>
    </format>
    <format dxfId="167">
      <pivotArea grandRow="1" outline="0" collapsedLevelsAreSubtotals="1" fieldPosition="0"/>
    </format>
    <format dxfId="166">
      <pivotArea dataOnly="0" labelOnly="1" grandRow="1" outline="0" fieldPosition="0"/>
    </format>
    <format dxfId="165">
      <pivotArea dataOnly="0" labelOnly="1" fieldPosition="0">
        <references count="1">
          <reference field="0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1">
          <reference field="0" count="0"/>
        </references>
      </pivotArea>
    </format>
    <format dxfId="162">
      <pivotArea dataOnly="0" labelOnly="1" grandRow="1" outline="0" fieldPosition="0"/>
    </format>
    <format dxfId="16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7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</chart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ая"/>
    <pivotHierarchy dragToRow="0" dragToCol="0" dragToPage="0" dragToData="1" caption="Есмарт "/>
    <pivotHierarchy dragToRow="0" dragToCol="0" dragToPage="0" dragToData="1" caption="Рутокен "/>
    <pivotHierarchy dragToRow="0" dragToCol="0" dragToPage="0" dragToData="1" caption="Общая "/>
    <pivotHierarchy dragToRow="0" dragToCol="0" dragToPage="0" dragToData="1" caption="Есмарт  "/>
    <pivotHierarchy dragToRow="0" dragToCol="0" dragToPage="0" dragToData="1" caption="Рутокен  "/>
    <pivotHierarchy dragToRow="0" dragToCol="0" dragToPage="0" dragToData="1" caption="Общая  "/>
    <pivotHierarchy dragToRow="0" dragToCol="0" dragToPage="0" dragToData="1" caption="Есмарт   "/>
    <pivotHierarchy dragToRow="0" dragToCol="0" dragToPage="0" dragToData="1" caption="Рутокен   "/>
    <pivotHierarchy dragToRow="0" dragToCol="0" dragToPage="0" dragToData="1" caption="Общая   "/>
    <pivotHierarchy dragToRow="0" dragToCol="0" dragToPage="0" dragToData="1" caption="Есмарт    "/>
    <pivotHierarchy dragToRow="0" dragToCol="0" dragToPage="0" dragToData="1" caption="Рутокен    "/>
    <pivotHierarchy dragToRow="0" dragToCol="0" dragToPage="0" dragToData="1" caption="Общая    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ая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Есмарт АРМ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ая прибыль по дням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0F2AB-0887-481F-BF18-75E36F592B45}" name="Сводная_Прибыль_Мес" cacheId="62" applyNumberFormats="0" applyBorderFormats="0" applyFontFormats="0" applyPatternFormats="0" applyAlignmentFormats="0" applyWidthHeightFormats="1" dataCaption="Значения" grandTotalCaption="Итог" tag="f54c6a92-f879-4177-bc31-60d532328e80" updatedVersion="8" minRefreshableVersion="3" showDrill="0" subtotalHiddenItems="1" itemPrintTitles="1" createdVersion="7" indent="0" showHeaders="0" outline="1" outlineData="1" multipleFieldFilters="0" chartFormat="7" rowHeaderCaption="Марж.Прибыль">
  <location ref="R2:AL11" firstHeaderRow="0" firstDataRow="1" firstDataCol="1"/>
  <pivotFields count="21">
    <pivotField axis="axisRow" allDrilled="1" subtotalTop="0" showAll="0" sortType="ascending" defaultSubtotal="0" defaultAttributeDrillState="1">
      <items count="8">
        <item x="7"/>
        <item x="6"/>
        <item x="5"/>
        <item x="1"/>
        <item x="4"/>
        <item x="3"/>
        <item x="2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Есмарт" fld="1" subtotal="count" baseField="0" baseItem="0"/>
    <dataField name="Рутокен" fld="2" subtotal="count" baseField="0" baseItem="0"/>
    <dataField name="Есмарт АРМ" fld="4" baseField="0" baseItem="1" numFmtId="177"/>
    <dataField fld="3" subtotal="count" baseField="0" baseItem="0"/>
    <dataField fld="5" subtotal="count" baseField="0" baseItem="0"/>
    <dataField fld="6" subtotal="count" baseField="0" baseItem="0"/>
    <dataField name="Есмарт АРМ " fld="7" baseField="0" baseItem="0"/>
    <dataField fld="8" subtotal="count" baseField="0" baseItem="0"/>
    <dataField fld="9" subtotal="count" baseField="0" baseItem="0"/>
    <dataField fld="10" subtotal="count" baseField="0" baseItem="0"/>
    <dataField name="Есмарт АРМ  " fld="11" baseField="0" baseItem="0"/>
    <dataField fld="12" subtotal="count" baseField="0" baseItem="0"/>
    <dataField fld="13" subtotal="count" baseField="0" baseItem="0"/>
    <dataField fld="14" subtotal="count" baseField="0" baseItem="0"/>
    <dataField name="Есмарт АРМ   " fld="15" baseField="0" baseItem="0"/>
    <dataField fld="16" subtotal="count" baseField="0" baseItem="0"/>
    <dataField fld="17" subtotal="count" baseField="0" baseItem="0"/>
    <dataField fld="18" subtotal="count" baseField="0" baseItem="0"/>
    <dataField name="Есмарт АРМ    " fld="19" baseField="0" baseItem="0"/>
    <dataField fld="20" subtotal="count" baseField="0" baseItem="0"/>
  </dataFields>
  <formats count="35">
    <format dxfId="210">
      <pivotArea dataOnly="0" labelOnly="1" outline="0" axis="axisValues" fieldPosition="0"/>
    </format>
    <format dxfId="20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08">
      <pivotArea outline="0" collapsedLevelsAreSubtotals="1" fieldPosition="0"/>
    </format>
    <format dxfId="2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4">
      <pivotArea grandRow="1" outline="0" collapsedLevelsAreSubtotals="1" fieldPosition="0"/>
    </format>
    <format dxfId="203">
      <pivotArea dataOnly="0" labelOnly="1" grandRow="1" outline="0" fieldPosition="0"/>
    </format>
    <format dxfId="202">
      <pivotArea outline="0" collapsedLevelsAreSubtotals="1" fieldPosition="0"/>
    </format>
    <format dxfId="20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0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9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7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96">
      <pivotArea outline="0" fieldPosition="0">
        <references count="1">
          <reference field="4294967294" count="1">
            <x v="2"/>
          </reference>
        </references>
      </pivotArea>
    </format>
    <format dxfId="19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94">
      <pivotArea collapsedLevelsAreSubtotals="1" fieldPosition="0">
        <references count="2">
          <reference field="4294967294" count="2" selected="0">
            <x v="0"/>
            <x v="1"/>
          </reference>
          <reference field="0" count="0"/>
        </references>
      </pivotArea>
    </format>
    <format dxfId="193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92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91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190">
      <pivotArea outline="0" collapsedLevelsAreSubtotals="1" fieldPosition="0">
        <references count="1">
          <reference field="4294967294" count="1" selected="0">
            <x v="19"/>
          </reference>
        </references>
      </pivotArea>
    </format>
    <format dxfId="189">
      <pivotArea field="0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188">
      <pivotArea field="0" grandRow="1" outline="0" collapsedLevelsAreSubtotals="1" axis="axisRow" fieldPosition="0">
        <references count="1">
          <reference field="4294967294" count="1" selected="0">
            <x v="11"/>
          </reference>
        </references>
      </pivotArea>
    </format>
    <format dxfId="187">
      <pivotArea field="0" grandRow="1" outline="0" collapsedLevelsAreSubtotals="1" axis="axisRow" fieldPosition="0">
        <references count="1">
          <reference field="4294967294" count="1" selected="0">
            <x v="15"/>
          </reference>
        </references>
      </pivotArea>
    </format>
    <format dxfId="186">
      <pivotArea field="0" grandRow="1" outline="0" collapsedLevelsAreSubtotals="1" axis="axisRow" fieldPosition="0">
        <references count="1">
          <reference field="4294967294" count="1" selected="0">
            <x v="19"/>
          </reference>
        </references>
      </pivotArea>
    </format>
    <format dxfId="185">
      <pivotArea outline="0" collapsedLevelsAreSubtotals="1" fieldPosition="0">
        <references count="1">
          <reference field="4294967294" count="4" selected="0">
            <x v="4"/>
            <x v="5"/>
            <x v="6"/>
            <x v="7"/>
          </reference>
        </references>
      </pivotArea>
    </format>
    <format dxfId="184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83">
      <pivotArea outline="0" collapsedLevelsAreSubtotals="1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182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81">
      <pivotArea outline="0" collapsedLevelsAreSubtotals="1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180">
      <pivotArea dataOnly="0" labelOnly="1" outline="0" fieldPosition="0">
        <references count="1">
          <reference field="4294967294" count="4">
            <x v="12"/>
            <x v="13"/>
            <x v="14"/>
            <x v="15"/>
          </reference>
        </references>
      </pivotArea>
    </format>
    <format dxfId="179">
      <pivotArea outline="0" collapsedLevelsAreSubtotals="1" fieldPosition="0">
        <references count="1">
          <reference field="4294967294" count="4" selected="0">
            <x v="16"/>
            <x v="17"/>
            <x v="18"/>
            <x v="19"/>
          </reference>
        </references>
      </pivotArea>
    </format>
    <format dxfId="178">
      <pivotArea dataOnly="0" labelOnly="1" outline="0" fieldPosition="0">
        <references count="1">
          <reference field="4294967294" count="4">
            <x v="16"/>
            <x v="17"/>
            <x v="18"/>
            <x v="19"/>
          </reference>
        </references>
      </pivotArea>
    </format>
    <format dxfId="177">
      <pivotArea dataOnly="0" labelOnly="1" outline="0" fieldPosition="0">
        <references count="1">
          <reference field="4294967294" count="16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76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Есмарт"/>
    <pivotHierarchy dragToRow="0" dragToCol="0" dragToPage="0" dragToData="1" caption="Рутокен"/>
    <pivotHierarchy dragToRow="0" dragToCol="0" dragToPage="0" dragToData="1" caption="Общая"/>
    <pivotHierarchy dragToRow="0" dragToCol="0" dragToPage="0" dragToData="1" caption="Есмарт "/>
    <pivotHierarchy dragToRow="0" dragToCol="0" dragToPage="0" dragToData="1" caption="Рутокен "/>
    <pivotHierarchy dragToRow="0" dragToCol="0" dragToPage="0" dragToData="1" caption="Общая "/>
    <pivotHierarchy dragToRow="0" dragToCol="0" dragToPage="0" dragToData="1" caption="Есмарт  "/>
    <pivotHierarchy dragToRow="0" dragToCol="0" dragToPage="0" dragToData="1" caption="Рутокен  "/>
    <pivotHierarchy dragToRow="0" dragToCol="0" dragToPage="0" dragToData="1" caption="Общая  "/>
    <pivotHierarchy dragToRow="0" dragToCol="0" dragToPage="0" dragToData="1" caption="Есмарт   "/>
    <pivotHierarchy dragToRow="0" dragToCol="0" dragToPage="0" dragToData="1" caption="Рутокен   "/>
    <pivotHierarchy dragToRow="0" dragToCol="0" dragToPage="0" dragToData="1" caption="Общая   "/>
    <pivotHierarchy dragToRow="0" dragToCol="0" dragToPage="0" dragToData="1" caption="Есмарт    "/>
    <pivotHierarchy dragToRow="0" dragToCol="0" dragToPage="0" dragToData="1" caption="Рутокен    "/>
    <pivotHierarchy dragToRow="0" dragToCol="0" dragToPage="0" dragToData="1" caption="Общая   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Стиль сводной таблицы 1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Общая прибыль по дням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41DCA6-5AB4-419D-AA25-35CDD94EBB2E}" name="Продажи_Новак" displayName="Продажи_Новак" ref="A29:F237" totalsRowShown="0">
  <tableColumns count="6">
    <tableColumn id="1" xr3:uid="{578868DD-B2E9-4ED0-ABF3-0C44B1D02A9B}" name="Дата" dataDxfId="130"/>
    <tableColumn id="2" xr3:uid="{60F96626-B596-4FFF-AD8A-3B7B4AA11C9A}" name="Товар"/>
    <tableColumn id="3" xr3:uid="{48933181-6AE5-4D72-AEE3-2E97605EC6D1}" name="Кол-во"/>
    <tableColumn id="4" xr3:uid="{436A2121-8146-4666-A260-AA7EFFC7F1DA}" name="Выручка" dataDxfId="129">
      <calculatedColumnFormula array="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calculatedColumnFormula>
    </tableColumn>
    <tableColumn id="5" xr3:uid="{2D79F1CE-9C30-4AF9-9D66-DDF897E3F186}" name="Закупка 1шт" dataDxfId="128"/>
    <tableColumn id="6" xr3:uid="{BFFC3C43-597E-4E17-AFF0-3EC379816C8A}" name="Прибыль" dataDxfId="127">
      <calculatedColumnFormula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calculatedColumnFormula>
    </tableColumn>
  </tableColumns>
  <tableStyleInfo name="Столь ФНС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64429F-5536-4988-9F3E-043C6C5C7A0D}" name="КолНовак" displayName="КолНовак" ref="I29:M42" totalsRowShown="0" headerRowDxfId="126" headerRowBorderDxfId="125" tableBorderDxfId="124" totalsRowBorderDxfId="123">
  <autoFilter ref="I29:M42" xr:uid="{7364429F-5536-4988-9F3E-043C6C5C7A0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986CDA-3004-4F69-BF7C-EC2C062B95A6}" name="Месяц" dataDxfId="122"/>
    <tableColumn id="2" xr3:uid="{0FF96616-40FC-4B9F-8152-F882FF0AE5F5}" name="Есмарт" dataDxfId="121"/>
    <tableColumn id="3" xr3:uid="{1A5D24C2-722C-43FF-BD64-462B553B252E}" name="Рутокен" dataDxfId="120">
      <calculatedColumnFormula array="1">SUMPRODUCT(IFERROR(SEARCH(КолНовак[[#This Row],[Месяц]],TEXT(Продажи_Новак[Дата],"ММММ")),0),--(Продажи_Новак[Товар]=КолНовак[[#Headers],[Рутокен]]),Продажи_Новак[Кол-во])</calculatedColumnFormula>
    </tableColumn>
    <tableColumn id="4" xr3:uid="{779F567D-F909-4A42-BB60-F2A7C50BABCB}" name="Есмарт АРМ" dataDxfId="119">
      <calculatedColumnFormula array="1">SUMPRODUCT(IFERROR(SEARCH(КолНовак[[#This Row],[Месяц]],TEXT(Продажи_Новак[Дата],"ММММ")),0),--(Продажи_Новак[Товар]=КолНовак[[#Headers],[Есмарт АРМ]]),Продажи_Новак[Кол-во])</calculatedColumnFormula>
    </tableColumn>
    <tableColumn id="5" xr3:uid="{03D75B5E-C1AF-446C-A0E9-2D8B729E8672}" name="Итого" dataDxfId="118">
      <calculatedColumnFormula>SUM(J30:L30)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071232-BA35-494E-9ADA-111E8DC4FC77}" name="СреднееНовак" displayName="СреднееНовак" ref="I46:M59" totalsRowShown="0" headerRowDxfId="117" headerRowBorderDxfId="116" tableBorderDxfId="115" totalsRowBorderDxfId="114">
  <autoFilter ref="I46:M59" xr:uid="{11071232-BA35-494E-9ADA-111E8DC4FC7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873E365-0930-4A01-80AE-9C2439E4503B}" name="Месяц" dataDxfId="113"/>
    <tableColumn id="2" xr3:uid="{BDC040E1-88F3-462B-9C2A-254E0D4A315D}" name="Есмарт" dataDxfId="112">
      <calculatedColumnFormula array="1">IFERROR(J30/SUMPRODUCT(IF(TEXT(Продажи_Новак[Дата],"ММММ")=$I47,1,0),IF(Продажи_Новак[Товар]="Есмарт",1,0)),"")</calculatedColumnFormula>
    </tableColumn>
    <tableColumn id="3" xr3:uid="{596A714B-B7CB-4B37-93CD-5FAADCBD3109}" name="Рутокен" dataDxfId="111"/>
    <tableColumn id="4" xr3:uid="{3F1CBD3E-8CFC-42A2-87BD-692ABD86CADF}" name="Есмарт АРМ" dataDxfId="110">
      <calculatedColumnFormula array="1">IFERROR(L30/SUMPRODUCT(IF(TEXT(_xlfn.UNIQUE(Продажи_Новак[Дата]),"ММММ")=$I47,1,0)),"")</calculatedColumnFormula>
    </tableColumn>
    <tableColumn id="5" xr3:uid="{319D418F-162A-4A23-BB2E-C298938370E8}" name="Итого" dataDxfId="109">
      <calculatedColumnFormula>SUM(СреднееНовак[[#This Row],[Есмарт]:[Есмарт АРМ]])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C6177-AED7-4185-BF01-BAAEAB8009DA}" name="Продажи_Засек" displayName="Продажи_Засек" ref="A29:F264" totalsRowShown="0">
  <tableColumns count="6">
    <tableColumn id="1" xr3:uid="{8B680714-4F66-4C1D-AE97-763539AB22C7}" name="Дата" dataDxfId="108"/>
    <tableColumn id="2" xr3:uid="{0AE67E32-6325-416B-8E36-CA815D309C37}" name="Товар"/>
    <tableColumn id="3" xr3:uid="{F514E6FC-CF44-4196-85AB-1F81EA481E9C}" name="Кол-во"/>
    <tableColumn id="4" xr3:uid="{6D563000-4B29-4299-A5B0-B3513A427ECF}" name="Выручка" dataDxfId="107">
      <calculatedColumnFormula array="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calculatedColumnFormula>
    </tableColumn>
    <tableColumn id="5" xr3:uid="{75E479D8-FEAF-4A7C-A294-E9E4ED0FA6B2}" name="Закупка 1шт" dataDxfId="106"/>
    <tableColumn id="6" xr3:uid="{F8BC74DC-C236-4B3E-B887-23B4E7B44D7B}" name="Прибыль" dataDxfId="105">
      <calculatedColumnFormula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calculatedColumnFormula>
    </tableColumn>
  </tableColumns>
  <tableStyleInfo name="Столь ФНС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3A9BBE-73B6-4807-B088-57E6999F6C7F}" name="КолЗасек" displayName="КолЗасек" ref="I29:M42" totalsRowShown="0" headerRowDxfId="104" headerRowBorderDxfId="103" tableBorderDxfId="102" totalsRowBorderDxfId="101">
  <tableColumns count="5">
    <tableColumn id="1" xr3:uid="{4875B3A7-AB2B-4DC5-9DA7-D810B26376D9}" name="Месяц" dataDxfId="100"/>
    <tableColumn id="2" xr3:uid="{718B888B-B95E-444F-8C25-E8B636E2A0DF}" name="Есмарт" dataDxfId="99"/>
    <tableColumn id="3" xr3:uid="{9F4A7E7B-5783-4982-80C3-79DD798A4A1B}" name="Рутокен" dataDxfId="98"/>
    <tableColumn id="4" xr3:uid="{05328864-D680-452A-8DAC-118A76670F5B}" name="Есмарт АРМ" dataDxfId="97"/>
    <tableColumn id="5" xr3:uid="{C1FC0CDC-BEA1-46BC-9CF9-1A46A78D3921}" name="Итого" dataDxfId="96">
      <calculatedColumnFormula>SUM(J30:L30)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D61947-B9F9-4533-8FB3-AA3AE32BB9C2}" name="СреднееЗасек" displayName="СреднееЗасек" ref="I46:M59" totalsRowShown="0" headerRowDxfId="95" headerRowBorderDxfId="94" tableBorderDxfId="93" totalsRowBorderDxfId="92">
  <tableColumns count="5">
    <tableColumn id="1" xr3:uid="{411632BC-79BB-4928-91F6-CEB5AFB64CFB}" name="Месяц" dataDxfId="91"/>
    <tableColumn id="2" xr3:uid="{B20EF4E5-09B5-448B-AC5D-61A05ADFA4C5}" name="Есмарт" dataDxfId="90">
      <calculatedColumnFormula array="1">IFERROR(J30/SUMPRODUCT(IF(TEXT(Продажи_Новак[Дата],"ММММ")=$I47,1,0),IF(Продажи_Новак[Товар]="Есмарт",1,0)),"")</calculatedColumnFormula>
    </tableColumn>
    <tableColumn id="3" xr3:uid="{AC2F3E30-F41F-43D9-85B7-D8FE532A4F7A}" name="Рутокен" dataDxfId="89"/>
    <tableColumn id="4" xr3:uid="{1FA2C02E-6382-44E4-A6EA-24EB244F3A2F}" name="Есмарт АРМ" dataDxfId="88">
      <calculatedColumnFormula>L30/COUNT(_xlfn.UNIQUE(Продажи_Засек[Дата]))</calculatedColumnFormula>
    </tableColumn>
    <tableColumn id="5" xr3:uid="{55D7AC60-84B5-4816-AA9F-FE0BE0543A5C}" name="Итого" dataDxfId="87">
      <calculatedColumnFormula>SUM(СреднееЗасек[[#This Row],[Есмарт]:[Есмарт АРМ]])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CABF7E-445C-49DB-9ED3-30A8E4D4A513}" name="Продажи_Тол" displayName="Продажи_Тол" ref="A36:F305" totalsRowShown="0">
  <autoFilter ref="A36:F305" xr:uid="{59CABF7E-445C-49DB-9ED3-30A8E4D4A513}"/>
  <tableColumns count="6">
    <tableColumn id="1" xr3:uid="{8FA63E1D-54FD-4524-9E3D-FF57C4DE4A1C}" name="Дата" dataDxfId="86"/>
    <tableColumn id="2" xr3:uid="{141C6C4F-6957-428F-BE3A-AC7AE03B9C9D}" name="Товар"/>
    <tableColumn id="3" xr3:uid="{6C573979-BF99-470E-9C93-707D383CF2EB}" name="Кол-во"/>
    <tableColumn id="4" xr3:uid="{3904AD69-4052-4F9D-89E8-E8CA8A5F82E7}" name="Выручка" dataDxfId="85" dataCellStyle="Денежный">
      <calculatedColumnFormula array="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calculatedColumnFormula>
    </tableColumn>
    <tableColumn id="5" xr3:uid="{3753B733-9950-4B8C-9C65-550A3F43B542}" name="Закупка 1шт" dataDxfId="84" dataCellStyle="Денежный"/>
    <tableColumn id="6" xr3:uid="{67AE912A-7D80-4A69-9260-CCF1D823F003}" name="Прибыль" dataDxfId="83" dataCellStyle="Денежный">
      <calculatedColumnFormula>Продажи_Тол[[#This Row],[Выручка]]-Продажи_Тол[[#This Row],[Выручка]]*$Q$3-Продажи_Тол[[#This Row],[Закупка 1шт]]*Продажи_Тол[[#This Row],[Кол-во]]-Продажи_Тол[[#This Row],[Кол-во]]*8.7</calculatedColumnFormula>
    </tableColumn>
  </tableColumns>
  <tableStyleInfo name="Столь ФНС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93E8B7-544A-48D0-AF08-5AEBAA2300C0}" name="КолТол" displayName="КолТол" ref="I36:M49" totalsRowShown="0" headerRowDxfId="82" headerRowBorderDxfId="81" tableBorderDxfId="80" totalsRowBorderDxfId="79">
  <tableColumns count="5">
    <tableColumn id="1" xr3:uid="{2DF2ED2D-F807-4EF1-B881-6CA9D8CE18A5}" name="Месяц" dataDxfId="78"/>
    <tableColumn id="2" xr3:uid="{7EB21553-EC99-4EE6-9F39-CD8F0BB0C427}" name="Есмарт" dataDxfId="77"/>
    <tableColumn id="3" xr3:uid="{0F4C75FB-2AAC-4B4E-A845-9E168C0B71D9}" name="Рутокен" dataDxfId="76"/>
    <tableColumn id="4" xr3:uid="{9BB0851E-66D9-4C32-A820-9C732488173C}" name="Есмарт АРМ" dataDxfId="75"/>
    <tableColumn id="5" xr3:uid="{6771DE05-8948-452C-9F08-F6215911A908}" name="Итого" dataDxfId="74">
      <calculatedColumnFormula>SUM(J37:L37)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01DE50-40DA-4F38-869E-1F20520DF25B}" name="СреднееТол" displayName="СреднееТол" ref="I53:M66" totalsRowShown="0" headerRowDxfId="73" headerRowBorderDxfId="72" tableBorderDxfId="71" totalsRowBorderDxfId="70">
  <tableColumns count="5">
    <tableColumn id="1" xr3:uid="{1384CF9A-C0EC-4338-80E2-4FDC74EB4071}" name="Месяц" dataDxfId="69"/>
    <tableColumn id="2" xr3:uid="{ED9CC583-D03A-4D31-A38F-2429DAF27D18}" name="Есмарт" dataDxfId="68">
      <calculatedColumnFormula array="1">IFERROR(J37/SUMPRODUCT(IF(TEXT(Продажи_Новак[Дата],"ММММ")=$I54,1,0),IF(Продажи_Новак[Товар]="Есмарт",1,0)),"")</calculatedColumnFormula>
    </tableColumn>
    <tableColumn id="3" xr3:uid="{566FBEDF-F4AF-4D0D-90C0-675C8053E4C0}" name="Рутокен" dataDxfId="67"/>
    <tableColumn id="4" xr3:uid="{FA888281-56D0-4318-928C-24AB1885E989}" name="Есмарт АРМ" dataDxfId="66">
      <calculatedColumnFormula>L37/COUNT(_xlfn.UNIQUE(Продажи_Тол[Дата]))</calculatedColumnFormula>
    </tableColumn>
    <tableColumn id="5" xr3:uid="{A6C872EF-91BA-4C31-97CC-FA6F2A81D92D}" name="Итого" dataDxfId="65">
      <calculatedColumnFormula>SUM(СреднееТол[[#This Row],[Есмарт]:[Есмарт АРМ]])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3FE766-42E4-49D5-A367-B60827302560}" name="Продажи_Мичу" displayName="Продажи_Мичу" ref="A39:F287" totalsRowShown="0">
  <autoFilter ref="A39:F287" xr:uid="{1A3FE766-42E4-49D5-A367-B60827302560}"/>
  <tableColumns count="6">
    <tableColumn id="1" xr3:uid="{925A267B-060C-4AC2-B467-C71EFB4EF449}" name="Дата" dataDxfId="64"/>
    <tableColumn id="2" xr3:uid="{A6B42263-3E05-49D7-B16B-2DBC80B4E741}" name="Товар"/>
    <tableColumn id="3" xr3:uid="{AA378AE1-20F6-4DD7-9A4B-9D2729981CBB}" name="Кол-во"/>
    <tableColumn id="4" xr3:uid="{621891FA-FB7F-473D-B3FD-8D9B59364BE4}" name="Выручка" dataDxfId="63" dataCellStyle="Денежный">
      <calculatedColumnFormula array="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calculatedColumnFormula>
    </tableColumn>
    <tableColumn id="5" xr3:uid="{DF4DC419-F07E-49ED-8CB0-787EC0974441}" name="Закупка 1шт" dataDxfId="62" dataCellStyle="Денежный"/>
    <tableColumn id="6" xr3:uid="{9171D262-C4F8-4024-9494-C1E006D4A591}" name="Прибыль" dataDxfId="61" dataCellStyle="Денежный">
      <calculatedColumnFormula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calculatedColumnFormula>
    </tableColumn>
  </tableColumns>
  <tableStyleInfo name="Столь ФНС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2C1181-61F8-4DBD-BBDD-65B964085D66}" name="КолМичу" displayName="КолМичу" ref="I39:M52" totalsRowShown="0" headerRowDxfId="60" headerRowBorderDxfId="59" tableBorderDxfId="58" totalsRowBorderDxfId="57">
  <tableColumns count="5">
    <tableColumn id="1" xr3:uid="{F522F438-710E-43DA-97BA-1924F9F9EBD4}" name="Месяц" dataDxfId="56"/>
    <tableColumn id="2" xr3:uid="{F7165B55-FA18-4A02-8D0A-920D11D49180}" name="Есмарт" dataDxfId="55"/>
    <tableColumn id="3" xr3:uid="{54164829-97FD-4CC5-9351-3FB0697B865B}" name="Рутокен" dataDxfId="54"/>
    <tableColumn id="4" xr3:uid="{12CCDE76-569E-48BD-B1A4-A12F8CE547CF}" name="Есмарт АРМ" dataDxfId="53"/>
    <tableColumn id="5" xr3:uid="{1B38A4EA-0E7C-4D13-9F1C-18055D71F437}" name="Итого" dataDxfId="52">
      <calculatedColumnFormula>SUM(J40:L40)</calculatedColumnFormula>
    </tableColumn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97E730-F2E5-403F-BD37-47F1AB7EC944}" name="СреднееМичу" displayName="СреднееМичу" ref="I56:M69" totalsRowShown="0" headerRowDxfId="51" headerRowBorderDxfId="50" tableBorderDxfId="49" totalsRowBorderDxfId="48">
  <tableColumns count="5">
    <tableColumn id="1" xr3:uid="{5F2FC28C-2DC8-49A3-917C-AABFE61B7630}" name="Месяц" dataDxfId="47"/>
    <tableColumn id="2" xr3:uid="{89DD3F05-90DC-4457-B5E8-31EAF9DA8AA1}" name="Есмарт" dataDxfId="46">
      <calculatedColumnFormula array="1">IFERROR(J40/SUMPRODUCT(IF(TEXT(Продажи_Новак[Дата],"ММММ")=$I57,1,0),IF(Продажи_Новак[Товар]="Есмарт",1,0)),"")</calculatedColumnFormula>
    </tableColumn>
    <tableColumn id="3" xr3:uid="{588111ED-D614-41DA-8878-261C58B5AEEF}" name="Рутокен" dataDxfId="45"/>
    <tableColumn id="4" xr3:uid="{729E609A-B8E6-4092-8762-A104ACF743D2}" name="Есмарт АРМ" dataDxfId="44">
      <calculatedColumnFormula>L40/COUNT(_xlfn.UNIQUE(Продажи_Мичу[Дата]))</calculatedColumnFormula>
    </tableColumn>
    <tableColumn id="5" xr3:uid="{A854AD21-5F16-45A0-A430-1EC890240FE6}" name="Итого" dataDxfId="43">
      <calculatedColumnFormula>SUM(СреднееМичу[[#This Row],[Есмарт]:[Есмарт АРМ]])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499C7FB-B2EE-434B-9DBA-8AEE200D62CD}" name="Продажи_Сызр" displayName="Продажи_Сызр" ref="A29:F207" totalsRowShown="0" headerRowDxfId="42">
  <autoFilter ref="A29:F207" xr:uid="{0499C7FB-B2EE-434B-9DBA-8AEE200D62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1A26834-02DB-434D-AF34-7C582769DE53}" name="Дата" dataDxfId="41"/>
    <tableColumn id="2" xr3:uid="{8927202A-B655-4F2F-AB6E-442F9D68CE74}" name="Товар"/>
    <tableColumn id="3" xr3:uid="{220E5E89-3618-4816-9726-3DB44F66C280}" name="Кол-во"/>
    <tableColumn id="4" xr3:uid="{E9E7ABAA-E6A5-4E38-90F4-316DEC02129F}" name="Выручка" dataDxfId="40" dataCellStyle="Денежный">
      <calculatedColumnFormula array="1">IFERROR(_xlfn.IFS(Продажи_Сызр[[#This Row],[Товар]]="Есмарт",Продажи_Сызр[[#This Row],[Кол-во]]*2000,Продажи_Сызр[[#This Row],[Товар]]="Рутокен",Продажи_Сызр[[#This Row],[Кол-во]]*2300,Продажи_Сызр[[#This Row],[Товар]]="Есмарт Гост",Продажи_Сызр[[#This Row],[Кол-во]]*2500),0)</calculatedColumnFormula>
    </tableColumn>
    <tableColumn id="5" xr3:uid="{758DEE2E-E40A-4CB8-B360-461686233EA8}" name="Закупка 1шт" dataDxfId="39" dataCellStyle="Денежный"/>
    <tableColumn id="6" xr3:uid="{A1E56A85-BE96-49C7-8CAD-9D916CDCCDD2}" name="Прибыль" dataDxfId="38" dataCellStyle="Денежный">
      <calculatedColumnFormula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calculatedColumnFormula>
    </tableColumn>
  </tableColumns>
  <tableStyleInfo name="Столь ФНС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8DC8CFD-752A-498D-BD38-B9B40934422A}" name="КолСызр" displayName="КолСызр" ref="I29:M42" totalsRowShown="0" headerRowDxfId="37" headerRowBorderDxfId="36" tableBorderDxfId="35" totalsRowBorderDxfId="34">
  <tableColumns count="5">
    <tableColumn id="1" xr3:uid="{D7ABD01A-F8DF-4F3A-BD06-E103CC800E7A}" name="Месяц" dataDxfId="33"/>
    <tableColumn id="2" xr3:uid="{8CC0187E-C9B4-4614-9E58-7F0CC2B40E67}" name="Есмарт" dataDxfId="32"/>
    <tableColumn id="3" xr3:uid="{29475E88-7E21-4E04-AE3A-FC32C9480A54}" name="Рутокен" dataDxfId="31"/>
    <tableColumn id="4" xr3:uid="{451C5C02-3BBA-491C-9BC7-BF314089378D}" name="Есмарт АРМ" dataDxfId="30"/>
    <tableColumn id="5" xr3:uid="{469B0013-91F3-4DAB-8490-A010DBA5C267}" name="Итого" dataDxfId="29">
      <calculatedColumnFormula>SUM(J30:L30)</calculatedColumnFormula>
    </tableColumn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8B524AC-A42C-4532-8AF6-7242CE23758F}" name="СреднееСызр" displayName="СреднееСызр" ref="I46:M59" totalsRowShown="0" headerRowDxfId="28" headerRowBorderDxfId="27" tableBorderDxfId="26" totalsRowBorderDxfId="25">
  <tableColumns count="5">
    <tableColumn id="1" xr3:uid="{E17B3862-2881-4089-B849-7D0F0E54F6CC}" name="Месяц" dataDxfId="24"/>
    <tableColumn id="2" xr3:uid="{0E110E67-73E2-400F-8D60-0CCBA8FFC1E0}" name="Есмарт" dataDxfId="23">
      <calculatedColumnFormula array="1">IFERROR(J30/SUMPRODUCT(IF(TEXT(Продажи_Новак[Дата],"ММММ")=$I47,1,0),IF(Продажи_Новак[Товар]="Есмарт",1,0)),"")</calculatedColumnFormula>
    </tableColumn>
    <tableColumn id="3" xr3:uid="{45CFBC40-B5AE-49A7-9FCF-71A9B9092AAF}" name="Рутокен" dataDxfId="22"/>
    <tableColumn id="4" xr3:uid="{FCFC2C38-86EA-45D0-A660-2184552DAD15}" name="Есмарт АРМ" dataDxfId="21">
      <calculatedColumnFormula>L30/COUNT(_xlfn.UNIQUE(Продажи_Сызр[Дата]))</calculatedColumnFormula>
    </tableColumn>
    <tableColumn id="5" xr3:uid="{683FA009-8487-428D-8586-0C3F6FC7878E}" name="Итого" dataDxfId="20">
      <calculatedColumnFormula>SUM(СреднееСызр[[#This Row],[Есмарт]:[Есмарт АРМ]])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4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5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B99F-107F-462D-87F8-09E68AF138FB}">
  <sheetPr codeName="Лист1"/>
  <dimension ref="A1"/>
  <sheetViews>
    <sheetView showGridLines="0" showRowColHeaders="0" tabSelected="1" zoomScale="90" zoomScaleNormal="90" workbookViewId="0">
      <selection activeCell="AE37" sqref="AE37"/>
    </sheetView>
  </sheetViews>
  <sheetFormatPr defaultColWidth="9.140625" defaultRowHeight="15" x14ac:dyDescent="0.25"/>
  <cols>
    <col min="1" max="3" width="9.140625" style="242"/>
    <col min="4" max="4" width="10.28515625" style="242" customWidth="1"/>
    <col min="5" max="10" width="10.28515625" style="242"/>
    <col min="11" max="11" width="10.28515625" style="242" customWidth="1"/>
    <col min="12" max="13" width="10.28515625" style="242"/>
    <col min="14" max="14" width="9.140625" style="242" customWidth="1"/>
    <col min="15" max="16384" width="9.140625" style="242"/>
  </cols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C83B-0C03-4E5B-AB8D-9CFC3A744F37}">
  <sheetPr codeName="Лист2"/>
  <dimension ref="A1:AS210"/>
  <sheetViews>
    <sheetView workbookViewId="0">
      <selection activeCell="B13" sqref="B13:D13"/>
    </sheetView>
  </sheetViews>
  <sheetFormatPr defaultRowHeight="15" x14ac:dyDescent="0.25"/>
  <cols>
    <col min="1" max="1" width="18.28515625" customWidth="1"/>
    <col min="2" max="2" width="7.28515625" style="95" bestFit="1" customWidth="1"/>
    <col min="3" max="3" width="9.5703125" style="95" customWidth="1"/>
    <col min="4" max="4" width="11.85546875" style="95" bestFit="1" customWidth="1"/>
    <col min="5" max="5" width="7.7109375" style="95" bestFit="1" customWidth="1"/>
    <col min="6" max="6" width="8.7109375" style="95" customWidth="1"/>
    <col min="7" max="7" width="12.28515625" style="95" bestFit="1" customWidth="1"/>
    <col min="8" max="8" width="8.140625" style="95" bestFit="1" customWidth="1"/>
    <col min="9" max="9" width="9.7109375" style="95" bestFit="1" customWidth="1"/>
    <col min="10" max="10" width="13.28515625" style="95" bestFit="1" customWidth="1"/>
    <col min="11" max="11" width="8.5703125" style="95" bestFit="1" customWidth="1"/>
    <col min="12" max="12" width="10.140625" style="96" bestFit="1" customWidth="1"/>
    <col min="13" max="13" width="13.7109375" style="96" bestFit="1" customWidth="1"/>
    <col min="14" max="14" width="9" style="96" bestFit="1" customWidth="1"/>
    <col min="15" max="15" width="10.140625" style="96" bestFit="1" customWidth="1"/>
    <col min="16" max="16" width="13.7109375" style="96" customWidth="1"/>
    <col min="17" max="17" width="10.140625" customWidth="1"/>
    <col min="18" max="18" width="17.5703125" bestFit="1" customWidth="1"/>
    <col min="19" max="19" width="8.42578125" customWidth="1"/>
    <col min="20" max="20" width="9.5703125" customWidth="1"/>
    <col min="21" max="21" width="11.85546875" bestFit="1" customWidth="1"/>
    <col min="22" max="22" width="10.42578125" bestFit="1" customWidth="1"/>
    <col min="23" max="24" width="8.85546875" bestFit="1" customWidth="1"/>
    <col min="25" max="25" width="12.28515625" bestFit="1" customWidth="1"/>
    <col min="26" max="26" width="7.85546875" bestFit="1" customWidth="1"/>
    <col min="27" max="27" width="9" customWidth="1"/>
    <col min="28" max="28" width="9.28515625" bestFit="1" customWidth="1"/>
    <col min="29" max="29" width="12.7109375" bestFit="1" customWidth="1"/>
    <col min="30" max="30" width="8.28515625" bestFit="1" customWidth="1"/>
    <col min="31" max="31" width="8.7109375" customWidth="1"/>
    <col min="32" max="32" width="9.7109375" customWidth="1"/>
    <col min="33" max="33" width="13.28515625" bestFit="1" customWidth="1"/>
    <col min="34" max="34" width="8.7109375" bestFit="1" customWidth="1"/>
    <col min="35" max="35" width="9" bestFit="1" customWidth="1"/>
    <col min="36" max="36" width="10.140625" bestFit="1" customWidth="1"/>
    <col min="37" max="37" width="13.7109375" bestFit="1" customWidth="1"/>
    <col min="38" max="39" width="8.42578125" customWidth="1"/>
    <col min="40" max="40" width="13.28515625" customWidth="1"/>
    <col min="41" max="41" width="11.42578125" customWidth="1"/>
    <col min="42" max="42" width="13.42578125" customWidth="1"/>
    <col min="43" max="43" width="13.28515625" customWidth="1"/>
    <col min="44" max="54" width="20.85546875" bestFit="1" customWidth="1"/>
    <col min="55" max="55" width="11.85546875" bestFit="1" customWidth="1"/>
  </cols>
  <sheetData>
    <row r="1" spans="1:45" ht="16.5" thickBot="1" x14ac:dyDescent="0.3">
      <c r="A1" s="81"/>
      <c r="B1" s="272" t="s">
        <v>0</v>
      </c>
      <c r="C1" s="273"/>
      <c r="D1" s="274"/>
      <c r="E1" s="275" t="s">
        <v>139</v>
      </c>
      <c r="F1" s="276"/>
      <c r="G1" s="276"/>
      <c r="H1" s="272" t="s">
        <v>142</v>
      </c>
      <c r="I1" s="273"/>
      <c r="J1" s="274"/>
      <c r="K1" s="272" t="s">
        <v>140</v>
      </c>
      <c r="L1" s="273"/>
      <c r="M1" s="274"/>
      <c r="N1" s="272" t="s">
        <v>141</v>
      </c>
      <c r="O1" s="273"/>
      <c r="P1" s="274"/>
      <c r="R1" s="118" t="s">
        <v>1</v>
      </c>
      <c r="S1" s="269" t="s">
        <v>0</v>
      </c>
      <c r="T1" s="270"/>
      <c r="U1" s="270"/>
      <c r="V1" s="271"/>
      <c r="W1" s="266" t="s">
        <v>139</v>
      </c>
      <c r="X1" s="267"/>
      <c r="Y1" s="267"/>
      <c r="Z1" s="267"/>
      <c r="AA1" s="266" t="s">
        <v>142</v>
      </c>
      <c r="AB1" s="267"/>
      <c r="AC1" s="267"/>
      <c r="AD1" s="268"/>
      <c r="AE1" s="266" t="s">
        <v>140</v>
      </c>
      <c r="AF1" s="267"/>
      <c r="AG1" s="267"/>
      <c r="AH1" s="268"/>
      <c r="AI1" s="266" t="s">
        <v>141</v>
      </c>
      <c r="AJ1" s="267"/>
      <c r="AK1" s="267"/>
      <c r="AL1" s="268"/>
      <c r="AN1" s="264" t="s">
        <v>2</v>
      </c>
      <c r="AO1" s="265"/>
      <c r="AP1" s="265"/>
      <c r="AQ1" s="265"/>
      <c r="AR1" s="265"/>
      <c r="AS1" s="83"/>
    </row>
    <row r="2" spans="1:45" ht="15.75" thickBot="1" x14ac:dyDescent="0.3">
      <c r="B2" s="164" t="s">
        <v>3</v>
      </c>
      <c r="C2" s="156" t="s">
        <v>4</v>
      </c>
      <c r="D2" s="174" t="s">
        <v>112</v>
      </c>
      <c r="E2" s="96" t="s">
        <v>5</v>
      </c>
      <c r="F2" s="96" t="s">
        <v>6</v>
      </c>
      <c r="G2" s="210" t="s">
        <v>135</v>
      </c>
      <c r="H2" s="223" t="s">
        <v>7</v>
      </c>
      <c r="I2" s="224" t="s">
        <v>8</v>
      </c>
      <c r="J2" s="174" t="s">
        <v>136</v>
      </c>
      <c r="K2" s="223" t="s">
        <v>9</v>
      </c>
      <c r="L2" s="224" t="s">
        <v>10</v>
      </c>
      <c r="M2" s="174" t="s">
        <v>114</v>
      </c>
      <c r="N2" s="223" t="s">
        <v>11</v>
      </c>
      <c r="O2" s="224" t="s">
        <v>12</v>
      </c>
      <c r="P2" s="174" t="s">
        <v>113</v>
      </c>
      <c r="S2" s="124" t="s">
        <v>3</v>
      </c>
      <c r="T2" s="125" t="s">
        <v>4</v>
      </c>
      <c r="U2" s="125" t="s">
        <v>112</v>
      </c>
      <c r="V2" s="127" t="s">
        <v>13</v>
      </c>
      <c r="W2" s="208" t="s">
        <v>5</v>
      </c>
      <c r="X2" s="133" t="s">
        <v>6</v>
      </c>
      <c r="Y2" s="133" t="s">
        <v>135</v>
      </c>
      <c r="Z2" s="209" t="s">
        <v>14</v>
      </c>
      <c r="AA2" s="208" t="s">
        <v>7</v>
      </c>
      <c r="AB2" s="133" t="s">
        <v>8</v>
      </c>
      <c r="AC2" s="133" t="s">
        <v>132</v>
      </c>
      <c r="AD2" s="209" t="s">
        <v>15</v>
      </c>
      <c r="AE2" s="208" t="s">
        <v>9</v>
      </c>
      <c r="AF2" s="133" t="s">
        <v>10</v>
      </c>
      <c r="AG2" s="133" t="s">
        <v>114</v>
      </c>
      <c r="AH2" s="209" t="s">
        <v>16</v>
      </c>
      <c r="AI2" s="208" t="s">
        <v>11</v>
      </c>
      <c r="AJ2" s="133" t="s">
        <v>12</v>
      </c>
      <c r="AK2" s="133" t="s">
        <v>113</v>
      </c>
      <c r="AL2" s="209" t="s">
        <v>17</v>
      </c>
      <c r="AM2" s="115"/>
      <c r="AN2" s="83"/>
      <c r="AO2" s="95" t="s">
        <v>3</v>
      </c>
      <c r="AP2" s="95" t="s">
        <v>4</v>
      </c>
      <c r="AQ2" s="95" t="s">
        <v>112</v>
      </c>
      <c r="AR2" s="199" t="s">
        <v>13</v>
      </c>
    </row>
    <row r="3" spans="1:45" x14ac:dyDescent="0.25">
      <c r="A3" s="110" t="s">
        <v>197</v>
      </c>
      <c r="B3" s="176"/>
      <c r="C3" s="177"/>
      <c r="D3" s="178"/>
      <c r="E3" s="173"/>
      <c r="F3" s="173"/>
      <c r="G3" s="211"/>
      <c r="H3" s="220"/>
      <c r="I3" s="221"/>
      <c r="J3" s="222"/>
      <c r="K3" s="220"/>
      <c r="L3" s="221"/>
      <c r="M3" s="222"/>
      <c r="N3" s="220"/>
      <c r="O3" s="221"/>
      <c r="P3" s="222"/>
      <c r="Q3" s="94"/>
      <c r="R3" s="106" t="s">
        <v>18</v>
      </c>
      <c r="S3" s="135">
        <v>10</v>
      </c>
      <c r="T3" s="136">
        <v>9</v>
      </c>
      <c r="U3" s="137">
        <v>0</v>
      </c>
      <c r="V3" s="132">
        <v>19</v>
      </c>
      <c r="W3" s="225">
        <v>76</v>
      </c>
      <c r="X3" s="226">
        <v>0</v>
      </c>
      <c r="Y3" s="190">
        <v>0</v>
      </c>
      <c r="Z3" s="132">
        <v>76</v>
      </c>
      <c r="AA3" s="207">
        <v>90</v>
      </c>
      <c r="AB3" s="193">
        <v>0</v>
      </c>
      <c r="AC3" s="171">
        <v>0</v>
      </c>
      <c r="AD3" s="128">
        <v>90</v>
      </c>
      <c r="AE3" s="207">
        <v>113</v>
      </c>
      <c r="AF3" s="193">
        <v>0</v>
      </c>
      <c r="AG3" s="171">
        <v>0</v>
      </c>
      <c r="AH3" s="128">
        <v>113</v>
      </c>
      <c r="AI3" s="207">
        <v>27</v>
      </c>
      <c r="AJ3" s="193">
        <v>0</v>
      </c>
      <c r="AK3" s="171">
        <v>0</v>
      </c>
      <c r="AL3" s="128">
        <v>27</v>
      </c>
      <c r="AM3" s="116"/>
      <c r="AN3" s="101" t="s">
        <v>18</v>
      </c>
      <c r="AO3" s="196">
        <v>306</v>
      </c>
      <c r="AP3" s="194">
        <v>0</v>
      </c>
      <c r="AQ3" s="165">
        <v>0</v>
      </c>
      <c r="AR3" s="89">
        <v>306</v>
      </c>
    </row>
    <row r="4" spans="1:45" x14ac:dyDescent="0.25">
      <c r="A4" s="80">
        <v>45877</v>
      </c>
      <c r="B4" s="179">
        <v>0</v>
      </c>
      <c r="C4" s="171">
        <v>0</v>
      </c>
      <c r="D4" s="180">
        <v>0</v>
      </c>
      <c r="E4" s="172">
        <v>1</v>
      </c>
      <c r="F4" s="172">
        <v>0</v>
      </c>
      <c r="G4" s="213">
        <v>0</v>
      </c>
      <c r="H4" s="212">
        <v>1</v>
      </c>
      <c r="I4" s="172">
        <v>5</v>
      </c>
      <c r="J4" s="213">
        <v>0</v>
      </c>
      <c r="K4" s="212">
        <v>2</v>
      </c>
      <c r="L4" s="172">
        <v>1</v>
      </c>
      <c r="M4" s="213">
        <v>1</v>
      </c>
      <c r="N4" s="212">
        <v>1</v>
      </c>
      <c r="O4" s="172">
        <v>0</v>
      </c>
      <c r="P4" s="213">
        <v>0</v>
      </c>
      <c r="Q4" s="94"/>
      <c r="R4" s="106" t="s">
        <v>19</v>
      </c>
      <c r="S4" s="138">
        <v>23</v>
      </c>
      <c r="T4" s="139">
        <v>6</v>
      </c>
      <c r="U4" s="140">
        <v>0</v>
      </c>
      <c r="V4" s="128">
        <v>29</v>
      </c>
      <c r="W4" s="207">
        <v>42</v>
      </c>
      <c r="X4" s="193">
        <v>23</v>
      </c>
      <c r="Y4" s="171">
        <v>0</v>
      </c>
      <c r="Z4" s="128">
        <v>65</v>
      </c>
      <c r="AA4" s="207">
        <v>40</v>
      </c>
      <c r="AB4" s="193">
        <v>44</v>
      </c>
      <c r="AC4" s="171">
        <v>0</v>
      </c>
      <c r="AD4" s="128">
        <v>84</v>
      </c>
      <c r="AE4" s="207">
        <v>54</v>
      </c>
      <c r="AF4" s="193">
        <v>39</v>
      </c>
      <c r="AG4" s="171">
        <v>0</v>
      </c>
      <c r="AH4" s="128">
        <v>93</v>
      </c>
      <c r="AI4" s="207">
        <v>29</v>
      </c>
      <c r="AJ4" s="193">
        <v>10</v>
      </c>
      <c r="AK4" s="171">
        <v>0</v>
      </c>
      <c r="AL4" s="128">
        <v>39</v>
      </c>
      <c r="AM4" s="116"/>
      <c r="AN4" s="101" t="s">
        <v>19</v>
      </c>
      <c r="AO4" s="196">
        <v>165</v>
      </c>
      <c r="AP4" s="194">
        <v>116</v>
      </c>
      <c r="AQ4" s="165">
        <v>0</v>
      </c>
      <c r="AR4" s="89">
        <v>281</v>
      </c>
    </row>
    <row r="5" spans="1:45" x14ac:dyDescent="0.25">
      <c r="A5" s="80">
        <v>45876</v>
      </c>
      <c r="B5" s="179">
        <v>1</v>
      </c>
      <c r="C5" s="171">
        <v>0</v>
      </c>
      <c r="D5" s="180">
        <v>0</v>
      </c>
      <c r="E5" s="172">
        <v>0</v>
      </c>
      <c r="F5" s="172">
        <v>1</v>
      </c>
      <c r="G5" s="213">
        <v>0</v>
      </c>
      <c r="H5" s="212">
        <v>2</v>
      </c>
      <c r="I5" s="172">
        <v>2</v>
      </c>
      <c r="J5" s="213">
        <v>0</v>
      </c>
      <c r="K5" s="212">
        <v>4</v>
      </c>
      <c r="L5" s="172">
        <v>3</v>
      </c>
      <c r="M5" s="213">
        <v>0</v>
      </c>
      <c r="N5" s="212">
        <v>1</v>
      </c>
      <c r="O5" s="172">
        <v>0</v>
      </c>
      <c r="P5" s="213">
        <v>0</v>
      </c>
      <c r="Q5" s="94"/>
      <c r="R5" s="106" t="s">
        <v>63</v>
      </c>
      <c r="S5" s="138">
        <v>40</v>
      </c>
      <c r="T5" s="139">
        <v>13</v>
      </c>
      <c r="U5" s="140">
        <v>3</v>
      </c>
      <c r="V5" s="128">
        <v>56</v>
      </c>
      <c r="W5" s="207">
        <v>34</v>
      </c>
      <c r="X5" s="193">
        <v>29</v>
      </c>
      <c r="Y5" s="171">
        <v>6</v>
      </c>
      <c r="Z5" s="128">
        <v>69</v>
      </c>
      <c r="AA5" s="207">
        <v>55</v>
      </c>
      <c r="AB5" s="193">
        <v>43</v>
      </c>
      <c r="AC5" s="171">
        <v>4</v>
      </c>
      <c r="AD5" s="128">
        <v>102</v>
      </c>
      <c r="AE5" s="207">
        <v>45</v>
      </c>
      <c r="AF5" s="193">
        <v>48</v>
      </c>
      <c r="AG5" s="171">
        <v>6</v>
      </c>
      <c r="AH5" s="128">
        <v>99</v>
      </c>
      <c r="AI5" s="207">
        <v>32</v>
      </c>
      <c r="AJ5" s="193">
        <v>13</v>
      </c>
      <c r="AK5" s="171">
        <v>1</v>
      </c>
      <c r="AL5" s="128">
        <v>46</v>
      </c>
      <c r="AM5" s="116"/>
      <c r="AN5" s="101" t="s">
        <v>63</v>
      </c>
      <c r="AO5" s="196">
        <v>166</v>
      </c>
      <c r="AP5" s="194">
        <v>133</v>
      </c>
      <c r="AQ5" s="165">
        <v>17</v>
      </c>
      <c r="AR5" s="89">
        <v>316</v>
      </c>
    </row>
    <row r="6" spans="1:45" ht="15.75" x14ac:dyDescent="0.25">
      <c r="A6" s="80">
        <v>45875</v>
      </c>
      <c r="B6" s="179">
        <v>3</v>
      </c>
      <c r="C6" s="171">
        <v>0</v>
      </c>
      <c r="D6" s="180">
        <v>1</v>
      </c>
      <c r="E6" s="172">
        <v>2</v>
      </c>
      <c r="F6" s="172">
        <v>0</v>
      </c>
      <c r="G6" s="213">
        <v>0</v>
      </c>
      <c r="H6" s="212">
        <v>1</v>
      </c>
      <c r="I6" s="172">
        <v>1</v>
      </c>
      <c r="J6" s="213">
        <v>0</v>
      </c>
      <c r="K6" s="212">
        <v>0</v>
      </c>
      <c r="L6" s="172">
        <v>4</v>
      </c>
      <c r="M6" s="213">
        <v>0</v>
      </c>
      <c r="N6" s="212">
        <v>3</v>
      </c>
      <c r="O6" s="172">
        <v>0</v>
      </c>
      <c r="P6" s="213">
        <v>0</v>
      </c>
      <c r="Q6" s="94"/>
      <c r="R6" s="106" t="s">
        <v>64</v>
      </c>
      <c r="S6" s="138">
        <v>29</v>
      </c>
      <c r="T6" s="139">
        <v>14</v>
      </c>
      <c r="U6" s="140">
        <v>6</v>
      </c>
      <c r="V6" s="128">
        <v>49</v>
      </c>
      <c r="W6" s="207">
        <v>47</v>
      </c>
      <c r="X6" s="193">
        <v>28</v>
      </c>
      <c r="Y6" s="171">
        <v>10</v>
      </c>
      <c r="Z6" s="128">
        <v>85</v>
      </c>
      <c r="AA6" s="207">
        <v>74</v>
      </c>
      <c r="AB6" s="193">
        <v>55</v>
      </c>
      <c r="AC6" s="171">
        <v>10</v>
      </c>
      <c r="AD6" s="128">
        <v>139</v>
      </c>
      <c r="AE6" s="207">
        <v>34</v>
      </c>
      <c r="AF6" s="193">
        <v>88</v>
      </c>
      <c r="AG6" s="171">
        <v>17</v>
      </c>
      <c r="AH6" s="128">
        <v>139</v>
      </c>
      <c r="AI6" s="207">
        <v>24</v>
      </c>
      <c r="AJ6" s="193">
        <v>13</v>
      </c>
      <c r="AK6" s="171">
        <v>1</v>
      </c>
      <c r="AL6" s="128">
        <v>38</v>
      </c>
      <c r="AM6" s="117"/>
      <c r="AN6" s="101" t="s">
        <v>64</v>
      </c>
      <c r="AO6" s="196">
        <v>179</v>
      </c>
      <c r="AP6" s="194">
        <v>184</v>
      </c>
      <c r="AQ6" s="165">
        <v>38</v>
      </c>
      <c r="AR6" s="89">
        <v>401</v>
      </c>
    </row>
    <row r="7" spans="1:45" x14ac:dyDescent="0.25">
      <c r="A7" s="80">
        <v>45874</v>
      </c>
      <c r="B7" s="179">
        <v>0</v>
      </c>
      <c r="C7" s="171">
        <v>1</v>
      </c>
      <c r="D7" s="180">
        <v>0</v>
      </c>
      <c r="E7" s="172">
        <v>2</v>
      </c>
      <c r="F7" s="172">
        <v>0</v>
      </c>
      <c r="G7" s="213">
        <v>1</v>
      </c>
      <c r="H7" s="212">
        <v>1</v>
      </c>
      <c r="I7" s="172">
        <v>3</v>
      </c>
      <c r="J7" s="213">
        <v>0</v>
      </c>
      <c r="K7" s="212">
        <v>0</v>
      </c>
      <c r="L7" s="172">
        <v>5</v>
      </c>
      <c r="M7" s="213">
        <v>0</v>
      </c>
      <c r="N7" s="212">
        <v>0</v>
      </c>
      <c r="O7" s="172">
        <v>0</v>
      </c>
      <c r="P7" s="213">
        <v>0</v>
      </c>
      <c r="Q7" s="94"/>
      <c r="R7" s="106" t="s">
        <v>65</v>
      </c>
      <c r="S7" s="138">
        <v>16</v>
      </c>
      <c r="T7" s="139">
        <v>21</v>
      </c>
      <c r="U7" s="140">
        <v>4</v>
      </c>
      <c r="V7" s="128">
        <v>41</v>
      </c>
      <c r="W7" s="207">
        <v>11</v>
      </c>
      <c r="X7" s="193">
        <v>22</v>
      </c>
      <c r="Y7" s="171">
        <v>5</v>
      </c>
      <c r="Z7" s="128">
        <v>38</v>
      </c>
      <c r="AA7" s="207">
        <v>44</v>
      </c>
      <c r="AB7" s="193">
        <v>22</v>
      </c>
      <c r="AC7" s="171">
        <v>2</v>
      </c>
      <c r="AD7" s="128">
        <v>68</v>
      </c>
      <c r="AE7" s="207">
        <v>26</v>
      </c>
      <c r="AF7" s="193">
        <v>52</v>
      </c>
      <c r="AG7" s="171">
        <v>6</v>
      </c>
      <c r="AH7" s="128">
        <v>84</v>
      </c>
      <c r="AI7" s="207">
        <v>11</v>
      </c>
      <c r="AJ7" s="193">
        <v>5</v>
      </c>
      <c r="AK7" s="171">
        <v>1</v>
      </c>
      <c r="AL7" s="128">
        <v>17</v>
      </c>
      <c r="AN7" s="101" t="s">
        <v>65</v>
      </c>
      <c r="AO7" s="196">
        <v>92</v>
      </c>
      <c r="AP7" s="194">
        <v>101</v>
      </c>
      <c r="AQ7" s="165">
        <v>14</v>
      </c>
      <c r="AR7" s="89">
        <v>207</v>
      </c>
    </row>
    <row r="8" spans="1:45" x14ac:dyDescent="0.25">
      <c r="A8" s="80">
        <v>45873</v>
      </c>
      <c r="B8" s="179">
        <v>1</v>
      </c>
      <c r="C8" s="171">
        <v>1</v>
      </c>
      <c r="D8" s="180">
        <v>0</v>
      </c>
      <c r="E8" s="172">
        <v>1</v>
      </c>
      <c r="F8" s="172">
        <v>2</v>
      </c>
      <c r="G8" s="213">
        <v>1</v>
      </c>
      <c r="H8" s="212">
        <v>3</v>
      </c>
      <c r="I8" s="172">
        <v>1</v>
      </c>
      <c r="J8" s="213">
        <v>0</v>
      </c>
      <c r="K8" s="212">
        <v>0</v>
      </c>
      <c r="L8" s="172">
        <v>7</v>
      </c>
      <c r="M8" s="213">
        <v>0</v>
      </c>
      <c r="N8" s="212">
        <v>1</v>
      </c>
      <c r="O8" s="172">
        <v>0</v>
      </c>
      <c r="P8" s="213">
        <v>0</v>
      </c>
      <c r="Q8" s="94"/>
      <c r="R8" s="106" t="s">
        <v>66</v>
      </c>
      <c r="S8" s="138">
        <v>39</v>
      </c>
      <c r="T8" s="139">
        <v>4</v>
      </c>
      <c r="U8" s="140">
        <v>5</v>
      </c>
      <c r="V8" s="128">
        <v>48</v>
      </c>
      <c r="W8" s="207">
        <v>14</v>
      </c>
      <c r="X8" s="193">
        <v>22</v>
      </c>
      <c r="Y8" s="171">
        <v>7</v>
      </c>
      <c r="Z8" s="128">
        <v>43</v>
      </c>
      <c r="AA8" s="207">
        <v>49</v>
      </c>
      <c r="AB8" s="193">
        <v>32</v>
      </c>
      <c r="AC8" s="171">
        <v>6</v>
      </c>
      <c r="AD8" s="128">
        <v>87</v>
      </c>
      <c r="AE8" s="207">
        <v>16</v>
      </c>
      <c r="AF8" s="193">
        <v>63</v>
      </c>
      <c r="AG8" s="171">
        <v>4</v>
      </c>
      <c r="AH8" s="128">
        <v>83</v>
      </c>
      <c r="AI8" s="207">
        <v>6</v>
      </c>
      <c r="AJ8" s="193">
        <v>9</v>
      </c>
      <c r="AK8" s="171">
        <v>2</v>
      </c>
      <c r="AL8" s="128">
        <v>17</v>
      </c>
      <c r="AN8" s="101" t="s">
        <v>66</v>
      </c>
      <c r="AO8" s="196">
        <v>85</v>
      </c>
      <c r="AP8" s="194">
        <v>126</v>
      </c>
      <c r="AQ8" s="165">
        <v>19</v>
      </c>
      <c r="AR8" s="89">
        <v>230</v>
      </c>
    </row>
    <row r="9" spans="1:45" x14ac:dyDescent="0.25">
      <c r="A9" s="79" t="s">
        <v>198</v>
      </c>
      <c r="B9" s="179">
        <v>5</v>
      </c>
      <c r="C9" s="171">
        <v>2</v>
      </c>
      <c r="D9" s="180">
        <v>1</v>
      </c>
      <c r="E9" s="172">
        <v>6</v>
      </c>
      <c r="F9" s="172">
        <v>3</v>
      </c>
      <c r="G9" s="213">
        <v>2</v>
      </c>
      <c r="H9" s="212">
        <v>8</v>
      </c>
      <c r="I9" s="172">
        <v>12</v>
      </c>
      <c r="J9" s="213">
        <v>0</v>
      </c>
      <c r="K9" s="212">
        <v>6</v>
      </c>
      <c r="L9" s="172">
        <v>20</v>
      </c>
      <c r="M9" s="213">
        <v>1</v>
      </c>
      <c r="N9" s="212">
        <v>6</v>
      </c>
      <c r="O9" s="172">
        <v>0</v>
      </c>
      <c r="P9" s="213">
        <v>0</v>
      </c>
      <c r="Q9" s="94"/>
      <c r="R9" s="106" t="s">
        <v>67</v>
      </c>
      <c r="S9" s="138">
        <v>30</v>
      </c>
      <c r="T9" s="139">
        <v>7</v>
      </c>
      <c r="U9" s="140">
        <v>2</v>
      </c>
      <c r="V9" s="128">
        <v>39</v>
      </c>
      <c r="W9" s="207">
        <v>41</v>
      </c>
      <c r="X9" s="193">
        <v>26</v>
      </c>
      <c r="Y9" s="171">
        <v>4</v>
      </c>
      <c r="Z9" s="128">
        <v>71</v>
      </c>
      <c r="AA9" s="207">
        <v>41</v>
      </c>
      <c r="AB9" s="193">
        <v>49</v>
      </c>
      <c r="AC9" s="171">
        <v>8</v>
      </c>
      <c r="AD9" s="128">
        <v>98</v>
      </c>
      <c r="AE9" s="207">
        <v>0</v>
      </c>
      <c r="AF9" s="193">
        <v>71</v>
      </c>
      <c r="AG9" s="171">
        <v>9</v>
      </c>
      <c r="AH9" s="128">
        <v>80</v>
      </c>
      <c r="AI9" s="207">
        <v>23</v>
      </c>
      <c r="AJ9" s="193">
        <v>5</v>
      </c>
      <c r="AK9" s="171">
        <v>2</v>
      </c>
      <c r="AL9" s="128">
        <v>30</v>
      </c>
      <c r="AN9" s="101" t="s">
        <v>67</v>
      </c>
      <c r="AO9" s="196">
        <v>105</v>
      </c>
      <c r="AP9" s="194">
        <v>151</v>
      </c>
      <c r="AQ9" s="165">
        <v>23</v>
      </c>
      <c r="AR9" s="89">
        <v>279</v>
      </c>
    </row>
    <row r="10" spans="1:45" ht="15.75" thickBot="1" x14ac:dyDescent="0.3">
      <c r="A10" s="110" t="s">
        <v>199</v>
      </c>
      <c r="B10" s="179"/>
      <c r="C10" s="171"/>
      <c r="D10" s="180"/>
      <c r="E10" s="172"/>
      <c r="F10" s="172"/>
      <c r="G10" s="213"/>
      <c r="H10" s="212"/>
      <c r="I10" s="172"/>
      <c r="J10" s="213"/>
      <c r="K10" s="212"/>
      <c r="L10" s="172"/>
      <c r="M10" s="213"/>
      <c r="N10" s="212"/>
      <c r="O10" s="172"/>
      <c r="P10" s="213"/>
      <c r="Q10" s="94"/>
      <c r="R10" s="106" t="s">
        <v>68</v>
      </c>
      <c r="S10" s="138">
        <v>8</v>
      </c>
      <c r="T10" s="139">
        <v>3</v>
      </c>
      <c r="U10" s="140">
        <v>2</v>
      </c>
      <c r="V10" s="128">
        <v>13</v>
      </c>
      <c r="W10" s="207">
        <v>7</v>
      </c>
      <c r="X10" s="193">
        <v>4</v>
      </c>
      <c r="Y10" s="171">
        <v>2</v>
      </c>
      <c r="Z10" s="128">
        <v>13</v>
      </c>
      <c r="AA10" s="207">
        <v>8</v>
      </c>
      <c r="AB10" s="193">
        <v>16</v>
      </c>
      <c r="AC10" s="171">
        <v>0</v>
      </c>
      <c r="AD10" s="128">
        <v>24</v>
      </c>
      <c r="AE10" s="207">
        <v>6</v>
      </c>
      <c r="AF10" s="193">
        <v>21</v>
      </c>
      <c r="AG10" s="171">
        <v>1</v>
      </c>
      <c r="AH10" s="128">
        <v>28</v>
      </c>
      <c r="AI10" s="207">
        <v>7</v>
      </c>
      <c r="AJ10" s="193">
        <v>0</v>
      </c>
      <c r="AK10" s="171">
        <v>0</v>
      </c>
      <c r="AL10" s="128">
        <v>7</v>
      </c>
      <c r="AN10" s="102" t="s">
        <v>68</v>
      </c>
      <c r="AO10" s="196">
        <v>28</v>
      </c>
      <c r="AP10" s="194">
        <v>41</v>
      </c>
      <c r="AQ10" s="165">
        <v>3</v>
      </c>
      <c r="AR10" s="89">
        <v>72</v>
      </c>
    </row>
    <row r="11" spans="1:45" ht="15.75" thickBot="1" x14ac:dyDescent="0.3">
      <c r="A11" s="80">
        <v>45870</v>
      </c>
      <c r="B11" s="179">
        <v>3</v>
      </c>
      <c r="C11" s="171">
        <v>1</v>
      </c>
      <c r="D11" s="180">
        <v>1</v>
      </c>
      <c r="E11" s="172">
        <v>1</v>
      </c>
      <c r="F11" s="172">
        <v>1</v>
      </c>
      <c r="G11" s="213">
        <v>0</v>
      </c>
      <c r="H11" s="212">
        <v>0</v>
      </c>
      <c r="I11" s="172">
        <v>4</v>
      </c>
      <c r="J11" s="213">
        <v>0</v>
      </c>
      <c r="K11" s="212">
        <v>0</v>
      </c>
      <c r="L11" s="172">
        <v>1</v>
      </c>
      <c r="M11" s="213">
        <v>0</v>
      </c>
      <c r="N11" s="212">
        <v>1</v>
      </c>
      <c r="O11" s="172">
        <v>0</v>
      </c>
      <c r="P11" s="213">
        <v>0</v>
      </c>
      <c r="Q11" s="94"/>
      <c r="R11" s="107" t="s">
        <v>20</v>
      </c>
      <c r="S11" s="129">
        <v>195</v>
      </c>
      <c r="T11" s="130">
        <v>77</v>
      </c>
      <c r="U11" s="228">
        <v>22</v>
      </c>
      <c r="V11" s="239">
        <v>294</v>
      </c>
      <c r="W11" s="229">
        <v>272</v>
      </c>
      <c r="X11" s="230">
        <v>154</v>
      </c>
      <c r="Y11" s="228">
        <v>34</v>
      </c>
      <c r="Z11" s="239">
        <v>460</v>
      </c>
      <c r="AA11" s="229">
        <v>401</v>
      </c>
      <c r="AB11" s="230">
        <v>261</v>
      </c>
      <c r="AC11" s="228">
        <v>30</v>
      </c>
      <c r="AD11" s="239">
        <v>692</v>
      </c>
      <c r="AE11" s="229">
        <v>294</v>
      </c>
      <c r="AF11" s="230">
        <v>382</v>
      </c>
      <c r="AG11" s="228">
        <v>43</v>
      </c>
      <c r="AH11" s="239">
        <v>719</v>
      </c>
      <c r="AI11" s="229">
        <v>159</v>
      </c>
      <c r="AJ11" s="230">
        <v>55</v>
      </c>
      <c r="AK11" s="228">
        <v>7</v>
      </c>
      <c r="AL11" s="239">
        <v>221</v>
      </c>
      <c r="AN11" s="103" t="s">
        <v>20</v>
      </c>
      <c r="AO11" s="87">
        <v>1126</v>
      </c>
      <c r="AP11" s="88">
        <v>852</v>
      </c>
      <c r="AQ11" s="119">
        <v>114</v>
      </c>
      <c r="AR11" s="147">
        <v>2092</v>
      </c>
    </row>
    <row r="12" spans="1:45" x14ac:dyDescent="0.25">
      <c r="A12" s="80">
        <v>45869</v>
      </c>
      <c r="B12" s="179">
        <v>0</v>
      </c>
      <c r="C12" s="171">
        <v>0</v>
      </c>
      <c r="D12" s="180">
        <v>0</v>
      </c>
      <c r="E12" s="172">
        <v>0</v>
      </c>
      <c r="F12" s="172">
        <v>0</v>
      </c>
      <c r="G12" s="213">
        <v>1</v>
      </c>
      <c r="H12" s="212">
        <v>0</v>
      </c>
      <c r="I12" s="172">
        <v>0</v>
      </c>
      <c r="J12" s="213">
        <v>0</v>
      </c>
      <c r="K12" s="212">
        <v>0</v>
      </c>
      <c r="L12" s="172">
        <v>4</v>
      </c>
      <c r="M12" s="213">
        <v>0</v>
      </c>
      <c r="N12" s="212">
        <v>0</v>
      </c>
      <c r="O12" s="172">
        <v>0</v>
      </c>
      <c r="P12" s="213">
        <v>0</v>
      </c>
      <c r="Q12" s="94"/>
    </row>
    <row r="13" spans="1:45" x14ac:dyDescent="0.25">
      <c r="A13" s="80">
        <v>45868</v>
      </c>
      <c r="B13" s="179">
        <v>0</v>
      </c>
      <c r="C13" s="171">
        <v>1</v>
      </c>
      <c r="D13" s="180">
        <v>0</v>
      </c>
      <c r="E13" s="172">
        <v>0</v>
      </c>
      <c r="F13" s="172">
        <v>0</v>
      </c>
      <c r="G13" s="213">
        <v>0</v>
      </c>
      <c r="H13" s="212">
        <v>1</v>
      </c>
      <c r="I13" s="172">
        <v>1</v>
      </c>
      <c r="J13" s="213">
        <v>0</v>
      </c>
      <c r="K13" s="212">
        <v>0</v>
      </c>
      <c r="L13" s="172">
        <v>3</v>
      </c>
      <c r="M13" s="213">
        <v>1</v>
      </c>
      <c r="N13" s="212">
        <v>0</v>
      </c>
      <c r="O13" s="172">
        <v>1</v>
      </c>
      <c r="P13" s="213">
        <v>1</v>
      </c>
      <c r="Q13" s="94"/>
    </row>
    <row r="14" spans="1:45" x14ac:dyDescent="0.25">
      <c r="A14" s="80">
        <v>45867</v>
      </c>
      <c r="B14" s="179">
        <v>3</v>
      </c>
      <c r="C14" s="171">
        <v>0</v>
      </c>
      <c r="D14" s="180">
        <v>0</v>
      </c>
      <c r="E14" s="172">
        <v>4</v>
      </c>
      <c r="F14" s="172">
        <v>4</v>
      </c>
      <c r="G14" s="213">
        <v>0</v>
      </c>
      <c r="H14" s="212">
        <v>0</v>
      </c>
      <c r="I14" s="172">
        <v>1</v>
      </c>
      <c r="J14" s="213">
        <v>0</v>
      </c>
      <c r="K14" s="212">
        <v>0</v>
      </c>
      <c r="L14" s="172">
        <v>2</v>
      </c>
      <c r="M14" s="213">
        <v>0</v>
      </c>
      <c r="N14" s="212">
        <v>2</v>
      </c>
      <c r="O14" s="172">
        <v>0</v>
      </c>
      <c r="P14" s="213">
        <v>0</v>
      </c>
      <c r="Q14" s="94"/>
    </row>
    <row r="15" spans="1:45" x14ac:dyDescent="0.25">
      <c r="A15" s="80">
        <v>45866</v>
      </c>
      <c r="B15" s="179">
        <v>1</v>
      </c>
      <c r="C15" s="171">
        <v>0</v>
      </c>
      <c r="D15" s="180">
        <v>0</v>
      </c>
      <c r="E15" s="172">
        <v>1</v>
      </c>
      <c r="F15" s="172">
        <v>1</v>
      </c>
      <c r="G15" s="213">
        <v>0</v>
      </c>
      <c r="H15" s="212">
        <v>2</v>
      </c>
      <c r="I15" s="172">
        <v>1</v>
      </c>
      <c r="J15" s="213">
        <v>1</v>
      </c>
      <c r="K15" s="212">
        <v>0</v>
      </c>
      <c r="L15" s="172">
        <v>4</v>
      </c>
      <c r="M15" s="213">
        <v>0</v>
      </c>
      <c r="N15" s="212">
        <v>1</v>
      </c>
      <c r="O15" s="172">
        <v>1</v>
      </c>
      <c r="P15" s="213">
        <v>0</v>
      </c>
      <c r="Q15" s="94"/>
    </row>
    <row r="16" spans="1:45" ht="15.75" thickBot="1" x14ac:dyDescent="0.3">
      <c r="A16" s="79" t="s">
        <v>200</v>
      </c>
      <c r="B16" s="179">
        <v>7</v>
      </c>
      <c r="C16" s="171">
        <v>2</v>
      </c>
      <c r="D16" s="180">
        <v>1</v>
      </c>
      <c r="E16" s="172">
        <v>6</v>
      </c>
      <c r="F16" s="172">
        <v>6</v>
      </c>
      <c r="G16" s="213">
        <v>1</v>
      </c>
      <c r="H16" s="212">
        <v>3</v>
      </c>
      <c r="I16" s="172">
        <v>7</v>
      </c>
      <c r="J16" s="213">
        <v>1</v>
      </c>
      <c r="K16" s="212">
        <v>0</v>
      </c>
      <c r="L16" s="172">
        <v>14</v>
      </c>
      <c r="M16" s="213">
        <v>1</v>
      </c>
      <c r="N16" s="212">
        <v>4</v>
      </c>
      <c r="O16" s="172">
        <v>2</v>
      </c>
      <c r="P16" s="213">
        <v>1</v>
      </c>
      <c r="Q16" s="94"/>
      <c r="AQ16" s="96"/>
    </row>
    <row r="17" spans="1:44" ht="16.5" thickBot="1" x14ac:dyDescent="0.3">
      <c r="A17" s="110" t="s">
        <v>193</v>
      </c>
      <c r="B17" s="179"/>
      <c r="C17" s="171"/>
      <c r="D17" s="180"/>
      <c r="E17" s="172"/>
      <c r="F17" s="172"/>
      <c r="G17" s="213"/>
      <c r="H17" s="212"/>
      <c r="I17" s="172"/>
      <c r="J17" s="213"/>
      <c r="K17" s="212"/>
      <c r="L17" s="172"/>
      <c r="M17" s="213"/>
      <c r="N17" s="212"/>
      <c r="O17" s="172"/>
      <c r="P17" s="213"/>
      <c r="Q17" s="94"/>
      <c r="R17" s="118" t="s">
        <v>21</v>
      </c>
      <c r="S17" s="269" t="s">
        <v>0</v>
      </c>
      <c r="T17" s="270"/>
      <c r="U17" s="270"/>
      <c r="V17" s="271"/>
      <c r="W17" s="266" t="s">
        <v>139</v>
      </c>
      <c r="X17" s="267"/>
      <c r="Y17" s="267"/>
      <c r="Z17" s="267"/>
      <c r="AA17" s="266" t="s">
        <v>142</v>
      </c>
      <c r="AB17" s="267"/>
      <c r="AC17" s="267"/>
      <c r="AD17" s="268"/>
      <c r="AE17" s="266" t="s">
        <v>140</v>
      </c>
      <c r="AF17" s="267"/>
      <c r="AG17" s="267"/>
      <c r="AH17" s="268"/>
      <c r="AI17" s="266" t="s">
        <v>141</v>
      </c>
      <c r="AJ17" s="267"/>
      <c r="AK17" s="267"/>
      <c r="AL17" s="268"/>
      <c r="AN17" s="261" t="s">
        <v>115</v>
      </c>
      <c r="AO17" s="262"/>
      <c r="AP17" s="262"/>
      <c r="AQ17" s="262"/>
      <c r="AR17" s="263"/>
    </row>
    <row r="18" spans="1:44" ht="15.75" thickBot="1" x14ac:dyDescent="0.3">
      <c r="A18" s="80">
        <v>45863</v>
      </c>
      <c r="B18" s="179">
        <v>0</v>
      </c>
      <c r="C18" s="171">
        <v>2</v>
      </c>
      <c r="D18" s="180">
        <v>0</v>
      </c>
      <c r="E18" s="172">
        <v>1</v>
      </c>
      <c r="F18" s="172">
        <v>0</v>
      </c>
      <c r="G18" s="213">
        <v>0</v>
      </c>
      <c r="H18" s="212">
        <v>1</v>
      </c>
      <c r="I18" s="172">
        <v>2</v>
      </c>
      <c r="J18" s="213">
        <v>0</v>
      </c>
      <c r="K18" s="212">
        <v>0</v>
      </c>
      <c r="L18" s="172">
        <v>0</v>
      </c>
      <c r="M18" s="213">
        <v>0</v>
      </c>
      <c r="N18" s="212">
        <v>0</v>
      </c>
      <c r="O18" s="172">
        <v>0</v>
      </c>
      <c r="P18" s="213">
        <v>0</v>
      </c>
      <c r="Q18" s="94"/>
      <c r="S18" s="124" t="s">
        <v>3</v>
      </c>
      <c r="T18" s="125" t="s">
        <v>4</v>
      </c>
      <c r="U18" s="126" t="s">
        <v>112</v>
      </c>
      <c r="V18" s="127" t="s">
        <v>22</v>
      </c>
      <c r="W18" s="133" t="s">
        <v>5</v>
      </c>
      <c r="X18" s="133" t="s">
        <v>6</v>
      </c>
      <c r="Y18" s="133" t="s">
        <v>135</v>
      </c>
      <c r="Z18" s="209" t="s">
        <v>23</v>
      </c>
      <c r="AA18" s="208" t="s">
        <v>7</v>
      </c>
      <c r="AB18" s="133" t="s">
        <v>8</v>
      </c>
      <c r="AC18" s="133" t="s">
        <v>132</v>
      </c>
      <c r="AD18" s="209" t="s">
        <v>24</v>
      </c>
      <c r="AE18" s="208" t="s">
        <v>9</v>
      </c>
      <c r="AF18" s="133" t="s">
        <v>10</v>
      </c>
      <c r="AG18" s="133" t="s">
        <v>114</v>
      </c>
      <c r="AH18" s="209" t="s">
        <v>25</v>
      </c>
      <c r="AI18" s="208" t="s">
        <v>11</v>
      </c>
      <c r="AJ18" s="133" t="s">
        <v>12</v>
      </c>
      <c r="AK18" s="133" t="s">
        <v>113</v>
      </c>
      <c r="AL18" s="209" t="s">
        <v>26</v>
      </c>
      <c r="AN18" s="112"/>
      <c r="AO18" s="114" t="s">
        <v>3</v>
      </c>
      <c r="AP18" s="114" t="s">
        <v>4</v>
      </c>
      <c r="AQ18" s="114" t="s">
        <v>112</v>
      </c>
      <c r="AR18" s="188" t="s">
        <v>27</v>
      </c>
    </row>
    <row r="19" spans="1:44" x14ac:dyDescent="0.25">
      <c r="A19" s="80">
        <v>45862</v>
      </c>
      <c r="B19" s="179">
        <v>3</v>
      </c>
      <c r="C19" s="171">
        <v>0</v>
      </c>
      <c r="D19" s="180">
        <v>0</v>
      </c>
      <c r="E19" s="172">
        <v>1</v>
      </c>
      <c r="F19" s="172">
        <v>2</v>
      </c>
      <c r="G19" s="213">
        <v>0</v>
      </c>
      <c r="H19" s="212">
        <v>1</v>
      </c>
      <c r="I19" s="172">
        <v>1</v>
      </c>
      <c r="J19" s="213">
        <v>1</v>
      </c>
      <c r="K19" s="212">
        <v>0</v>
      </c>
      <c r="L19" s="172">
        <v>7</v>
      </c>
      <c r="M19" s="213">
        <v>1</v>
      </c>
      <c r="N19" s="212">
        <v>0</v>
      </c>
      <c r="O19" s="172">
        <v>0</v>
      </c>
      <c r="P19" s="213">
        <v>0</v>
      </c>
      <c r="Q19" s="94"/>
      <c r="R19" s="106" t="s">
        <v>18</v>
      </c>
      <c r="S19" s="141">
        <v>0.58823529411764708</v>
      </c>
      <c r="T19" s="142">
        <v>0.52941176470588236</v>
      </c>
      <c r="U19" s="143">
        <v>0</v>
      </c>
      <c r="V19" s="131">
        <v>1.1176470588235294</v>
      </c>
      <c r="W19" s="191">
        <v>4.4705882352941178</v>
      </c>
      <c r="X19" s="191">
        <v>0</v>
      </c>
      <c r="Y19" s="191">
        <v>0</v>
      </c>
      <c r="Z19" s="120">
        <v>4.4705882352941178</v>
      </c>
      <c r="AA19" s="192">
        <v>5.2941176470588234</v>
      </c>
      <c r="AB19" s="191">
        <v>0</v>
      </c>
      <c r="AC19" s="191">
        <v>0</v>
      </c>
      <c r="AD19" s="120">
        <v>5.2941176470588234</v>
      </c>
      <c r="AE19" s="192">
        <v>6.6470588235294121</v>
      </c>
      <c r="AF19" s="191">
        <v>0</v>
      </c>
      <c r="AG19" s="191">
        <v>0</v>
      </c>
      <c r="AH19" s="120">
        <v>6.6470588235294121</v>
      </c>
      <c r="AI19" s="192">
        <v>1.588235294117647</v>
      </c>
      <c r="AJ19" s="191">
        <v>0</v>
      </c>
      <c r="AK19" s="191">
        <v>0</v>
      </c>
      <c r="AL19" s="120">
        <v>1.588235294117647</v>
      </c>
      <c r="AN19" s="154" t="s">
        <v>18</v>
      </c>
      <c r="AO19" s="202">
        <v>18</v>
      </c>
      <c r="AP19" s="203">
        <v>0</v>
      </c>
      <c r="AQ19" s="198">
        <v>0</v>
      </c>
      <c r="AR19" s="153">
        <v>18</v>
      </c>
    </row>
    <row r="20" spans="1:44" x14ac:dyDescent="0.25">
      <c r="A20" s="80">
        <v>45861</v>
      </c>
      <c r="B20" s="179">
        <v>5</v>
      </c>
      <c r="C20" s="171">
        <v>0</v>
      </c>
      <c r="D20" s="180">
        <v>0</v>
      </c>
      <c r="E20" s="172">
        <v>1</v>
      </c>
      <c r="F20" s="172">
        <v>4</v>
      </c>
      <c r="G20" s="213">
        <v>1</v>
      </c>
      <c r="H20" s="212">
        <v>1</v>
      </c>
      <c r="I20" s="172">
        <v>4</v>
      </c>
      <c r="J20" s="213">
        <v>0</v>
      </c>
      <c r="K20" s="212">
        <v>0</v>
      </c>
      <c r="L20" s="172">
        <v>5</v>
      </c>
      <c r="M20" s="213">
        <v>0</v>
      </c>
      <c r="N20" s="212">
        <v>1</v>
      </c>
      <c r="O20" s="172">
        <v>0</v>
      </c>
      <c r="P20" s="213">
        <v>0</v>
      </c>
      <c r="Q20" s="94"/>
      <c r="R20" s="106" t="s">
        <v>19</v>
      </c>
      <c r="S20" s="144">
        <v>1.1499999999999999</v>
      </c>
      <c r="T20" s="145">
        <v>0.3</v>
      </c>
      <c r="U20" s="146">
        <v>0</v>
      </c>
      <c r="V20" s="120">
        <v>1.45</v>
      </c>
      <c r="W20" s="191">
        <v>2.1</v>
      </c>
      <c r="X20" s="191">
        <v>1.1499999999999999</v>
      </c>
      <c r="Y20" s="191">
        <v>0</v>
      </c>
      <c r="Z20" s="120">
        <v>3.25</v>
      </c>
      <c r="AA20" s="192">
        <v>2</v>
      </c>
      <c r="AB20" s="191">
        <v>2.2000000000000002</v>
      </c>
      <c r="AC20" s="191">
        <v>0</v>
      </c>
      <c r="AD20" s="120">
        <v>4.2</v>
      </c>
      <c r="AE20" s="192">
        <v>2.7</v>
      </c>
      <c r="AF20" s="191">
        <v>1.95</v>
      </c>
      <c r="AG20" s="191">
        <v>0</v>
      </c>
      <c r="AH20" s="120">
        <v>4.6500000000000004</v>
      </c>
      <c r="AI20" s="192">
        <v>1.45</v>
      </c>
      <c r="AJ20" s="191">
        <v>0.5</v>
      </c>
      <c r="AK20" s="191">
        <v>0</v>
      </c>
      <c r="AL20" s="120">
        <v>1.95</v>
      </c>
      <c r="AN20" s="108" t="s">
        <v>19</v>
      </c>
      <c r="AO20" s="201">
        <v>8.25</v>
      </c>
      <c r="AP20" s="200">
        <v>5.8</v>
      </c>
      <c r="AQ20" s="197">
        <v>0</v>
      </c>
      <c r="AR20" s="90">
        <v>14.05</v>
      </c>
    </row>
    <row r="21" spans="1:44" x14ac:dyDescent="0.25">
      <c r="A21" s="80">
        <v>45860</v>
      </c>
      <c r="B21" s="179">
        <v>0</v>
      </c>
      <c r="C21" s="171">
        <v>1</v>
      </c>
      <c r="D21" s="180">
        <v>1</v>
      </c>
      <c r="E21" s="172">
        <v>2</v>
      </c>
      <c r="F21" s="172">
        <v>3</v>
      </c>
      <c r="G21" s="213">
        <v>1</v>
      </c>
      <c r="H21" s="212">
        <v>4</v>
      </c>
      <c r="I21" s="172">
        <v>2</v>
      </c>
      <c r="J21" s="213">
        <v>0</v>
      </c>
      <c r="K21" s="212">
        <v>0</v>
      </c>
      <c r="L21" s="172">
        <v>4</v>
      </c>
      <c r="M21" s="213">
        <v>2</v>
      </c>
      <c r="N21" s="212">
        <v>0</v>
      </c>
      <c r="O21" s="172">
        <v>0</v>
      </c>
      <c r="P21" s="213">
        <v>0</v>
      </c>
      <c r="Q21" s="94"/>
      <c r="R21" s="106" t="s">
        <v>63</v>
      </c>
      <c r="S21" s="144">
        <v>1.9047619047619047</v>
      </c>
      <c r="T21" s="145">
        <v>0.61904761904761907</v>
      </c>
      <c r="U21" s="146">
        <v>0.14285714285714285</v>
      </c>
      <c r="V21" s="120">
        <v>2.6666666666666665</v>
      </c>
      <c r="W21" s="191">
        <v>1.6190476190476191</v>
      </c>
      <c r="X21" s="191">
        <v>1.3809523809523809</v>
      </c>
      <c r="Y21" s="191">
        <v>0.2857142857142857</v>
      </c>
      <c r="Z21" s="120">
        <v>3.2857142857142856</v>
      </c>
      <c r="AA21" s="192">
        <v>2.6190476190476191</v>
      </c>
      <c r="AB21" s="191">
        <v>2.0476190476190474</v>
      </c>
      <c r="AC21" s="191">
        <v>0.19047619047619047</v>
      </c>
      <c r="AD21" s="120">
        <v>4.8571428571428568</v>
      </c>
      <c r="AE21" s="192">
        <v>2.1428571428571428</v>
      </c>
      <c r="AF21" s="191">
        <v>2.2857142857142856</v>
      </c>
      <c r="AG21" s="191">
        <v>0.2857142857142857</v>
      </c>
      <c r="AH21" s="120">
        <v>4.7142857142857144</v>
      </c>
      <c r="AI21" s="192">
        <v>1.5238095238095237</v>
      </c>
      <c r="AJ21" s="191">
        <v>0.61904761904761907</v>
      </c>
      <c r="AK21" s="191">
        <v>4.7619047619047616E-2</v>
      </c>
      <c r="AL21" s="120">
        <v>2.1904761904761907</v>
      </c>
      <c r="AN21" s="108" t="s">
        <v>63</v>
      </c>
      <c r="AO21" s="201">
        <v>7.9047619047619051</v>
      </c>
      <c r="AP21" s="200">
        <v>6.333333333333333</v>
      </c>
      <c r="AQ21" s="197">
        <v>0.80952380952380953</v>
      </c>
      <c r="AR21" s="90">
        <v>15.047619047619047</v>
      </c>
    </row>
    <row r="22" spans="1:44" x14ac:dyDescent="0.25">
      <c r="A22" s="80">
        <v>45859</v>
      </c>
      <c r="B22" s="179">
        <v>1</v>
      </c>
      <c r="C22" s="171">
        <v>0</v>
      </c>
      <c r="D22" s="180">
        <v>0</v>
      </c>
      <c r="E22" s="172">
        <v>2</v>
      </c>
      <c r="F22" s="172">
        <v>3</v>
      </c>
      <c r="G22" s="213">
        <v>0</v>
      </c>
      <c r="H22" s="212">
        <v>5</v>
      </c>
      <c r="I22" s="172">
        <v>3</v>
      </c>
      <c r="J22" s="213">
        <v>0</v>
      </c>
      <c r="K22" s="212">
        <v>0</v>
      </c>
      <c r="L22" s="172">
        <v>1</v>
      </c>
      <c r="M22" s="213">
        <v>0</v>
      </c>
      <c r="N22" s="212">
        <v>1</v>
      </c>
      <c r="O22" s="172">
        <v>0</v>
      </c>
      <c r="P22" s="213">
        <v>0</v>
      </c>
      <c r="Q22" s="94"/>
      <c r="R22" s="106" t="s">
        <v>64</v>
      </c>
      <c r="S22" s="144">
        <v>1.3181818181818181</v>
      </c>
      <c r="T22" s="145">
        <v>0.63636363636363635</v>
      </c>
      <c r="U22" s="146">
        <v>0.27272727272727271</v>
      </c>
      <c r="V22" s="120">
        <v>2.2272727272727271</v>
      </c>
      <c r="W22" s="191">
        <v>2.1363636363636362</v>
      </c>
      <c r="X22" s="191">
        <v>1.2727272727272727</v>
      </c>
      <c r="Y22" s="191">
        <v>0.45454545454545453</v>
      </c>
      <c r="Z22" s="120">
        <v>3.8636363636363638</v>
      </c>
      <c r="AA22" s="192">
        <v>3.3636363636363638</v>
      </c>
      <c r="AB22" s="191">
        <v>2.5</v>
      </c>
      <c r="AC22" s="191">
        <v>0.45454545454545453</v>
      </c>
      <c r="AD22" s="120">
        <v>6.3181818181818183</v>
      </c>
      <c r="AE22" s="192">
        <v>1.5454545454545454</v>
      </c>
      <c r="AF22" s="191">
        <v>4</v>
      </c>
      <c r="AG22" s="191">
        <v>0.77272727272727271</v>
      </c>
      <c r="AH22" s="120">
        <v>6.3181818181818183</v>
      </c>
      <c r="AI22" s="192">
        <v>1.0909090909090908</v>
      </c>
      <c r="AJ22" s="191">
        <v>0.59090909090909094</v>
      </c>
      <c r="AK22" s="191">
        <v>4.5454545454545456E-2</v>
      </c>
      <c r="AL22" s="120">
        <v>1.7272727272727273</v>
      </c>
      <c r="AN22" s="108" t="s">
        <v>64</v>
      </c>
      <c r="AO22" s="201">
        <v>8.1363636363636367</v>
      </c>
      <c r="AP22" s="200">
        <v>8.3636363636363633</v>
      </c>
      <c r="AQ22" s="197">
        <v>1.7272727272727273</v>
      </c>
      <c r="AR22" s="90">
        <v>18.227272727272727</v>
      </c>
    </row>
    <row r="23" spans="1:44" x14ac:dyDescent="0.25">
      <c r="A23" s="79" t="s">
        <v>194</v>
      </c>
      <c r="B23" s="179">
        <v>9</v>
      </c>
      <c r="C23" s="171">
        <v>3</v>
      </c>
      <c r="D23" s="180">
        <v>1</v>
      </c>
      <c r="E23" s="172">
        <v>7</v>
      </c>
      <c r="F23" s="172">
        <v>12</v>
      </c>
      <c r="G23" s="213">
        <v>2</v>
      </c>
      <c r="H23" s="212">
        <v>12</v>
      </c>
      <c r="I23" s="172">
        <v>12</v>
      </c>
      <c r="J23" s="213">
        <v>1</v>
      </c>
      <c r="K23" s="212">
        <v>0</v>
      </c>
      <c r="L23" s="172">
        <v>17</v>
      </c>
      <c r="M23" s="213">
        <v>3</v>
      </c>
      <c r="N23" s="212">
        <v>2</v>
      </c>
      <c r="O23" s="172">
        <v>0</v>
      </c>
      <c r="P23" s="213">
        <v>0</v>
      </c>
      <c r="Q23" s="94"/>
      <c r="R23" s="106" t="s">
        <v>65</v>
      </c>
      <c r="S23" s="144">
        <v>0.88888888888888884</v>
      </c>
      <c r="T23" s="145">
        <v>1.1666666666666667</v>
      </c>
      <c r="U23" s="146">
        <v>0.22222222222222221</v>
      </c>
      <c r="V23" s="120">
        <v>2.2777777777777777</v>
      </c>
      <c r="W23" s="191">
        <v>0.61111111111111116</v>
      </c>
      <c r="X23" s="191">
        <v>1.2222222222222223</v>
      </c>
      <c r="Y23" s="191">
        <v>0.27777777777777779</v>
      </c>
      <c r="Z23" s="120">
        <v>2.1111111111111112</v>
      </c>
      <c r="AA23" s="192">
        <v>2.4444444444444446</v>
      </c>
      <c r="AB23" s="191">
        <v>1.2222222222222223</v>
      </c>
      <c r="AC23" s="191">
        <v>0.1111111111111111</v>
      </c>
      <c r="AD23" s="120">
        <v>3.7777777777777777</v>
      </c>
      <c r="AE23" s="192">
        <v>1.4444444444444444</v>
      </c>
      <c r="AF23" s="191">
        <v>2.8888888888888888</v>
      </c>
      <c r="AG23" s="191">
        <v>0.33333333333333331</v>
      </c>
      <c r="AH23" s="120">
        <v>4.666666666666667</v>
      </c>
      <c r="AI23" s="192">
        <v>0.61111111111111116</v>
      </c>
      <c r="AJ23" s="191">
        <v>0.27777777777777779</v>
      </c>
      <c r="AK23" s="191">
        <v>5.5555555555555552E-2</v>
      </c>
      <c r="AL23" s="120">
        <v>0.94444444444444442</v>
      </c>
      <c r="AN23" s="108" t="s">
        <v>65</v>
      </c>
      <c r="AO23" s="201">
        <v>5.1111111111111107</v>
      </c>
      <c r="AP23" s="200">
        <v>5.6111111111111107</v>
      </c>
      <c r="AQ23" s="197">
        <v>0.77777777777777779</v>
      </c>
      <c r="AR23" s="90">
        <v>11.5</v>
      </c>
    </row>
    <row r="24" spans="1:44" x14ac:dyDescent="0.25">
      <c r="A24" s="110" t="s">
        <v>187</v>
      </c>
      <c r="B24" s="179"/>
      <c r="C24" s="171"/>
      <c r="D24" s="180"/>
      <c r="E24" s="172"/>
      <c r="F24" s="172"/>
      <c r="G24" s="213"/>
      <c r="H24" s="212"/>
      <c r="I24" s="172"/>
      <c r="J24" s="213"/>
      <c r="K24" s="212"/>
      <c r="L24" s="172"/>
      <c r="M24" s="213"/>
      <c r="N24" s="212"/>
      <c r="O24" s="172"/>
      <c r="P24" s="213"/>
      <c r="Q24" s="94"/>
      <c r="R24" s="106" t="s">
        <v>66</v>
      </c>
      <c r="S24" s="144">
        <v>2.0526315789473686</v>
      </c>
      <c r="T24" s="145">
        <v>0.21052631578947367</v>
      </c>
      <c r="U24" s="146">
        <v>0.26315789473684209</v>
      </c>
      <c r="V24" s="120">
        <v>2.5263157894736841</v>
      </c>
      <c r="W24" s="191">
        <v>0.73684210526315785</v>
      </c>
      <c r="X24" s="191">
        <v>1.1578947368421053</v>
      </c>
      <c r="Y24" s="191">
        <v>0.36842105263157893</v>
      </c>
      <c r="Z24" s="120">
        <v>2.263157894736842</v>
      </c>
      <c r="AA24" s="192">
        <v>2.5789473684210527</v>
      </c>
      <c r="AB24" s="191">
        <v>1.6842105263157894</v>
      </c>
      <c r="AC24" s="191">
        <v>0.31578947368421051</v>
      </c>
      <c r="AD24" s="120">
        <v>4.5789473684210522</v>
      </c>
      <c r="AE24" s="192">
        <v>0.84210526315789469</v>
      </c>
      <c r="AF24" s="191">
        <v>3.3157894736842106</v>
      </c>
      <c r="AG24" s="191">
        <v>0.21052631578947367</v>
      </c>
      <c r="AH24" s="120">
        <v>4.3684210526315788</v>
      </c>
      <c r="AI24" s="192">
        <v>0.31578947368421051</v>
      </c>
      <c r="AJ24" s="191">
        <v>0.47368421052631576</v>
      </c>
      <c r="AK24" s="191">
        <v>0.10526315789473684</v>
      </c>
      <c r="AL24" s="120">
        <v>0.89473684210526316</v>
      </c>
      <c r="AN24" s="108" t="s">
        <v>66</v>
      </c>
      <c r="AO24" s="201">
        <v>4.4736842105263159</v>
      </c>
      <c r="AP24" s="200">
        <v>6.6315789473684212</v>
      </c>
      <c r="AQ24" s="197">
        <v>1</v>
      </c>
      <c r="AR24" s="90">
        <v>12.105263157894736</v>
      </c>
    </row>
    <row r="25" spans="1:44" x14ac:dyDescent="0.25">
      <c r="A25" s="80">
        <v>45856</v>
      </c>
      <c r="B25" s="179">
        <v>1</v>
      </c>
      <c r="C25" s="171">
        <v>0</v>
      </c>
      <c r="D25" s="180">
        <v>0</v>
      </c>
      <c r="E25" s="172">
        <v>3</v>
      </c>
      <c r="F25" s="172">
        <v>1</v>
      </c>
      <c r="G25" s="213">
        <v>0</v>
      </c>
      <c r="H25" s="212">
        <v>5</v>
      </c>
      <c r="I25" s="172">
        <v>2</v>
      </c>
      <c r="J25" s="213">
        <v>2</v>
      </c>
      <c r="K25" s="212">
        <v>0</v>
      </c>
      <c r="L25" s="172">
        <v>3</v>
      </c>
      <c r="M25" s="213">
        <v>1</v>
      </c>
      <c r="N25" s="212">
        <v>0</v>
      </c>
      <c r="O25" s="172">
        <v>0</v>
      </c>
      <c r="P25" s="213">
        <v>0</v>
      </c>
      <c r="Q25" s="94"/>
      <c r="R25" s="106" t="s">
        <v>67</v>
      </c>
      <c r="S25" s="144">
        <v>1.3043478260869565</v>
      </c>
      <c r="T25" s="145">
        <v>0.30434782608695654</v>
      </c>
      <c r="U25" s="146">
        <v>8.6956521739130432E-2</v>
      </c>
      <c r="V25" s="120">
        <v>1.6956521739130435</v>
      </c>
      <c r="W25" s="191">
        <v>1.7826086956521738</v>
      </c>
      <c r="X25" s="191">
        <v>1.1304347826086956</v>
      </c>
      <c r="Y25" s="191">
        <v>0.17391304347826086</v>
      </c>
      <c r="Z25" s="120">
        <v>3.0869565217391304</v>
      </c>
      <c r="AA25" s="192">
        <v>1.7826086956521738</v>
      </c>
      <c r="AB25" s="191">
        <v>2.1304347826086958</v>
      </c>
      <c r="AC25" s="191">
        <v>0.34782608695652173</v>
      </c>
      <c r="AD25" s="120">
        <v>4.2608695652173916</v>
      </c>
      <c r="AE25" s="192">
        <v>0</v>
      </c>
      <c r="AF25" s="191">
        <v>3.0869565217391304</v>
      </c>
      <c r="AG25" s="191">
        <v>0.39130434782608697</v>
      </c>
      <c r="AH25" s="120">
        <v>3.4782608695652173</v>
      </c>
      <c r="AI25" s="192">
        <v>1</v>
      </c>
      <c r="AJ25" s="191">
        <v>0.21739130434782608</v>
      </c>
      <c r="AK25" s="191">
        <v>8.6956521739130432E-2</v>
      </c>
      <c r="AL25" s="120">
        <v>1.3043478260869565</v>
      </c>
      <c r="AN25" s="108" t="s">
        <v>67</v>
      </c>
      <c r="AO25" s="201">
        <v>4.5652173913043477</v>
      </c>
      <c r="AP25" s="200">
        <v>6.5652173913043477</v>
      </c>
      <c r="AQ25" s="197">
        <v>1</v>
      </c>
      <c r="AR25" s="90">
        <v>12.130434782608695</v>
      </c>
    </row>
    <row r="26" spans="1:44" ht="15.75" thickBot="1" x14ac:dyDescent="0.3">
      <c r="A26" s="80">
        <v>45855</v>
      </c>
      <c r="B26" s="179">
        <v>1</v>
      </c>
      <c r="C26" s="171">
        <v>1</v>
      </c>
      <c r="D26" s="180">
        <v>0</v>
      </c>
      <c r="E26" s="172">
        <v>2</v>
      </c>
      <c r="F26" s="172">
        <v>2</v>
      </c>
      <c r="G26" s="213">
        <v>0</v>
      </c>
      <c r="H26" s="212">
        <v>4</v>
      </c>
      <c r="I26" s="172">
        <v>2</v>
      </c>
      <c r="J26" s="213">
        <v>0</v>
      </c>
      <c r="K26" s="212">
        <v>0</v>
      </c>
      <c r="L26" s="172">
        <v>3</v>
      </c>
      <c r="M26" s="213">
        <v>0</v>
      </c>
      <c r="N26" s="212">
        <v>5</v>
      </c>
      <c r="O26" s="172">
        <v>0</v>
      </c>
      <c r="P26" s="213">
        <v>0</v>
      </c>
      <c r="Q26" s="94"/>
      <c r="R26" s="106" t="s">
        <v>68</v>
      </c>
      <c r="S26" s="144">
        <v>1.3333333333333333</v>
      </c>
      <c r="T26" s="145">
        <v>0.5</v>
      </c>
      <c r="U26" s="146">
        <v>0.33333333333333331</v>
      </c>
      <c r="V26" s="120">
        <v>2.1666666666666665</v>
      </c>
      <c r="W26" s="191">
        <v>1.1666666666666667</v>
      </c>
      <c r="X26" s="191">
        <v>0.66666666666666663</v>
      </c>
      <c r="Y26" s="191">
        <v>0.33333333333333331</v>
      </c>
      <c r="Z26" s="120">
        <v>2.1666666666666665</v>
      </c>
      <c r="AA26" s="192">
        <v>1.3333333333333333</v>
      </c>
      <c r="AB26" s="191">
        <v>2.6666666666666665</v>
      </c>
      <c r="AC26" s="191">
        <v>0</v>
      </c>
      <c r="AD26" s="120">
        <v>4</v>
      </c>
      <c r="AE26" s="192">
        <v>1</v>
      </c>
      <c r="AF26" s="191">
        <v>3.5</v>
      </c>
      <c r="AG26" s="191">
        <v>0.16666666666666666</v>
      </c>
      <c r="AH26" s="120">
        <v>4.666666666666667</v>
      </c>
      <c r="AI26" s="192">
        <v>1.1666666666666667</v>
      </c>
      <c r="AJ26" s="191">
        <v>0</v>
      </c>
      <c r="AK26" s="191">
        <v>0</v>
      </c>
      <c r="AL26" s="120">
        <v>1.1666666666666667</v>
      </c>
      <c r="AN26" s="109" t="s">
        <v>68</v>
      </c>
      <c r="AO26" s="201">
        <v>4.666666666666667</v>
      </c>
      <c r="AP26" s="200">
        <v>6.833333333333333</v>
      </c>
      <c r="AQ26" s="197">
        <v>0.5</v>
      </c>
      <c r="AR26" s="90">
        <v>12</v>
      </c>
    </row>
    <row r="27" spans="1:44" ht="15.75" thickBot="1" x14ac:dyDescent="0.3">
      <c r="A27" s="80">
        <v>45854</v>
      </c>
      <c r="B27" s="179">
        <v>2</v>
      </c>
      <c r="C27" s="171">
        <v>0</v>
      </c>
      <c r="D27" s="180">
        <v>1</v>
      </c>
      <c r="E27" s="172">
        <v>1</v>
      </c>
      <c r="F27" s="172">
        <v>1</v>
      </c>
      <c r="G27" s="213">
        <v>0</v>
      </c>
      <c r="H27" s="212">
        <v>0</v>
      </c>
      <c r="I27" s="172">
        <v>5</v>
      </c>
      <c r="J27" s="213">
        <v>0</v>
      </c>
      <c r="K27" s="212">
        <v>0</v>
      </c>
      <c r="L27" s="172">
        <v>2</v>
      </c>
      <c r="M27" s="213">
        <v>0</v>
      </c>
      <c r="N27" s="212">
        <v>4</v>
      </c>
      <c r="O27" s="172">
        <v>0</v>
      </c>
      <c r="P27" s="213">
        <v>0</v>
      </c>
      <c r="Q27" s="94"/>
      <c r="R27" s="107" t="s">
        <v>28</v>
      </c>
      <c r="S27" s="121">
        <v>1.3356164383561644</v>
      </c>
      <c r="T27" s="122">
        <v>0.5273972602739726</v>
      </c>
      <c r="U27" s="123">
        <v>0.15068493150684931</v>
      </c>
      <c r="V27" s="238">
        <v>2.0136986301369864</v>
      </c>
      <c r="W27" s="231">
        <v>1.8630136986301369</v>
      </c>
      <c r="X27" s="231">
        <v>1.0547945205479452</v>
      </c>
      <c r="Y27" s="231">
        <v>0.23287671232876711</v>
      </c>
      <c r="Z27" s="238">
        <v>3.1506849315068495</v>
      </c>
      <c r="AA27" s="232">
        <v>2.7465753424657535</v>
      </c>
      <c r="AB27" s="231">
        <v>1.7876712328767124</v>
      </c>
      <c r="AC27" s="231">
        <v>0.20547945205479451</v>
      </c>
      <c r="AD27" s="238">
        <v>4.7397260273972606</v>
      </c>
      <c r="AE27" s="232">
        <v>2.0136986301369864</v>
      </c>
      <c r="AF27" s="231">
        <v>2.6164383561643834</v>
      </c>
      <c r="AG27" s="231">
        <v>0.29452054794520549</v>
      </c>
      <c r="AH27" s="238">
        <v>4.9246575342465757</v>
      </c>
      <c r="AI27" s="232">
        <v>1.0890410958904109</v>
      </c>
      <c r="AJ27" s="231">
        <v>0.37671232876712329</v>
      </c>
      <c r="AK27" s="231">
        <v>4.7945205479452052E-2</v>
      </c>
      <c r="AL27" s="238">
        <v>1.5136986301369864</v>
      </c>
      <c r="AN27" s="155" t="s">
        <v>20</v>
      </c>
      <c r="AO27" s="91">
        <v>7.7123287671232879</v>
      </c>
      <c r="AP27" s="92">
        <v>5.8356164383561646</v>
      </c>
      <c r="AQ27" s="134">
        <v>0.78082191780821919</v>
      </c>
      <c r="AR27" s="148">
        <v>14.328767123287671</v>
      </c>
    </row>
    <row r="28" spans="1:44" x14ac:dyDescent="0.25">
      <c r="A28" s="80">
        <v>45853</v>
      </c>
      <c r="B28" s="179">
        <v>3</v>
      </c>
      <c r="C28" s="171">
        <v>0</v>
      </c>
      <c r="D28" s="180">
        <v>0</v>
      </c>
      <c r="E28" s="172">
        <v>2</v>
      </c>
      <c r="F28" s="172">
        <v>0</v>
      </c>
      <c r="G28" s="213">
        <v>0</v>
      </c>
      <c r="H28" s="212">
        <v>1</v>
      </c>
      <c r="I28" s="172">
        <v>1</v>
      </c>
      <c r="J28" s="213">
        <v>0</v>
      </c>
      <c r="K28" s="212">
        <v>0</v>
      </c>
      <c r="L28" s="172">
        <v>3</v>
      </c>
      <c r="M28" s="213">
        <v>0</v>
      </c>
      <c r="N28" s="212">
        <v>0</v>
      </c>
      <c r="O28" s="172">
        <v>0</v>
      </c>
      <c r="P28" s="213">
        <v>0</v>
      </c>
      <c r="Q28" s="94"/>
    </row>
    <row r="29" spans="1:44" x14ac:dyDescent="0.25">
      <c r="A29" s="80">
        <v>45852</v>
      </c>
      <c r="B29" s="179">
        <v>2</v>
      </c>
      <c r="C29" s="171">
        <v>0</v>
      </c>
      <c r="D29" s="180">
        <v>0</v>
      </c>
      <c r="E29" s="172">
        <v>5</v>
      </c>
      <c r="F29" s="172">
        <v>1</v>
      </c>
      <c r="G29" s="213">
        <v>1</v>
      </c>
      <c r="H29" s="212">
        <v>2</v>
      </c>
      <c r="I29" s="172">
        <v>1</v>
      </c>
      <c r="J29" s="213">
        <v>1</v>
      </c>
      <c r="K29" s="212">
        <v>0</v>
      </c>
      <c r="L29" s="172">
        <v>2</v>
      </c>
      <c r="M29" s="213">
        <v>1</v>
      </c>
      <c r="N29" s="212">
        <v>1</v>
      </c>
      <c r="O29" s="172">
        <v>0</v>
      </c>
      <c r="P29" s="213">
        <v>0</v>
      </c>
      <c r="Q29" s="94"/>
    </row>
    <row r="30" spans="1:44" x14ac:dyDescent="0.25">
      <c r="A30" s="79" t="s">
        <v>188</v>
      </c>
      <c r="B30" s="179">
        <v>9</v>
      </c>
      <c r="C30" s="171">
        <v>1</v>
      </c>
      <c r="D30" s="180">
        <v>1</v>
      </c>
      <c r="E30" s="172">
        <v>13</v>
      </c>
      <c r="F30" s="172">
        <v>5</v>
      </c>
      <c r="G30" s="213">
        <v>1</v>
      </c>
      <c r="H30" s="212">
        <v>12</v>
      </c>
      <c r="I30" s="172">
        <v>11</v>
      </c>
      <c r="J30" s="213">
        <v>3</v>
      </c>
      <c r="K30" s="212">
        <v>0</v>
      </c>
      <c r="L30" s="172">
        <v>13</v>
      </c>
      <c r="M30" s="213">
        <v>2</v>
      </c>
      <c r="N30" s="212">
        <v>10</v>
      </c>
      <c r="O30" s="172">
        <v>0</v>
      </c>
      <c r="P30" s="213">
        <v>0</v>
      </c>
      <c r="Q30" s="94"/>
    </row>
    <row r="31" spans="1:44" x14ac:dyDescent="0.25">
      <c r="A31" s="110" t="s">
        <v>185</v>
      </c>
      <c r="B31" s="179"/>
      <c r="C31" s="171"/>
      <c r="D31" s="180"/>
      <c r="E31" s="172"/>
      <c r="F31" s="172"/>
      <c r="G31" s="213"/>
      <c r="H31" s="212"/>
      <c r="I31" s="172"/>
      <c r="J31" s="213"/>
      <c r="K31" s="212"/>
      <c r="L31" s="172"/>
      <c r="M31" s="213"/>
      <c r="N31" s="212"/>
      <c r="O31" s="172"/>
      <c r="P31" s="213"/>
      <c r="Q31" s="94"/>
    </row>
    <row r="32" spans="1:44" x14ac:dyDescent="0.25">
      <c r="A32" s="80">
        <v>45849</v>
      </c>
      <c r="B32" s="179">
        <v>1</v>
      </c>
      <c r="C32" s="171">
        <v>1</v>
      </c>
      <c r="D32" s="180">
        <v>0</v>
      </c>
      <c r="E32" s="172">
        <v>0</v>
      </c>
      <c r="F32" s="172">
        <v>0</v>
      </c>
      <c r="G32" s="213">
        <v>0</v>
      </c>
      <c r="H32" s="212">
        <v>2</v>
      </c>
      <c r="I32" s="172">
        <v>2</v>
      </c>
      <c r="J32" s="213">
        <v>0</v>
      </c>
      <c r="K32" s="212">
        <v>0</v>
      </c>
      <c r="L32" s="172">
        <v>5</v>
      </c>
      <c r="M32" s="213">
        <v>0</v>
      </c>
      <c r="N32" s="212">
        <v>2</v>
      </c>
      <c r="O32" s="172">
        <v>0</v>
      </c>
      <c r="P32" s="213">
        <v>1</v>
      </c>
      <c r="Q32" s="94"/>
    </row>
    <row r="33" spans="1:23" x14ac:dyDescent="0.25">
      <c r="A33" s="80">
        <v>45848</v>
      </c>
      <c r="B33" s="179">
        <v>2</v>
      </c>
      <c r="C33" s="171">
        <v>0</v>
      </c>
      <c r="D33" s="180">
        <v>0</v>
      </c>
      <c r="E33" s="172">
        <v>0</v>
      </c>
      <c r="F33" s="172">
        <v>0</v>
      </c>
      <c r="G33" s="213">
        <v>0</v>
      </c>
      <c r="H33" s="212">
        <v>1</v>
      </c>
      <c r="I33" s="172">
        <v>4</v>
      </c>
      <c r="J33" s="213">
        <v>0</v>
      </c>
      <c r="K33" s="212">
        <v>0</v>
      </c>
      <c r="L33" s="172">
        <v>7</v>
      </c>
      <c r="M33" s="213">
        <v>0</v>
      </c>
      <c r="N33" s="212">
        <v>1</v>
      </c>
      <c r="O33" s="172">
        <v>0</v>
      </c>
      <c r="P33" s="213">
        <v>0</v>
      </c>
      <c r="Q33" s="94"/>
    </row>
    <row r="34" spans="1:23" x14ac:dyDescent="0.25">
      <c r="A34" s="80">
        <v>45847</v>
      </c>
      <c r="B34" s="179">
        <v>2</v>
      </c>
      <c r="C34" s="171">
        <v>0</v>
      </c>
      <c r="D34" s="180">
        <v>0</v>
      </c>
      <c r="E34" s="172">
        <v>2</v>
      </c>
      <c r="F34" s="172">
        <v>1</v>
      </c>
      <c r="G34" s="213">
        <v>0</v>
      </c>
      <c r="H34" s="212">
        <v>2</v>
      </c>
      <c r="I34" s="172">
        <v>5</v>
      </c>
      <c r="J34" s="213">
        <v>0</v>
      </c>
      <c r="K34" s="212">
        <v>0</v>
      </c>
      <c r="L34" s="172">
        <v>0</v>
      </c>
      <c r="M34" s="213">
        <v>1</v>
      </c>
      <c r="N34" s="212">
        <v>4</v>
      </c>
      <c r="O34" s="172">
        <v>0</v>
      </c>
      <c r="P34" s="213">
        <v>0</v>
      </c>
      <c r="Q34" s="94"/>
      <c r="S34" s="99" t="s">
        <v>0</v>
      </c>
      <c r="T34" t="s">
        <v>139</v>
      </c>
      <c r="U34" t="s">
        <v>142</v>
      </c>
      <c r="V34" t="s">
        <v>140</v>
      </c>
      <c r="W34" t="s">
        <v>141</v>
      </c>
    </row>
    <row r="35" spans="1:23" x14ac:dyDescent="0.25">
      <c r="A35" s="80">
        <v>45846</v>
      </c>
      <c r="B35" s="179">
        <v>1</v>
      </c>
      <c r="C35" s="171">
        <v>0</v>
      </c>
      <c r="D35" s="180">
        <v>0</v>
      </c>
      <c r="E35" s="172">
        <v>2</v>
      </c>
      <c r="F35" s="172">
        <v>0</v>
      </c>
      <c r="G35" s="213">
        <v>0</v>
      </c>
      <c r="H35" s="212">
        <v>2</v>
      </c>
      <c r="I35" s="172">
        <v>2</v>
      </c>
      <c r="J35" s="213">
        <v>0</v>
      </c>
      <c r="K35" s="212">
        <v>0</v>
      </c>
      <c r="L35" s="172">
        <v>6</v>
      </c>
      <c r="M35" s="213">
        <v>1</v>
      </c>
      <c r="N35" s="212">
        <v>0</v>
      </c>
      <c r="O35" s="172">
        <v>0</v>
      </c>
      <c r="P35" s="213">
        <v>0</v>
      </c>
      <c r="Q35" s="94"/>
      <c r="R35" s="100" t="s">
        <v>104</v>
      </c>
      <c r="S35" s="94">
        <v>71</v>
      </c>
      <c r="T35" s="189">
        <v>107</v>
      </c>
      <c r="U35" s="189">
        <v>124</v>
      </c>
      <c r="V35" s="189">
        <v>167</v>
      </c>
      <c r="W35" s="189">
        <v>42</v>
      </c>
    </row>
    <row r="36" spans="1:23" x14ac:dyDescent="0.25">
      <c r="A36" s="80">
        <v>45845</v>
      </c>
      <c r="B36" s="179">
        <v>0</v>
      </c>
      <c r="C36" s="171">
        <v>0</v>
      </c>
      <c r="D36" s="180">
        <v>0</v>
      </c>
      <c r="E36" s="172">
        <v>4</v>
      </c>
      <c r="F36" s="172">
        <v>1</v>
      </c>
      <c r="G36" s="213">
        <v>0</v>
      </c>
      <c r="H36" s="212">
        <v>4</v>
      </c>
      <c r="I36" s="172">
        <v>1</v>
      </c>
      <c r="J36" s="213">
        <v>0</v>
      </c>
      <c r="K36" s="212">
        <v>0</v>
      </c>
      <c r="L36" s="172">
        <v>4</v>
      </c>
      <c r="M36" s="213">
        <v>0</v>
      </c>
      <c r="N36" s="212">
        <v>0</v>
      </c>
      <c r="O36" s="172">
        <v>0</v>
      </c>
      <c r="P36" s="213">
        <v>0</v>
      </c>
      <c r="Q36" s="94"/>
      <c r="R36" s="100" t="s">
        <v>103</v>
      </c>
      <c r="S36" s="94">
        <v>70</v>
      </c>
      <c r="T36" s="189">
        <v>103</v>
      </c>
      <c r="U36" s="189">
        <v>152</v>
      </c>
      <c r="V36" s="189">
        <v>147</v>
      </c>
      <c r="W36" s="189">
        <v>37</v>
      </c>
    </row>
    <row r="37" spans="1:23" x14ac:dyDescent="0.25">
      <c r="A37" s="79" t="s">
        <v>186</v>
      </c>
      <c r="B37" s="179">
        <v>6</v>
      </c>
      <c r="C37" s="171">
        <v>1</v>
      </c>
      <c r="D37" s="180">
        <v>0</v>
      </c>
      <c r="E37" s="172">
        <v>8</v>
      </c>
      <c r="F37" s="172">
        <v>2</v>
      </c>
      <c r="G37" s="213">
        <v>0</v>
      </c>
      <c r="H37" s="212">
        <v>11</v>
      </c>
      <c r="I37" s="172">
        <v>14</v>
      </c>
      <c r="J37" s="213">
        <v>0</v>
      </c>
      <c r="K37" s="212">
        <v>0</v>
      </c>
      <c r="L37" s="172">
        <v>22</v>
      </c>
      <c r="M37" s="213">
        <v>2</v>
      </c>
      <c r="N37" s="212">
        <v>7</v>
      </c>
      <c r="O37" s="172">
        <v>0</v>
      </c>
      <c r="P37" s="213">
        <v>1</v>
      </c>
      <c r="Q37" s="94"/>
      <c r="R37" s="100" t="s">
        <v>106</v>
      </c>
      <c r="S37" s="94">
        <v>55</v>
      </c>
      <c r="T37" s="189">
        <v>91</v>
      </c>
      <c r="U37" s="189">
        <v>145</v>
      </c>
      <c r="V37" s="189">
        <v>148</v>
      </c>
      <c r="W37" s="189">
        <v>59</v>
      </c>
    </row>
    <row r="38" spans="1:23" x14ac:dyDescent="0.25">
      <c r="A38" s="110" t="s">
        <v>182</v>
      </c>
      <c r="B38" s="179"/>
      <c r="C38" s="171"/>
      <c r="D38" s="180"/>
      <c r="E38" s="172"/>
      <c r="F38" s="172"/>
      <c r="G38" s="213"/>
      <c r="H38" s="212"/>
      <c r="I38" s="172"/>
      <c r="J38" s="213"/>
      <c r="K38" s="212"/>
      <c r="L38" s="172"/>
      <c r="M38" s="213"/>
      <c r="N38" s="212"/>
      <c r="O38" s="172"/>
      <c r="P38" s="213"/>
      <c r="Q38" s="94"/>
      <c r="R38" s="100" t="s">
        <v>107</v>
      </c>
      <c r="S38" s="94">
        <v>52</v>
      </c>
      <c r="T38" s="189">
        <v>76</v>
      </c>
      <c r="U38" s="189">
        <v>136</v>
      </c>
      <c r="V38" s="189">
        <v>145</v>
      </c>
      <c r="W38" s="189">
        <v>46</v>
      </c>
    </row>
    <row r="39" spans="1:23" x14ac:dyDescent="0.25">
      <c r="A39" s="80">
        <v>45842</v>
      </c>
      <c r="B39" s="179">
        <v>0</v>
      </c>
      <c r="C39" s="171">
        <v>0</v>
      </c>
      <c r="D39" s="180">
        <v>0</v>
      </c>
      <c r="E39" s="172">
        <v>0</v>
      </c>
      <c r="F39" s="172">
        <v>0</v>
      </c>
      <c r="G39" s="213">
        <v>0</v>
      </c>
      <c r="H39" s="212">
        <v>1</v>
      </c>
      <c r="I39" s="172">
        <v>1</v>
      </c>
      <c r="J39" s="213">
        <v>1</v>
      </c>
      <c r="K39" s="212">
        <v>0</v>
      </c>
      <c r="L39" s="172">
        <v>0</v>
      </c>
      <c r="M39" s="213">
        <v>0</v>
      </c>
      <c r="N39" s="212">
        <v>0</v>
      </c>
      <c r="O39" s="172">
        <v>1</v>
      </c>
      <c r="P39" s="213">
        <v>0</v>
      </c>
      <c r="Q39" s="94"/>
      <c r="R39" s="100" t="s">
        <v>105</v>
      </c>
      <c r="S39" s="94">
        <v>46</v>
      </c>
      <c r="T39" s="189">
        <v>83</v>
      </c>
      <c r="U39" s="189">
        <v>135</v>
      </c>
      <c r="V39" s="189">
        <v>112</v>
      </c>
      <c r="W39" s="189">
        <v>37</v>
      </c>
    </row>
    <row r="40" spans="1:23" x14ac:dyDescent="0.25">
      <c r="A40" s="80">
        <v>45841</v>
      </c>
      <c r="B40" s="179">
        <v>0</v>
      </c>
      <c r="C40" s="171">
        <v>0</v>
      </c>
      <c r="D40" s="180">
        <v>0</v>
      </c>
      <c r="E40" s="172">
        <v>1</v>
      </c>
      <c r="F40" s="172">
        <v>0</v>
      </c>
      <c r="G40" s="213">
        <v>0</v>
      </c>
      <c r="H40" s="212">
        <v>1</v>
      </c>
      <c r="I40" s="172">
        <v>3</v>
      </c>
      <c r="J40" s="213">
        <v>0</v>
      </c>
      <c r="K40" s="212">
        <v>0</v>
      </c>
      <c r="L40" s="172">
        <v>2</v>
      </c>
      <c r="M40" s="213">
        <v>0</v>
      </c>
      <c r="N40" s="212">
        <v>0</v>
      </c>
      <c r="O40" s="172">
        <v>0</v>
      </c>
      <c r="P40" s="213">
        <v>0</v>
      </c>
      <c r="Q40" s="94"/>
    </row>
    <row r="41" spans="1:23" x14ac:dyDescent="0.25">
      <c r="A41" s="80">
        <v>45840</v>
      </c>
      <c r="B41" s="179">
        <v>0</v>
      </c>
      <c r="C41" s="171">
        <v>0</v>
      </c>
      <c r="D41" s="180">
        <v>0</v>
      </c>
      <c r="E41" s="172">
        <v>3</v>
      </c>
      <c r="F41" s="172">
        <v>1</v>
      </c>
      <c r="G41" s="213">
        <v>0</v>
      </c>
      <c r="H41" s="212">
        <v>0</v>
      </c>
      <c r="I41" s="172">
        <v>2</v>
      </c>
      <c r="J41" s="213">
        <v>2</v>
      </c>
      <c r="K41" s="212">
        <v>0</v>
      </c>
      <c r="L41" s="172">
        <v>3</v>
      </c>
      <c r="M41" s="213">
        <v>0</v>
      </c>
      <c r="N41" s="212">
        <v>1</v>
      </c>
      <c r="O41" s="172">
        <v>2</v>
      </c>
      <c r="P41" s="213">
        <v>0</v>
      </c>
      <c r="Q41" s="94"/>
    </row>
    <row r="42" spans="1:23" x14ac:dyDescent="0.25">
      <c r="A42" s="80">
        <v>45839</v>
      </c>
      <c r="B42" s="179">
        <v>2</v>
      </c>
      <c r="C42" s="171">
        <v>1</v>
      </c>
      <c r="D42" s="180">
        <v>0</v>
      </c>
      <c r="E42" s="172">
        <v>4</v>
      </c>
      <c r="F42" s="172">
        <v>1</v>
      </c>
      <c r="G42" s="213">
        <v>0</v>
      </c>
      <c r="H42" s="212">
        <v>1</v>
      </c>
      <c r="I42" s="172">
        <v>3</v>
      </c>
      <c r="J42" s="213">
        <v>0</v>
      </c>
      <c r="K42" s="212">
        <v>0</v>
      </c>
      <c r="L42" s="172">
        <v>1</v>
      </c>
      <c r="M42" s="213">
        <v>1</v>
      </c>
      <c r="N42" s="212">
        <v>0</v>
      </c>
      <c r="O42" s="172">
        <v>0</v>
      </c>
      <c r="P42" s="213">
        <v>0</v>
      </c>
      <c r="Q42" s="94"/>
    </row>
    <row r="43" spans="1:23" x14ac:dyDescent="0.25">
      <c r="A43" s="80">
        <v>45838</v>
      </c>
      <c r="B43" s="179">
        <v>2</v>
      </c>
      <c r="C43" s="171">
        <v>1</v>
      </c>
      <c r="D43" s="180">
        <v>0</v>
      </c>
      <c r="E43" s="172">
        <v>3</v>
      </c>
      <c r="F43" s="172">
        <v>2</v>
      </c>
      <c r="G43" s="213">
        <v>1</v>
      </c>
      <c r="H43" s="212">
        <v>1</v>
      </c>
      <c r="I43" s="172">
        <v>2</v>
      </c>
      <c r="J43" s="213">
        <v>0</v>
      </c>
      <c r="K43" s="212">
        <v>0</v>
      </c>
      <c r="L43" s="172">
        <v>4</v>
      </c>
      <c r="M43" s="213">
        <v>1</v>
      </c>
      <c r="N43" s="212">
        <v>0</v>
      </c>
      <c r="O43" s="172">
        <v>0</v>
      </c>
      <c r="P43" s="213">
        <v>0</v>
      </c>
      <c r="Q43" s="94"/>
    </row>
    <row r="44" spans="1:23" x14ac:dyDescent="0.25">
      <c r="A44" s="79" t="s">
        <v>183</v>
      </c>
      <c r="B44" s="179">
        <v>4</v>
      </c>
      <c r="C44" s="171">
        <v>2</v>
      </c>
      <c r="D44" s="180">
        <v>0</v>
      </c>
      <c r="E44" s="172">
        <v>11</v>
      </c>
      <c r="F44" s="172">
        <v>4</v>
      </c>
      <c r="G44" s="213">
        <v>1</v>
      </c>
      <c r="H44" s="212">
        <v>4</v>
      </c>
      <c r="I44" s="172">
        <v>11</v>
      </c>
      <c r="J44" s="213">
        <v>3</v>
      </c>
      <c r="K44" s="212">
        <v>0</v>
      </c>
      <c r="L44" s="172">
        <v>10</v>
      </c>
      <c r="M44" s="213">
        <v>2</v>
      </c>
      <c r="N44" s="212">
        <v>1</v>
      </c>
      <c r="O44" s="172">
        <v>3</v>
      </c>
      <c r="P44" s="213">
        <v>0</v>
      </c>
      <c r="Q44" s="94"/>
    </row>
    <row r="45" spans="1:23" x14ac:dyDescent="0.25">
      <c r="A45" s="110" t="s">
        <v>180</v>
      </c>
      <c r="B45" s="179"/>
      <c r="C45" s="171"/>
      <c r="D45" s="180"/>
      <c r="E45" s="172"/>
      <c r="F45" s="172"/>
      <c r="G45" s="213"/>
      <c r="H45" s="212"/>
      <c r="I45" s="172"/>
      <c r="J45" s="213"/>
      <c r="K45" s="212"/>
      <c r="L45" s="172"/>
      <c r="M45" s="213"/>
      <c r="N45" s="212"/>
      <c r="O45" s="172"/>
      <c r="P45" s="213"/>
      <c r="Q45" s="94"/>
    </row>
    <row r="46" spans="1:23" x14ac:dyDescent="0.25">
      <c r="A46" s="80">
        <v>45835</v>
      </c>
      <c r="B46" s="179">
        <v>0</v>
      </c>
      <c r="C46" s="171">
        <v>0</v>
      </c>
      <c r="D46" s="180">
        <v>0</v>
      </c>
      <c r="E46" s="172">
        <v>1</v>
      </c>
      <c r="F46" s="172">
        <v>2</v>
      </c>
      <c r="G46" s="213">
        <v>0</v>
      </c>
      <c r="H46" s="212">
        <v>2</v>
      </c>
      <c r="I46" s="172">
        <v>2</v>
      </c>
      <c r="J46" s="213">
        <v>0</v>
      </c>
      <c r="K46" s="212">
        <v>0</v>
      </c>
      <c r="L46" s="172">
        <v>3</v>
      </c>
      <c r="M46" s="213">
        <v>1</v>
      </c>
      <c r="N46" s="212">
        <v>0</v>
      </c>
      <c r="O46" s="172">
        <v>0</v>
      </c>
      <c r="P46" s="213">
        <v>1</v>
      </c>
      <c r="Q46" s="94"/>
    </row>
    <row r="47" spans="1:23" x14ac:dyDescent="0.25">
      <c r="A47" s="80">
        <v>45834</v>
      </c>
      <c r="B47" s="179">
        <v>3</v>
      </c>
      <c r="C47" s="171">
        <v>1</v>
      </c>
      <c r="D47" s="180">
        <v>1</v>
      </c>
      <c r="E47" s="172">
        <v>0</v>
      </c>
      <c r="F47" s="172">
        <v>3</v>
      </c>
      <c r="G47" s="213">
        <v>1</v>
      </c>
      <c r="H47" s="212">
        <v>0</v>
      </c>
      <c r="I47" s="172">
        <v>0</v>
      </c>
      <c r="J47" s="213">
        <v>0</v>
      </c>
      <c r="K47" s="212">
        <v>0</v>
      </c>
      <c r="L47" s="172">
        <v>4</v>
      </c>
      <c r="M47" s="213">
        <v>0</v>
      </c>
      <c r="N47" s="212">
        <v>0</v>
      </c>
      <c r="O47" s="172">
        <v>0</v>
      </c>
      <c r="P47" s="213">
        <v>0</v>
      </c>
      <c r="Q47" s="94"/>
    </row>
    <row r="48" spans="1:23" x14ac:dyDescent="0.25">
      <c r="A48" s="80">
        <v>45833</v>
      </c>
      <c r="B48" s="179">
        <v>1</v>
      </c>
      <c r="C48" s="171">
        <v>0</v>
      </c>
      <c r="D48" s="180">
        <v>0</v>
      </c>
      <c r="E48" s="172">
        <v>2</v>
      </c>
      <c r="F48" s="172">
        <v>0</v>
      </c>
      <c r="G48" s="213">
        <v>0</v>
      </c>
      <c r="H48" s="212">
        <v>3</v>
      </c>
      <c r="I48" s="172">
        <v>1</v>
      </c>
      <c r="J48" s="213">
        <v>0</v>
      </c>
      <c r="K48" s="212">
        <v>0</v>
      </c>
      <c r="L48" s="172">
        <v>3</v>
      </c>
      <c r="M48" s="213">
        <v>1</v>
      </c>
      <c r="N48" s="212">
        <v>0</v>
      </c>
      <c r="O48" s="172">
        <v>1</v>
      </c>
      <c r="P48" s="213">
        <v>1</v>
      </c>
      <c r="Q48" s="94"/>
    </row>
    <row r="49" spans="1:17" x14ac:dyDescent="0.25">
      <c r="A49" s="80">
        <v>45832</v>
      </c>
      <c r="B49" s="179">
        <v>1</v>
      </c>
      <c r="C49" s="171">
        <v>0</v>
      </c>
      <c r="D49" s="180">
        <v>0</v>
      </c>
      <c r="E49" s="172">
        <v>0</v>
      </c>
      <c r="F49" s="172">
        <v>2</v>
      </c>
      <c r="G49" s="213">
        <v>0</v>
      </c>
      <c r="H49" s="212">
        <v>1</v>
      </c>
      <c r="I49" s="172">
        <v>1</v>
      </c>
      <c r="J49" s="213">
        <v>1</v>
      </c>
      <c r="K49" s="212">
        <v>0</v>
      </c>
      <c r="L49" s="172">
        <v>1</v>
      </c>
      <c r="M49" s="213">
        <v>0</v>
      </c>
      <c r="N49" s="212">
        <v>0</v>
      </c>
      <c r="O49" s="172">
        <v>0</v>
      </c>
      <c r="P49" s="213">
        <v>0</v>
      </c>
      <c r="Q49" s="94"/>
    </row>
    <row r="50" spans="1:17" x14ac:dyDescent="0.25">
      <c r="A50" s="80">
        <v>45831</v>
      </c>
      <c r="B50" s="179">
        <v>3</v>
      </c>
      <c r="C50" s="171">
        <v>0</v>
      </c>
      <c r="D50" s="180">
        <v>1</v>
      </c>
      <c r="E50" s="172">
        <v>2</v>
      </c>
      <c r="F50" s="172">
        <v>0</v>
      </c>
      <c r="G50" s="213">
        <v>0</v>
      </c>
      <c r="H50" s="212">
        <v>4</v>
      </c>
      <c r="I50" s="172">
        <v>0</v>
      </c>
      <c r="J50" s="213">
        <v>0</v>
      </c>
      <c r="K50" s="212">
        <v>0</v>
      </c>
      <c r="L50" s="172">
        <v>2</v>
      </c>
      <c r="M50" s="213">
        <v>0</v>
      </c>
      <c r="N50" s="212">
        <v>1</v>
      </c>
      <c r="O50" s="172">
        <v>0</v>
      </c>
      <c r="P50" s="213">
        <v>0</v>
      </c>
      <c r="Q50" s="94"/>
    </row>
    <row r="51" spans="1:17" x14ac:dyDescent="0.25">
      <c r="A51" s="79" t="s">
        <v>181</v>
      </c>
      <c r="B51" s="179">
        <v>8</v>
      </c>
      <c r="C51" s="171">
        <v>1</v>
      </c>
      <c r="D51" s="180">
        <v>2</v>
      </c>
      <c r="E51" s="172">
        <v>5</v>
      </c>
      <c r="F51" s="172">
        <v>7</v>
      </c>
      <c r="G51" s="213">
        <v>1</v>
      </c>
      <c r="H51" s="212">
        <v>10</v>
      </c>
      <c r="I51" s="172">
        <v>4</v>
      </c>
      <c r="J51" s="213">
        <v>1</v>
      </c>
      <c r="K51" s="212">
        <v>0</v>
      </c>
      <c r="L51" s="172">
        <v>13</v>
      </c>
      <c r="M51" s="213">
        <v>2</v>
      </c>
      <c r="N51" s="212">
        <v>1</v>
      </c>
      <c r="O51" s="172">
        <v>1</v>
      </c>
      <c r="P51" s="213">
        <v>2</v>
      </c>
      <c r="Q51" s="94"/>
    </row>
    <row r="52" spans="1:17" x14ac:dyDescent="0.25">
      <c r="A52" s="110" t="s">
        <v>175</v>
      </c>
      <c r="B52" s="179"/>
      <c r="C52" s="171"/>
      <c r="D52" s="180"/>
      <c r="E52" s="172"/>
      <c r="F52" s="172"/>
      <c r="G52" s="213"/>
      <c r="H52" s="212"/>
      <c r="I52" s="172"/>
      <c r="J52" s="213"/>
      <c r="K52" s="212"/>
      <c r="L52" s="172"/>
      <c r="M52" s="213"/>
      <c r="N52" s="212"/>
      <c r="O52" s="172"/>
      <c r="P52" s="213"/>
      <c r="Q52" s="94"/>
    </row>
    <row r="53" spans="1:17" x14ac:dyDescent="0.25">
      <c r="A53" s="80">
        <v>45828</v>
      </c>
      <c r="B53" s="179">
        <v>2</v>
      </c>
      <c r="C53" s="171">
        <v>0</v>
      </c>
      <c r="D53" s="180">
        <v>0</v>
      </c>
      <c r="E53" s="172">
        <v>1</v>
      </c>
      <c r="F53" s="172">
        <v>1</v>
      </c>
      <c r="G53" s="213">
        <v>1</v>
      </c>
      <c r="H53" s="212">
        <v>6</v>
      </c>
      <c r="I53" s="172">
        <v>2</v>
      </c>
      <c r="J53" s="213">
        <v>0</v>
      </c>
      <c r="K53" s="212">
        <v>0</v>
      </c>
      <c r="L53" s="172">
        <v>2</v>
      </c>
      <c r="M53" s="213">
        <v>0</v>
      </c>
      <c r="N53" s="212">
        <v>1</v>
      </c>
      <c r="O53" s="172">
        <v>0</v>
      </c>
      <c r="P53" s="213">
        <v>0</v>
      </c>
      <c r="Q53" s="94"/>
    </row>
    <row r="54" spans="1:17" x14ac:dyDescent="0.25">
      <c r="A54" s="80">
        <v>45827</v>
      </c>
      <c r="B54" s="179">
        <v>3</v>
      </c>
      <c r="C54" s="171">
        <v>0</v>
      </c>
      <c r="D54" s="180">
        <v>1</v>
      </c>
      <c r="E54" s="172">
        <v>2</v>
      </c>
      <c r="F54" s="172">
        <v>1</v>
      </c>
      <c r="G54" s="213">
        <v>0</v>
      </c>
      <c r="H54" s="212">
        <v>5</v>
      </c>
      <c r="I54" s="172">
        <v>2</v>
      </c>
      <c r="J54" s="213">
        <v>2</v>
      </c>
      <c r="K54" s="212">
        <v>2</v>
      </c>
      <c r="L54" s="172">
        <v>5</v>
      </c>
      <c r="M54" s="213">
        <v>1</v>
      </c>
      <c r="N54" s="212">
        <v>0</v>
      </c>
      <c r="O54" s="172">
        <v>0</v>
      </c>
      <c r="P54" s="213">
        <v>0</v>
      </c>
      <c r="Q54" s="94"/>
    </row>
    <row r="55" spans="1:17" x14ac:dyDescent="0.25">
      <c r="A55" s="80">
        <v>45826</v>
      </c>
      <c r="B55" s="179">
        <v>1</v>
      </c>
      <c r="C55" s="171">
        <v>1</v>
      </c>
      <c r="D55" s="180">
        <v>0</v>
      </c>
      <c r="E55" s="172">
        <v>0</v>
      </c>
      <c r="F55" s="172">
        <v>1</v>
      </c>
      <c r="G55" s="213">
        <v>0</v>
      </c>
      <c r="H55" s="212">
        <v>2</v>
      </c>
      <c r="I55" s="172">
        <v>2</v>
      </c>
      <c r="J55" s="213">
        <v>0</v>
      </c>
      <c r="K55" s="212">
        <v>1</v>
      </c>
      <c r="L55" s="172">
        <v>3</v>
      </c>
      <c r="M55" s="213">
        <v>0</v>
      </c>
      <c r="N55" s="212">
        <v>1</v>
      </c>
      <c r="O55" s="172">
        <v>1</v>
      </c>
      <c r="P55" s="213">
        <v>0</v>
      </c>
      <c r="Q55" s="94"/>
    </row>
    <row r="56" spans="1:17" x14ac:dyDescent="0.25">
      <c r="A56" s="80">
        <v>45825</v>
      </c>
      <c r="B56" s="179">
        <v>0</v>
      </c>
      <c r="C56" s="171">
        <v>0</v>
      </c>
      <c r="D56" s="180">
        <v>0</v>
      </c>
      <c r="E56" s="172">
        <v>0</v>
      </c>
      <c r="F56" s="172">
        <v>1</v>
      </c>
      <c r="G56" s="213">
        <v>0</v>
      </c>
      <c r="H56" s="212">
        <v>4</v>
      </c>
      <c r="I56" s="172">
        <v>0</v>
      </c>
      <c r="J56" s="213">
        <v>0</v>
      </c>
      <c r="K56" s="212">
        <v>3</v>
      </c>
      <c r="L56" s="172">
        <v>3</v>
      </c>
      <c r="M56" s="213">
        <v>0</v>
      </c>
      <c r="N56" s="212">
        <v>1</v>
      </c>
      <c r="O56" s="172">
        <v>0</v>
      </c>
      <c r="P56" s="213">
        <v>0</v>
      </c>
      <c r="Q56" s="94"/>
    </row>
    <row r="57" spans="1:17" x14ac:dyDescent="0.25">
      <c r="A57" s="80">
        <v>45824</v>
      </c>
      <c r="B57" s="179">
        <v>3</v>
      </c>
      <c r="C57" s="171">
        <v>0</v>
      </c>
      <c r="D57" s="180">
        <v>0</v>
      </c>
      <c r="E57" s="172">
        <v>0</v>
      </c>
      <c r="F57" s="172">
        <v>0</v>
      </c>
      <c r="G57" s="213">
        <v>0</v>
      </c>
      <c r="H57" s="212">
        <v>2</v>
      </c>
      <c r="I57" s="172">
        <v>0</v>
      </c>
      <c r="J57" s="213">
        <v>0</v>
      </c>
      <c r="K57" s="212">
        <v>0</v>
      </c>
      <c r="L57" s="172">
        <v>2</v>
      </c>
      <c r="M57" s="213">
        <v>0</v>
      </c>
      <c r="N57" s="212">
        <v>0</v>
      </c>
      <c r="O57" s="172">
        <v>1</v>
      </c>
      <c r="P57" s="213">
        <v>0</v>
      </c>
      <c r="Q57" s="94"/>
    </row>
    <row r="58" spans="1:17" x14ac:dyDescent="0.25">
      <c r="A58" s="79" t="s">
        <v>176</v>
      </c>
      <c r="B58" s="179">
        <v>9</v>
      </c>
      <c r="C58" s="171">
        <v>1</v>
      </c>
      <c r="D58" s="180">
        <v>1</v>
      </c>
      <c r="E58" s="172">
        <v>3</v>
      </c>
      <c r="F58" s="172">
        <v>4</v>
      </c>
      <c r="G58" s="213">
        <v>1</v>
      </c>
      <c r="H58" s="212">
        <v>19</v>
      </c>
      <c r="I58" s="172">
        <v>6</v>
      </c>
      <c r="J58" s="213">
        <v>2</v>
      </c>
      <c r="K58" s="212">
        <v>6</v>
      </c>
      <c r="L58" s="172">
        <v>15</v>
      </c>
      <c r="M58" s="213">
        <v>1</v>
      </c>
      <c r="N58" s="212">
        <v>3</v>
      </c>
      <c r="O58" s="172">
        <v>2</v>
      </c>
      <c r="P58" s="213">
        <v>0</v>
      </c>
      <c r="Q58" s="94"/>
    </row>
    <row r="59" spans="1:17" x14ac:dyDescent="0.25">
      <c r="A59" s="110" t="s">
        <v>173</v>
      </c>
      <c r="B59" s="179"/>
      <c r="C59" s="171"/>
      <c r="D59" s="180"/>
      <c r="E59" s="172"/>
      <c r="F59" s="172"/>
      <c r="G59" s="213"/>
      <c r="H59" s="212"/>
      <c r="I59" s="172"/>
      <c r="J59" s="213"/>
      <c r="K59" s="212"/>
      <c r="L59" s="172"/>
      <c r="M59" s="213"/>
      <c r="N59" s="212"/>
      <c r="O59" s="172"/>
      <c r="P59" s="213"/>
      <c r="Q59" s="94"/>
    </row>
    <row r="60" spans="1:17" x14ac:dyDescent="0.25">
      <c r="A60" s="80">
        <v>45819</v>
      </c>
      <c r="B60" s="179">
        <v>1</v>
      </c>
      <c r="C60" s="171">
        <v>0</v>
      </c>
      <c r="D60" s="180">
        <v>0</v>
      </c>
      <c r="E60" s="172">
        <v>0</v>
      </c>
      <c r="F60" s="172">
        <v>1</v>
      </c>
      <c r="G60" s="213">
        <v>0</v>
      </c>
      <c r="H60" s="212">
        <v>0</v>
      </c>
      <c r="I60" s="172">
        <v>3</v>
      </c>
      <c r="J60" s="213">
        <v>0</v>
      </c>
      <c r="K60" s="212">
        <v>0</v>
      </c>
      <c r="L60" s="172">
        <v>4</v>
      </c>
      <c r="M60" s="213">
        <v>0</v>
      </c>
      <c r="N60" s="212">
        <v>1</v>
      </c>
      <c r="O60" s="172">
        <v>0</v>
      </c>
      <c r="P60" s="213">
        <v>0</v>
      </c>
      <c r="Q60" s="94"/>
    </row>
    <row r="61" spans="1:17" x14ac:dyDescent="0.25">
      <c r="A61" s="80">
        <v>45818</v>
      </c>
      <c r="B61" s="179">
        <v>2</v>
      </c>
      <c r="C61" s="171">
        <v>0</v>
      </c>
      <c r="D61" s="180">
        <v>0</v>
      </c>
      <c r="E61" s="172">
        <v>0</v>
      </c>
      <c r="F61" s="172">
        <v>0</v>
      </c>
      <c r="G61" s="213">
        <v>0</v>
      </c>
      <c r="H61" s="212">
        <v>3</v>
      </c>
      <c r="I61" s="172">
        <v>3</v>
      </c>
      <c r="J61" s="213">
        <v>0</v>
      </c>
      <c r="K61" s="212">
        <v>0</v>
      </c>
      <c r="L61" s="172">
        <v>5</v>
      </c>
      <c r="M61" s="213">
        <v>0</v>
      </c>
      <c r="N61" s="212">
        <v>0</v>
      </c>
      <c r="O61" s="172">
        <v>3</v>
      </c>
      <c r="P61" s="213">
        <v>0</v>
      </c>
      <c r="Q61" s="94"/>
    </row>
    <row r="62" spans="1:17" x14ac:dyDescent="0.25">
      <c r="A62" s="80">
        <v>45817</v>
      </c>
      <c r="B62" s="179">
        <v>3</v>
      </c>
      <c r="C62" s="171">
        <v>0</v>
      </c>
      <c r="D62" s="180">
        <v>1</v>
      </c>
      <c r="E62" s="172">
        <v>1</v>
      </c>
      <c r="F62" s="172">
        <v>2</v>
      </c>
      <c r="G62" s="213">
        <v>0</v>
      </c>
      <c r="H62" s="212">
        <v>4</v>
      </c>
      <c r="I62" s="172">
        <v>5</v>
      </c>
      <c r="J62" s="213">
        <v>1</v>
      </c>
      <c r="K62" s="212">
        <v>0</v>
      </c>
      <c r="L62" s="172">
        <v>4</v>
      </c>
      <c r="M62" s="213">
        <v>0</v>
      </c>
      <c r="N62" s="212">
        <v>0</v>
      </c>
      <c r="O62" s="172">
        <v>1</v>
      </c>
      <c r="P62" s="213">
        <v>0</v>
      </c>
      <c r="Q62" s="94"/>
    </row>
    <row r="63" spans="1:17" x14ac:dyDescent="0.25">
      <c r="A63" s="79" t="s">
        <v>174</v>
      </c>
      <c r="B63" s="179">
        <v>6</v>
      </c>
      <c r="C63" s="171">
        <v>0</v>
      </c>
      <c r="D63" s="180">
        <v>1</v>
      </c>
      <c r="E63" s="172">
        <v>1</v>
      </c>
      <c r="F63" s="172">
        <v>3</v>
      </c>
      <c r="G63" s="213">
        <v>0</v>
      </c>
      <c r="H63" s="212">
        <v>7</v>
      </c>
      <c r="I63" s="172">
        <v>11</v>
      </c>
      <c r="J63" s="213">
        <v>1</v>
      </c>
      <c r="K63" s="212">
        <v>0</v>
      </c>
      <c r="L63" s="172">
        <v>13</v>
      </c>
      <c r="M63" s="213">
        <v>0</v>
      </c>
      <c r="N63" s="212">
        <v>1</v>
      </c>
      <c r="O63" s="172">
        <v>4</v>
      </c>
      <c r="P63" s="213">
        <v>0</v>
      </c>
      <c r="Q63" s="94"/>
    </row>
    <row r="64" spans="1:17" x14ac:dyDescent="0.25">
      <c r="A64" s="110" t="s">
        <v>168</v>
      </c>
      <c r="B64" s="179"/>
      <c r="C64" s="171"/>
      <c r="D64" s="180"/>
      <c r="E64" s="172"/>
      <c r="F64" s="172"/>
      <c r="G64" s="213"/>
      <c r="H64" s="212"/>
      <c r="I64" s="172"/>
      <c r="J64" s="213"/>
      <c r="K64" s="212"/>
      <c r="L64" s="172"/>
      <c r="M64" s="213"/>
      <c r="N64" s="212"/>
      <c r="O64" s="172"/>
      <c r="P64" s="213"/>
      <c r="Q64" s="94"/>
    </row>
    <row r="65" spans="1:17" x14ac:dyDescent="0.25">
      <c r="A65" s="80">
        <v>45814</v>
      </c>
      <c r="B65" s="179">
        <v>3</v>
      </c>
      <c r="C65" s="171">
        <v>0</v>
      </c>
      <c r="D65" s="180">
        <v>0</v>
      </c>
      <c r="E65" s="172">
        <v>0</v>
      </c>
      <c r="F65" s="172">
        <v>2</v>
      </c>
      <c r="G65" s="213">
        <v>0</v>
      </c>
      <c r="H65" s="212">
        <v>3</v>
      </c>
      <c r="I65" s="172">
        <v>2</v>
      </c>
      <c r="J65" s="213">
        <v>0</v>
      </c>
      <c r="K65" s="212">
        <v>3</v>
      </c>
      <c r="L65" s="172">
        <v>2</v>
      </c>
      <c r="M65" s="213">
        <v>0</v>
      </c>
      <c r="N65" s="212">
        <v>0</v>
      </c>
      <c r="O65" s="172">
        <v>0</v>
      </c>
      <c r="P65" s="213">
        <v>0</v>
      </c>
      <c r="Q65" s="94"/>
    </row>
    <row r="66" spans="1:17" x14ac:dyDescent="0.25">
      <c r="A66" s="80">
        <v>45813</v>
      </c>
      <c r="B66" s="179">
        <v>4</v>
      </c>
      <c r="C66" s="171">
        <v>0</v>
      </c>
      <c r="D66" s="180">
        <v>0</v>
      </c>
      <c r="E66" s="172">
        <v>0</v>
      </c>
      <c r="F66" s="172">
        <v>0</v>
      </c>
      <c r="G66" s="213">
        <v>1</v>
      </c>
      <c r="H66" s="212">
        <v>4</v>
      </c>
      <c r="I66" s="172">
        <v>4</v>
      </c>
      <c r="J66" s="213">
        <v>1</v>
      </c>
      <c r="K66" s="212">
        <v>2</v>
      </c>
      <c r="L66" s="172">
        <v>4</v>
      </c>
      <c r="M66" s="213">
        <v>0</v>
      </c>
      <c r="N66" s="212">
        <v>1</v>
      </c>
      <c r="O66" s="172">
        <v>0</v>
      </c>
      <c r="P66" s="213">
        <v>0</v>
      </c>
      <c r="Q66" s="94"/>
    </row>
    <row r="67" spans="1:17" x14ac:dyDescent="0.25">
      <c r="A67" s="80">
        <v>45812</v>
      </c>
      <c r="B67" s="179">
        <v>2</v>
      </c>
      <c r="C67" s="171">
        <v>0</v>
      </c>
      <c r="D67" s="180">
        <v>1</v>
      </c>
      <c r="E67" s="172">
        <v>2</v>
      </c>
      <c r="F67" s="172">
        <v>2</v>
      </c>
      <c r="G67" s="213">
        <v>0</v>
      </c>
      <c r="H67" s="212">
        <v>2</v>
      </c>
      <c r="I67" s="172">
        <v>1</v>
      </c>
      <c r="J67" s="213">
        <v>1</v>
      </c>
      <c r="K67" s="212">
        <v>0</v>
      </c>
      <c r="L67" s="172">
        <v>6</v>
      </c>
      <c r="M67" s="213">
        <v>0</v>
      </c>
      <c r="N67" s="212">
        <v>0</v>
      </c>
      <c r="O67" s="172">
        <v>1</v>
      </c>
      <c r="P67" s="213">
        <v>0</v>
      </c>
    </row>
    <row r="68" spans="1:17" x14ac:dyDescent="0.25">
      <c r="A68" s="80">
        <v>45811</v>
      </c>
      <c r="B68" s="179">
        <v>5</v>
      </c>
      <c r="C68" s="171">
        <v>1</v>
      </c>
      <c r="D68" s="180">
        <v>0</v>
      </c>
      <c r="E68" s="172">
        <v>0</v>
      </c>
      <c r="F68" s="172">
        <v>1</v>
      </c>
      <c r="G68" s="213">
        <v>0</v>
      </c>
      <c r="H68" s="212">
        <v>3</v>
      </c>
      <c r="I68" s="172">
        <v>0</v>
      </c>
      <c r="J68" s="213">
        <v>0</v>
      </c>
      <c r="K68" s="212">
        <v>3</v>
      </c>
      <c r="L68" s="172">
        <v>1</v>
      </c>
      <c r="M68" s="213">
        <v>0</v>
      </c>
      <c r="N68" s="212">
        <v>0</v>
      </c>
      <c r="O68" s="172">
        <v>1</v>
      </c>
      <c r="P68" s="213">
        <v>0</v>
      </c>
    </row>
    <row r="69" spans="1:17" x14ac:dyDescent="0.25">
      <c r="A69" s="80">
        <v>45810</v>
      </c>
      <c r="B69" s="179">
        <v>0</v>
      </c>
      <c r="C69" s="171">
        <v>0</v>
      </c>
      <c r="D69" s="180">
        <v>0</v>
      </c>
      <c r="E69" s="172">
        <v>0</v>
      </c>
      <c r="F69" s="172">
        <v>1</v>
      </c>
      <c r="G69" s="213">
        <v>3</v>
      </c>
      <c r="H69" s="212">
        <v>0</v>
      </c>
      <c r="I69" s="172">
        <v>2</v>
      </c>
      <c r="J69" s="213">
        <v>0</v>
      </c>
      <c r="K69" s="212">
        <v>2</v>
      </c>
      <c r="L69" s="172">
        <v>5</v>
      </c>
      <c r="M69" s="213">
        <v>0</v>
      </c>
      <c r="N69" s="212">
        <v>0</v>
      </c>
      <c r="O69" s="172">
        <v>0</v>
      </c>
      <c r="P69" s="213">
        <v>0</v>
      </c>
    </row>
    <row r="70" spans="1:17" x14ac:dyDescent="0.25">
      <c r="A70" s="79" t="s">
        <v>169</v>
      </c>
      <c r="B70" s="179">
        <v>14</v>
      </c>
      <c r="C70" s="171">
        <v>1</v>
      </c>
      <c r="D70" s="180">
        <v>1</v>
      </c>
      <c r="E70" s="172">
        <v>2</v>
      </c>
      <c r="F70" s="172">
        <v>6</v>
      </c>
      <c r="G70" s="213">
        <v>4</v>
      </c>
      <c r="H70" s="212">
        <v>12</v>
      </c>
      <c r="I70" s="172">
        <v>9</v>
      </c>
      <c r="J70" s="213">
        <v>2</v>
      </c>
      <c r="K70" s="212">
        <v>10</v>
      </c>
      <c r="L70" s="172">
        <v>18</v>
      </c>
      <c r="M70" s="213">
        <v>0</v>
      </c>
      <c r="N70" s="212">
        <v>1</v>
      </c>
      <c r="O70" s="172">
        <v>2</v>
      </c>
      <c r="P70" s="213">
        <v>0</v>
      </c>
    </row>
    <row r="71" spans="1:17" x14ac:dyDescent="0.25">
      <c r="A71" s="110" t="s">
        <v>165</v>
      </c>
      <c r="B71" s="179"/>
      <c r="C71" s="171"/>
      <c r="D71" s="180"/>
      <c r="E71" s="172"/>
      <c r="F71" s="172"/>
      <c r="G71" s="213"/>
      <c r="H71" s="212"/>
      <c r="I71" s="172"/>
      <c r="J71" s="213"/>
      <c r="K71" s="212"/>
      <c r="L71" s="172"/>
      <c r="M71" s="213"/>
      <c r="N71" s="212"/>
      <c r="O71" s="172"/>
      <c r="P71" s="213"/>
    </row>
    <row r="72" spans="1:17" x14ac:dyDescent="0.25">
      <c r="A72" s="80">
        <v>45807</v>
      </c>
      <c r="B72" s="179">
        <v>0</v>
      </c>
      <c r="C72" s="171">
        <v>0</v>
      </c>
      <c r="D72" s="180">
        <v>0</v>
      </c>
      <c r="E72" s="172">
        <v>2</v>
      </c>
      <c r="F72" s="172">
        <v>0</v>
      </c>
      <c r="G72" s="213">
        <v>0</v>
      </c>
      <c r="H72" s="212">
        <v>0</v>
      </c>
      <c r="I72" s="172">
        <v>1</v>
      </c>
      <c r="J72" s="213">
        <v>0</v>
      </c>
      <c r="K72" s="212">
        <v>0</v>
      </c>
      <c r="L72" s="172">
        <v>2</v>
      </c>
      <c r="M72" s="213">
        <v>0</v>
      </c>
      <c r="N72" s="212">
        <v>0</v>
      </c>
      <c r="O72" s="172">
        <v>0</v>
      </c>
      <c r="P72" s="213">
        <v>0</v>
      </c>
    </row>
    <row r="73" spans="1:17" x14ac:dyDescent="0.25">
      <c r="A73" s="80">
        <v>45806</v>
      </c>
      <c r="B73" s="179">
        <v>1</v>
      </c>
      <c r="C73" s="171">
        <v>0</v>
      </c>
      <c r="D73" s="180">
        <v>0</v>
      </c>
      <c r="E73" s="172">
        <v>1</v>
      </c>
      <c r="F73" s="172">
        <v>1</v>
      </c>
      <c r="G73" s="213">
        <v>0</v>
      </c>
      <c r="H73" s="212">
        <v>2</v>
      </c>
      <c r="I73" s="172">
        <v>1</v>
      </c>
      <c r="J73" s="213">
        <v>1</v>
      </c>
      <c r="K73" s="212">
        <v>1</v>
      </c>
      <c r="L73" s="172">
        <v>2</v>
      </c>
      <c r="M73" s="213">
        <v>0</v>
      </c>
      <c r="N73" s="212">
        <v>1</v>
      </c>
      <c r="O73" s="172">
        <v>0</v>
      </c>
      <c r="P73" s="213">
        <v>0</v>
      </c>
    </row>
    <row r="74" spans="1:17" x14ac:dyDescent="0.25">
      <c r="A74" s="80">
        <v>45805</v>
      </c>
      <c r="B74" s="179">
        <v>3</v>
      </c>
      <c r="C74" s="171">
        <v>0</v>
      </c>
      <c r="D74" s="180">
        <v>0</v>
      </c>
      <c r="E74" s="172">
        <v>1</v>
      </c>
      <c r="F74" s="172">
        <v>2</v>
      </c>
      <c r="G74" s="213">
        <v>1</v>
      </c>
      <c r="H74" s="212">
        <v>1</v>
      </c>
      <c r="I74" s="172">
        <v>1</v>
      </c>
      <c r="J74" s="213">
        <v>0</v>
      </c>
      <c r="K74" s="212">
        <v>2</v>
      </c>
      <c r="L74" s="172">
        <v>4</v>
      </c>
      <c r="M74" s="213">
        <v>1</v>
      </c>
      <c r="N74" s="212">
        <v>0</v>
      </c>
      <c r="O74" s="172">
        <v>0</v>
      </c>
      <c r="P74" s="213">
        <v>0</v>
      </c>
    </row>
    <row r="75" spans="1:17" x14ac:dyDescent="0.25">
      <c r="A75" s="80">
        <v>45804</v>
      </c>
      <c r="B75" s="179">
        <v>1</v>
      </c>
      <c r="C75" s="171">
        <v>0</v>
      </c>
      <c r="D75" s="180">
        <v>0</v>
      </c>
      <c r="E75" s="172">
        <v>0</v>
      </c>
      <c r="F75" s="172">
        <v>3</v>
      </c>
      <c r="G75" s="213">
        <v>0</v>
      </c>
      <c r="H75" s="212">
        <v>4</v>
      </c>
      <c r="I75" s="172">
        <v>1</v>
      </c>
      <c r="J75" s="213">
        <v>0</v>
      </c>
      <c r="K75" s="212">
        <v>2</v>
      </c>
      <c r="L75" s="172">
        <v>3</v>
      </c>
      <c r="M75" s="213">
        <v>0</v>
      </c>
      <c r="N75" s="212">
        <v>1</v>
      </c>
      <c r="O75" s="172">
        <v>0</v>
      </c>
      <c r="P75" s="213">
        <v>0</v>
      </c>
    </row>
    <row r="76" spans="1:17" x14ac:dyDescent="0.25">
      <c r="A76" s="80">
        <v>45803</v>
      </c>
      <c r="B76" s="179">
        <v>2</v>
      </c>
      <c r="C76" s="171">
        <v>4</v>
      </c>
      <c r="D76" s="180">
        <v>0</v>
      </c>
      <c r="E76" s="172">
        <v>2</v>
      </c>
      <c r="F76" s="172">
        <v>3</v>
      </c>
      <c r="G76" s="213">
        <v>0</v>
      </c>
      <c r="H76" s="212">
        <v>3</v>
      </c>
      <c r="I76" s="172">
        <v>0</v>
      </c>
      <c r="J76" s="213">
        <v>0</v>
      </c>
      <c r="K76" s="212">
        <v>3</v>
      </c>
      <c r="L76" s="172">
        <v>2</v>
      </c>
      <c r="M76" s="213">
        <v>0</v>
      </c>
      <c r="N76" s="212">
        <v>0</v>
      </c>
      <c r="O76" s="172">
        <v>0</v>
      </c>
      <c r="P76" s="213">
        <v>0</v>
      </c>
    </row>
    <row r="77" spans="1:17" x14ac:dyDescent="0.25">
      <c r="A77" s="79" t="s">
        <v>166</v>
      </c>
      <c r="B77" s="179">
        <v>7</v>
      </c>
      <c r="C77" s="171">
        <v>4</v>
      </c>
      <c r="D77" s="180">
        <v>0</v>
      </c>
      <c r="E77" s="172">
        <v>6</v>
      </c>
      <c r="F77" s="172">
        <v>9</v>
      </c>
      <c r="G77" s="213">
        <v>1</v>
      </c>
      <c r="H77" s="212">
        <v>10</v>
      </c>
      <c r="I77" s="172">
        <v>4</v>
      </c>
      <c r="J77" s="213">
        <v>1</v>
      </c>
      <c r="K77" s="212">
        <v>8</v>
      </c>
      <c r="L77" s="172">
        <v>13</v>
      </c>
      <c r="M77" s="213">
        <v>1</v>
      </c>
      <c r="N77" s="212">
        <v>2</v>
      </c>
      <c r="O77" s="172">
        <v>0</v>
      </c>
      <c r="P77" s="213">
        <v>0</v>
      </c>
    </row>
    <row r="78" spans="1:17" x14ac:dyDescent="0.25">
      <c r="A78" s="110" t="s">
        <v>162</v>
      </c>
      <c r="B78" s="179"/>
      <c r="C78" s="171"/>
      <c r="D78" s="180"/>
      <c r="E78" s="172"/>
      <c r="F78" s="172"/>
      <c r="G78" s="213"/>
      <c r="H78" s="212"/>
      <c r="I78" s="172"/>
      <c r="J78" s="213"/>
      <c r="K78" s="212"/>
      <c r="L78" s="172"/>
      <c r="M78" s="213"/>
      <c r="N78" s="212"/>
      <c r="O78" s="172"/>
      <c r="P78" s="213"/>
    </row>
    <row r="79" spans="1:17" x14ac:dyDescent="0.25">
      <c r="A79" s="80">
        <v>45800</v>
      </c>
      <c r="B79" s="179">
        <v>2</v>
      </c>
      <c r="C79" s="171">
        <v>1</v>
      </c>
      <c r="D79" s="180">
        <v>0</v>
      </c>
      <c r="E79" s="172">
        <v>0</v>
      </c>
      <c r="F79" s="172">
        <v>3</v>
      </c>
      <c r="G79" s="213">
        <v>0</v>
      </c>
      <c r="H79" s="212">
        <v>0</v>
      </c>
      <c r="I79" s="172">
        <v>2</v>
      </c>
      <c r="J79" s="213">
        <v>0</v>
      </c>
      <c r="K79" s="212">
        <v>1</v>
      </c>
      <c r="L79" s="172">
        <v>4</v>
      </c>
      <c r="M79" s="213">
        <v>0</v>
      </c>
      <c r="N79" s="212">
        <v>2</v>
      </c>
      <c r="O79" s="172">
        <v>2</v>
      </c>
      <c r="P79" s="213">
        <v>0</v>
      </c>
    </row>
    <row r="80" spans="1:17" x14ac:dyDescent="0.25">
      <c r="A80" s="80">
        <v>45799</v>
      </c>
      <c r="B80" s="179">
        <v>0</v>
      </c>
      <c r="C80" s="171">
        <v>0</v>
      </c>
      <c r="D80" s="180">
        <v>0</v>
      </c>
      <c r="E80" s="172">
        <v>0</v>
      </c>
      <c r="F80" s="172">
        <v>0</v>
      </c>
      <c r="G80" s="213">
        <v>0</v>
      </c>
      <c r="H80" s="212">
        <v>0</v>
      </c>
      <c r="I80" s="172">
        <v>0</v>
      </c>
      <c r="J80" s="213">
        <v>0</v>
      </c>
      <c r="K80" s="212">
        <v>2</v>
      </c>
      <c r="L80" s="172">
        <v>4</v>
      </c>
      <c r="M80" s="213">
        <v>0</v>
      </c>
      <c r="N80" s="212">
        <v>0</v>
      </c>
      <c r="O80" s="172">
        <v>0</v>
      </c>
      <c r="P80" s="213">
        <v>0</v>
      </c>
    </row>
    <row r="81" spans="1:16" x14ac:dyDescent="0.25">
      <c r="A81" s="80">
        <v>45798</v>
      </c>
      <c r="B81" s="179">
        <v>1</v>
      </c>
      <c r="C81" s="171">
        <v>3</v>
      </c>
      <c r="D81" s="180">
        <v>0</v>
      </c>
      <c r="E81" s="172">
        <v>0</v>
      </c>
      <c r="F81" s="172">
        <v>2</v>
      </c>
      <c r="G81" s="213">
        <v>2</v>
      </c>
      <c r="H81" s="212">
        <v>3</v>
      </c>
      <c r="I81" s="172">
        <v>1</v>
      </c>
      <c r="J81" s="213">
        <v>0</v>
      </c>
      <c r="K81" s="212">
        <v>3</v>
      </c>
      <c r="L81" s="172">
        <v>3</v>
      </c>
      <c r="M81" s="213">
        <v>1</v>
      </c>
      <c r="N81" s="212">
        <v>1</v>
      </c>
      <c r="O81" s="172">
        <v>0</v>
      </c>
      <c r="P81" s="213">
        <v>0</v>
      </c>
    </row>
    <row r="82" spans="1:16" x14ac:dyDescent="0.25">
      <c r="A82" s="80">
        <v>45797</v>
      </c>
      <c r="B82" s="179">
        <v>1</v>
      </c>
      <c r="C82" s="171">
        <v>1</v>
      </c>
      <c r="D82" s="180">
        <v>0</v>
      </c>
      <c r="E82" s="172">
        <v>1</v>
      </c>
      <c r="F82" s="172">
        <v>0</v>
      </c>
      <c r="G82" s="213">
        <v>0</v>
      </c>
      <c r="H82" s="212">
        <v>3</v>
      </c>
      <c r="I82" s="172">
        <v>1</v>
      </c>
      <c r="J82" s="213">
        <v>0</v>
      </c>
      <c r="K82" s="212">
        <v>2</v>
      </c>
      <c r="L82" s="172">
        <v>1</v>
      </c>
      <c r="M82" s="213">
        <v>1</v>
      </c>
      <c r="N82" s="212">
        <v>0</v>
      </c>
      <c r="O82" s="172">
        <v>1</v>
      </c>
      <c r="P82" s="213">
        <v>0</v>
      </c>
    </row>
    <row r="83" spans="1:16" x14ac:dyDescent="0.25">
      <c r="A83" s="80">
        <v>45796</v>
      </c>
      <c r="B83" s="179">
        <v>0</v>
      </c>
      <c r="C83" s="171">
        <v>1</v>
      </c>
      <c r="D83" s="180">
        <v>0</v>
      </c>
      <c r="E83" s="172">
        <v>0</v>
      </c>
      <c r="F83" s="172">
        <v>0</v>
      </c>
      <c r="G83" s="213">
        <v>0</v>
      </c>
      <c r="H83" s="212">
        <v>3</v>
      </c>
      <c r="I83" s="172">
        <v>3</v>
      </c>
      <c r="J83" s="213">
        <v>0</v>
      </c>
      <c r="K83" s="212">
        <v>2</v>
      </c>
      <c r="L83" s="172">
        <v>2</v>
      </c>
      <c r="M83" s="213">
        <v>0</v>
      </c>
      <c r="N83" s="212">
        <v>1</v>
      </c>
      <c r="O83" s="172">
        <v>0</v>
      </c>
      <c r="P83" s="213">
        <v>0</v>
      </c>
    </row>
    <row r="84" spans="1:16" x14ac:dyDescent="0.25">
      <c r="A84" s="79" t="s">
        <v>163</v>
      </c>
      <c r="B84" s="179">
        <v>4</v>
      </c>
      <c r="C84" s="171">
        <v>6</v>
      </c>
      <c r="D84" s="180">
        <v>0</v>
      </c>
      <c r="E84" s="172">
        <v>1</v>
      </c>
      <c r="F84" s="172">
        <v>5</v>
      </c>
      <c r="G84" s="213">
        <v>2</v>
      </c>
      <c r="H84" s="212">
        <v>9</v>
      </c>
      <c r="I84" s="172">
        <v>7</v>
      </c>
      <c r="J84" s="213">
        <v>0</v>
      </c>
      <c r="K84" s="212">
        <v>10</v>
      </c>
      <c r="L84" s="172">
        <v>14</v>
      </c>
      <c r="M84" s="213">
        <v>2</v>
      </c>
      <c r="N84" s="212">
        <v>4</v>
      </c>
      <c r="O84" s="172">
        <v>3</v>
      </c>
      <c r="P84" s="213">
        <v>0</v>
      </c>
    </row>
    <row r="85" spans="1:16" x14ac:dyDescent="0.25">
      <c r="A85" s="110" t="s">
        <v>159</v>
      </c>
      <c r="B85" s="179"/>
      <c r="C85" s="171"/>
      <c r="D85" s="180"/>
      <c r="E85" s="172"/>
      <c r="F85" s="172"/>
      <c r="G85" s="213"/>
      <c r="H85" s="212"/>
      <c r="I85" s="172"/>
      <c r="J85" s="213"/>
      <c r="K85" s="212"/>
      <c r="L85" s="172"/>
      <c r="M85" s="213"/>
      <c r="N85" s="212"/>
      <c r="O85" s="172"/>
      <c r="P85" s="213"/>
    </row>
    <row r="86" spans="1:16" x14ac:dyDescent="0.25">
      <c r="A86" s="80">
        <v>45793</v>
      </c>
      <c r="B86" s="179">
        <v>2</v>
      </c>
      <c r="C86" s="171">
        <v>2</v>
      </c>
      <c r="D86" s="180">
        <v>0</v>
      </c>
      <c r="E86" s="172">
        <v>1</v>
      </c>
      <c r="F86" s="172">
        <v>1</v>
      </c>
      <c r="G86" s="213">
        <v>0</v>
      </c>
      <c r="H86" s="212">
        <v>1</v>
      </c>
      <c r="I86" s="172">
        <v>0</v>
      </c>
      <c r="J86" s="213">
        <v>0</v>
      </c>
      <c r="K86" s="212">
        <v>0</v>
      </c>
      <c r="L86" s="172">
        <v>0</v>
      </c>
      <c r="M86" s="213">
        <v>0</v>
      </c>
      <c r="N86" s="212">
        <v>0</v>
      </c>
      <c r="O86" s="172">
        <v>1</v>
      </c>
      <c r="P86" s="213">
        <v>0</v>
      </c>
    </row>
    <row r="87" spans="1:16" x14ac:dyDescent="0.25">
      <c r="A87" s="80">
        <v>45792</v>
      </c>
      <c r="B87" s="179">
        <v>0</v>
      </c>
      <c r="C87" s="171">
        <v>1</v>
      </c>
      <c r="D87" s="180">
        <v>0</v>
      </c>
      <c r="E87" s="172">
        <v>0</v>
      </c>
      <c r="F87" s="172">
        <v>2</v>
      </c>
      <c r="G87" s="213">
        <v>0</v>
      </c>
      <c r="H87" s="212">
        <v>5</v>
      </c>
      <c r="I87" s="172">
        <v>0</v>
      </c>
      <c r="J87" s="213">
        <v>0</v>
      </c>
      <c r="K87" s="212">
        <v>2</v>
      </c>
      <c r="L87" s="172">
        <v>1</v>
      </c>
      <c r="M87" s="213">
        <v>0</v>
      </c>
      <c r="N87" s="212">
        <v>1</v>
      </c>
      <c r="O87" s="172">
        <v>1</v>
      </c>
      <c r="P87" s="213">
        <v>1</v>
      </c>
    </row>
    <row r="88" spans="1:16" x14ac:dyDescent="0.25">
      <c r="A88" s="80">
        <v>45791</v>
      </c>
      <c r="B88" s="179">
        <v>0</v>
      </c>
      <c r="C88" s="171">
        <v>0</v>
      </c>
      <c r="D88" s="180">
        <v>0</v>
      </c>
      <c r="E88" s="172">
        <v>0</v>
      </c>
      <c r="F88" s="172">
        <v>1</v>
      </c>
      <c r="G88" s="213">
        <v>0</v>
      </c>
      <c r="H88" s="212">
        <v>6</v>
      </c>
      <c r="I88" s="172">
        <v>1</v>
      </c>
      <c r="J88" s="213">
        <v>0</v>
      </c>
      <c r="K88" s="212">
        <v>1</v>
      </c>
      <c r="L88" s="172">
        <v>4</v>
      </c>
      <c r="M88" s="213">
        <v>0</v>
      </c>
      <c r="N88" s="212">
        <v>1</v>
      </c>
      <c r="O88" s="172">
        <v>0</v>
      </c>
      <c r="P88" s="213">
        <v>0</v>
      </c>
    </row>
    <row r="89" spans="1:16" x14ac:dyDescent="0.25">
      <c r="A89" s="80">
        <v>45790</v>
      </c>
      <c r="B89" s="179">
        <v>0</v>
      </c>
      <c r="C89" s="171">
        <v>1</v>
      </c>
      <c r="D89" s="180">
        <v>0</v>
      </c>
      <c r="E89" s="172">
        <v>1</v>
      </c>
      <c r="F89" s="172">
        <v>3</v>
      </c>
      <c r="G89" s="213">
        <v>0</v>
      </c>
      <c r="H89" s="212">
        <v>4</v>
      </c>
      <c r="I89" s="172">
        <v>2</v>
      </c>
      <c r="J89" s="213">
        <v>1</v>
      </c>
      <c r="K89" s="212">
        <v>3</v>
      </c>
      <c r="L89" s="172">
        <v>4</v>
      </c>
      <c r="M89" s="213">
        <v>0</v>
      </c>
      <c r="N89" s="212">
        <v>1</v>
      </c>
      <c r="O89" s="172">
        <v>0</v>
      </c>
      <c r="P89" s="213">
        <v>0</v>
      </c>
    </row>
    <row r="90" spans="1:16" x14ac:dyDescent="0.25">
      <c r="A90" s="80">
        <v>45789</v>
      </c>
      <c r="B90" s="179">
        <v>1</v>
      </c>
      <c r="C90" s="171">
        <v>1</v>
      </c>
      <c r="D90" s="180">
        <v>1</v>
      </c>
      <c r="E90" s="172">
        <v>0</v>
      </c>
      <c r="F90" s="172">
        <v>0</v>
      </c>
      <c r="G90" s="213">
        <v>0</v>
      </c>
      <c r="H90" s="212">
        <v>1</v>
      </c>
      <c r="I90" s="172">
        <v>3</v>
      </c>
      <c r="J90" s="213">
        <v>0</v>
      </c>
      <c r="K90" s="212">
        <v>1</v>
      </c>
      <c r="L90" s="172">
        <v>7</v>
      </c>
      <c r="M90" s="213">
        <v>1</v>
      </c>
      <c r="N90" s="212">
        <v>1</v>
      </c>
      <c r="O90" s="172">
        <v>0</v>
      </c>
      <c r="P90" s="213">
        <v>0</v>
      </c>
    </row>
    <row r="91" spans="1:16" x14ac:dyDescent="0.25">
      <c r="A91" s="79" t="s">
        <v>160</v>
      </c>
      <c r="B91" s="179">
        <v>3</v>
      </c>
      <c r="C91" s="171">
        <v>5</v>
      </c>
      <c r="D91" s="180">
        <v>1</v>
      </c>
      <c r="E91" s="172">
        <v>2</v>
      </c>
      <c r="F91" s="172">
        <v>7</v>
      </c>
      <c r="G91" s="213">
        <v>0</v>
      </c>
      <c r="H91" s="212">
        <v>17</v>
      </c>
      <c r="I91" s="172">
        <v>6</v>
      </c>
      <c r="J91" s="213">
        <v>1</v>
      </c>
      <c r="K91" s="212">
        <v>7</v>
      </c>
      <c r="L91" s="172">
        <v>16</v>
      </c>
      <c r="M91" s="213">
        <v>1</v>
      </c>
      <c r="N91" s="212">
        <v>4</v>
      </c>
      <c r="O91" s="172">
        <v>2</v>
      </c>
      <c r="P91" s="213">
        <v>1</v>
      </c>
    </row>
    <row r="92" spans="1:16" x14ac:dyDescent="0.25">
      <c r="A92" s="110" t="s">
        <v>157</v>
      </c>
      <c r="B92" s="179"/>
      <c r="C92" s="171"/>
      <c r="D92" s="180"/>
      <c r="E92" s="172"/>
      <c r="F92" s="172"/>
      <c r="G92" s="213"/>
      <c r="H92" s="212"/>
      <c r="I92" s="172"/>
      <c r="J92" s="213"/>
      <c r="K92" s="212"/>
      <c r="L92" s="172"/>
      <c r="M92" s="213"/>
      <c r="N92" s="212"/>
      <c r="O92" s="172"/>
      <c r="P92" s="213"/>
    </row>
    <row r="93" spans="1:16" x14ac:dyDescent="0.25">
      <c r="A93" s="80">
        <v>45784</v>
      </c>
      <c r="B93" s="179">
        <v>1</v>
      </c>
      <c r="C93" s="171">
        <v>1</v>
      </c>
      <c r="D93" s="180">
        <v>0</v>
      </c>
      <c r="E93" s="172">
        <v>0</v>
      </c>
      <c r="F93" s="172">
        <v>0</v>
      </c>
      <c r="G93" s="213">
        <v>0</v>
      </c>
      <c r="H93" s="212">
        <v>3</v>
      </c>
      <c r="I93" s="172">
        <v>2</v>
      </c>
      <c r="J93" s="213">
        <v>0</v>
      </c>
      <c r="K93" s="212">
        <v>0</v>
      </c>
      <c r="L93" s="172">
        <v>3</v>
      </c>
      <c r="M93" s="213">
        <v>0</v>
      </c>
      <c r="N93" s="212">
        <v>0</v>
      </c>
      <c r="O93" s="172">
        <v>0</v>
      </c>
      <c r="P93" s="213">
        <v>0</v>
      </c>
    </row>
    <row r="94" spans="1:16" x14ac:dyDescent="0.25">
      <c r="A94" s="80">
        <v>45783</v>
      </c>
      <c r="B94" s="179">
        <v>0</v>
      </c>
      <c r="C94" s="171">
        <v>1</v>
      </c>
      <c r="D94" s="180">
        <v>1</v>
      </c>
      <c r="E94" s="172">
        <v>1</v>
      </c>
      <c r="F94" s="172">
        <v>1</v>
      </c>
      <c r="G94" s="213">
        <v>1</v>
      </c>
      <c r="H94" s="212">
        <v>3</v>
      </c>
      <c r="I94" s="172">
        <v>3</v>
      </c>
      <c r="J94" s="213">
        <v>0</v>
      </c>
      <c r="K94" s="212">
        <v>1</v>
      </c>
      <c r="L94" s="172">
        <v>2</v>
      </c>
      <c r="M94" s="213">
        <v>2</v>
      </c>
      <c r="N94" s="212">
        <v>1</v>
      </c>
      <c r="O94" s="172">
        <v>0</v>
      </c>
      <c r="P94" s="213">
        <v>0</v>
      </c>
    </row>
    <row r="95" spans="1:16" x14ac:dyDescent="0.25">
      <c r="A95" s="80">
        <v>45782</v>
      </c>
      <c r="B95" s="179">
        <v>1</v>
      </c>
      <c r="C95" s="171">
        <v>4</v>
      </c>
      <c r="D95" s="180">
        <v>2</v>
      </c>
      <c r="E95" s="172">
        <v>1</v>
      </c>
      <c r="F95" s="172">
        <v>0</v>
      </c>
      <c r="G95" s="213">
        <v>1</v>
      </c>
      <c r="H95" s="212">
        <v>2</v>
      </c>
      <c r="I95" s="172">
        <v>0</v>
      </c>
      <c r="J95" s="213">
        <v>0</v>
      </c>
      <c r="K95" s="212">
        <v>0</v>
      </c>
      <c r="L95" s="172">
        <v>4</v>
      </c>
      <c r="M95" s="213">
        <v>0</v>
      </c>
      <c r="N95" s="212">
        <v>0</v>
      </c>
      <c r="O95" s="172">
        <v>0</v>
      </c>
      <c r="P95" s="213">
        <v>0</v>
      </c>
    </row>
    <row r="96" spans="1:16" x14ac:dyDescent="0.25">
      <c r="A96" s="79" t="s">
        <v>158</v>
      </c>
      <c r="B96" s="179">
        <v>2</v>
      </c>
      <c r="C96" s="171">
        <v>6</v>
      </c>
      <c r="D96" s="180">
        <v>3</v>
      </c>
      <c r="E96" s="172">
        <v>2</v>
      </c>
      <c r="F96" s="172">
        <v>1</v>
      </c>
      <c r="G96" s="213">
        <v>2</v>
      </c>
      <c r="H96" s="212">
        <v>8</v>
      </c>
      <c r="I96" s="172">
        <v>5</v>
      </c>
      <c r="J96" s="213">
        <v>0</v>
      </c>
      <c r="K96" s="212">
        <v>1</v>
      </c>
      <c r="L96" s="172">
        <v>9</v>
      </c>
      <c r="M96" s="213">
        <v>2</v>
      </c>
      <c r="N96" s="212">
        <v>1</v>
      </c>
      <c r="O96" s="172">
        <v>0</v>
      </c>
      <c r="P96" s="213">
        <v>0</v>
      </c>
    </row>
    <row r="97" spans="1:16" x14ac:dyDescent="0.25">
      <c r="A97" s="110" t="s">
        <v>155</v>
      </c>
      <c r="B97" s="179"/>
      <c r="C97" s="171"/>
      <c r="D97" s="180"/>
      <c r="E97" s="172"/>
      <c r="F97" s="172"/>
      <c r="G97" s="213"/>
      <c r="H97" s="212"/>
      <c r="I97" s="172"/>
      <c r="J97" s="213"/>
      <c r="K97" s="212"/>
      <c r="L97" s="172"/>
      <c r="M97" s="213"/>
      <c r="N97" s="212"/>
      <c r="O97" s="172"/>
      <c r="P97" s="213"/>
    </row>
    <row r="98" spans="1:16" x14ac:dyDescent="0.25">
      <c r="A98" s="80">
        <v>45777</v>
      </c>
      <c r="B98" s="179">
        <v>1</v>
      </c>
      <c r="C98" s="171">
        <v>0</v>
      </c>
      <c r="D98" s="180">
        <v>0</v>
      </c>
      <c r="E98" s="172">
        <v>1</v>
      </c>
      <c r="F98" s="172">
        <v>2</v>
      </c>
      <c r="G98" s="213">
        <v>1</v>
      </c>
      <c r="H98" s="212">
        <v>2</v>
      </c>
      <c r="I98" s="172">
        <v>0</v>
      </c>
      <c r="J98" s="213">
        <v>0</v>
      </c>
      <c r="K98" s="212">
        <v>2</v>
      </c>
      <c r="L98" s="172">
        <v>4</v>
      </c>
      <c r="M98" s="213">
        <v>0</v>
      </c>
      <c r="N98" s="212">
        <v>1</v>
      </c>
      <c r="O98" s="172">
        <v>2</v>
      </c>
      <c r="P98" s="213">
        <v>0</v>
      </c>
    </row>
    <row r="99" spans="1:16" x14ac:dyDescent="0.25">
      <c r="A99" s="80">
        <v>45776</v>
      </c>
      <c r="B99" s="179">
        <v>1</v>
      </c>
      <c r="C99" s="171">
        <v>0</v>
      </c>
      <c r="D99" s="180">
        <v>2</v>
      </c>
      <c r="E99" s="172">
        <v>2</v>
      </c>
      <c r="F99" s="172">
        <v>0</v>
      </c>
      <c r="G99" s="213">
        <v>1</v>
      </c>
      <c r="H99" s="212">
        <v>5</v>
      </c>
      <c r="I99" s="172">
        <v>1</v>
      </c>
      <c r="J99" s="213">
        <v>0</v>
      </c>
      <c r="K99" s="212">
        <v>2</v>
      </c>
      <c r="L99" s="172">
        <v>4</v>
      </c>
      <c r="M99" s="213">
        <v>2</v>
      </c>
      <c r="N99" s="212">
        <v>2</v>
      </c>
      <c r="O99" s="172">
        <v>0</v>
      </c>
      <c r="P99" s="213">
        <v>0</v>
      </c>
    </row>
    <row r="100" spans="1:16" x14ac:dyDescent="0.25">
      <c r="A100" s="80">
        <v>45775</v>
      </c>
      <c r="B100" s="179">
        <v>2</v>
      </c>
      <c r="C100" s="171">
        <v>2</v>
      </c>
      <c r="D100" s="180">
        <v>0</v>
      </c>
      <c r="E100" s="172">
        <v>0</v>
      </c>
      <c r="F100" s="172">
        <v>2</v>
      </c>
      <c r="G100" s="213">
        <v>0</v>
      </c>
      <c r="H100" s="212">
        <v>1</v>
      </c>
      <c r="I100" s="172">
        <v>5</v>
      </c>
      <c r="J100" s="213">
        <v>1</v>
      </c>
      <c r="K100" s="212">
        <v>3</v>
      </c>
      <c r="L100" s="172">
        <v>1</v>
      </c>
      <c r="M100" s="213">
        <v>0</v>
      </c>
      <c r="N100" s="212">
        <v>2</v>
      </c>
      <c r="O100" s="172">
        <v>1</v>
      </c>
      <c r="P100" s="213">
        <v>0</v>
      </c>
    </row>
    <row r="101" spans="1:16" x14ac:dyDescent="0.25">
      <c r="A101" s="79" t="s">
        <v>156</v>
      </c>
      <c r="B101" s="179">
        <v>4</v>
      </c>
      <c r="C101" s="171">
        <v>2</v>
      </c>
      <c r="D101" s="180">
        <v>2</v>
      </c>
      <c r="E101" s="172">
        <v>3</v>
      </c>
      <c r="F101" s="172">
        <v>4</v>
      </c>
      <c r="G101" s="213">
        <v>2</v>
      </c>
      <c r="H101" s="212">
        <v>8</v>
      </c>
      <c r="I101" s="172">
        <v>6</v>
      </c>
      <c r="J101" s="213">
        <v>1</v>
      </c>
      <c r="K101" s="212">
        <v>7</v>
      </c>
      <c r="L101" s="172">
        <v>9</v>
      </c>
      <c r="M101" s="213">
        <v>2</v>
      </c>
      <c r="N101" s="212">
        <v>5</v>
      </c>
      <c r="O101" s="172">
        <v>3</v>
      </c>
      <c r="P101" s="213">
        <v>0</v>
      </c>
    </row>
    <row r="102" spans="1:16" x14ac:dyDescent="0.25">
      <c r="A102" s="110" t="s">
        <v>153</v>
      </c>
      <c r="B102" s="179"/>
      <c r="C102" s="171"/>
      <c r="D102" s="180"/>
      <c r="E102" s="172"/>
      <c r="F102" s="172"/>
      <c r="G102" s="213"/>
      <c r="H102" s="212"/>
      <c r="I102" s="172"/>
      <c r="J102" s="213"/>
      <c r="K102" s="212"/>
      <c r="L102" s="172"/>
      <c r="M102" s="213"/>
      <c r="N102" s="212"/>
      <c r="O102" s="172"/>
      <c r="P102" s="213"/>
    </row>
    <row r="103" spans="1:16" x14ac:dyDescent="0.25">
      <c r="A103" s="80">
        <v>45772</v>
      </c>
      <c r="B103" s="179">
        <v>1</v>
      </c>
      <c r="C103" s="171">
        <v>0</v>
      </c>
      <c r="D103" s="180">
        <v>0</v>
      </c>
      <c r="E103" s="172">
        <v>2</v>
      </c>
      <c r="F103" s="172">
        <v>1</v>
      </c>
      <c r="G103" s="213">
        <v>1</v>
      </c>
      <c r="H103" s="212">
        <v>4</v>
      </c>
      <c r="I103" s="172">
        <v>4</v>
      </c>
      <c r="J103" s="213">
        <v>1</v>
      </c>
      <c r="K103" s="212">
        <v>1</v>
      </c>
      <c r="L103" s="172">
        <v>6</v>
      </c>
      <c r="M103" s="213">
        <v>3</v>
      </c>
      <c r="N103" s="212">
        <v>3</v>
      </c>
      <c r="O103" s="172">
        <v>1</v>
      </c>
      <c r="P103" s="213">
        <v>0</v>
      </c>
    </row>
    <row r="104" spans="1:16" x14ac:dyDescent="0.25">
      <c r="A104" s="80">
        <v>45771</v>
      </c>
      <c r="B104" s="179">
        <v>1</v>
      </c>
      <c r="C104" s="171">
        <v>1</v>
      </c>
      <c r="D104" s="180">
        <v>0</v>
      </c>
      <c r="E104" s="172">
        <v>5</v>
      </c>
      <c r="F104" s="172">
        <v>0</v>
      </c>
      <c r="G104" s="213">
        <v>0</v>
      </c>
      <c r="H104" s="212">
        <v>6</v>
      </c>
      <c r="I104" s="172">
        <v>4</v>
      </c>
      <c r="J104" s="213">
        <v>0</v>
      </c>
      <c r="K104" s="212">
        <v>1</v>
      </c>
      <c r="L104" s="172">
        <v>2</v>
      </c>
      <c r="M104" s="213">
        <v>1</v>
      </c>
      <c r="N104" s="212">
        <v>0</v>
      </c>
      <c r="O104" s="172">
        <v>0</v>
      </c>
      <c r="P104" s="213">
        <v>0</v>
      </c>
    </row>
    <row r="105" spans="1:16" x14ac:dyDescent="0.25">
      <c r="A105" s="80">
        <v>45770</v>
      </c>
      <c r="B105" s="179">
        <v>2</v>
      </c>
      <c r="C105" s="171">
        <v>0</v>
      </c>
      <c r="D105" s="180">
        <v>0</v>
      </c>
      <c r="E105" s="172">
        <v>5</v>
      </c>
      <c r="F105" s="172">
        <v>2</v>
      </c>
      <c r="G105" s="213">
        <v>0</v>
      </c>
      <c r="H105" s="212">
        <v>5</v>
      </c>
      <c r="I105" s="172">
        <v>2</v>
      </c>
      <c r="J105" s="213">
        <v>0</v>
      </c>
      <c r="K105" s="212">
        <v>0</v>
      </c>
      <c r="L105" s="172">
        <v>5</v>
      </c>
      <c r="M105" s="213">
        <v>1</v>
      </c>
      <c r="N105" s="212">
        <v>0</v>
      </c>
      <c r="O105" s="172">
        <v>0</v>
      </c>
      <c r="P105" s="213">
        <v>0</v>
      </c>
    </row>
    <row r="106" spans="1:16" x14ac:dyDescent="0.25">
      <c r="A106" s="80">
        <v>45769</v>
      </c>
      <c r="B106" s="179">
        <v>4</v>
      </c>
      <c r="C106" s="171">
        <v>1</v>
      </c>
      <c r="D106" s="180">
        <v>0</v>
      </c>
      <c r="E106" s="172">
        <v>2</v>
      </c>
      <c r="F106" s="172">
        <v>2</v>
      </c>
      <c r="G106" s="213">
        <v>3</v>
      </c>
      <c r="H106" s="212">
        <v>3</v>
      </c>
      <c r="I106" s="172">
        <v>2</v>
      </c>
      <c r="J106" s="213">
        <v>1</v>
      </c>
      <c r="K106" s="212">
        <v>2</v>
      </c>
      <c r="L106" s="172">
        <v>4</v>
      </c>
      <c r="M106" s="213">
        <v>0</v>
      </c>
      <c r="N106" s="212">
        <v>1</v>
      </c>
      <c r="O106" s="172">
        <v>1</v>
      </c>
      <c r="P106" s="213">
        <v>0</v>
      </c>
    </row>
    <row r="107" spans="1:16" x14ac:dyDescent="0.25">
      <c r="A107" s="80">
        <v>45768</v>
      </c>
      <c r="B107" s="179">
        <v>3</v>
      </c>
      <c r="C107" s="171">
        <v>0</v>
      </c>
      <c r="D107" s="180">
        <v>0</v>
      </c>
      <c r="E107" s="172">
        <v>1</v>
      </c>
      <c r="F107" s="172">
        <v>1</v>
      </c>
      <c r="G107" s="213">
        <v>0</v>
      </c>
      <c r="H107" s="212">
        <v>3</v>
      </c>
      <c r="I107" s="172">
        <v>1</v>
      </c>
      <c r="J107" s="213">
        <v>0</v>
      </c>
      <c r="K107" s="212">
        <v>2</v>
      </c>
      <c r="L107" s="172">
        <v>3</v>
      </c>
      <c r="M107" s="213">
        <v>2</v>
      </c>
      <c r="N107" s="212">
        <v>2</v>
      </c>
      <c r="O107" s="172">
        <v>0</v>
      </c>
      <c r="P107" s="213">
        <v>0</v>
      </c>
    </row>
    <row r="108" spans="1:16" x14ac:dyDescent="0.25">
      <c r="A108" s="79" t="s">
        <v>154</v>
      </c>
      <c r="B108" s="179">
        <v>11</v>
      </c>
      <c r="C108" s="171">
        <v>2</v>
      </c>
      <c r="D108" s="180">
        <v>0</v>
      </c>
      <c r="E108" s="172">
        <v>15</v>
      </c>
      <c r="F108" s="172">
        <v>6</v>
      </c>
      <c r="G108" s="213">
        <v>4</v>
      </c>
      <c r="H108" s="212">
        <v>21</v>
      </c>
      <c r="I108" s="172">
        <v>13</v>
      </c>
      <c r="J108" s="213">
        <v>2</v>
      </c>
      <c r="K108" s="212">
        <v>6</v>
      </c>
      <c r="L108" s="172">
        <v>20</v>
      </c>
      <c r="M108" s="213">
        <v>7</v>
      </c>
      <c r="N108" s="212">
        <v>6</v>
      </c>
      <c r="O108" s="172">
        <v>2</v>
      </c>
      <c r="P108" s="213">
        <v>0</v>
      </c>
    </row>
    <row r="109" spans="1:16" x14ac:dyDescent="0.25">
      <c r="A109" s="110" t="s">
        <v>149</v>
      </c>
      <c r="B109" s="179"/>
      <c r="C109" s="171"/>
      <c r="D109" s="180"/>
      <c r="E109" s="172"/>
      <c r="F109" s="172"/>
      <c r="G109" s="213"/>
      <c r="H109" s="212"/>
      <c r="I109" s="172"/>
      <c r="J109" s="213"/>
      <c r="K109" s="212"/>
      <c r="L109" s="172"/>
      <c r="M109" s="213"/>
      <c r="N109" s="212"/>
      <c r="O109" s="172"/>
      <c r="P109" s="213"/>
    </row>
    <row r="110" spans="1:16" x14ac:dyDescent="0.25">
      <c r="A110" s="80">
        <v>45765</v>
      </c>
      <c r="B110" s="179">
        <v>0</v>
      </c>
      <c r="C110" s="171">
        <v>0</v>
      </c>
      <c r="D110" s="180">
        <v>0</v>
      </c>
      <c r="E110" s="172">
        <v>0</v>
      </c>
      <c r="F110" s="172">
        <v>1</v>
      </c>
      <c r="G110" s="213">
        <v>0</v>
      </c>
      <c r="H110" s="212">
        <v>4</v>
      </c>
      <c r="I110" s="172">
        <v>3</v>
      </c>
      <c r="J110" s="213">
        <v>0</v>
      </c>
      <c r="K110" s="212">
        <v>1</v>
      </c>
      <c r="L110" s="172">
        <v>4</v>
      </c>
      <c r="M110" s="213">
        <v>1</v>
      </c>
      <c r="N110" s="212">
        <v>3</v>
      </c>
      <c r="O110" s="172">
        <v>0</v>
      </c>
      <c r="P110" s="213">
        <v>0</v>
      </c>
    </row>
    <row r="111" spans="1:16" x14ac:dyDescent="0.25">
      <c r="A111" s="80">
        <v>45764</v>
      </c>
      <c r="B111" s="179">
        <v>1</v>
      </c>
      <c r="C111" s="171">
        <v>0</v>
      </c>
      <c r="D111" s="180">
        <v>1</v>
      </c>
      <c r="E111" s="172">
        <v>1</v>
      </c>
      <c r="F111" s="172">
        <v>0</v>
      </c>
      <c r="G111" s="213">
        <v>0</v>
      </c>
      <c r="H111" s="212">
        <v>1</v>
      </c>
      <c r="I111" s="172">
        <v>2</v>
      </c>
      <c r="J111" s="213">
        <v>1</v>
      </c>
      <c r="K111" s="212">
        <v>1</v>
      </c>
      <c r="L111" s="172">
        <v>7</v>
      </c>
      <c r="M111" s="213">
        <v>0</v>
      </c>
      <c r="N111" s="212">
        <v>0</v>
      </c>
      <c r="O111" s="172">
        <v>0</v>
      </c>
      <c r="P111" s="213">
        <v>0</v>
      </c>
    </row>
    <row r="112" spans="1:16" x14ac:dyDescent="0.25">
      <c r="A112" s="80">
        <v>45763</v>
      </c>
      <c r="B112" s="179">
        <v>0</v>
      </c>
      <c r="C112" s="171">
        <v>0</v>
      </c>
      <c r="D112" s="180">
        <v>0</v>
      </c>
      <c r="E112" s="172">
        <v>1</v>
      </c>
      <c r="F112" s="172">
        <v>3</v>
      </c>
      <c r="G112" s="213">
        <v>1</v>
      </c>
      <c r="H112" s="212">
        <v>3</v>
      </c>
      <c r="I112" s="172">
        <v>4</v>
      </c>
      <c r="J112" s="213">
        <v>1</v>
      </c>
      <c r="K112" s="212">
        <v>1</v>
      </c>
      <c r="L112" s="172">
        <v>2</v>
      </c>
      <c r="M112" s="213">
        <v>1</v>
      </c>
      <c r="N112" s="212">
        <v>2</v>
      </c>
      <c r="O112" s="172">
        <v>0</v>
      </c>
      <c r="P112" s="213">
        <v>0</v>
      </c>
    </row>
    <row r="113" spans="1:16" x14ac:dyDescent="0.25">
      <c r="A113" s="80">
        <v>45762</v>
      </c>
      <c r="B113" s="179">
        <v>0</v>
      </c>
      <c r="C113" s="171">
        <v>0</v>
      </c>
      <c r="D113" s="180">
        <v>0</v>
      </c>
      <c r="E113" s="172">
        <v>2</v>
      </c>
      <c r="F113" s="172">
        <v>1</v>
      </c>
      <c r="G113" s="213">
        <v>0</v>
      </c>
      <c r="H113" s="212">
        <v>3</v>
      </c>
      <c r="I113" s="172">
        <v>4</v>
      </c>
      <c r="J113" s="213">
        <v>0</v>
      </c>
      <c r="K113" s="212">
        <v>2</v>
      </c>
      <c r="L113" s="172">
        <v>3</v>
      </c>
      <c r="M113" s="213">
        <v>0</v>
      </c>
      <c r="N113" s="212">
        <v>2</v>
      </c>
      <c r="O113" s="172">
        <v>0</v>
      </c>
      <c r="P113" s="213">
        <v>1</v>
      </c>
    </row>
    <row r="114" spans="1:16" x14ac:dyDescent="0.25">
      <c r="A114" s="80">
        <v>45761</v>
      </c>
      <c r="B114" s="179">
        <v>3</v>
      </c>
      <c r="C114" s="171">
        <v>1</v>
      </c>
      <c r="D114" s="180">
        <v>2</v>
      </c>
      <c r="E114" s="172">
        <v>5</v>
      </c>
      <c r="F114" s="172">
        <v>6</v>
      </c>
      <c r="G114" s="213">
        <v>1</v>
      </c>
      <c r="H114" s="212">
        <v>1</v>
      </c>
      <c r="I114" s="172">
        <v>3</v>
      </c>
      <c r="J114" s="213">
        <v>0</v>
      </c>
      <c r="K114" s="212">
        <v>3</v>
      </c>
      <c r="L114" s="172">
        <v>11</v>
      </c>
      <c r="M114" s="213">
        <v>0</v>
      </c>
      <c r="N114" s="212">
        <v>1</v>
      </c>
      <c r="O114" s="172">
        <v>0</v>
      </c>
      <c r="P114" s="213">
        <v>0</v>
      </c>
    </row>
    <row r="115" spans="1:16" x14ac:dyDescent="0.25">
      <c r="A115" s="79" t="s">
        <v>150</v>
      </c>
      <c r="B115" s="179">
        <v>4</v>
      </c>
      <c r="C115" s="171">
        <v>1</v>
      </c>
      <c r="D115" s="180">
        <v>3</v>
      </c>
      <c r="E115" s="172">
        <v>9</v>
      </c>
      <c r="F115" s="172">
        <v>11</v>
      </c>
      <c r="G115" s="213">
        <v>2</v>
      </c>
      <c r="H115" s="212">
        <v>12</v>
      </c>
      <c r="I115" s="172">
        <v>16</v>
      </c>
      <c r="J115" s="213">
        <v>2</v>
      </c>
      <c r="K115" s="212">
        <v>8</v>
      </c>
      <c r="L115" s="172">
        <v>27</v>
      </c>
      <c r="M115" s="213">
        <v>2</v>
      </c>
      <c r="N115" s="212">
        <v>8</v>
      </c>
      <c r="O115" s="172">
        <v>0</v>
      </c>
      <c r="P115" s="213">
        <v>1</v>
      </c>
    </row>
    <row r="116" spans="1:16" x14ac:dyDescent="0.25">
      <c r="A116" s="110" t="s">
        <v>146</v>
      </c>
      <c r="B116" s="179"/>
      <c r="C116" s="171"/>
      <c r="D116" s="180"/>
      <c r="E116" s="172"/>
      <c r="F116" s="172"/>
      <c r="G116" s="213"/>
      <c r="H116" s="212"/>
      <c r="I116" s="172"/>
      <c r="J116" s="213"/>
      <c r="K116" s="212"/>
      <c r="L116" s="172"/>
      <c r="M116" s="213"/>
      <c r="N116" s="212"/>
      <c r="O116" s="172"/>
      <c r="P116" s="213"/>
    </row>
    <row r="117" spans="1:16" x14ac:dyDescent="0.25">
      <c r="A117" s="80">
        <v>45758</v>
      </c>
      <c r="B117" s="179">
        <v>2</v>
      </c>
      <c r="C117" s="171">
        <v>1</v>
      </c>
      <c r="D117" s="180">
        <v>0</v>
      </c>
      <c r="E117" s="172">
        <v>2</v>
      </c>
      <c r="F117" s="172">
        <v>0</v>
      </c>
      <c r="G117" s="213">
        <v>0</v>
      </c>
      <c r="H117" s="212">
        <v>1</v>
      </c>
      <c r="I117" s="172">
        <v>3</v>
      </c>
      <c r="J117" s="213">
        <v>1</v>
      </c>
      <c r="K117" s="212">
        <v>2</v>
      </c>
      <c r="L117" s="172">
        <v>7</v>
      </c>
      <c r="M117" s="213">
        <v>0</v>
      </c>
      <c r="N117" s="212">
        <v>0</v>
      </c>
      <c r="O117" s="172">
        <v>0</v>
      </c>
      <c r="P117" s="213">
        <v>0</v>
      </c>
    </row>
    <row r="118" spans="1:16" x14ac:dyDescent="0.25">
      <c r="A118" s="80">
        <v>45757</v>
      </c>
      <c r="B118" s="179">
        <v>0</v>
      </c>
      <c r="C118" s="171">
        <v>1</v>
      </c>
      <c r="D118" s="180">
        <v>0</v>
      </c>
      <c r="E118" s="172">
        <v>3</v>
      </c>
      <c r="F118" s="172">
        <v>1</v>
      </c>
      <c r="G118" s="213">
        <v>0</v>
      </c>
      <c r="H118" s="212">
        <v>9</v>
      </c>
      <c r="I118" s="172">
        <v>4</v>
      </c>
      <c r="J118" s="213">
        <v>1</v>
      </c>
      <c r="K118" s="212">
        <v>0</v>
      </c>
      <c r="L118" s="172">
        <v>4</v>
      </c>
      <c r="M118" s="213">
        <v>0</v>
      </c>
      <c r="N118" s="212">
        <v>0</v>
      </c>
      <c r="O118" s="172">
        <v>1</v>
      </c>
      <c r="P118" s="213">
        <v>0</v>
      </c>
    </row>
    <row r="119" spans="1:16" x14ac:dyDescent="0.25">
      <c r="A119" s="80">
        <v>45756</v>
      </c>
      <c r="B119" s="179">
        <v>1</v>
      </c>
      <c r="C119" s="171">
        <v>1</v>
      </c>
      <c r="D119" s="180">
        <v>0</v>
      </c>
      <c r="E119" s="172">
        <v>4</v>
      </c>
      <c r="F119" s="172">
        <v>1</v>
      </c>
      <c r="G119" s="213">
        <v>1</v>
      </c>
      <c r="H119" s="212">
        <v>4</v>
      </c>
      <c r="I119" s="172">
        <v>4</v>
      </c>
      <c r="J119" s="213">
        <v>1</v>
      </c>
      <c r="K119" s="212">
        <v>1</v>
      </c>
      <c r="L119" s="172">
        <v>4</v>
      </c>
      <c r="M119" s="213">
        <v>0</v>
      </c>
      <c r="N119" s="212">
        <v>1</v>
      </c>
      <c r="O119" s="172">
        <v>1</v>
      </c>
      <c r="P119" s="213">
        <v>0</v>
      </c>
    </row>
    <row r="120" spans="1:16" x14ac:dyDescent="0.25">
      <c r="A120" s="80">
        <v>45755</v>
      </c>
      <c r="B120" s="179">
        <v>0</v>
      </c>
      <c r="C120" s="171">
        <v>1</v>
      </c>
      <c r="D120" s="180">
        <v>0</v>
      </c>
      <c r="E120" s="172">
        <v>4</v>
      </c>
      <c r="F120" s="172">
        <v>0</v>
      </c>
      <c r="G120" s="213">
        <v>0</v>
      </c>
      <c r="H120" s="212">
        <v>3</v>
      </c>
      <c r="I120" s="172">
        <v>1</v>
      </c>
      <c r="J120" s="213">
        <v>0</v>
      </c>
      <c r="K120" s="212">
        <v>1</v>
      </c>
      <c r="L120" s="172">
        <v>3</v>
      </c>
      <c r="M120" s="213">
        <v>2</v>
      </c>
      <c r="N120" s="212">
        <v>1</v>
      </c>
      <c r="O120" s="172">
        <v>0</v>
      </c>
      <c r="P120" s="213">
        <v>0</v>
      </c>
    </row>
    <row r="121" spans="1:16" x14ac:dyDescent="0.25">
      <c r="A121" s="80">
        <v>45754</v>
      </c>
      <c r="B121" s="179">
        <v>1</v>
      </c>
      <c r="C121" s="171">
        <v>3</v>
      </c>
      <c r="D121" s="180">
        <v>1</v>
      </c>
      <c r="E121" s="172">
        <v>2</v>
      </c>
      <c r="F121" s="172">
        <v>2</v>
      </c>
      <c r="G121" s="213">
        <v>0</v>
      </c>
      <c r="H121" s="212">
        <v>2</v>
      </c>
      <c r="I121" s="172">
        <v>3</v>
      </c>
      <c r="J121" s="213">
        <v>1</v>
      </c>
      <c r="K121" s="212">
        <v>1</v>
      </c>
      <c r="L121" s="172">
        <v>1</v>
      </c>
      <c r="M121" s="213">
        <v>1</v>
      </c>
      <c r="N121" s="212">
        <v>2</v>
      </c>
      <c r="O121" s="172">
        <v>1</v>
      </c>
      <c r="P121" s="213">
        <v>0</v>
      </c>
    </row>
    <row r="122" spans="1:16" x14ac:dyDescent="0.25">
      <c r="A122" s="79" t="s">
        <v>147</v>
      </c>
      <c r="B122" s="179">
        <v>4</v>
      </c>
      <c r="C122" s="171">
        <v>7</v>
      </c>
      <c r="D122" s="180">
        <v>1</v>
      </c>
      <c r="E122" s="172">
        <v>15</v>
      </c>
      <c r="F122" s="172">
        <v>4</v>
      </c>
      <c r="G122" s="213">
        <v>1</v>
      </c>
      <c r="H122" s="212">
        <v>19</v>
      </c>
      <c r="I122" s="172">
        <v>15</v>
      </c>
      <c r="J122" s="213">
        <v>4</v>
      </c>
      <c r="K122" s="212">
        <v>5</v>
      </c>
      <c r="L122" s="172">
        <v>19</v>
      </c>
      <c r="M122" s="213">
        <v>3</v>
      </c>
      <c r="N122" s="212">
        <v>4</v>
      </c>
      <c r="O122" s="172">
        <v>3</v>
      </c>
      <c r="P122" s="213">
        <v>0</v>
      </c>
    </row>
    <row r="123" spans="1:16" x14ac:dyDescent="0.25">
      <c r="A123" s="110" t="s">
        <v>144</v>
      </c>
      <c r="B123" s="179"/>
      <c r="C123" s="171"/>
      <c r="D123" s="180"/>
      <c r="E123" s="172"/>
      <c r="F123" s="172"/>
      <c r="G123" s="213"/>
      <c r="H123" s="212"/>
      <c r="I123" s="172"/>
      <c r="J123" s="213"/>
      <c r="K123" s="212"/>
      <c r="L123" s="172"/>
      <c r="M123" s="213"/>
      <c r="N123" s="212"/>
      <c r="O123" s="172"/>
      <c r="P123" s="213"/>
    </row>
    <row r="124" spans="1:16" x14ac:dyDescent="0.25">
      <c r="A124" s="80">
        <v>45751</v>
      </c>
      <c r="B124" s="179">
        <v>2</v>
      </c>
      <c r="C124" s="171">
        <v>0</v>
      </c>
      <c r="D124" s="180">
        <v>0</v>
      </c>
      <c r="E124" s="172">
        <v>1</v>
      </c>
      <c r="F124" s="172">
        <v>0</v>
      </c>
      <c r="G124" s="213">
        <v>0</v>
      </c>
      <c r="H124" s="212">
        <v>2</v>
      </c>
      <c r="I124" s="172">
        <v>1</v>
      </c>
      <c r="J124" s="213">
        <v>0</v>
      </c>
      <c r="K124" s="212">
        <v>0</v>
      </c>
      <c r="L124" s="172">
        <v>2</v>
      </c>
      <c r="M124" s="213">
        <v>1</v>
      </c>
      <c r="N124" s="212">
        <v>1</v>
      </c>
      <c r="O124" s="172">
        <v>0</v>
      </c>
      <c r="P124" s="213">
        <v>0</v>
      </c>
    </row>
    <row r="125" spans="1:16" x14ac:dyDescent="0.25">
      <c r="A125" s="80">
        <v>45750</v>
      </c>
      <c r="B125" s="179">
        <v>1</v>
      </c>
      <c r="C125" s="171">
        <v>0</v>
      </c>
      <c r="D125" s="180">
        <v>0</v>
      </c>
      <c r="E125" s="172">
        <v>2</v>
      </c>
      <c r="F125" s="172">
        <v>1</v>
      </c>
      <c r="G125" s="213">
        <v>0</v>
      </c>
      <c r="H125" s="212">
        <v>2</v>
      </c>
      <c r="I125" s="172">
        <v>2</v>
      </c>
      <c r="J125" s="213">
        <v>0</v>
      </c>
      <c r="K125" s="212">
        <v>5</v>
      </c>
      <c r="L125" s="172">
        <v>4</v>
      </c>
      <c r="M125" s="213">
        <v>0</v>
      </c>
      <c r="N125" s="212">
        <v>0</v>
      </c>
      <c r="O125" s="172">
        <v>3</v>
      </c>
      <c r="P125" s="213">
        <v>0</v>
      </c>
    </row>
    <row r="126" spans="1:16" x14ac:dyDescent="0.25">
      <c r="A126" s="80">
        <v>45749</v>
      </c>
      <c r="B126" s="179">
        <v>1</v>
      </c>
      <c r="C126" s="171">
        <v>1</v>
      </c>
      <c r="D126" s="180">
        <v>0</v>
      </c>
      <c r="E126" s="172">
        <v>1</v>
      </c>
      <c r="F126" s="172">
        <v>1</v>
      </c>
      <c r="G126" s="213">
        <v>1</v>
      </c>
      <c r="H126" s="212">
        <v>3</v>
      </c>
      <c r="I126" s="172">
        <v>0</v>
      </c>
      <c r="J126" s="213">
        <v>1</v>
      </c>
      <c r="K126" s="212">
        <v>1</v>
      </c>
      <c r="L126" s="172">
        <v>4</v>
      </c>
      <c r="M126" s="213">
        <v>2</v>
      </c>
      <c r="N126" s="212">
        <v>0</v>
      </c>
      <c r="O126" s="172">
        <v>1</v>
      </c>
      <c r="P126" s="213">
        <v>0</v>
      </c>
    </row>
    <row r="127" spans="1:16" x14ac:dyDescent="0.25">
      <c r="A127" s="80">
        <v>45748</v>
      </c>
      <c r="B127" s="179">
        <v>2</v>
      </c>
      <c r="C127" s="171">
        <v>1</v>
      </c>
      <c r="D127" s="180">
        <v>0</v>
      </c>
      <c r="E127" s="172">
        <v>1</v>
      </c>
      <c r="F127" s="172">
        <v>1</v>
      </c>
      <c r="G127" s="213">
        <v>0</v>
      </c>
      <c r="H127" s="212">
        <v>7</v>
      </c>
      <c r="I127" s="172">
        <v>2</v>
      </c>
      <c r="J127" s="213">
        <v>0</v>
      </c>
      <c r="K127" s="212">
        <v>2</v>
      </c>
      <c r="L127" s="172">
        <v>3</v>
      </c>
      <c r="M127" s="213">
        <v>0</v>
      </c>
      <c r="N127" s="212">
        <v>0</v>
      </c>
      <c r="O127" s="172">
        <v>1</v>
      </c>
      <c r="P127" s="213">
        <v>0</v>
      </c>
    </row>
    <row r="128" spans="1:16" x14ac:dyDescent="0.25">
      <c r="A128" s="80">
        <v>45747</v>
      </c>
      <c r="B128" s="179">
        <v>1</v>
      </c>
      <c r="C128" s="171">
        <v>1</v>
      </c>
      <c r="D128" s="180">
        <v>1</v>
      </c>
      <c r="E128" s="172">
        <v>0</v>
      </c>
      <c r="F128" s="172">
        <v>1</v>
      </c>
      <c r="G128" s="213">
        <v>0</v>
      </c>
      <c r="H128" s="212">
        <v>1</v>
      </c>
      <c r="I128" s="172">
        <v>2</v>
      </c>
      <c r="J128" s="213">
        <v>0</v>
      </c>
      <c r="K128" s="212">
        <v>3</v>
      </c>
      <c r="L128" s="172">
        <v>2</v>
      </c>
      <c r="M128" s="213">
        <v>0</v>
      </c>
      <c r="N128" s="212">
        <v>0</v>
      </c>
      <c r="O128" s="172">
        <v>2</v>
      </c>
      <c r="P128" s="213">
        <v>0</v>
      </c>
    </row>
    <row r="129" spans="1:16" x14ac:dyDescent="0.25">
      <c r="A129" s="79" t="s">
        <v>145</v>
      </c>
      <c r="B129" s="179">
        <v>7</v>
      </c>
      <c r="C129" s="171">
        <v>3</v>
      </c>
      <c r="D129" s="180">
        <v>1</v>
      </c>
      <c r="E129" s="172">
        <v>5</v>
      </c>
      <c r="F129" s="172">
        <v>4</v>
      </c>
      <c r="G129" s="213">
        <v>1</v>
      </c>
      <c r="H129" s="212">
        <v>15</v>
      </c>
      <c r="I129" s="172">
        <v>7</v>
      </c>
      <c r="J129" s="213">
        <v>1</v>
      </c>
      <c r="K129" s="212">
        <v>11</v>
      </c>
      <c r="L129" s="172">
        <v>15</v>
      </c>
      <c r="M129" s="213">
        <v>3</v>
      </c>
      <c r="N129" s="212">
        <v>1</v>
      </c>
      <c r="O129" s="172">
        <v>7</v>
      </c>
      <c r="P129" s="213">
        <v>0</v>
      </c>
    </row>
    <row r="130" spans="1:16" x14ac:dyDescent="0.25">
      <c r="A130" s="110" t="s">
        <v>137</v>
      </c>
      <c r="B130" s="179"/>
      <c r="C130" s="171"/>
      <c r="D130" s="180"/>
      <c r="E130" s="172"/>
      <c r="F130" s="172"/>
      <c r="G130" s="213"/>
      <c r="H130" s="212"/>
      <c r="I130" s="172"/>
      <c r="J130" s="213"/>
      <c r="K130" s="212"/>
      <c r="L130" s="172"/>
      <c r="M130" s="213"/>
      <c r="N130" s="212"/>
      <c r="O130" s="172"/>
      <c r="P130" s="213"/>
    </row>
    <row r="131" spans="1:16" x14ac:dyDescent="0.25">
      <c r="A131" s="80">
        <v>45744</v>
      </c>
      <c r="B131" s="179">
        <v>2</v>
      </c>
      <c r="C131" s="171">
        <v>0</v>
      </c>
      <c r="D131" s="180">
        <v>0</v>
      </c>
      <c r="E131" s="172">
        <v>5</v>
      </c>
      <c r="F131" s="172">
        <v>0</v>
      </c>
      <c r="G131" s="213">
        <v>0</v>
      </c>
      <c r="H131" s="212">
        <v>1</v>
      </c>
      <c r="I131" s="172">
        <v>3</v>
      </c>
      <c r="J131" s="213">
        <v>0</v>
      </c>
      <c r="K131" s="212">
        <v>3</v>
      </c>
      <c r="L131" s="172">
        <v>0</v>
      </c>
      <c r="M131" s="213">
        <v>1</v>
      </c>
      <c r="N131" s="212">
        <v>1</v>
      </c>
      <c r="O131" s="172">
        <v>0</v>
      </c>
      <c r="P131" s="213">
        <v>0</v>
      </c>
    </row>
    <row r="132" spans="1:16" x14ac:dyDescent="0.25">
      <c r="A132" s="80">
        <v>45743</v>
      </c>
      <c r="B132" s="179">
        <v>4</v>
      </c>
      <c r="C132" s="171">
        <v>2</v>
      </c>
      <c r="D132" s="180">
        <v>0</v>
      </c>
      <c r="E132" s="172">
        <v>0</v>
      </c>
      <c r="F132" s="172">
        <v>0</v>
      </c>
      <c r="G132" s="213">
        <v>0</v>
      </c>
      <c r="H132" s="212">
        <v>4</v>
      </c>
      <c r="I132" s="172">
        <v>2</v>
      </c>
      <c r="J132" s="213">
        <v>0</v>
      </c>
      <c r="K132" s="212">
        <v>4</v>
      </c>
      <c r="L132" s="172">
        <v>2</v>
      </c>
      <c r="M132" s="213">
        <v>0</v>
      </c>
      <c r="N132" s="212">
        <v>3</v>
      </c>
      <c r="O132" s="172">
        <v>1</v>
      </c>
      <c r="P132" s="213">
        <v>0</v>
      </c>
    </row>
    <row r="133" spans="1:16" x14ac:dyDescent="0.25">
      <c r="A133" s="80">
        <v>45742</v>
      </c>
      <c r="B133" s="179">
        <v>1</v>
      </c>
      <c r="C133" s="171">
        <v>1</v>
      </c>
      <c r="D133" s="180">
        <v>0</v>
      </c>
      <c r="E133" s="172">
        <v>0</v>
      </c>
      <c r="F133" s="172">
        <v>0</v>
      </c>
      <c r="G133" s="213">
        <v>1</v>
      </c>
      <c r="H133" s="212">
        <v>5</v>
      </c>
      <c r="I133" s="172">
        <v>1</v>
      </c>
      <c r="J133" s="213">
        <v>0</v>
      </c>
      <c r="K133" s="212">
        <v>3</v>
      </c>
      <c r="L133" s="172">
        <v>1</v>
      </c>
      <c r="M133" s="213">
        <v>1</v>
      </c>
      <c r="N133" s="212">
        <v>3</v>
      </c>
      <c r="O133" s="172">
        <v>1</v>
      </c>
      <c r="P133" s="213">
        <v>0</v>
      </c>
    </row>
    <row r="134" spans="1:16" x14ac:dyDescent="0.25">
      <c r="A134" s="80">
        <v>45741</v>
      </c>
      <c r="B134" s="167">
        <v>5</v>
      </c>
      <c r="C134" s="165">
        <v>0</v>
      </c>
      <c r="D134" s="168">
        <v>0</v>
      </c>
      <c r="E134" s="166">
        <v>1</v>
      </c>
      <c r="F134" s="166">
        <v>1</v>
      </c>
      <c r="G134" s="215">
        <v>1</v>
      </c>
      <c r="H134" s="214">
        <v>0</v>
      </c>
      <c r="I134" s="166">
        <v>3</v>
      </c>
      <c r="J134" s="215">
        <v>0</v>
      </c>
      <c r="K134" s="214">
        <v>0</v>
      </c>
      <c r="L134" s="166">
        <v>3</v>
      </c>
      <c r="M134" s="215">
        <v>1</v>
      </c>
      <c r="N134" s="214">
        <v>1</v>
      </c>
      <c r="O134" s="166">
        <v>0</v>
      </c>
      <c r="P134" s="215">
        <v>0</v>
      </c>
    </row>
    <row r="135" spans="1:16" x14ac:dyDescent="0.25">
      <c r="A135" s="80">
        <v>45740</v>
      </c>
      <c r="B135" s="167">
        <v>2</v>
      </c>
      <c r="C135" s="165">
        <v>1</v>
      </c>
      <c r="D135" s="168">
        <v>0</v>
      </c>
      <c r="E135" s="166">
        <v>3</v>
      </c>
      <c r="F135" s="166">
        <v>1</v>
      </c>
      <c r="G135" s="215">
        <v>0</v>
      </c>
      <c r="H135" s="214">
        <v>0</v>
      </c>
      <c r="I135" s="166">
        <v>2</v>
      </c>
      <c r="J135" s="215">
        <v>1</v>
      </c>
      <c r="K135" s="214">
        <v>7</v>
      </c>
      <c r="L135" s="166">
        <v>3</v>
      </c>
      <c r="M135" s="215">
        <v>0</v>
      </c>
      <c r="N135" s="214">
        <v>1</v>
      </c>
      <c r="O135" s="166">
        <v>1</v>
      </c>
      <c r="P135" s="215">
        <v>0</v>
      </c>
    </row>
    <row r="136" spans="1:16" x14ac:dyDescent="0.25">
      <c r="A136" s="79" t="s">
        <v>138</v>
      </c>
      <c r="B136" s="167">
        <v>14</v>
      </c>
      <c r="C136" s="165">
        <v>4</v>
      </c>
      <c r="D136" s="168">
        <v>0</v>
      </c>
      <c r="E136" s="166">
        <v>9</v>
      </c>
      <c r="F136" s="166">
        <v>2</v>
      </c>
      <c r="G136" s="215">
        <v>2</v>
      </c>
      <c r="H136" s="214">
        <v>10</v>
      </c>
      <c r="I136" s="166">
        <v>11</v>
      </c>
      <c r="J136" s="215">
        <v>1</v>
      </c>
      <c r="K136" s="214">
        <v>17</v>
      </c>
      <c r="L136" s="166">
        <v>9</v>
      </c>
      <c r="M136" s="215">
        <v>3</v>
      </c>
      <c r="N136" s="214">
        <v>9</v>
      </c>
      <c r="O136" s="166">
        <v>3</v>
      </c>
      <c r="P136" s="215">
        <v>0</v>
      </c>
    </row>
    <row r="137" spans="1:16" x14ac:dyDescent="0.25">
      <c r="A137" s="110" t="s">
        <v>133</v>
      </c>
      <c r="B137" s="179"/>
      <c r="C137" s="171"/>
      <c r="D137" s="180"/>
      <c r="E137" s="172"/>
      <c r="F137" s="172"/>
      <c r="G137" s="213"/>
      <c r="H137" s="212"/>
      <c r="I137" s="172"/>
      <c r="J137" s="213"/>
      <c r="K137" s="212"/>
      <c r="L137" s="172"/>
      <c r="M137" s="213"/>
      <c r="N137" s="212"/>
      <c r="O137" s="172"/>
      <c r="P137" s="213"/>
    </row>
    <row r="138" spans="1:16" x14ac:dyDescent="0.25">
      <c r="A138" s="80">
        <v>45737</v>
      </c>
      <c r="B138" s="167">
        <v>3</v>
      </c>
      <c r="C138" s="165">
        <v>0</v>
      </c>
      <c r="D138" s="168">
        <v>0</v>
      </c>
      <c r="E138" s="166">
        <v>1</v>
      </c>
      <c r="F138" s="166">
        <v>0</v>
      </c>
      <c r="G138" s="215">
        <v>0</v>
      </c>
      <c r="H138" s="214">
        <v>2</v>
      </c>
      <c r="I138" s="166">
        <v>4</v>
      </c>
      <c r="J138" s="215">
        <v>0</v>
      </c>
      <c r="K138" s="214">
        <v>1</v>
      </c>
      <c r="L138" s="166">
        <v>0</v>
      </c>
      <c r="M138" s="215">
        <v>0</v>
      </c>
      <c r="N138" s="214">
        <v>1</v>
      </c>
      <c r="O138" s="166">
        <v>0</v>
      </c>
      <c r="P138" s="215">
        <v>0</v>
      </c>
    </row>
    <row r="139" spans="1:16" x14ac:dyDescent="0.25">
      <c r="A139" s="80">
        <v>45736</v>
      </c>
      <c r="B139" s="167">
        <v>0</v>
      </c>
      <c r="C139" s="165">
        <v>0</v>
      </c>
      <c r="D139" s="168">
        <v>0</v>
      </c>
      <c r="E139" s="166">
        <v>0</v>
      </c>
      <c r="F139" s="166">
        <v>3</v>
      </c>
      <c r="G139" s="215">
        <v>2</v>
      </c>
      <c r="H139" s="214">
        <v>3</v>
      </c>
      <c r="I139" s="166">
        <v>1</v>
      </c>
      <c r="J139" s="215">
        <v>1</v>
      </c>
      <c r="K139" s="214">
        <v>1</v>
      </c>
      <c r="L139" s="166">
        <v>2</v>
      </c>
      <c r="M139" s="215">
        <v>1</v>
      </c>
      <c r="N139" s="214">
        <v>2</v>
      </c>
      <c r="O139" s="166">
        <v>1</v>
      </c>
      <c r="P139" s="215">
        <v>0</v>
      </c>
    </row>
    <row r="140" spans="1:16" x14ac:dyDescent="0.25">
      <c r="A140" s="80">
        <v>45735</v>
      </c>
      <c r="B140" s="167">
        <v>4</v>
      </c>
      <c r="C140" s="165">
        <v>0</v>
      </c>
      <c r="D140" s="168">
        <v>0</v>
      </c>
      <c r="E140" s="166">
        <v>1</v>
      </c>
      <c r="F140" s="166">
        <v>1</v>
      </c>
      <c r="G140" s="215">
        <v>1</v>
      </c>
      <c r="H140" s="214">
        <v>2</v>
      </c>
      <c r="I140" s="166">
        <v>1</v>
      </c>
      <c r="J140" s="215">
        <v>0</v>
      </c>
      <c r="K140" s="214">
        <v>4</v>
      </c>
      <c r="L140" s="166">
        <v>2</v>
      </c>
      <c r="M140" s="215">
        <v>1</v>
      </c>
      <c r="N140" s="214">
        <v>1</v>
      </c>
      <c r="O140" s="166">
        <v>0</v>
      </c>
      <c r="P140" s="215">
        <v>0</v>
      </c>
    </row>
    <row r="141" spans="1:16" x14ac:dyDescent="0.25">
      <c r="A141" s="80">
        <v>45734</v>
      </c>
      <c r="B141" s="179">
        <v>1</v>
      </c>
      <c r="C141" s="171">
        <v>1</v>
      </c>
      <c r="D141" s="180">
        <v>1</v>
      </c>
      <c r="E141" s="172">
        <v>0</v>
      </c>
      <c r="F141" s="172">
        <v>1</v>
      </c>
      <c r="G141" s="213">
        <v>1</v>
      </c>
      <c r="H141" s="212">
        <v>3</v>
      </c>
      <c r="I141" s="172">
        <v>2</v>
      </c>
      <c r="J141" s="213">
        <v>1</v>
      </c>
      <c r="K141" s="212">
        <v>2</v>
      </c>
      <c r="L141" s="172">
        <v>3</v>
      </c>
      <c r="M141" s="213">
        <v>0</v>
      </c>
      <c r="N141" s="212">
        <v>1</v>
      </c>
      <c r="O141" s="172">
        <v>0</v>
      </c>
      <c r="P141" s="213">
        <v>0</v>
      </c>
    </row>
    <row r="142" spans="1:16" x14ac:dyDescent="0.25">
      <c r="A142" s="80">
        <v>45733</v>
      </c>
      <c r="B142" s="179">
        <v>1</v>
      </c>
      <c r="C142" s="171">
        <v>0</v>
      </c>
      <c r="D142" s="180">
        <v>1</v>
      </c>
      <c r="E142" s="172">
        <v>2</v>
      </c>
      <c r="F142" s="172">
        <v>2</v>
      </c>
      <c r="G142" s="213">
        <v>0</v>
      </c>
      <c r="H142" s="212">
        <v>3</v>
      </c>
      <c r="I142" s="172">
        <v>1</v>
      </c>
      <c r="J142" s="213">
        <v>0</v>
      </c>
      <c r="K142" s="212">
        <v>2</v>
      </c>
      <c r="L142" s="172">
        <v>0</v>
      </c>
      <c r="M142" s="213">
        <v>0</v>
      </c>
      <c r="N142" s="212">
        <v>2</v>
      </c>
      <c r="O142" s="172">
        <v>0</v>
      </c>
      <c r="P142" s="213">
        <v>0</v>
      </c>
    </row>
    <row r="143" spans="1:16" x14ac:dyDescent="0.25">
      <c r="A143" s="79" t="s">
        <v>134</v>
      </c>
      <c r="B143" s="167">
        <v>9</v>
      </c>
      <c r="C143" s="165">
        <v>1</v>
      </c>
      <c r="D143" s="168">
        <v>2</v>
      </c>
      <c r="E143" s="166">
        <v>4</v>
      </c>
      <c r="F143" s="166">
        <v>7</v>
      </c>
      <c r="G143" s="215">
        <v>4</v>
      </c>
      <c r="H143" s="214">
        <v>13</v>
      </c>
      <c r="I143" s="166">
        <v>9</v>
      </c>
      <c r="J143" s="215">
        <v>2</v>
      </c>
      <c r="K143" s="214">
        <v>10</v>
      </c>
      <c r="L143" s="166">
        <v>7</v>
      </c>
      <c r="M143" s="215">
        <v>2</v>
      </c>
      <c r="N143" s="214">
        <v>7</v>
      </c>
      <c r="O143" s="166">
        <v>1</v>
      </c>
      <c r="P143" s="215">
        <v>0</v>
      </c>
    </row>
    <row r="144" spans="1:16" x14ac:dyDescent="0.25">
      <c r="A144" s="110" t="s">
        <v>110</v>
      </c>
      <c r="B144" s="179"/>
      <c r="C144" s="171"/>
      <c r="D144" s="180"/>
      <c r="E144" s="172"/>
      <c r="F144" s="172"/>
      <c r="G144" s="213"/>
      <c r="H144" s="212"/>
      <c r="I144" s="172"/>
      <c r="J144" s="213"/>
      <c r="K144" s="212"/>
      <c r="L144" s="172"/>
      <c r="M144" s="213"/>
      <c r="N144" s="212"/>
      <c r="O144" s="172"/>
      <c r="P144" s="213"/>
    </row>
    <row r="145" spans="1:16" x14ac:dyDescent="0.25">
      <c r="A145" s="80">
        <v>45730</v>
      </c>
      <c r="B145" s="179">
        <v>3</v>
      </c>
      <c r="C145" s="171">
        <v>1</v>
      </c>
      <c r="D145" s="180">
        <v>0</v>
      </c>
      <c r="E145" s="172">
        <v>4</v>
      </c>
      <c r="F145" s="172">
        <v>1</v>
      </c>
      <c r="G145" s="213">
        <v>0</v>
      </c>
      <c r="H145" s="212">
        <v>3</v>
      </c>
      <c r="I145" s="172">
        <v>5</v>
      </c>
      <c r="J145" s="213">
        <v>1</v>
      </c>
      <c r="K145" s="212">
        <v>1</v>
      </c>
      <c r="L145" s="172">
        <v>0</v>
      </c>
      <c r="M145" s="213">
        <v>0</v>
      </c>
      <c r="N145" s="212">
        <v>1</v>
      </c>
      <c r="O145" s="172">
        <v>0</v>
      </c>
      <c r="P145" s="213">
        <v>0</v>
      </c>
    </row>
    <row r="146" spans="1:16" x14ac:dyDescent="0.25">
      <c r="A146" s="80">
        <v>45729</v>
      </c>
      <c r="B146" s="179">
        <v>1</v>
      </c>
      <c r="C146" s="171">
        <v>0</v>
      </c>
      <c r="D146" s="180">
        <v>0</v>
      </c>
      <c r="E146" s="172">
        <v>3</v>
      </c>
      <c r="F146" s="172">
        <v>2</v>
      </c>
      <c r="G146" s="213">
        <v>0</v>
      </c>
      <c r="H146" s="212">
        <v>1</v>
      </c>
      <c r="I146" s="172">
        <v>2</v>
      </c>
      <c r="J146" s="213">
        <v>0</v>
      </c>
      <c r="K146" s="212">
        <v>3</v>
      </c>
      <c r="L146" s="172">
        <v>3</v>
      </c>
      <c r="M146" s="213">
        <v>1</v>
      </c>
      <c r="N146" s="212">
        <v>1</v>
      </c>
      <c r="O146" s="172">
        <v>2</v>
      </c>
      <c r="P146" s="213">
        <v>0</v>
      </c>
    </row>
    <row r="147" spans="1:16" x14ac:dyDescent="0.25">
      <c r="A147" s="80">
        <v>45728</v>
      </c>
      <c r="B147" s="179">
        <v>1</v>
      </c>
      <c r="C147" s="171">
        <v>0</v>
      </c>
      <c r="D147" s="180">
        <v>0</v>
      </c>
      <c r="E147" s="172">
        <v>0</v>
      </c>
      <c r="F147" s="172">
        <v>2</v>
      </c>
      <c r="G147" s="213">
        <v>0</v>
      </c>
      <c r="H147" s="212">
        <v>5</v>
      </c>
      <c r="I147" s="172">
        <v>2</v>
      </c>
      <c r="J147" s="213">
        <v>0</v>
      </c>
      <c r="K147" s="212">
        <v>1</v>
      </c>
      <c r="L147" s="172">
        <v>3</v>
      </c>
      <c r="M147" s="213">
        <v>0</v>
      </c>
      <c r="N147" s="212">
        <v>3</v>
      </c>
      <c r="O147" s="172">
        <v>1</v>
      </c>
      <c r="P147" s="213">
        <v>0</v>
      </c>
    </row>
    <row r="148" spans="1:16" x14ac:dyDescent="0.25">
      <c r="A148" s="80">
        <v>45727</v>
      </c>
      <c r="B148" s="179">
        <v>2</v>
      </c>
      <c r="C148" s="171">
        <v>0</v>
      </c>
      <c r="D148" s="180">
        <v>0</v>
      </c>
      <c r="E148" s="172">
        <v>4</v>
      </c>
      <c r="F148" s="172">
        <v>3</v>
      </c>
      <c r="G148" s="213">
        <v>0</v>
      </c>
      <c r="H148" s="212">
        <v>2</v>
      </c>
      <c r="I148" s="172">
        <v>2</v>
      </c>
      <c r="J148" s="213">
        <v>0</v>
      </c>
      <c r="K148" s="212">
        <v>1</v>
      </c>
      <c r="L148" s="172">
        <v>4</v>
      </c>
      <c r="M148" s="213">
        <v>0</v>
      </c>
      <c r="N148" s="212">
        <v>3</v>
      </c>
      <c r="O148" s="172">
        <v>2</v>
      </c>
      <c r="P148" s="213">
        <v>1</v>
      </c>
    </row>
    <row r="149" spans="1:16" x14ac:dyDescent="0.25">
      <c r="A149" s="80">
        <v>45726</v>
      </c>
      <c r="B149" s="179">
        <v>1</v>
      </c>
      <c r="C149" s="171">
        <v>1</v>
      </c>
      <c r="D149" s="180">
        <v>0</v>
      </c>
      <c r="E149" s="172">
        <v>1</v>
      </c>
      <c r="F149" s="172">
        <v>5</v>
      </c>
      <c r="G149" s="213">
        <v>0</v>
      </c>
      <c r="H149" s="212">
        <v>3</v>
      </c>
      <c r="I149" s="172">
        <v>2</v>
      </c>
      <c r="J149" s="213">
        <v>0</v>
      </c>
      <c r="K149" s="212">
        <v>0</v>
      </c>
      <c r="L149" s="172">
        <v>6</v>
      </c>
      <c r="M149" s="213">
        <v>0</v>
      </c>
      <c r="N149" s="212">
        <v>3</v>
      </c>
      <c r="O149" s="172">
        <v>0</v>
      </c>
      <c r="P149" s="213">
        <v>0</v>
      </c>
    </row>
    <row r="150" spans="1:16" x14ac:dyDescent="0.25">
      <c r="A150" s="79" t="s">
        <v>111</v>
      </c>
      <c r="B150" s="179">
        <v>8</v>
      </c>
      <c r="C150" s="171">
        <v>2</v>
      </c>
      <c r="D150" s="180">
        <v>0</v>
      </c>
      <c r="E150" s="172">
        <v>12</v>
      </c>
      <c r="F150" s="172">
        <v>13</v>
      </c>
      <c r="G150" s="213">
        <v>0</v>
      </c>
      <c r="H150" s="212">
        <v>14</v>
      </c>
      <c r="I150" s="172">
        <v>13</v>
      </c>
      <c r="J150" s="213">
        <v>1</v>
      </c>
      <c r="K150" s="212">
        <v>6</v>
      </c>
      <c r="L150" s="172">
        <v>16</v>
      </c>
      <c r="M150" s="213">
        <v>1</v>
      </c>
      <c r="N150" s="212">
        <v>11</v>
      </c>
      <c r="O150" s="172">
        <v>5</v>
      </c>
      <c r="P150" s="213">
        <v>1</v>
      </c>
    </row>
    <row r="151" spans="1:16" x14ac:dyDescent="0.25">
      <c r="A151" s="110" t="s">
        <v>108</v>
      </c>
      <c r="B151" s="179"/>
      <c r="C151" s="171"/>
      <c r="D151" s="180"/>
      <c r="E151" s="172"/>
      <c r="F151" s="172"/>
      <c r="G151" s="213"/>
      <c r="H151" s="212"/>
      <c r="I151" s="172"/>
      <c r="J151" s="213"/>
      <c r="K151" s="212"/>
      <c r="L151" s="172"/>
      <c r="M151" s="213"/>
      <c r="N151" s="212"/>
      <c r="O151" s="172"/>
      <c r="P151" s="213"/>
    </row>
    <row r="152" spans="1:16" x14ac:dyDescent="0.25">
      <c r="A152" s="80">
        <v>45723</v>
      </c>
      <c r="B152" s="179">
        <v>3</v>
      </c>
      <c r="C152" s="171">
        <v>0</v>
      </c>
      <c r="D152" s="180">
        <v>0</v>
      </c>
      <c r="E152" s="172">
        <v>0</v>
      </c>
      <c r="F152" s="172">
        <v>1</v>
      </c>
      <c r="G152" s="213">
        <v>0</v>
      </c>
      <c r="H152" s="212">
        <v>0</v>
      </c>
      <c r="I152" s="172">
        <v>1</v>
      </c>
      <c r="J152" s="213">
        <v>0</v>
      </c>
      <c r="K152" s="212">
        <v>0</v>
      </c>
      <c r="L152" s="172">
        <v>1</v>
      </c>
      <c r="M152" s="213">
        <v>0</v>
      </c>
      <c r="N152" s="212">
        <v>0</v>
      </c>
      <c r="O152" s="172">
        <v>0</v>
      </c>
      <c r="P152" s="213">
        <v>0</v>
      </c>
    </row>
    <row r="153" spans="1:16" x14ac:dyDescent="0.25">
      <c r="A153" s="80">
        <v>45722</v>
      </c>
      <c r="B153" s="179">
        <v>1</v>
      </c>
      <c r="C153" s="171">
        <v>1</v>
      </c>
      <c r="D153" s="180">
        <v>0</v>
      </c>
      <c r="E153" s="172">
        <v>4</v>
      </c>
      <c r="F153" s="172">
        <v>1</v>
      </c>
      <c r="G153" s="213">
        <v>0</v>
      </c>
      <c r="H153" s="212">
        <v>3</v>
      </c>
      <c r="I153" s="172">
        <v>2</v>
      </c>
      <c r="J153" s="213">
        <v>0</v>
      </c>
      <c r="K153" s="212">
        <v>2</v>
      </c>
      <c r="L153" s="172">
        <v>1</v>
      </c>
      <c r="M153" s="213">
        <v>0</v>
      </c>
      <c r="N153" s="212">
        <v>1</v>
      </c>
      <c r="O153" s="172">
        <v>1</v>
      </c>
      <c r="P153" s="213">
        <v>0</v>
      </c>
    </row>
    <row r="154" spans="1:16" x14ac:dyDescent="0.25">
      <c r="A154" s="80">
        <v>45721</v>
      </c>
      <c r="B154" s="179">
        <v>1</v>
      </c>
      <c r="C154" s="171">
        <v>0</v>
      </c>
      <c r="D154" s="180">
        <v>0</v>
      </c>
      <c r="E154" s="172">
        <v>3</v>
      </c>
      <c r="F154" s="172">
        <v>0</v>
      </c>
      <c r="G154" s="213">
        <v>0</v>
      </c>
      <c r="H154" s="212">
        <v>8</v>
      </c>
      <c r="I154" s="172">
        <v>2</v>
      </c>
      <c r="J154" s="213">
        <v>0</v>
      </c>
      <c r="K154" s="212">
        <v>2</v>
      </c>
      <c r="L154" s="172">
        <v>5</v>
      </c>
      <c r="M154" s="213">
        <v>0</v>
      </c>
      <c r="N154" s="212">
        <v>1</v>
      </c>
      <c r="O154" s="172">
        <v>1</v>
      </c>
      <c r="P154" s="213">
        <v>0</v>
      </c>
    </row>
    <row r="155" spans="1:16" x14ac:dyDescent="0.25">
      <c r="A155" s="80">
        <v>45720</v>
      </c>
      <c r="B155" s="179">
        <v>3</v>
      </c>
      <c r="C155" s="171">
        <v>3</v>
      </c>
      <c r="D155" s="180">
        <v>0</v>
      </c>
      <c r="E155" s="172">
        <v>2</v>
      </c>
      <c r="F155" s="172">
        <v>3</v>
      </c>
      <c r="G155" s="213">
        <v>0</v>
      </c>
      <c r="H155" s="212">
        <v>4</v>
      </c>
      <c r="I155" s="172">
        <v>2</v>
      </c>
      <c r="J155" s="213">
        <v>0</v>
      </c>
      <c r="K155" s="212">
        <v>4</v>
      </c>
      <c r="L155" s="172">
        <v>3</v>
      </c>
      <c r="M155" s="213">
        <v>0</v>
      </c>
      <c r="N155" s="212">
        <v>0</v>
      </c>
      <c r="O155" s="172">
        <v>0</v>
      </c>
      <c r="P155" s="213">
        <v>0</v>
      </c>
    </row>
    <row r="156" spans="1:16" x14ac:dyDescent="0.25">
      <c r="A156" s="80">
        <v>45719</v>
      </c>
      <c r="B156" s="179">
        <v>0</v>
      </c>
      <c r="C156" s="171">
        <v>1</v>
      </c>
      <c r="D156" s="180">
        <v>0</v>
      </c>
      <c r="E156" s="172">
        <v>0</v>
      </c>
      <c r="F156" s="172">
        <v>1</v>
      </c>
      <c r="G156" s="213">
        <v>0</v>
      </c>
      <c r="H156" s="212">
        <v>2</v>
      </c>
      <c r="I156" s="172">
        <v>1</v>
      </c>
      <c r="J156" s="213">
        <v>0</v>
      </c>
      <c r="K156" s="212">
        <v>1</v>
      </c>
      <c r="L156" s="172">
        <v>4</v>
      </c>
      <c r="M156" s="213">
        <v>0</v>
      </c>
      <c r="N156" s="212">
        <v>3</v>
      </c>
      <c r="O156" s="172">
        <v>0</v>
      </c>
      <c r="P156" s="213">
        <v>0</v>
      </c>
    </row>
    <row r="157" spans="1:16" x14ac:dyDescent="0.25">
      <c r="A157" s="79" t="s">
        <v>109</v>
      </c>
      <c r="B157" s="179">
        <v>8</v>
      </c>
      <c r="C157" s="171">
        <v>5</v>
      </c>
      <c r="D157" s="180">
        <v>0</v>
      </c>
      <c r="E157" s="172">
        <v>9</v>
      </c>
      <c r="F157" s="172">
        <v>6</v>
      </c>
      <c r="G157" s="213">
        <v>0</v>
      </c>
      <c r="H157" s="212">
        <v>17</v>
      </c>
      <c r="I157" s="172">
        <v>8</v>
      </c>
      <c r="J157" s="213">
        <v>0</v>
      </c>
      <c r="K157" s="212">
        <v>9</v>
      </c>
      <c r="L157" s="172">
        <v>14</v>
      </c>
      <c r="M157" s="213">
        <v>0</v>
      </c>
      <c r="N157" s="212">
        <v>5</v>
      </c>
      <c r="O157" s="172">
        <v>2</v>
      </c>
      <c r="P157" s="213">
        <v>0</v>
      </c>
    </row>
    <row r="158" spans="1:16" x14ac:dyDescent="0.25">
      <c r="A158" s="110" t="s">
        <v>116</v>
      </c>
      <c r="B158" s="179"/>
      <c r="C158" s="171"/>
      <c r="D158" s="180"/>
      <c r="E158" s="172"/>
      <c r="F158" s="172"/>
      <c r="G158" s="213"/>
      <c r="H158" s="212"/>
      <c r="I158" s="172"/>
      <c r="J158" s="213"/>
      <c r="K158" s="212"/>
      <c r="L158" s="172"/>
      <c r="M158" s="213"/>
      <c r="N158" s="212"/>
      <c r="O158" s="172"/>
      <c r="P158" s="213"/>
    </row>
    <row r="159" spans="1:16" x14ac:dyDescent="0.25">
      <c r="A159" s="80">
        <v>45716</v>
      </c>
      <c r="B159" s="179">
        <v>0</v>
      </c>
      <c r="C159" s="171">
        <v>0</v>
      </c>
      <c r="D159" s="180">
        <v>0</v>
      </c>
      <c r="E159" s="172">
        <v>5</v>
      </c>
      <c r="F159" s="172">
        <v>3</v>
      </c>
      <c r="G159" s="213">
        <v>0</v>
      </c>
      <c r="H159" s="212">
        <v>2</v>
      </c>
      <c r="I159" s="172">
        <v>7</v>
      </c>
      <c r="J159" s="213">
        <v>0</v>
      </c>
      <c r="K159" s="212">
        <v>0</v>
      </c>
      <c r="L159" s="172">
        <v>3</v>
      </c>
      <c r="M159" s="213">
        <v>0</v>
      </c>
      <c r="N159" s="212">
        <v>1</v>
      </c>
      <c r="O159" s="172">
        <v>1</v>
      </c>
      <c r="P159" s="213">
        <v>0</v>
      </c>
    </row>
    <row r="160" spans="1:16" x14ac:dyDescent="0.25">
      <c r="A160" s="80">
        <v>45715</v>
      </c>
      <c r="B160" s="179">
        <v>3</v>
      </c>
      <c r="C160" s="171">
        <v>0</v>
      </c>
      <c r="D160" s="180">
        <v>0</v>
      </c>
      <c r="E160" s="172">
        <v>2</v>
      </c>
      <c r="F160" s="172">
        <v>1</v>
      </c>
      <c r="G160" s="213">
        <v>0</v>
      </c>
      <c r="H160" s="212">
        <v>0</v>
      </c>
      <c r="I160" s="172">
        <v>2</v>
      </c>
      <c r="J160" s="213">
        <v>0</v>
      </c>
      <c r="K160" s="212">
        <v>3</v>
      </c>
      <c r="L160" s="172">
        <v>3</v>
      </c>
      <c r="M160" s="213">
        <v>0</v>
      </c>
      <c r="N160" s="212">
        <v>3</v>
      </c>
      <c r="O160" s="172">
        <v>0</v>
      </c>
      <c r="P160" s="213">
        <v>0</v>
      </c>
    </row>
    <row r="161" spans="1:16" x14ac:dyDescent="0.25">
      <c r="A161" s="80">
        <v>45714</v>
      </c>
      <c r="B161" s="179">
        <v>1</v>
      </c>
      <c r="C161" s="171">
        <v>1</v>
      </c>
      <c r="D161" s="180">
        <v>0</v>
      </c>
      <c r="E161" s="172">
        <v>2</v>
      </c>
      <c r="F161" s="172">
        <v>1</v>
      </c>
      <c r="G161" s="213">
        <v>0</v>
      </c>
      <c r="H161" s="212">
        <v>1</v>
      </c>
      <c r="I161" s="172">
        <v>2</v>
      </c>
      <c r="J161" s="213">
        <v>0</v>
      </c>
      <c r="K161" s="212">
        <v>0</v>
      </c>
      <c r="L161" s="172">
        <v>1</v>
      </c>
      <c r="M161" s="213">
        <v>0</v>
      </c>
      <c r="N161" s="212">
        <v>3</v>
      </c>
      <c r="O161" s="172">
        <v>1</v>
      </c>
      <c r="P161" s="213">
        <v>0</v>
      </c>
    </row>
    <row r="162" spans="1:16" x14ac:dyDescent="0.25">
      <c r="A162" s="80">
        <v>45713</v>
      </c>
      <c r="B162" s="179">
        <v>2</v>
      </c>
      <c r="C162" s="171">
        <v>0</v>
      </c>
      <c r="D162" s="180">
        <v>0</v>
      </c>
      <c r="E162" s="172">
        <v>1</v>
      </c>
      <c r="F162" s="172">
        <v>2</v>
      </c>
      <c r="G162" s="213">
        <v>0</v>
      </c>
      <c r="H162" s="212">
        <v>0</v>
      </c>
      <c r="I162" s="172">
        <v>3</v>
      </c>
      <c r="J162" s="213">
        <v>0</v>
      </c>
      <c r="K162" s="212">
        <v>1</v>
      </c>
      <c r="L162" s="172">
        <v>1</v>
      </c>
      <c r="M162" s="213">
        <v>0</v>
      </c>
      <c r="N162" s="212">
        <v>2</v>
      </c>
      <c r="O162" s="172">
        <v>0</v>
      </c>
      <c r="P162" s="213">
        <v>0</v>
      </c>
    </row>
    <row r="163" spans="1:16" x14ac:dyDescent="0.25">
      <c r="A163" s="80">
        <v>45712</v>
      </c>
      <c r="B163" s="179">
        <v>0</v>
      </c>
      <c r="C163" s="171">
        <v>0</v>
      </c>
      <c r="D163" s="180">
        <v>0</v>
      </c>
      <c r="E163" s="172">
        <v>2</v>
      </c>
      <c r="F163" s="172">
        <v>2</v>
      </c>
      <c r="G163" s="213">
        <v>0</v>
      </c>
      <c r="H163" s="212">
        <v>0</v>
      </c>
      <c r="I163" s="172">
        <v>2</v>
      </c>
      <c r="J163" s="213">
        <v>0</v>
      </c>
      <c r="K163" s="212">
        <v>1</v>
      </c>
      <c r="L163" s="172">
        <v>6</v>
      </c>
      <c r="M163" s="213">
        <v>0</v>
      </c>
      <c r="N163" s="212">
        <v>3</v>
      </c>
      <c r="O163" s="172">
        <v>1</v>
      </c>
      <c r="P163" s="213">
        <v>0</v>
      </c>
    </row>
    <row r="164" spans="1:16" x14ac:dyDescent="0.25">
      <c r="A164" s="79" t="s">
        <v>124</v>
      </c>
      <c r="B164" s="179">
        <v>6</v>
      </c>
      <c r="C164" s="171">
        <v>1</v>
      </c>
      <c r="D164" s="180">
        <v>0</v>
      </c>
      <c r="E164" s="172">
        <v>12</v>
      </c>
      <c r="F164" s="172">
        <v>9</v>
      </c>
      <c r="G164" s="213">
        <v>0</v>
      </c>
      <c r="H164" s="212">
        <v>3</v>
      </c>
      <c r="I164" s="172">
        <v>16</v>
      </c>
      <c r="J164" s="213">
        <v>0</v>
      </c>
      <c r="K164" s="212">
        <v>5</v>
      </c>
      <c r="L164" s="172">
        <v>14</v>
      </c>
      <c r="M164" s="213">
        <v>0</v>
      </c>
      <c r="N164" s="212">
        <v>12</v>
      </c>
      <c r="O164" s="172">
        <v>3</v>
      </c>
      <c r="P164" s="213">
        <v>0</v>
      </c>
    </row>
    <row r="165" spans="1:16" x14ac:dyDescent="0.25">
      <c r="A165" s="110" t="s">
        <v>117</v>
      </c>
      <c r="B165" s="179"/>
      <c r="C165" s="171"/>
      <c r="D165" s="180"/>
      <c r="E165" s="172"/>
      <c r="F165" s="172"/>
      <c r="G165" s="213"/>
      <c r="H165" s="212"/>
      <c r="I165" s="172"/>
      <c r="J165" s="213"/>
      <c r="K165" s="212"/>
      <c r="L165" s="172"/>
      <c r="M165" s="213"/>
      <c r="N165" s="212"/>
      <c r="O165" s="172"/>
      <c r="P165" s="213"/>
    </row>
    <row r="166" spans="1:16" x14ac:dyDescent="0.25">
      <c r="A166" s="80">
        <v>45709</v>
      </c>
      <c r="B166" s="179">
        <v>2</v>
      </c>
      <c r="C166" s="171">
        <v>0</v>
      </c>
      <c r="D166" s="180">
        <v>0</v>
      </c>
      <c r="E166" s="172">
        <v>1</v>
      </c>
      <c r="F166" s="172">
        <v>2</v>
      </c>
      <c r="G166" s="213">
        <v>0</v>
      </c>
      <c r="H166" s="212">
        <v>0</v>
      </c>
      <c r="I166" s="172">
        <v>3</v>
      </c>
      <c r="J166" s="213">
        <v>0</v>
      </c>
      <c r="K166" s="212">
        <v>2</v>
      </c>
      <c r="L166" s="172">
        <v>3</v>
      </c>
      <c r="M166" s="213">
        <v>0</v>
      </c>
      <c r="N166" s="212">
        <v>0</v>
      </c>
      <c r="O166" s="172">
        <v>0</v>
      </c>
      <c r="P166" s="213">
        <v>0</v>
      </c>
    </row>
    <row r="167" spans="1:16" x14ac:dyDescent="0.25">
      <c r="A167" s="80">
        <v>45708</v>
      </c>
      <c r="B167" s="179">
        <v>1</v>
      </c>
      <c r="C167" s="171">
        <v>0</v>
      </c>
      <c r="D167" s="180">
        <v>0</v>
      </c>
      <c r="E167" s="172">
        <v>4</v>
      </c>
      <c r="F167" s="172">
        <v>1</v>
      </c>
      <c r="G167" s="213">
        <v>0</v>
      </c>
      <c r="H167" s="212">
        <v>2</v>
      </c>
      <c r="I167" s="172">
        <v>1</v>
      </c>
      <c r="J167" s="213">
        <v>0</v>
      </c>
      <c r="K167" s="212">
        <v>0</v>
      </c>
      <c r="L167" s="172">
        <v>4</v>
      </c>
      <c r="M167" s="213">
        <v>0</v>
      </c>
      <c r="N167" s="212">
        <v>4</v>
      </c>
      <c r="O167" s="172">
        <v>2</v>
      </c>
      <c r="P167" s="213">
        <v>0</v>
      </c>
    </row>
    <row r="168" spans="1:16" x14ac:dyDescent="0.25">
      <c r="A168" s="80">
        <v>45707</v>
      </c>
      <c r="B168" s="179">
        <v>1</v>
      </c>
      <c r="C168" s="171">
        <v>0</v>
      </c>
      <c r="D168" s="180">
        <v>0</v>
      </c>
      <c r="E168" s="172">
        <v>4</v>
      </c>
      <c r="F168" s="172">
        <v>2</v>
      </c>
      <c r="G168" s="213">
        <v>0</v>
      </c>
      <c r="H168" s="212">
        <v>1</v>
      </c>
      <c r="I168" s="172">
        <v>1</v>
      </c>
      <c r="J168" s="213">
        <v>0</v>
      </c>
      <c r="K168" s="212">
        <v>4</v>
      </c>
      <c r="L168" s="172">
        <v>2</v>
      </c>
      <c r="M168" s="213">
        <v>0</v>
      </c>
      <c r="N168" s="212">
        <v>4</v>
      </c>
      <c r="O168" s="172">
        <v>0</v>
      </c>
      <c r="P168" s="213">
        <v>0</v>
      </c>
    </row>
    <row r="169" spans="1:16" x14ac:dyDescent="0.25">
      <c r="A169" s="80">
        <v>45706</v>
      </c>
      <c r="B169" s="179">
        <v>2</v>
      </c>
      <c r="C169" s="171">
        <v>1</v>
      </c>
      <c r="D169" s="180">
        <v>0</v>
      </c>
      <c r="E169" s="172">
        <v>2</v>
      </c>
      <c r="F169" s="172">
        <v>3</v>
      </c>
      <c r="G169" s="213">
        <v>0</v>
      </c>
      <c r="H169" s="212">
        <v>3</v>
      </c>
      <c r="I169" s="172">
        <v>3</v>
      </c>
      <c r="J169" s="213">
        <v>0</v>
      </c>
      <c r="K169" s="212">
        <v>0</v>
      </c>
      <c r="L169" s="172">
        <v>3</v>
      </c>
      <c r="M169" s="213">
        <v>0</v>
      </c>
      <c r="N169" s="212">
        <v>1</v>
      </c>
      <c r="O169" s="172">
        <v>0</v>
      </c>
      <c r="P169" s="213">
        <v>0</v>
      </c>
    </row>
    <row r="170" spans="1:16" x14ac:dyDescent="0.25">
      <c r="A170" s="80">
        <v>45705</v>
      </c>
      <c r="B170" s="179">
        <v>1</v>
      </c>
      <c r="C170" s="171">
        <v>1</v>
      </c>
      <c r="D170" s="180">
        <v>0</v>
      </c>
      <c r="E170" s="172">
        <v>3</v>
      </c>
      <c r="F170" s="172">
        <v>1</v>
      </c>
      <c r="G170" s="213">
        <v>0</v>
      </c>
      <c r="H170" s="212">
        <v>2</v>
      </c>
      <c r="I170" s="172">
        <v>0</v>
      </c>
      <c r="J170" s="213">
        <v>0</v>
      </c>
      <c r="K170" s="212">
        <v>2</v>
      </c>
      <c r="L170" s="172">
        <v>2</v>
      </c>
      <c r="M170" s="213">
        <v>0</v>
      </c>
      <c r="N170" s="212">
        <v>1</v>
      </c>
      <c r="O170" s="172">
        <v>0</v>
      </c>
      <c r="P170" s="213">
        <v>0</v>
      </c>
    </row>
    <row r="171" spans="1:16" x14ac:dyDescent="0.25">
      <c r="A171" s="79" t="s">
        <v>125</v>
      </c>
      <c r="B171" s="179">
        <v>7</v>
      </c>
      <c r="C171" s="171">
        <v>2</v>
      </c>
      <c r="D171" s="180">
        <v>0</v>
      </c>
      <c r="E171" s="172">
        <v>14</v>
      </c>
      <c r="F171" s="172">
        <v>9</v>
      </c>
      <c r="G171" s="213">
        <v>0</v>
      </c>
      <c r="H171" s="212">
        <v>8</v>
      </c>
      <c r="I171" s="172">
        <v>8</v>
      </c>
      <c r="J171" s="213">
        <v>0</v>
      </c>
      <c r="K171" s="212">
        <v>8</v>
      </c>
      <c r="L171" s="172">
        <v>14</v>
      </c>
      <c r="M171" s="213">
        <v>0</v>
      </c>
      <c r="N171" s="212">
        <v>10</v>
      </c>
      <c r="O171" s="172">
        <v>2</v>
      </c>
      <c r="P171" s="213">
        <v>0</v>
      </c>
    </row>
    <row r="172" spans="1:16" x14ac:dyDescent="0.25">
      <c r="A172" s="110" t="s">
        <v>118</v>
      </c>
      <c r="B172" s="179"/>
      <c r="C172" s="171"/>
      <c r="D172" s="180"/>
      <c r="E172" s="172"/>
      <c r="F172" s="172"/>
      <c r="G172" s="213"/>
      <c r="H172" s="212"/>
      <c r="I172" s="172"/>
      <c r="J172" s="213"/>
      <c r="K172" s="212"/>
      <c r="L172" s="172"/>
      <c r="M172" s="213"/>
      <c r="N172" s="212"/>
      <c r="O172" s="172"/>
      <c r="P172" s="213"/>
    </row>
    <row r="173" spans="1:16" x14ac:dyDescent="0.25">
      <c r="A173" s="80">
        <v>45702</v>
      </c>
      <c r="B173" s="179">
        <v>1</v>
      </c>
      <c r="C173" s="171">
        <v>0</v>
      </c>
      <c r="D173" s="180">
        <v>0</v>
      </c>
      <c r="E173" s="172">
        <v>3</v>
      </c>
      <c r="F173" s="172">
        <v>2</v>
      </c>
      <c r="G173" s="213">
        <v>0</v>
      </c>
      <c r="H173" s="212">
        <v>3</v>
      </c>
      <c r="I173" s="172">
        <v>1</v>
      </c>
      <c r="J173" s="213">
        <v>0</v>
      </c>
      <c r="K173" s="212">
        <v>4</v>
      </c>
      <c r="L173" s="172">
        <v>4</v>
      </c>
      <c r="M173" s="213">
        <v>0</v>
      </c>
      <c r="N173" s="212">
        <v>1</v>
      </c>
      <c r="O173" s="172">
        <v>0</v>
      </c>
      <c r="P173" s="213">
        <v>0</v>
      </c>
    </row>
    <row r="174" spans="1:16" x14ac:dyDescent="0.25">
      <c r="A174" s="80">
        <v>45701</v>
      </c>
      <c r="B174" s="179">
        <v>1</v>
      </c>
      <c r="C174" s="171">
        <v>0</v>
      </c>
      <c r="D174" s="180">
        <v>0</v>
      </c>
      <c r="E174" s="172">
        <v>1</v>
      </c>
      <c r="F174" s="172">
        <v>0</v>
      </c>
      <c r="G174" s="213">
        <v>0</v>
      </c>
      <c r="H174" s="212">
        <v>3</v>
      </c>
      <c r="I174" s="172">
        <v>8</v>
      </c>
      <c r="J174" s="213">
        <v>0</v>
      </c>
      <c r="K174" s="212">
        <v>5</v>
      </c>
      <c r="L174" s="172">
        <v>0</v>
      </c>
      <c r="M174" s="213">
        <v>0</v>
      </c>
      <c r="N174" s="212">
        <v>0</v>
      </c>
      <c r="O174" s="172">
        <v>0</v>
      </c>
      <c r="P174" s="213">
        <v>0</v>
      </c>
    </row>
    <row r="175" spans="1:16" x14ac:dyDescent="0.25">
      <c r="A175" s="80">
        <v>45700</v>
      </c>
      <c r="B175" s="179">
        <v>2</v>
      </c>
      <c r="C175" s="171">
        <v>0</v>
      </c>
      <c r="D175" s="180">
        <v>0</v>
      </c>
      <c r="E175" s="172">
        <v>2</v>
      </c>
      <c r="F175" s="172">
        <v>1</v>
      </c>
      <c r="G175" s="213">
        <v>0</v>
      </c>
      <c r="H175" s="212">
        <v>2</v>
      </c>
      <c r="I175" s="172">
        <v>3</v>
      </c>
      <c r="J175" s="213">
        <v>0</v>
      </c>
      <c r="K175" s="212">
        <v>2</v>
      </c>
      <c r="L175" s="172">
        <v>2</v>
      </c>
      <c r="M175" s="213">
        <v>0</v>
      </c>
      <c r="N175" s="212">
        <v>1</v>
      </c>
      <c r="O175" s="172">
        <v>4</v>
      </c>
      <c r="P175" s="213">
        <v>0</v>
      </c>
    </row>
    <row r="176" spans="1:16" x14ac:dyDescent="0.25">
      <c r="A176" s="80">
        <v>45699</v>
      </c>
      <c r="B176" s="179">
        <v>1</v>
      </c>
      <c r="C176" s="171">
        <v>1</v>
      </c>
      <c r="D176" s="180">
        <v>0</v>
      </c>
      <c r="E176" s="172">
        <v>2</v>
      </c>
      <c r="F176" s="172">
        <v>0</v>
      </c>
      <c r="G176" s="213">
        <v>0</v>
      </c>
      <c r="H176" s="212">
        <v>3</v>
      </c>
      <c r="I176" s="172">
        <v>4</v>
      </c>
      <c r="J176" s="213">
        <v>0</v>
      </c>
      <c r="K176" s="212">
        <v>6</v>
      </c>
      <c r="L176" s="172">
        <v>1</v>
      </c>
      <c r="M176" s="213">
        <v>0</v>
      </c>
      <c r="N176" s="212">
        <v>1</v>
      </c>
      <c r="O176" s="172">
        <v>0</v>
      </c>
      <c r="P176" s="213">
        <v>0</v>
      </c>
    </row>
    <row r="177" spans="1:16" x14ac:dyDescent="0.25">
      <c r="A177" s="80">
        <v>45698</v>
      </c>
      <c r="B177" s="179">
        <v>1</v>
      </c>
      <c r="C177" s="171">
        <v>0</v>
      </c>
      <c r="D177" s="180">
        <v>0</v>
      </c>
      <c r="E177" s="172">
        <v>0</v>
      </c>
      <c r="F177" s="172">
        <v>0</v>
      </c>
      <c r="G177" s="213">
        <v>0</v>
      </c>
      <c r="H177" s="212">
        <v>4</v>
      </c>
      <c r="I177" s="172">
        <v>3</v>
      </c>
      <c r="J177" s="213">
        <v>0</v>
      </c>
      <c r="K177" s="212">
        <v>4</v>
      </c>
      <c r="L177" s="172">
        <v>1</v>
      </c>
      <c r="M177" s="213">
        <v>0</v>
      </c>
      <c r="N177" s="212">
        <v>1</v>
      </c>
      <c r="O177" s="172">
        <v>1</v>
      </c>
      <c r="P177" s="213">
        <v>0</v>
      </c>
    </row>
    <row r="178" spans="1:16" x14ac:dyDescent="0.25">
      <c r="A178" s="79" t="s">
        <v>126</v>
      </c>
      <c r="B178" s="179">
        <v>6</v>
      </c>
      <c r="C178" s="171">
        <v>1</v>
      </c>
      <c r="D178" s="180">
        <v>0</v>
      </c>
      <c r="E178" s="172">
        <v>8</v>
      </c>
      <c r="F178" s="172">
        <v>3</v>
      </c>
      <c r="G178" s="213">
        <v>0</v>
      </c>
      <c r="H178" s="212">
        <v>15</v>
      </c>
      <c r="I178" s="172">
        <v>19</v>
      </c>
      <c r="J178" s="213">
        <v>0</v>
      </c>
      <c r="K178" s="212">
        <v>21</v>
      </c>
      <c r="L178" s="172">
        <v>8</v>
      </c>
      <c r="M178" s="213">
        <v>0</v>
      </c>
      <c r="N178" s="212">
        <v>4</v>
      </c>
      <c r="O178" s="172">
        <v>5</v>
      </c>
      <c r="P178" s="213">
        <v>0</v>
      </c>
    </row>
    <row r="179" spans="1:16" x14ac:dyDescent="0.25">
      <c r="A179" s="110" t="s">
        <v>119</v>
      </c>
      <c r="B179" s="179"/>
      <c r="C179" s="171"/>
      <c r="D179" s="180"/>
      <c r="E179" s="172"/>
      <c r="F179" s="172"/>
      <c r="G179" s="213"/>
      <c r="H179" s="212"/>
      <c r="I179" s="172"/>
      <c r="J179" s="213"/>
      <c r="K179" s="212"/>
      <c r="L179" s="172"/>
      <c r="M179" s="213"/>
      <c r="N179" s="212"/>
      <c r="O179" s="172"/>
      <c r="P179" s="213"/>
    </row>
    <row r="180" spans="1:16" x14ac:dyDescent="0.25">
      <c r="A180" s="80">
        <v>45695</v>
      </c>
      <c r="B180" s="179">
        <v>0</v>
      </c>
      <c r="C180" s="171">
        <v>0</v>
      </c>
      <c r="D180" s="180">
        <v>0</v>
      </c>
      <c r="E180" s="172">
        <v>2</v>
      </c>
      <c r="F180" s="172">
        <v>0</v>
      </c>
      <c r="G180" s="213">
        <v>0</v>
      </c>
      <c r="H180" s="212">
        <v>1</v>
      </c>
      <c r="I180" s="172">
        <v>0</v>
      </c>
      <c r="J180" s="213">
        <v>0</v>
      </c>
      <c r="K180" s="212">
        <v>1</v>
      </c>
      <c r="L180" s="172">
        <v>2</v>
      </c>
      <c r="M180" s="213">
        <v>0</v>
      </c>
      <c r="N180" s="212">
        <v>0</v>
      </c>
      <c r="O180" s="172">
        <v>0</v>
      </c>
      <c r="P180" s="213">
        <v>0</v>
      </c>
    </row>
    <row r="181" spans="1:16" x14ac:dyDescent="0.25">
      <c r="A181" s="80">
        <v>45694</v>
      </c>
      <c r="B181" s="179">
        <v>2</v>
      </c>
      <c r="C181" s="171">
        <v>2</v>
      </c>
      <c r="D181" s="180">
        <v>0</v>
      </c>
      <c r="E181" s="172">
        <v>0</v>
      </c>
      <c r="F181" s="172">
        <v>2</v>
      </c>
      <c r="G181" s="213">
        <v>0</v>
      </c>
      <c r="H181" s="212">
        <v>2</v>
      </c>
      <c r="I181" s="172">
        <v>1</v>
      </c>
      <c r="J181" s="213">
        <v>0</v>
      </c>
      <c r="K181" s="212">
        <v>3</v>
      </c>
      <c r="L181" s="172">
        <v>1</v>
      </c>
      <c r="M181" s="213">
        <v>0</v>
      </c>
      <c r="N181" s="212">
        <v>0</v>
      </c>
      <c r="O181" s="172">
        <v>0</v>
      </c>
      <c r="P181" s="213">
        <v>0</v>
      </c>
    </row>
    <row r="182" spans="1:16" x14ac:dyDescent="0.25">
      <c r="A182" s="80">
        <v>45693</v>
      </c>
      <c r="B182" s="179">
        <v>1</v>
      </c>
      <c r="C182" s="171">
        <v>0</v>
      </c>
      <c r="D182" s="180">
        <v>0</v>
      </c>
      <c r="E182" s="172">
        <v>1</v>
      </c>
      <c r="F182" s="172">
        <v>0</v>
      </c>
      <c r="G182" s="213">
        <v>0</v>
      </c>
      <c r="H182" s="212">
        <v>6</v>
      </c>
      <c r="I182" s="172">
        <v>0</v>
      </c>
      <c r="J182" s="213">
        <v>0</v>
      </c>
      <c r="K182" s="212">
        <v>3</v>
      </c>
      <c r="L182" s="172">
        <v>0</v>
      </c>
      <c r="M182" s="213">
        <v>0</v>
      </c>
      <c r="N182" s="212">
        <v>2</v>
      </c>
      <c r="O182" s="172">
        <v>0</v>
      </c>
      <c r="P182" s="213">
        <v>0</v>
      </c>
    </row>
    <row r="183" spans="1:16" x14ac:dyDescent="0.25">
      <c r="A183" s="80">
        <v>45692</v>
      </c>
      <c r="B183" s="179">
        <v>1</v>
      </c>
      <c r="C183" s="171">
        <v>0</v>
      </c>
      <c r="D183" s="180">
        <v>0</v>
      </c>
      <c r="E183" s="172">
        <v>4</v>
      </c>
      <c r="F183" s="172">
        <v>0</v>
      </c>
      <c r="G183" s="213">
        <v>0</v>
      </c>
      <c r="H183" s="212">
        <v>4</v>
      </c>
      <c r="I183" s="172">
        <v>0</v>
      </c>
      <c r="J183" s="213">
        <v>0</v>
      </c>
      <c r="K183" s="212">
        <v>6</v>
      </c>
      <c r="L183" s="172">
        <v>0</v>
      </c>
      <c r="M183" s="213">
        <v>0</v>
      </c>
      <c r="N183" s="212">
        <v>1</v>
      </c>
      <c r="O183" s="172">
        <v>0</v>
      </c>
      <c r="P183" s="213">
        <v>0</v>
      </c>
    </row>
    <row r="184" spans="1:16" x14ac:dyDescent="0.25">
      <c r="A184" s="80">
        <v>45691</v>
      </c>
      <c r="B184" s="179">
        <v>0</v>
      </c>
      <c r="C184" s="171">
        <v>0</v>
      </c>
      <c r="D184" s="180">
        <v>0</v>
      </c>
      <c r="E184" s="172">
        <v>1</v>
      </c>
      <c r="F184" s="172">
        <v>0</v>
      </c>
      <c r="G184" s="213">
        <v>0</v>
      </c>
      <c r="H184" s="212">
        <v>1</v>
      </c>
      <c r="I184" s="172">
        <v>0</v>
      </c>
      <c r="J184" s="213">
        <v>0</v>
      </c>
      <c r="K184" s="212">
        <v>7</v>
      </c>
      <c r="L184" s="172">
        <v>0</v>
      </c>
      <c r="M184" s="213">
        <v>0</v>
      </c>
      <c r="N184" s="212">
        <v>0</v>
      </c>
      <c r="O184" s="172">
        <v>0</v>
      </c>
      <c r="P184" s="213">
        <v>0</v>
      </c>
    </row>
    <row r="185" spans="1:16" x14ac:dyDescent="0.25">
      <c r="A185" s="79" t="s">
        <v>127</v>
      </c>
      <c r="B185" s="179">
        <v>4</v>
      </c>
      <c r="C185" s="171">
        <v>2</v>
      </c>
      <c r="D185" s="180">
        <v>0</v>
      </c>
      <c r="E185" s="172">
        <v>8</v>
      </c>
      <c r="F185" s="172">
        <v>2</v>
      </c>
      <c r="G185" s="213">
        <v>0</v>
      </c>
      <c r="H185" s="212">
        <v>14</v>
      </c>
      <c r="I185" s="172">
        <v>1</v>
      </c>
      <c r="J185" s="213">
        <v>0</v>
      </c>
      <c r="K185" s="212">
        <v>20</v>
      </c>
      <c r="L185" s="172">
        <v>3</v>
      </c>
      <c r="M185" s="213">
        <v>0</v>
      </c>
      <c r="N185" s="212">
        <v>3</v>
      </c>
      <c r="O185" s="172">
        <v>0</v>
      </c>
      <c r="P185" s="213">
        <v>0</v>
      </c>
    </row>
    <row r="186" spans="1:16" x14ac:dyDescent="0.25">
      <c r="A186" s="110" t="s">
        <v>120</v>
      </c>
      <c r="B186" s="179"/>
      <c r="C186" s="171"/>
      <c r="D186" s="180"/>
      <c r="E186" s="172"/>
      <c r="F186" s="172"/>
      <c r="G186" s="213"/>
      <c r="H186" s="212"/>
      <c r="I186" s="172"/>
      <c r="J186" s="213"/>
      <c r="K186" s="212"/>
      <c r="L186" s="172"/>
      <c r="M186" s="213"/>
      <c r="N186" s="212"/>
      <c r="O186" s="172"/>
      <c r="P186" s="213"/>
    </row>
    <row r="187" spans="1:16" x14ac:dyDescent="0.25">
      <c r="A187" s="80">
        <v>45688</v>
      </c>
      <c r="B187" s="179">
        <v>0</v>
      </c>
      <c r="C187" s="171">
        <v>0</v>
      </c>
      <c r="D187" s="180">
        <v>0</v>
      </c>
      <c r="E187" s="172">
        <v>6</v>
      </c>
      <c r="F187" s="172">
        <v>0</v>
      </c>
      <c r="G187" s="213">
        <v>0</v>
      </c>
      <c r="H187" s="212">
        <v>2</v>
      </c>
      <c r="I187" s="172">
        <v>0</v>
      </c>
      <c r="J187" s="213">
        <v>0</v>
      </c>
      <c r="K187" s="212">
        <v>5</v>
      </c>
      <c r="L187" s="172">
        <v>0</v>
      </c>
      <c r="M187" s="213">
        <v>0</v>
      </c>
      <c r="N187" s="212">
        <v>0</v>
      </c>
      <c r="O187" s="172">
        <v>0</v>
      </c>
      <c r="P187" s="213">
        <v>0</v>
      </c>
    </row>
    <row r="188" spans="1:16" x14ac:dyDescent="0.25">
      <c r="A188" s="80">
        <v>45687</v>
      </c>
      <c r="B188" s="179">
        <v>1</v>
      </c>
      <c r="C188" s="171">
        <v>0</v>
      </c>
      <c r="D188" s="180">
        <v>0</v>
      </c>
      <c r="E188" s="172">
        <v>1</v>
      </c>
      <c r="F188" s="172">
        <v>0</v>
      </c>
      <c r="G188" s="213">
        <v>0</v>
      </c>
      <c r="H188" s="212">
        <v>4</v>
      </c>
      <c r="I188" s="172">
        <v>0</v>
      </c>
      <c r="J188" s="213">
        <v>0</v>
      </c>
      <c r="K188" s="212">
        <v>2</v>
      </c>
      <c r="L188" s="172">
        <v>0</v>
      </c>
      <c r="M188" s="213">
        <v>0</v>
      </c>
      <c r="N188" s="212">
        <v>1</v>
      </c>
      <c r="O188" s="172">
        <v>0</v>
      </c>
      <c r="P188" s="213">
        <v>0</v>
      </c>
    </row>
    <row r="189" spans="1:16" x14ac:dyDescent="0.25">
      <c r="A189" s="80">
        <v>45686</v>
      </c>
      <c r="B189" s="179">
        <v>1</v>
      </c>
      <c r="C189" s="171">
        <v>0</v>
      </c>
      <c r="D189" s="180">
        <v>0</v>
      </c>
      <c r="E189" s="172">
        <v>3</v>
      </c>
      <c r="F189" s="172">
        <v>0</v>
      </c>
      <c r="G189" s="213">
        <v>0</v>
      </c>
      <c r="H189" s="212">
        <v>3</v>
      </c>
      <c r="I189" s="172">
        <v>0</v>
      </c>
      <c r="J189" s="213">
        <v>0</v>
      </c>
      <c r="K189" s="212">
        <v>7</v>
      </c>
      <c r="L189" s="172">
        <v>0</v>
      </c>
      <c r="M189" s="213">
        <v>0</v>
      </c>
      <c r="N189" s="212">
        <v>0</v>
      </c>
      <c r="O189" s="172">
        <v>0</v>
      </c>
      <c r="P189" s="213">
        <v>0</v>
      </c>
    </row>
    <row r="190" spans="1:16" x14ac:dyDescent="0.25">
      <c r="A190" s="80">
        <v>45685</v>
      </c>
      <c r="B190" s="179">
        <v>2</v>
      </c>
      <c r="C190" s="171">
        <v>0</v>
      </c>
      <c r="D190" s="180">
        <v>0</v>
      </c>
      <c r="E190" s="172">
        <v>7</v>
      </c>
      <c r="F190" s="172">
        <v>0</v>
      </c>
      <c r="G190" s="213">
        <v>0</v>
      </c>
      <c r="H190" s="212">
        <v>9</v>
      </c>
      <c r="I190" s="172">
        <v>0</v>
      </c>
      <c r="J190" s="213">
        <v>0</v>
      </c>
      <c r="K190" s="212">
        <v>4</v>
      </c>
      <c r="L190" s="172">
        <v>0</v>
      </c>
      <c r="M190" s="213">
        <v>0</v>
      </c>
      <c r="N190" s="212">
        <v>1</v>
      </c>
      <c r="O190" s="172">
        <v>0</v>
      </c>
      <c r="P190" s="213">
        <v>0</v>
      </c>
    </row>
    <row r="191" spans="1:16" x14ac:dyDescent="0.25">
      <c r="A191" s="80">
        <v>45684</v>
      </c>
      <c r="B191" s="179">
        <v>0</v>
      </c>
      <c r="C191" s="171">
        <v>0</v>
      </c>
      <c r="D191" s="180">
        <v>0</v>
      </c>
      <c r="E191" s="172">
        <v>3</v>
      </c>
      <c r="F191" s="172">
        <v>0</v>
      </c>
      <c r="G191" s="213">
        <v>0</v>
      </c>
      <c r="H191" s="212">
        <v>5</v>
      </c>
      <c r="I191" s="172">
        <v>0</v>
      </c>
      <c r="J191" s="213">
        <v>0</v>
      </c>
      <c r="K191" s="212">
        <v>14</v>
      </c>
      <c r="L191" s="172">
        <v>0</v>
      </c>
      <c r="M191" s="213">
        <v>0</v>
      </c>
      <c r="N191" s="212">
        <v>2</v>
      </c>
      <c r="O191" s="172">
        <v>0</v>
      </c>
      <c r="P191" s="213">
        <v>0</v>
      </c>
    </row>
    <row r="192" spans="1:16" x14ac:dyDescent="0.25">
      <c r="A192" s="79" t="s">
        <v>128</v>
      </c>
      <c r="B192" s="179">
        <v>4</v>
      </c>
      <c r="C192" s="171">
        <v>0</v>
      </c>
      <c r="D192" s="180">
        <v>0</v>
      </c>
      <c r="E192" s="172">
        <v>20</v>
      </c>
      <c r="F192" s="172">
        <v>0</v>
      </c>
      <c r="G192" s="213">
        <v>0</v>
      </c>
      <c r="H192" s="212">
        <v>23</v>
      </c>
      <c r="I192" s="172">
        <v>0</v>
      </c>
      <c r="J192" s="213">
        <v>0</v>
      </c>
      <c r="K192" s="212">
        <v>32</v>
      </c>
      <c r="L192" s="172">
        <v>0</v>
      </c>
      <c r="M192" s="213">
        <v>0</v>
      </c>
      <c r="N192" s="212">
        <v>4</v>
      </c>
      <c r="O192" s="172">
        <v>0</v>
      </c>
      <c r="P192" s="213">
        <v>0</v>
      </c>
    </row>
    <row r="193" spans="1:16" x14ac:dyDescent="0.25">
      <c r="A193" s="110" t="s">
        <v>121</v>
      </c>
      <c r="B193" s="179"/>
      <c r="C193" s="171"/>
      <c r="D193" s="180"/>
      <c r="E193" s="172"/>
      <c r="F193" s="172"/>
      <c r="G193" s="213"/>
      <c r="H193" s="212"/>
      <c r="I193" s="172"/>
      <c r="J193" s="213"/>
      <c r="K193" s="212"/>
      <c r="L193" s="172"/>
      <c r="M193" s="213"/>
      <c r="N193" s="212"/>
      <c r="O193" s="172"/>
      <c r="P193" s="213"/>
    </row>
    <row r="194" spans="1:16" x14ac:dyDescent="0.25">
      <c r="A194" s="80">
        <v>45681</v>
      </c>
      <c r="B194" s="179">
        <v>1</v>
      </c>
      <c r="C194" s="171">
        <v>0</v>
      </c>
      <c r="D194" s="180">
        <v>0</v>
      </c>
      <c r="E194" s="172">
        <v>7</v>
      </c>
      <c r="F194" s="172">
        <v>0</v>
      </c>
      <c r="G194" s="213">
        <v>0</v>
      </c>
      <c r="H194" s="212">
        <v>6</v>
      </c>
      <c r="I194" s="172">
        <v>0</v>
      </c>
      <c r="J194" s="213">
        <v>0</v>
      </c>
      <c r="K194" s="212">
        <v>9</v>
      </c>
      <c r="L194" s="172">
        <v>0</v>
      </c>
      <c r="M194" s="213">
        <v>0</v>
      </c>
      <c r="N194" s="212">
        <v>4</v>
      </c>
      <c r="O194" s="172">
        <v>0</v>
      </c>
      <c r="P194" s="213">
        <v>0</v>
      </c>
    </row>
    <row r="195" spans="1:16" x14ac:dyDescent="0.25">
      <c r="A195" s="80">
        <v>45680</v>
      </c>
      <c r="B195" s="179">
        <v>0</v>
      </c>
      <c r="C195" s="171">
        <v>2</v>
      </c>
      <c r="D195" s="180">
        <v>0</v>
      </c>
      <c r="E195" s="172">
        <v>5</v>
      </c>
      <c r="F195" s="172">
        <v>0</v>
      </c>
      <c r="G195" s="213">
        <v>0</v>
      </c>
      <c r="H195" s="212">
        <v>4</v>
      </c>
      <c r="I195" s="172">
        <v>0</v>
      </c>
      <c r="J195" s="213">
        <v>0</v>
      </c>
      <c r="K195" s="212">
        <v>5</v>
      </c>
      <c r="L195" s="172">
        <v>0</v>
      </c>
      <c r="M195" s="213">
        <v>0</v>
      </c>
      <c r="N195" s="212">
        <v>3</v>
      </c>
      <c r="O195" s="172">
        <v>0</v>
      </c>
      <c r="P195" s="213">
        <v>0</v>
      </c>
    </row>
    <row r="196" spans="1:16" x14ac:dyDescent="0.25">
      <c r="A196" s="80">
        <v>45679</v>
      </c>
      <c r="B196" s="179">
        <v>1</v>
      </c>
      <c r="C196" s="171">
        <v>0</v>
      </c>
      <c r="D196" s="180">
        <v>0</v>
      </c>
      <c r="E196" s="172">
        <v>4</v>
      </c>
      <c r="F196" s="172">
        <v>0</v>
      </c>
      <c r="G196" s="213">
        <v>0</v>
      </c>
      <c r="H196" s="212">
        <v>5</v>
      </c>
      <c r="I196" s="172">
        <v>0</v>
      </c>
      <c r="J196" s="213">
        <v>0</v>
      </c>
      <c r="K196" s="212">
        <v>6</v>
      </c>
      <c r="L196" s="172">
        <v>0</v>
      </c>
      <c r="M196" s="213">
        <v>0</v>
      </c>
      <c r="N196" s="212">
        <v>0</v>
      </c>
      <c r="O196" s="172">
        <v>0</v>
      </c>
      <c r="P196" s="213">
        <v>0</v>
      </c>
    </row>
    <row r="197" spans="1:16" x14ac:dyDescent="0.25">
      <c r="A197" s="80">
        <v>45678</v>
      </c>
      <c r="B197" s="179">
        <v>1</v>
      </c>
      <c r="C197" s="171">
        <v>1</v>
      </c>
      <c r="D197" s="180">
        <v>0</v>
      </c>
      <c r="E197" s="172">
        <v>2</v>
      </c>
      <c r="F197" s="172">
        <v>0</v>
      </c>
      <c r="G197" s="213">
        <v>0</v>
      </c>
      <c r="H197" s="212">
        <v>4</v>
      </c>
      <c r="I197" s="172">
        <v>0</v>
      </c>
      <c r="J197" s="213">
        <v>0</v>
      </c>
      <c r="K197" s="212">
        <v>6</v>
      </c>
      <c r="L197" s="172">
        <v>0</v>
      </c>
      <c r="M197" s="213">
        <v>0</v>
      </c>
      <c r="N197" s="212">
        <v>1</v>
      </c>
      <c r="O197" s="172">
        <v>0</v>
      </c>
      <c r="P197" s="213">
        <v>0</v>
      </c>
    </row>
    <row r="198" spans="1:16" x14ac:dyDescent="0.25">
      <c r="A198" s="80">
        <v>45677</v>
      </c>
      <c r="B198" s="179">
        <v>0</v>
      </c>
      <c r="C198" s="171">
        <v>0</v>
      </c>
      <c r="D198" s="180">
        <v>0</v>
      </c>
      <c r="E198" s="172">
        <v>9</v>
      </c>
      <c r="F198" s="172">
        <v>0</v>
      </c>
      <c r="G198" s="213">
        <v>0</v>
      </c>
      <c r="H198" s="212">
        <v>6</v>
      </c>
      <c r="I198" s="172">
        <v>0</v>
      </c>
      <c r="J198" s="213">
        <v>0</v>
      </c>
      <c r="K198" s="212">
        <v>8</v>
      </c>
      <c r="L198" s="172">
        <v>0</v>
      </c>
      <c r="M198" s="213">
        <v>0</v>
      </c>
      <c r="N198" s="212">
        <v>1</v>
      </c>
      <c r="O198" s="172">
        <v>0</v>
      </c>
      <c r="P198" s="213">
        <v>0</v>
      </c>
    </row>
    <row r="199" spans="1:16" x14ac:dyDescent="0.25">
      <c r="A199" s="79" t="s">
        <v>129</v>
      </c>
      <c r="B199" s="179">
        <v>3</v>
      </c>
      <c r="C199" s="171">
        <v>3</v>
      </c>
      <c r="D199" s="180">
        <v>0</v>
      </c>
      <c r="E199" s="172">
        <v>27</v>
      </c>
      <c r="F199" s="172">
        <v>0</v>
      </c>
      <c r="G199" s="213">
        <v>0</v>
      </c>
      <c r="H199" s="212">
        <v>25</v>
      </c>
      <c r="I199" s="172">
        <v>0</v>
      </c>
      <c r="J199" s="213">
        <v>0</v>
      </c>
      <c r="K199" s="212">
        <v>34</v>
      </c>
      <c r="L199" s="172">
        <v>0</v>
      </c>
      <c r="M199" s="213">
        <v>0</v>
      </c>
      <c r="N199" s="212">
        <v>9</v>
      </c>
      <c r="O199" s="172">
        <v>0</v>
      </c>
      <c r="P199" s="213">
        <v>0</v>
      </c>
    </row>
    <row r="200" spans="1:16" x14ac:dyDescent="0.25">
      <c r="A200" s="110" t="s">
        <v>122</v>
      </c>
      <c r="B200" s="179"/>
      <c r="C200" s="171"/>
      <c r="D200" s="180"/>
      <c r="E200" s="172"/>
      <c r="F200" s="172"/>
      <c r="G200" s="213"/>
      <c r="H200" s="212"/>
      <c r="I200" s="172"/>
      <c r="J200" s="213"/>
      <c r="K200" s="212"/>
      <c r="L200" s="172"/>
      <c r="M200" s="213"/>
      <c r="N200" s="212"/>
      <c r="O200" s="172"/>
      <c r="P200" s="213"/>
    </row>
    <row r="201" spans="1:16" x14ac:dyDescent="0.25">
      <c r="A201" s="80">
        <v>45674</v>
      </c>
      <c r="B201" s="179">
        <v>1</v>
      </c>
      <c r="C201" s="171">
        <v>0</v>
      </c>
      <c r="D201" s="180">
        <v>0</v>
      </c>
      <c r="E201" s="172">
        <v>4</v>
      </c>
      <c r="F201" s="172">
        <v>0</v>
      </c>
      <c r="G201" s="213">
        <v>0</v>
      </c>
      <c r="H201" s="212">
        <v>7</v>
      </c>
      <c r="I201" s="172">
        <v>0</v>
      </c>
      <c r="J201" s="213">
        <v>0</v>
      </c>
      <c r="K201" s="212">
        <v>10</v>
      </c>
      <c r="L201" s="172">
        <v>0</v>
      </c>
      <c r="M201" s="213">
        <v>0</v>
      </c>
      <c r="N201" s="212">
        <v>6</v>
      </c>
      <c r="O201" s="172">
        <v>0</v>
      </c>
      <c r="P201" s="213">
        <v>0</v>
      </c>
    </row>
    <row r="202" spans="1:16" x14ac:dyDescent="0.25">
      <c r="A202" s="80">
        <v>45673</v>
      </c>
      <c r="B202" s="179">
        <v>1</v>
      </c>
      <c r="C202" s="171">
        <v>1</v>
      </c>
      <c r="D202" s="180">
        <v>0</v>
      </c>
      <c r="E202" s="172">
        <v>4</v>
      </c>
      <c r="F202" s="172">
        <v>0</v>
      </c>
      <c r="G202" s="213">
        <v>0</v>
      </c>
      <c r="H202" s="212">
        <v>6</v>
      </c>
      <c r="I202" s="172">
        <v>0</v>
      </c>
      <c r="J202" s="213">
        <v>0</v>
      </c>
      <c r="K202" s="212">
        <v>9</v>
      </c>
      <c r="L202" s="172">
        <v>0</v>
      </c>
      <c r="M202" s="213">
        <v>0</v>
      </c>
      <c r="N202" s="212">
        <v>3</v>
      </c>
      <c r="O202" s="172">
        <v>0</v>
      </c>
      <c r="P202" s="213">
        <v>0</v>
      </c>
    </row>
    <row r="203" spans="1:16" x14ac:dyDescent="0.25">
      <c r="A203" s="80">
        <v>45672</v>
      </c>
      <c r="B203" s="179">
        <v>0</v>
      </c>
      <c r="C203" s="171">
        <v>1</v>
      </c>
      <c r="D203" s="180">
        <v>0</v>
      </c>
      <c r="E203" s="172">
        <v>3</v>
      </c>
      <c r="F203" s="172">
        <v>0</v>
      </c>
      <c r="G203" s="213">
        <v>0</v>
      </c>
      <c r="H203" s="212">
        <v>7</v>
      </c>
      <c r="I203" s="172">
        <v>0</v>
      </c>
      <c r="J203" s="213">
        <v>0</v>
      </c>
      <c r="K203" s="212">
        <v>11</v>
      </c>
      <c r="L203" s="172">
        <v>0</v>
      </c>
      <c r="M203" s="213">
        <v>0</v>
      </c>
      <c r="N203" s="212">
        <v>0</v>
      </c>
      <c r="O203" s="172">
        <v>0</v>
      </c>
      <c r="P203" s="213">
        <v>0</v>
      </c>
    </row>
    <row r="204" spans="1:16" x14ac:dyDescent="0.25">
      <c r="A204" s="80">
        <v>45671</v>
      </c>
      <c r="B204" s="179">
        <v>0</v>
      </c>
      <c r="C204" s="171">
        <v>2</v>
      </c>
      <c r="D204" s="180">
        <v>0</v>
      </c>
      <c r="E204" s="172">
        <v>3</v>
      </c>
      <c r="F204" s="172">
        <v>0</v>
      </c>
      <c r="G204" s="213">
        <v>0</v>
      </c>
      <c r="H204" s="212">
        <v>9</v>
      </c>
      <c r="I204" s="172">
        <v>0</v>
      </c>
      <c r="J204" s="213">
        <v>0</v>
      </c>
      <c r="K204" s="212">
        <v>6</v>
      </c>
      <c r="L204" s="172">
        <v>0</v>
      </c>
      <c r="M204" s="213">
        <v>0</v>
      </c>
      <c r="N204" s="212">
        <v>2</v>
      </c>
      <c r="O204" s="172">
        <v>0</v>
      </c>
      <c r="P204" s="213">
        <v>0</v>
      </c>
    </row>
    <row r="205" spans="1:16" x14ac:dyDescent="0.25">
      <c r="A205" s="80">
        <v>45670</v>
      </c>
      <c r="B205" s="179">
        <v>1</v>
      </c>
      <c r="C205" s="171">
        <v>1</v>
      </c>
      <c r="D205" s="180">
        <v>0</v>
      </c>
      <c r="E205" s="172">
        <v>5</v>
      </c>
      <c r="F205" s="172">
        <v>0</v>
      </c>
      <c r="G205" s="213">
        <v>0</v>
      </c>
      <c r="H205" s="212">
        <v>1</v>
      </c>
      <c r="I205" s="172">
        <v>0</v>
      </c>
      <c r="J205" s="213">
        <v>0</v>
      </c>
      <c r="K205" s="212">
        <v>5</v>
      </c>
      <c r="L205" s="172">
        <v>0</v>
      </c>
      <c r="M205" s="213">
        <v>0</v>
      </c>
      <c r="N205" s="212">
        <v>1</v>
      </c>
      <c r="O205" s="172">
        <v>0</v>
      </c>
      <c r="P205" s="213">
        <v>0</v>
      </c>
    </row>
    <row r="206" spans="1:16" x14ac:dyDescent="0.25">
      <c r="A206" s="79" t="s">
        <v>130</v>
      </c>
      <c r="B206" s="179">
        <v>3</v>
      </c>
      <c r="C206" s="171">
        <v>5</v>
      </c>
      <c r="D206" s="180">
        <v>0</v>
      </c>
      <c r="E206" s="172">
        <v>19</v>
      </c>
      <c r="F206" s="172">
        <v>0</v>
      </c>
      <c r="G206" s="213">
        <v>0</v>
      </c>
      <c r="H206" s="212">
        <v>30</v>
      </c>
      <c r="I206" s="172">
        <v>0</v>
      </c>
      <c r="J206" s="213">
        <v>0</v>
      </c>
      <c r="K206" s="212">
        <v>41</v>
      </c>
      <c r="L206" s="172">
        <v>0</v>
      </c>
      <c r="M206" s="213">
        <v>0</v>
      </c>
      <c r="N206" s="212">
        <v>12</v>
      </c>
      <c r="O206" s="172">
        <v>0</v>
      </c>
      <c r="P206" s="213">
        <v>0</v>
      </c>
    </row>
    <row r="207" spans="1:16" x14ac:dyDescent="0.25">
      <c r="A207" s="110" t="s">
        <v>123</v>
      </c>
      <c r="B207" s="179"/>
      <c r="C207" s="171"/>
      <c r="D207" s="180"/>
      <c r="E207" s="172"/>
      <c r="F207" s="172"/>
      <c r="G207" s="213"/>
      <c r="H207" s="212"/>
      <c r="I207" s="172"/>
      <c r="J207" s="213"/>
      <c r="K207" s="212"/>
      <c r="L207" s="172"/>
      <c r="M207" s="213"/>
      <c r="N207" s="212"/>
      <c r="O207" s="172"/>
      <c r="P207" s="213"/>
    </row>
    <row r="208" spans="1:16" x14ac:dyDescent="0.25">
      <c r="A208" s="80">
        <v>45667</v>
      </c>
      <c r="B208" s="179">
        <v>0</v>
      </c>
      <c r="C208" s="171">
        <v>1</v>
      </c>
      <c r="D208" s="180">
        <v>0</v>
      </c>
      <c r="E208" s="172">
        <v>5</v>
      </c>
      <c r="F208" s="172">
        <v>0</v>
      </c>
      <c r="G208" s="213">
        <v>0</v>
      </c>
      <c r="H208" s="212">
        <v>9</v>
      </c>
      <c r="I208" s="172">
        <v>0</v>
      </c>
      <c r="J208" s="213">
        <v>0</v>
      </c>
      <c r="K208" s="212">
        <v>2</v>
      </c>
      <c r="L208" s="172">
        <v>0</v>
      </c>
      <c r="M208" s="213">
        <v>0</v>
      </c>
      <c r="N208" s="212">
        <v>0</v>
      </c>
      <c r="O208" s="172">
        <v>0</v>
      </c>
      <c r="P208" s="213">
        <v>0</v>
      </c>
    </row>
    <row r="209" spans="1:16" x14ac:dyDescent="0.25">
      <c r="A209" s="80">
        <v>45666</v>
      </c>
      <c r="B209" s="179">
        <v>0</v>
      </c>
      <c r="C209" s="171">
        <v>0</v>
      </c>
      <c r="D209" s="180">
        <v>0</v>
      </c>
      <c r="E209" s="172">
        <v>5</v>
      </c>
      <c r="F209" s="172">
        <v>0</v>
      </c>
      <c r="G209" s="213">
        <v>0</v>
      </c>
      <c r="H209" s="212">
        <v>3</v>
      </c>
      <c r="I209" s="172">
        <v>0</v>
      </c>
      <c r="J209" s="213">
        <v>0</v>
      </c>
      <c r="K209" s="212">
        <v>4</v>
      </c>
      <c r="L209" s="172">
        <v>0</v>
      </c>
      <c r="M209" s="213">
        <v>0</v>
      </c>
      <c r="N209" s="212">
        <v>2</v>
      </c>
      <c r="O209" s="172">
        <v>0</v>
      </c>
      <c r="P209" s="213">
        <v>0</v>
      </c>
    </row>
    <row r="210" spans="1:16" ht="15.75" thickBot="1" x14ac:dyDescent="0.3">
      <c r="A210" s="79" t="s">
        <v>131</v>
      </c>
      <c r="B210" s="181">
        <v>0</v>
      </c>
      <c r="C210" s="182">
        <v>1</v>
      </c>
      <c r="D210" s="183">
        <v>0</v>
      </c>
      <c r="E210" s="175">
        <v>10</v>
      </c>
      <c r="F210" s="175">
        <v>0</v>
      </c>
      <c r="G210" s="216">
        <v>0</v>
      </c>
      <c r="H210" s="217">
        <v>12</v>
      </c>
      <c r="I210" s="218">
        <v>0</v>
      </c>
      <c r="J210" s="219">
        <v>0</v>
      </c>
      <c r="K210" s="217">
        <v>6</v>
      </c>
      <c r="L210" s="218">
        <v>0</v>
      </c>
      <c r="M210" s="219">
        <v>0</v>
      </c>
      <c r="N210" s="217">
        <v>2</v>
      </c>
      <c r="O210" s="218">
        <v>0</v>
      </c>
      <c r="P210" s="219">
        <v>0</v>
      </c>
    </row>
  </sheetData>
  <mergeCells count="17">
    <mergeCell ref="B1:D1"/>
    <mergeCell ref="N1:P1"/>
    <mergeCell ref="K1:M1"/>
    <mergeCell ref="H1:J1"/>
    <mergeCell ref="E1:G1"/>
    <mergeCell ref="AN17:AR17"/>
    <mergeCell ref="AN1:AR1"/>
    <mergeCell ref="AI1:AL1"/>
    <mergeCell ref="S17:V17"/>
    <mergeCell ref="W17:Z17"/>
    <mergeCell ref="AA17:AD17"/>
    <mergeCell ref="AE17:AH17"/>
    <mergeCell ref="AI17:AL17"/>
    <mergeCell ref="S1:V1"/>
    <mergeCell ref="W1:Z1"/>
    <mergeCell ref="AA1:AD1"/>
    <mergeCell ref="AE1:AH1"/>
  </mergeCells>
  <phoneticPr fontId="10" type="noConversion"/>
  <conditionalFormatting pivot="1" sqref="S35:S3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3:P210">
    <cfRule type="expression" dxfId="362" priority="10">
      <formula>B3&gt;0</formula>
    </cfRule>
  </conditionalFormatting>
  <conditionalFormatting pivot="1" sqref="B3:P210">
    <cfRule type="expression" dxfId="361" priority="11">
      <formula>B3=0</formula>
    </cfRule>
  </conditionalFormatting>
  <conditionalFormatting pivot="1" sqref="B3:B210 E3:E210 H3:H210 K3:K210 N3:N210">
    <cfRule type="expression" dxfId="360" priority="7">
      <formula>ISNUMBER($A3)</formula>
    </cfRule>
  </conditionalFormatting>
  <conditionalFormatting pivot="1" sqref="D3:D210 G3:G210 J3:J210 M3:M210 P3:P210">
    <cfRule type="expression" dxfId="359" priority="6">
      <formula>ISNUMBER($A3)</formula>
    </cfRule>
  </conditionalFormatting>
  <conditionalFormatting pivot="1" sqref="T35:T3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U35:U3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V35:V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W35:W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5183ABEC-5D8F-42F3-97DD-2EE255421FA3}">
          <x14:colorSeries theme="1" tint="0.499984740745262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'Общее кол-во'!S35:S39</xm:f>
              <xm:sqref>S40</xm:sqref>
            </x14:sparkline>
            <x14:sparkline>
              <xm:f>'Общее кол-во'!T35:T39</xm:f>
              <xm:sqref>T40</xm:sqref>
            </x14:sparkline>
            <x14:sparkline>
              <xm:f>'Общее кол-во'!U35:U39</xm:f>
              <xm:sqref>U40</xm:sqref>
            </x14:sparkline>
            <x14:sparkline>
              <xm:f>'Общее кол-во'!V35:V39</xm:f>
              <xm:sqref>V40</xm:sqref>
            </x14:sparkline>
            <x14:sparkline>
              <xm:f>'Общее кол-во'!W35:W39</xm:f>
              <xm:sqref>W40</xm:sqref>
            </x14:sparkline>
            <x14:sparkline>
              <xm:f>'Общее кол-во'!X35:X39</xm:f>
              <xm:sqref>X40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A678-5C81-40FF-9423-654AAB4D8B7C}">
  <sheetPr codeName="Лист3"/>
  <dimension ref="A1:AL210"/>
  <sheetViews>
    <sheetView workbookViewId="0">
      <selection activeCell="B5" sqref="B5"/>
    </sheetView>
  </sheetViews>
  <sheetFormatPr defaultRowHeight="15" x14ac:dyDescent="0.25"/>
  <cols>
    <col min="1" max="1" width="17.28515625" customWidth="1"/>
    <col min="2" max="2" width="8" bestFit="1" customWidth="1"/>
    <col min="3" max="3" width="9.140625" customWidth="1"/>
    <col min="4" max="4" width="11.85546875" bestFit="1" customWidth="1"/>
    <col min="5" max="5" width="8" bestFit="1" customWidth="1"/>
    <col min="6" max="6" width="9.85546875" customWidth="1"/>
    <col min="7" max="7" width="12.42578125" customWidth="1"/>
    <col min="8" max="8" width="8.140625" bestFit="1" customWidth="1"/>
    <col min="9" max="9" width="11" customWidth="1"/>
    <col min="10" max="10" width="12.28515625" customWidth="1"/>
    <col min="11" max="11" width="8.5703125" bestFit="1" customWidth="1"/>
    <col min="12" max="12" width="11" customWidth="1"/>
    <col min="13" max="13" width="13.42578125" customWidth="1"/>
    <col min="14" max="14" width="9" bestFit="1" customWidth="1"/>
    <col min="15" max="15" width="11.140625" customWidth="1"/>
    <col min="16" max="16" width="13.7109375" bestFit="1" customWidth="1"/>
    <col min="17" max="17" width="7.5703125" customWidth="1"/>
    <col min="18" max="18" width="17.28515625" bestFit="1" customWidth="1"/>
    <col min="19" max="20" width="10.5703125" bestFit="1" customWidth="1"/>
    <col min="21" max="21" width="11.85546875" bestFit="1" customWidth="1"/>
    <col min="22" max="22" width="10.5703125" bestFit="1" customWidth="1"/>
    <col min="23" max="23" width="11.85546875" customWidth="1"/>
    <col min="24" max="24" width="9.5703125" bestFit="1" customWidth="1"/>
    <col min="25" max="25" width="12.28515625" bestFit="1" customWidth="1"/>
    <col min="26" max="26" width="12" bestFit="1" customWidth="1"/>
    <col min="27" max="27" width="10.5703125" bestFit="1" customWidth="1"/>
    <col min="28" max="28" width="9.5703125" bestFit="1" customWidth="1"/>
    <col min="29" max="29" width="13.28515625" bestFit="1" customWidth="1"/>
    <col min="30" max="30" width="12" bestFit="1" customWidth="1"/>
    <col min="31" max="31" width="10.5703125" bestFit="1" customWidth="1"/>
    <col min="32" max="32" width="9.7109375" bestFit="1" customWidth="1"/>
    <col min="33" max="33" width="13.28515625" bestFit="1" customWidth="1"/>
    <col min="34" max="34" width="12" bestFit="1" customWidth="1"/>
    <col min="35" max="35" width="9.5703125" bestFit="1" customWidth="1"/>
    <col min="36" max="36" width="10.140625" bestFit="1" customWidth="1"/>
    <col min="37" max="37" width="13.7109375" bestFit="1" customWidth="1"/>
    <col min="38" max="38" width="12" bestFit="1" customWidth="1"/>
  </cols>
  <sheetData>
    <row r="1" spans="1:38" ht="16.5" thickBot="1" x14ac:dyDescent="0.3">
      <c r="B1" s="280" t="s">
        <v>0</v>
      </c>
      <c r="C1" s="281"/>
      <c r="D1" s="282"/>
      <c r="E1" s="292" t="s">
        <v>139</v>
      </c>
      <c r="F1" s="292"/>
      <c r="G1" s="292"/>
      <c r="H1" s="280" t="s">
        <v>142</v>
      </c>
      <c r="I1" s="281"/>
      <c r="J1" s="282"/>
      <c r="K1" s="292" t="s">
        <v>140</v>
      </c>
      <c r="L1" s="292"/>
      <c r="M1" s="292"/>
      <c r="N1" s="280" t="s">
        <v>141</v>
      </c>
      <c r="O1" s="281"/>
      <c r="P1" s="282"/>
      <c r="R1" s="104" t="s">
        <v>29</v>
      </c>
      <c r="S1" s="286" t="s">
        <v>0</v>
      </c>
      <c r="T1" s="287"/>
      <c r="U1" s="287"/>
      <c r="V1" s="288"/>
      <c r="W1" s="283" t="s">
        <v>139</v>
      </c>
      <c r="X1" s="284"/>
      <c r="Y1" s="284"/>
      <c r="Z1" s="285"/>
      <c r="AA1" s="277" t="s">
        <v>142</v>
      </c>
      <c r="AB1" s="278"/>
      <c r="AC1" s="278"/>
      <c r="AD1" s="279"/>
      <c r="AE1" s="277" t="s">
        <v>140</v>
      </c>
      <c r="AF1" s="278"/>
      <c r="AG1" s="278"/>
      <c r="AH1" s="279"/>
      <c r="AI1" s="277" t="s">
        <v>141</v>
      </c>
      <c r="AJ1" s="278"/>
      <c r="AK1" s="278"/>
      <c r="AL1" s="279"/>
    </row>
    <row r="2" spans="1:38" ht="15.75" thickBot="1" x14ac:dyDescent="0.3">
      <c r="A2" s="96"/>
      <c r="B2" s="164" t="s">
        <v>3</v>
      </c>
      <c r="C2" s="156" t="s">
        <v>4</v>
      </c>
      <c r="D2" s="174" t="s">
        <v>112</v>
      </c>
      <c r="E2" s="95" t="s">
        <v>5</v>
      </c>
      <c r="F2" s="95" t="s">
        <v>6</v>
      </c>
      <c r="G2" s="95" t="s">
        <v>135</v>
      </c>
      <c r="H2" s="235" t="s">
        <v>7</v>
      </c>
      <c r="I2" s="236" t="s">
        <v>8</v>
      </c>
      <c r="J2" s="237" t="s">
        <v>132</v>
      </c>
      <c r="K2" s="95" t="s">
        <v>9</v>
      </c>
      <c r="L2" s="95" t="s">
        <v>10</v>
      </c>
      <c r="M2" s="95" t="s">
        <v>114</v>
      </c>
      <c r="N2" s="235" t="s">
        <v>11</v>
      </c>
      <c r="O2" s="236" t="s">
        <v>12</v>
      </c>
      <c r="P2" s="237" t="s">
        <v>113</v>
      </c>
      <c r="Q2" s="95"/>
      <c r="S2" s="149" t="s">
        <v>3</v>
      </c>
      <c r="T2" s="150" t="s">
        <v>4</v>
      </c>
      <c r="U2" s="150" t="s">
        <v>112</v>
      </c>
      <c r="V2" s="151" t="s">
        <v>30</v>
      </c>
      <c r="W2" s="204" t="s">
        <v>5</v>
      </c>
      <c r="X2" s="205" t="s">
        <v>6</v>
      </c>
      <c r="Y2" s="205" t="s">
        <v>135</v>
      </c>
      <c r="Z2" s="206" t="s">
        <v>31</v>
      </c>
      <c r="AA2" s="204" t="s">
        <v>7</v>
      </c>
      <c r="AB2" s="205" t="s">
        <v>8</v>
      </c>
      <c r="AC2" s="205" t="s">
        <v>132</v>
      </c>
      <c r="AD2" s="206" t="s">
        <v>32</v>
      </c>
      <c r="AE2" s="204" t="s">
        <v>9</v>
      </c>
      <c r="AF2" s="205" t="s">
        <v>10</v>
      </c>
      <c r="AG2" s="205" t="s">
        <v>114</v>
      </c>
      <c r="AH2" s="206" t="s">
        <v>33</v>
      </c>
      <c r="AI2" s="204" t="s">
        <v>11</v>
      </c>
      <c r="AJ2" s="205" t="s">
        <v>12</v>
      </c>
      <c r="AK2" s="205" t="s">
        <v>113</v>
      </c>
      <c r="AL2" s="206" t="s">
        <v>34</v>
      </c>
    </row>
    <row r="3" spans="1:38" x14ac:dyDescent="0.25">
      <c r="A3" s="97" t="s">
        <v>197</v>
      </c>
      <c r="B3" s="184"/>
      <c r="C3" s="185"/>
      <c r="D3" s="186"/>
      <c r="E3" s="160"/>
      <c r="F3" s="160"/>
      <c r="G3" s="160"/>
      <c r="H3" s="162"/>
      <c r="I3" s="160"/>
      <c r="J3" s="169"/>
      <c r="K3" s="160"/>
      <c r="L3" s="160"/>
      <c r="M3" s="160"/>
      <c r="N3" s="162"/>
      <c r="O3" s="160"/>
      <c r="P3" s="169"/>
      <c r="Q3" s="111"/>
      <c r="R3" s="79" t="s">
        <v>18</v>
      </c>
      <c r="S3" s="299">
        <v>11440</v>
      </c>
      <c r="T3" s="300">
        <v>10178.099999999999</v>
      </c>
      <c r="U3" s="158">
        <v>0</v>
      </c>
      <c r="V3" s="297">
        <v>21618.1</v>
      </c>
      <c r="W3" s="303">
        <v>89142</v>
      </c>
      <c r="X3" s="304">
        <v>0</v>
      </c>
      <c r="Y3" s="234">
        <v>0</v>
      </c>
      <c r="Z3" s="305">
        <v>89142</v>
      </c>
      <c r="AA3" s="303">
        <v>106782</v>
      </c>
      <c r="AB3" s="304">
        <v>0</v>
      </c>
      <c r="AC3" s="234">
        <v>0</v>
      </c>
      <c r="AD3" s="305">
        <v>106782</v>
      </c>
      <c r="AE3" s="303">
        <v>135305</v>
      </c>
      <c r="AF3" s="304">
        <v>0</v>
      </c>
      <c r="AG3" s="234">
        <v>0</v>
      </c>
      <c r="AH3" s="305">
        <v>135305</v>
      </c>
      <c r="AI3" s="303">
        <v>30258.3</v>
      </c>
      <c r="AJ3" s="304">
        <v>0</v>
      </c>
      <c r="AK3" s="234">
        <v>0</v>
      </c>
      <c r="AL3" s="305">
        <v>30258.3</v>
      </c>
    </row>
    <row r="4" spans="1:38" x14ac:dyDescent="0.25">
      <c r="A4" s="98">
        <v>45877</v>
      </c>
      <c r="B4" s="162">
        <v>0</v>
      </c>
      <c r="C4" s="160">
        <v>0</v>
      </c>
      <c r="D4" s="169">
        <v>0</v>
      </c>
      <c r="E4" s="160">
        <v>1217</v>
      </c>
      <c r="F4" s="160">
        <v>0</v>
      </c>
      <c r="G4" s="160">
        <v>0</v>
      </c>
      <c r="H4" s="162">
        <v>1217</v>
      </c>
      <c r="I4" s="160">
        <v>4896</v>
      </c>
      <c r="J4" s="169">
        <v>0</v>
      </c>
      <c r="K4" s="160">
        <v>2435</v>
      </c>
      <c r="L4" s="160">
        <v>1173.8</v>
      </c>
      <c r="M4" s="160">
        <v>1249.21</v>
      </c>
      <c r="N4" s="162">
        <v>1217.3</v>
      </c>
      <c r="O4" s="160">
        <v>0</v>
      </c>
      <c r="P4" s="169">
        <v>0</v>
      </c>
      <c r="Q4" s="111"/>
      <c r="R4" s="79" t="s">
        <v>19</v>
      </c>
      <c r="S4" s="301">
        <v>26312</v>
      </c>
      <c r="T4" s="302">
        <v>6785.4</v>
      </c>
      <c r="U4" s="157">
        <v>0</v>
      </c>
      <c r="V4" s="298">
        <v>33097.4</v>
      </c>
      <c r="W4" s="306">
        <v>51127</v>
      </c>
      <c r="X4" s="293">
        <v>22521.599999999999</v>
      </c>
      <c r="Y4" s="227">
        <v>0</v>
      </c>
      <c r="Z4" s="307">
        <v>73648.600000000006</v>
      </c>
      <c r="AA4" s="306">
        <v>48693</v>
      </c>
      <c r="AB4" s="293">
        <v>43084.800000000003</v>
      </c>
      <c r="AC4" s="227">
        <v>0</v>
      </c>
      <c r="AD4" s="307">
        <v>91777.8</v>
      </c>
      <c r="AE4" s="306">
        <v>65734</v>
      </c>
      <c r="AF4" s="293">
        <v>38188.800000000003</v>
      </c>
      <c r="AG4" s="227">
        <v>0</v>
      </c>
      <c r="AH4" s="307">
        <v>103922.8</v>
      </c>
      <c r="AI4" s="306">
        <v>34701.699999999997</v>
      </c>
      <c r="AJ4" s="293">
        <v>9792</v>
      </c>
      <c r="AK4" s="227">
        <v>0</v>
      </c>
      <c r="AL4" s="307">
        <v>44493.7</v>
      </c>
    </row>
    <row r="5" spans="1:38" x14ac:dyDescent="0.25">
      <c r="A5" s="98">
        <v>45876</v>
      </c>
      <c r="B5" s="162">
        <v>1144</v>
      </c>
      <c r="C5" s="160">
        <v>0</v>
      </c>
      <c r="D5" s="169">
        <v>0</v>
      </c>
      <c r="E5" s="160">
        <v>0</v>
      </c>
      <c r="F5" s="160">
        <v>1173.8</v>
      </c>
      <c r="G5" s="160">
        <v>0</v>
      </c>
      <c r="H5" s="162">
        <v>2435</v>
      </c>
      <c r="I5" s="160">
        <v>1958.4</v>
      </c>
      <c r="J5" s="169">
        <v>0</v>
      </c>
      <c r="K5" s="160">
        <v>4869</v>
      </c>
      <c r="L5" s="160">
        <v>3521.4</v>
      </c>
      <c r="M5" s="160">
        <v>0</v>
      </c>
      <c r="N5" s="162">
        <v>1217.3</v>
      </c>
      <c r="O5" s="160">
        <v>0</v>
      </c>
      <c r="P5" s="169">
        <v>0</v>
      </c>
      <c r="Q5" s="111"/>
      <c r="R5" s="79" t="s">
        <v>63</v>
      </c>
      <c r="S5" s="301">
        <v>45760</v>
      </c>
      <c r="T5" s="302">
        <v>14701.699999999999</v>
      </c>
      <c r="U5" s="157">
        <v>3752.7299999999996</v>
      </c>
      <c r="V5" s="298">
        <v>64214.429999999993</v>
      </c>
      <c r="W5" s="306">
        <v>41387</v>
      </c>
      <c r="X5" s="293">
        <v>28396.799999999999</v>
      </c>
      <c r="Y5" s="227">
        <v>7495.2599999999993</v>
      </c>
      <c r="Z5" s="307">
        <v>77279.06</v>
      </c>
      <c r="AA5" s="306">
        <v>66951</v>
      </c>
      <c r="AB5" s="293">
        <v>42105.599999999999</v>
      </c>
      <c r="AC5" s="227">
        <v>4996.84</v>
      </c>
      <c r="AD5" s="307">
        <v>114053.44</v>
      </c>
      <c r="AE5" s="306">
        <v>54778</v>
      </c>
      <c r="AF5" s="293">
        <v>47001.599999999999</v>
      </c>
      <c r="AG5" s="227">
        <v>7495.26</v>
      </c>
      <c r="AH5" s="307">
        <v>109274.86</v>
      </c>
      <c r="AI5" s="306">
        <v>38953.599999999999</v>
      </c>
      <c r="AJ5" s="293">
        <v>12729.6</v>
      </c>
      <c r="AK5" s="227">
        <v>1249.21</v>
      </c>
      <c r="AL5" s="307">
        <v>52932.409999999996</v>
      </c>
    </row>
    <row r="6" spans="1:38" x14ac:dyDescent="0.25">
      <c r="A6" s="98">
        <v>45875</v>
      </c>
      <c r="B6" s="162">
        <v>3432</v>
      </c>
      <c r="C6" s="160">
        <v>0</v>
      </c>
      <c r="D6" s="169">
        <v>1250.9099999999999</v>
      </c>
      <c r="E6" s="160">
        <v>2435</v>
      </c>
      <c r="F6" s="160">
        <v>0</v>
      </c>
      <c r="G6" s="160">
        <v>0</v>
      </c>
      <c r="H6" s="162">
        <v>1217</v>
      </c>
      <c r="I6" s="160">
        <v>979.2</v>
      </c>
      <c r="J6" s="169">
        <v>0</v>
      </c>
      <c r="K6" s="160">
        <v>0</v>
      </c>
      <c r="L6" s="160">
        <v>4695.2</v>
      </c>
      <c r="M6" s="160">
        <v>0</v>
      </c>
      <c r="N6" s="162">
        <v>3651.9</v>
      </c>
      <c r="O6" s="160">
        <v>0</v>
      </c>
      <c r="P6" s="169">
        <v>0</v>
      </c>
      <c r="Q6" s="111"/>
      <c r="R6" s="79" t="s">
        <v>64</v>
      </c>
      <c r="S6" s="301">
        <v>33176</v>
      </c>
      <c r="T6" s="302">
        <v>15832.599999999999</v>
      </c>
      <c r="U6" s="157">
        <v>7505.4599999999991</v>
      </c>
      <c r="V6" s="298">
        <v>56514.06</v>
      </c>
      <c r="W6" s="306">
        <v>57212</v>
      </c>
      <c r="X6" s="293">
        <v>28917.599999999999</v>
      </c>
      <c r="Y6" s="227">
        <v>12492.099999999997</v>
      </c>
      <c r="Z6" s="307">
        <v>98621.7</v>
      </c>
      <c r="AA6" s="306">
        <v>90080</v>
      </c>
      <c r="AB6" s="293">
        <v>57456</v>
      </c>
      <c r="AC6" s="227">
        <v>12492.099999999999</v>
      </c>
      <c r="AD6" s="307">
        <v>160028.1</v>
      </c>
      <c r="AE6" s="306">
        <v>41388</v>
      </c>
      <c r="AF6" s="293">
        <v>95039.6</v>
      </c>
      <c r="AG6" s="227">
        <v>21236.57</v>
      </c>
      <c r="AH6" s="307">
        <v>157664.17000000001</v>
      </c>
      <c r="AI6" s="306">
        <v>29215.200000000001</v>
      </c>
      <c r="AJ6" s="293">
        <v>13329.6</v>
      </c>
      <c r="AK6" s="227">
        <v>1249.21</v>
      </c>
      <c r="AL6" s="307">
        <v>43794.01</v>
      </c>
    </row>
    <row r="7" spans="1:38" x14ac:dyDescent="0.25">
      <c r="A7" s="98">
        <v>45874</v>
      </c>
      <c r="B7" s="162">
        <v>0</v>
      </c>
      <c r="C7" s="160">
        <v>1130.9000000000001</v>
      </c>
      <c r="D7" s="169">
        <v>0</v>
      </c>
      <c r="E7" s="160">
        <v>2435</v>
      </c>
      <c r="F7" s="160">
        <v>0</v>
      </c>
      <c r="G7" s="160">
        <v>1249.2099999999998</v>
      </c>
      <c r="H7" s="162">
        <v>1217</v>
      </c>
      <c r="I7" s="160">
        <v>2937.6</v>
      </c>
      <c r="J7" s="169">
        <v>0</v>
      </c>
      <c r="K7" s="160">
        <v>0</v>
      </c>
      <c r="L7" s="160">
        <v>5869</v>
      </c>
      <c r="M7" s="160">
        <v>0</v>
      </c>
      <c r="N7" s="162">
        <v>0</v>
      </c>
      <c r="O7" s="160">
        <v>0</v>
      </c>
      <c r="P7" s="169">
        <v>0</v>
      </c>
      <c r="Q7" s="111"/>
      <c r="R7" s="79" t="s">
        <v>65</v>
      </c>
      <c r="S7" s="301">
        <v>18304</v>
      </c>
      <c r="T7" s="302">
        <v>23748.900000000005</v>
      </c>
      <c r="U7" s="157">
        <v>5003.6399999999994</v>
      </c>
      <c r="V7" s="298">
        <v>47056.540000000008</v>
      </c>
      <c r="W7" s="306">
        <v>13389</v>
      </c>
      <c r="X7" s="293">
        <v>24461.4</v>
      </c>
      <c r="Y7" s="227">
        <v>6246.0499999999993</v>
      </c>
      <c r="Z7" s="307">
        <v>44096.45</v>
      </c>
      <c r="AA7" s="306">
        <v>53486</v>
      </c>
      <c r="AB7" s="293">
        <v>21542.400000000001</v>
      </c>
      <c r="AC7" s="227">
        <v>2498.42</v>
      </c>
      <c r="AD7" s="307">
        <v>77526.819999999992</v>
      </c>
      <c r="AE7" s="306">
        <v>31576</v>
      </c>
      <c r="AF7" s="293">
        <v>62365.2</v>
      </c>
      <c r="AG7" s="227">
        <v>7495.26</v>
      </c>
      <c r="AH7" s="307">
        <v>101436.45999999999</v>
      </c>
      <c r="AI7" s="306">
        <v>13390.3</v>
      </c>
      <c r="AJ7" s="293">
        <v>5646</v>
      </c>
      <c r="AK7" s="227">
        <v>1249.21</v>
      </c>
      <c r="AL7" s="307">
        <v>20285.509999999998</v>
      </c>
    </row>
    <row r="8" spans="1:38" x14ac:dyDescent="0.25">
      <c r="A8" s="98">
        <v>45873</v>
      </c>
      <c r="B8" s="162">
        <v>1144</v>
      </c>
      <c r="C8" s="160">
        <v>1130.9000000000001</v>
      </c>
      <c r="D8" s="169">
        <v>0</v>
      </c>
      <c r="E8" s="160">
        <v>1217</v>
      </c>
      <c r="F8" s="160">
        <v>2347.6</v>
      </c>
      <c r="G8" s="160">
        <v>1249.2099999999998</v>
      </c>
      <c r="H8" s="162">
        <v>3652</v>
      </c>
      <c r="I8" s="160">
        <v>979.2</v>
      </c>
      <c r="J8" s="169">
        <v>0</v>
      </c>
      <c r="K8" s="160">
        <v>0</v>
      </c>
      <c r="L8" s="160">
        <v>8216.6</v>
      </c>
      <c r="M8" s="160">
        <v>0</v>
      </c>
      <c r="N8" s="162">
        <v>1217.3</v>
      </c>
      <c r="O8" s="160">
        <v>0</v>
      </c>
      <c r="P8" s="169">
        <v>0</v>
      </c>
      <c r="Q8" s="111"/>
      <c r="R8" s="79" t="s">
        <v>66</v>
      </c>
      <c r="S8" s="301">
        <v>44841</v>
      </c>
      <c r="T8" s="302">
        <v>4523.6000000000004</v>
      </c>
      <c r="U8" s="157">
        <v>6254.5499999999993</v>
      </c>
      <c r="V8" s="298">
        <v>55619.149999999994</v>
      </c>
      <c r="W8" s="306">
        <v>16893</v>
      </c>
      <c r="X8" s="293">
        <v>29873.599999999999</v>
      </c>
      <c r="Y8" s="227">
        <v>8744.4699999999993</v>
      </c>
      <c r="Z8" s="307">
        <v>55511.07</v>
      </c>
      <c r="AA8" s="306">
        <v>59648</v>
      </c>
      <c r="AB8" s="293">
        <v>32234.400000000001</v>
      </c>
      <c r="AC8" s="227">
        <v>7495.26</v>
      </c>
      <c r="AD8" s="307">
        <v>99377.659999999989</v>
      </c>
      <c r="AE8" s="306">
        <v>19478</v>
      </c>
      <c r="AF8" s="293">
        <v>91499.4</v>
      </c>
      <c r="AG8" s="227">
        <v>4996.84</v>
      </c>
      <c r="AH8" s="307">
        <v>115974.23999999999</v>
      </c>
      <c r="AI8" s="306">
        <v>7303.8</v>
      </c>
      <c r="AJ8" s="293">
        <v>8962.7999999999993</v>
      </c>
      <c r="AK8" s="227">
        <v>2498.42</v>
      </c>
      <c r="AL8" s="307">
        <v>18765.019999999997</v>
      </c>
    </row>
    <row r="9" spans="1:38" x14ac:dyDescent="0.25">
      <c r="A9" s="97" t="s">
        <v>198</v>
      </c>
      <c r="B9" s="162">
        <v>5720</v>
      </c>
      <c r="C9" s="160">
        <v>2261.8000000000002</v>
      </c>
      <c r="D9" s="169">
        <v>1250.9099999999999</v>
      </c>
      <c r="E9" s="160">
        <v>7304</v>
      </c>
      <c r="F9" s="160">
        <v>3521.4</v>
      </c>
      <c r="G9" s="160">
        <v>2498.4199999999996</v>
      </c>
      <c r="H9" s="162">
        <v>9738</v>
      </c>
      <c r="I9" s="160">
        <v>11750.4</v>
      </c>
      <c r="J9" s="169">
        <v>0</v>
      </c>
      <c r="K9" s="160">
        <v>7304</v>
      </c>
      <c r="L9" s="160">
        <v>23476</v>
      </c>
      <c r="M9" s="160">
        <v>1249.21</v>
      </c>
      <c r="N9" s="162">
        <v>7303.8</v>
      </c>
      <c r="O9" s="160">
        <v>0</v>
      </c>
      <c r="P9" s="169">
        <v>0</v>
      </c>
      <c r="Q9" s="111"/>
      <c r="R9" s="79" t="s">
        <v>67</v>
      </c>
      <c r="S9" s="301">
        <v>34470</v>
      </c>
      <c r="T9" s="302">
        <v>7916.3000000000011</v>
      </c>
      <c r="U9" s="157">
        <v>2501.8199999999997</v>
      </c>
      <c r="V9" s="298">
        <v>44888.12</v>
      </c>
      <c r="W9" s="306">
        <v>49909</v>
      </c>
      <c r="X9" s="293">
        <v>42218.8</v>
      </c>
      <c r="Y9" s="227">
        <v>4996.8399999999992</v>
      </c>
      <c r="Z9" s="307">
        <v>97124.64</v>
      </c>
      <c r="AA9" s="306">
        <v>49907</v>
      </c>
      <c r="AB9" s="293">
        <v>69580.800000000003</v>
      </c>
      <c r="AC9" s="227">
        <v>9993.68</v>
      </c>
      <c r="AD9" s="307">
        <v>129481.48000000001</v>
      </c>
      <c r="AE9" s="306">
        <v>0</v>
      </c>
      <c r="AF9" s="293">
        <v>105839.8</v>
      </c>
      <c r="AG9" s="227">
        <v>11242.89</v>
      </c>
      <c r="AH9" s="307">
        <v>117082.69</v>
      </c>
      <c r="AI9" s="306">
        <v>27997.9</v>
      </c>
      <c r="AJ9" s="293">
        <v>5796</v>
      </c>
      <c r="AK9" s="227">
        <v>2498.42</v>
      </c>
      <c r="AL9" s="307">
        <v>36292.32</v>
      </c>
    </row>
    <row r="10" spans="1:38" x14ac:dyDescent="0.25">
      <c r="A10" s="97" t="s">
        <v>199</v>
      </c>
      <c r="B10" s="162"/>
      <c r="C10" s="160"/>
      <c r="D10" s="169"/>
      <c r="E10" s="160"/>
      <c r="F10" s="160"/>
      <c r="G10" s="160"/>
      <c r="H10" s="162"/>
      <c r="I10" s="160"/>
      <c r="J10" s="169"/>
      <c r="K10" s="160"/>
      <c r="L10" s="160"/>
      <c r="M10" s="160"/>
      <c r="N10" s="162"/>
      <c r="O10" s="160"/>
      <c r="P10" s="169"/>
      <c r="Q10" s="111"/>
      <c r="R10" s="79" t="s">
        <v>68</v>
      </c>
      <c r="S10" s="301">
        <v>9152</v>
      </c>
      <c r="T10" s="302">
        <v>3392.7000000000003</v>
      </c>
      <c r="U10" s="157">
        <v>2501.8199999999997</v>
      </c>
      <c r="V10" s="298">
        <v>15046.52</v>
      </c>
      <c r="W10" s="306">
        <v>8521</v>
      </c>
      <c r="X10" s="293">
        <v>4695.2</v>
      </c>
      <c r="Y10" s="227">
        <v>2498.4199999999996</v>
      </c>
      <c r="Z10" s="307">
        <v>15714.62</v>
      </c>
      <c r="AA10" s="306">
        <v>9738</v>
      </c>
      <c r="AB10" s="293">
        <v>15667.2</v>
      </c>
      <c r="AC10" s="227">
        <v>0</v>
      </c>
      <c r="AD10" s="307">
        <v>25405.200000000001</v>
      </c>
      <c r="AE10" s="306">
        <v>7304</v>
      </c>
      <c r="AF10" s="293">
        <v>24649.8</v>
      </c>
      <c r="AG10" s="227">
        <v>1249.21</v>
      </c>
      <c r="AH10" s="307">
        <v>33203.01</v>
      </c>
      <c r="AI10" s="306">
        <v>8521.1</v>
      </c>
      <c r="AJ10" s="293">
        <v>0</v>
      </c>
      <c r="AK10" s="227">
        <v>0</v>
      </c>
      <c r="AL10" s="307">
        <v>8521.1</v>
      </c>
    </row>
    <row r="11" spans="1:38" ht="15.75" thickBot="1" x14ac:dyDescent="0.3">
      <c r="A11" s="98">
        <v>45870</v>
      </c>
      <c r="B11" s="162">
        <v>3432</v>
      </c>
      <c r="C11" s="160">
        <v>1130.9000000000001</v>
      </c>
      <c r="D11" s="169">
        <v>1250.9099999999999</v>
      </c>
      <c r="E11" s="160">
        <v>1217</v>
      </c>
      <c r="F11" s="160">
        <v>1173.8</v>
      </c>
      <c r="G11" s="160">
        <v>0</v>
      </c>
      <c r="H11" s="162">
        <v>0</v>
      </c>
      <c r="I11" s="160">
        <v>3916.8</v>
      </c>
      <c r="J11" s="169">
        <v>0</v>
      </c>
      <c r="K11" s="160">
        <v>0</v>
      </c>
      <c r="L11" s="160">
        <v>1173.8</v>
      </c>
      <c r="M11" s="160">
        <v>0</v>
      </c>
      <c r="N11" s="162">
        <v>1217.3</v>
      </c>
      <c r="O11" s="160">
        <v>0</v>
      </c>
      <c r="P11" s="169">
        <v>0</v>
      </c>
      <c r="Q11" s="111"/>
      <c r="R11" s="86" t="s">
        <v>35</v>
      </c>
      <c r="S11" s="294">
        <v>223455</v>
      </c>
      <c r="T11" s="295">
        <v>87079.299999999959</v>
      </c>
      <c r="U11" s="159">
        <v>27520.019999999997</v>
      </c>
      <c r="V11" s="296">
        <v>338054.31999999995</v>
      </c>
      <c r="W11" s="308">
        <v>327580</v>
      </c>
      <c r="X11" s="309">
        <v>181085</v>
      </c>
      <c r="Y11" s="233">
        <v>42473.139999999985</v>
      </c>
      <c r="Z11" s="310">
        <v>551138.14</v>
      </c>
      <c r="AA11" s="308">
        <v>485285</v>
      </c>
      <c r="AB11" s="309">
        <v>281671.2</v>
      </c>
      <c r="AC11" s="233">
        <v>37476.299999999988</v>
      </c>
      <c r="AD11" s="310">
        <v>804432.5</v>
      </c>
      <c r="AE11" s="308">
        <v>355563</v>
      </c>
      <c r="AF11" s="309">
        <v>464584.2</v>
      </c>
      <c r="AG11" s="233">
        <v>53716.029999999977</v>
      </c>
      <c r="AH11" s="310">
        <v>873863.23</v>
      </c>
      <c r="AI11" s="308">
        <v>190341.9</v>
      </c>
      <c r="AJ11" s="309">
        <v>56256</v>
      </c>
      <c r="AK11" s="233">
        <v>8744.4700000000012</v>
      </c>
      <c r="AL11" s="310">
        <v>255342.37</v>
      </c>
    </row>
    <row r="12" spans="1:38" x14ac:dyDescent="0.25">
      <c r="A12" s="98">
        <v>45869</v>
      </c>
      <c r="B12" s="162">
        <v>0</v>
      </c>
      <c r="C12" s="160">
        <v>0</v>
      </c>
      <c r="D12" s="169">
        <v>0</v>
      </c>
      <c r="E12" s="160">
        <v>0</v>
      </c>
      <c r="F12" s="160">
        <v>0</v>
      </c>
      <c r="G12" s="160">
        <v>1249.2099999999998</v>
      </c>
      <c r="H12" s="162">
        <v>0</v>
      </c>
      <c r="I12" s="160">
        <v>0</v>
      </c>
      <c r="J12" s="169">
        <v>0</v>
      </c>
      <c r="K12" s="160">
        <v>0</v>
      </c>
      <c r="L12" s="160">
        <v>4695.2</v>
      </c>
      <c r="M12" s="160">
        <v>0</v>
      </c>
      <c r="N12" s="162">
        <v>0</v>
      </c>
      <c r="O12" s="160">
        <v>0</v>
      </c>
      <c r="P12" s="169">
        <v>0</v>
      </c>
      <c r="Q12" s="111"/>
    </row>
    <row r="13" spans="1:38" x14ac:dyDescent="0.25">
      <c r="A13" s="98">
        <v>45868</v>
      </c>
      <c r="B13" s="162">
        <v>0</v>
      </c>
      <c r="C13" s="160">
        <v>1130.9000000000001</v>
      </c>
      <c r="D13" s="169">
        <v>0</v>
      </c>
      <c r="E13" s="160">
        <v>0</v>
      </c>
      <c r="F13" s="160">
        <v>0</v>
      </c>
      <c r="G13" s="160">
        <v>0</v>
      </c>
      <c r="H13" s="162">
        <v>1217</v>
      </c>
      <c r="I13" s="160">
        <v>979.2</v>
      </c>
      <c r="J13" s="169">
        <v>0</v>
      </c>
      <c r="K13" s="160">
        <v>0</v>
      </c>
      <c r="L13" s="160">
        <v>3521.4</v>
      </c>
      <c r="M13" s="160">
        <v>1249.21</v>
      </c>
      <c r="N13" s="162">
        <v>0</v>
      </c>
      <c r="O13" s="160">
        <v>1429.2</v>
      </c>
      <c r="P13" s="169">
        <v>1249.21</v>
      </c>
      <c r="Q13" s="111"/>
    </row>
    <row r="14" spans="1:38" x14ac:dyDescent="0.25">
      <c r="A14" s="98">
        <v>45867</v>
      </c>
      <c r="B14" s="162">
        <v>3432</v>
      </c>
      <c r="C14" s="160">
        <v>0</v>
      </c>
      <c r="D14" s="169">
        <v>0</v>
      </c>
      <c r="E14" s="160">
        <v>4869</v>
      </c>
      <c r="F14" s="160">
        <v>6495.2</v>
      </c>
      <c r="G14" s="160">
        <v>0</v>
      </c>
      <c r="H14" s="162">
        <v>0</v>
      </c>
      <c r="I14" s="160">
        <v>1429.2</v>
      </c>
      <c r="J14" s="169">
        <v>0</v>
      </c>
      <c r="K14" s="160">
        <v>0</v>
      </c>
      <c r="L14" s="160">
        <v>2347.6</v>
      </c>
      <c r="M14" s="160">
        <v>0</v>
      </c>
      <c r="N14" s="162">
        <v>2434.6</v>
      </c>
      <c r="O14" s="160">
        <v>0</v>
      </c>
      <c r="P14" s="169">
        <v>0</v>
      </c>
      <c r="Q14" s="111"/>
    </row>
    <row r="15" spans="1:38" x14ac:dyDescent="0.25">
      <c r="A15" s="98">
        <v>45866</v>
      </c>
      <c r="B15" s="162">
        <v>1144</v>
      </c>
      <c r="C15" s="160">
        <v>0</v>
      </c>
      <c r="D15" s="169">
        <v>0</v>
      </c>
      <c r="E15" s="160">
        <v>1217</v>
      </c>
      <c r="F15" s="160">
        <v>1623.8</v>
      </c>
      <c r="G15" s="160">
        <v>0</v>
      </c>
      <c r="H15" s="162">
        <v>2435</v>
      </c>
      <c r="I15" s="160">
        <v>1429.2</v>
      </c>
      <c r="J15" s="169">
        <v>1249.21</v>
      </c>
      <c r="K15" s="160">
        <v>0</v>
      </c>
      <c r="L15" s="160">
        <v>5295.2</v>
      </c>
      <c r="M15" s="160">
        <v>0</v>
      </c>
      <c r="N15" s="162">
        <v>1217.3</v>
      </c>
      <c r="O15" s="160">
        <v>1429.2</v>
      </c>
      <c r="P15" s="169">
        <v>0</v>
      </c>
      <c r="Q15" s="111"/>
    </row>
    <row r="16" spans="1:38" ht="15.75" thickBot="1" x14ac:dyDescent="0.3">
      <c r="A16" s="97" t="s">
        <v>200</v>
      </c>
      <c r="B16" s="162">
        <v>8008</v>
      </c>
      <c r="C16" s="160">
        <v>2261.8000000000002</v>
      </c>
      <c r="D16" s="169">
        <v>1250.9099999999999</v>
      </c>
      <c r="E16" s="160">
        <v>7303</v>
      </c>
      <c r="F16" s="160">
        <v>9292.7999999999993</v>
      </c>
      <c r="G16" s="160">
        <v>1249.2099999999998</v>
      </c>
      <c r="H16" s="162">
        <v>3652</v>
      </c>
      <c r="I16" s="160">
        <v>7754.4</v>
      </c>
      <c r="J16" s="169">
        <v>1249.21</v>
      </c>
      <c r="K16" s="160">
        <v>0</v>
      </c>
      <c r="L16" s="160">
        <v>17033.2</v>
      </c>
      <c r="M16" s="160">
        <v>1249.21</v>
      </c>
      <c r="N16" s="162">
        <v>4869.2</v>
      </c>
      <c r="O16" s="160">
        <v>2858.4</v>
      </c>
      <c r="P16" s="169">
        <v>1249.21</v>
      </c>
      <c r="Q16" s="111"/>
    </row>
    <row r="17" spans="1:22" ht="15.75" thickBot="1" x14ac:dyDescent="0.3">
      <c r="A17" s="97" t="s">
        <v>193</v>
      </c>
      <c r="B17" s="162"/>
      <c r="C17" s="160"/>
      <c r="D17" s="169"/>
      <c r="E17" s="160"/>
      <c r="F17" s="160"/>
      <c r="G17" s="160"/>
      <c r="H17" s="162"/>
      <c r="I17" s="160"/>
      <c r="J17" s="169"/>
      <c r="K17" s="160"/>
      <c r="L17" s="160"/>
      <c r="M17" s="160"/>
      <c r="N17" s="162"/>
      <c r="O17" s="160"/>
      <c r="P17" s="169"/>
      <c r="Q17" s="111"/>
      <c r="R17" s="105" t="s">
        <v>29</v>
      </c>
      <c r="S17" s="289" t="s">
        <v>36</v>
      </c>
      <c r="T17" s="290"/>
      <c r="U17" s="290"/>
      <c r="V17" s="291"/>
    </row>
    <row r="18" spans="1:22" ht="15.75" thickBot="1" x14ac:dyDescent="0.3">
      <c r="A18" s="98">
        <v>45863</v>
      </c>
      <c r="B18" s="162">
        <v>0</v>
      </c>
      <c r="C18" s="160">
        <v>2261.8000000000002</v>
      </c>
      <c r="D18" s="169">
        <v>0</v>
      </c>
      <c r="E18" s="160">
        <v>1217</v>
      </c>
      <c r="F18" s="160">
        <v>0</v>
      </c>
      <c r="G18" s="160">
        <v>0</v>
      </c>
      <c r="H18" s="162">
        <v>1217</v>
      </c>
      <c r="I18" s="160">
        <v>2858.4</v>
      </c>
      <c r="J18" s="169">
        <v>0</v>
      </c>
      <c r="K18" s="160">
        <v>0</v>
      </c>
      <c r="L18" s="160">
        <v>0</v>
      </c>
      <c r="M18" s="160">
        <v>0</v>
      </c>
      <c r="N18" s="162">
        <v>0</v>
      </c>
      <c r="O18" s="160">
        <v>0</v>
      </c>
      <c r="P18" s="169">
        <v>0</v>
      </c>
      <c r="Q18" s="111"/>
      <c r="R18" s="112"/>
      <c r="S18" s="152" t="s">
        <v>3</v>
      </c>
      <c r="T18" s="152" t="s">
        <v>4</v>
      </c>
      <c r="U18" s="152" t="s">
        <v>112</v>
      </c>
      <c r="V18" s="195" t="s">
        <v>30</v>
      </c>
    </row>
    <row r="19" spans="1:22" x14ac:dyDescent="0.25">
      <c r="A19" s="98">
        <v>45862</v>
      </c>
      <c r="B19" s="162">
        <v>3432</v>
      </c>
      <c r="C19" s="160">
        <v>0</v>
      </c>
      <c r="D19" s="169">
        <v>0</v>
      </c>
      <c r="E19" s="160">
        <v>1217</v>
      </c>
      <c r="F19" s="160">
        <v>3247.6</v>
      </c>
      <c r="G19" s="160">
        <v>0</v>
      </c>
      <c r="H19" s="162">
        <v>1217</v>
      </c>
      <c r="I19" s="160">
        <v>1429.2</v>
      </c>
      <c r="J19" s="169">
        <v>1249.21</v>
      </c>
      <c r="K19" s="160">
        <v>0</v>
      </c>
      <c r="L19" s="160">
        <v>9266.6</v>
      </c>
      <c r="M19" s="160">
        <v>1249.21</v>
      </c>
      <c r="N19" s="162">
        <v>0</v>
      </c>
      <c r="O19" s="160">
        <v>0</v>
      </c>
      <c r="P19" s="169">
        <v>0</v>
      </c>
      <c r="Q19" s="111"/>
      <c r="R19" s="113" t="s">
        <v>18</v>
      </c>
      <c r="S19" s="312">
        <v>361487.3</v>
      </c>
      <c r="T19" s="313">
        <v>0</v>
      </c>
      <c r="U19" s="313">
        <v>0</v>
      </c>
      <c r="V19" s="318">
        <v>361487.3</v>
      </c>
    </row>
    <row r="20" spans="1:22" x14ac:dyDescent="0.25">
      <c r="A20" s="98">
        <v>45861</v>
      </c>
      <c r="B20" s="162">
        <v>5720</v>
      </c>
      <c r="C20" s="160">
        <v>0</v>
      </c>
      <c r="D20" s="169">
        <v>0</v>
      </c>
      <c r="E20" s="160">
        <v>1217</v>
      </c>
      <c r="F20" s="160">
        <v>6495.2</v>
      </c>
      <c r="G20" s="160">
        <v>1249.2099999999998</v>
      </c>
      <c r="H20" s="162">
        <v>1217</v>
      </c>
      <c r="I20" s="160">
        <v>5716.8</v>
      </c>
      <c r="J20" s="169">
        <v>0</v>
      </c>
      <c r="K20" s="160">
        <v>0</v>
      </c>
      <c r="L20" s="160">
        <v>6619</v>
      </c>
      <c r="M20" s="160">
        <v>0</v>
      </c>
      <c r="N20" s="162">
        <v>1217.3</v>
      </c>
      <c r="O20" s="160">
        <v>0</v>
      </c>
      <c r="P20" s="169">
        <v>0</v>
      </c>
      <c r="Q20" s="111"/>
      <c r="R20" s="84" t="s">
        <v>19</v>
      </c>
      <c r="S20" s="314">
        <v>200255.7</v>
      </c>
      <c r="T20" s="311">
        <v>113587.2</v>
      </c>
      <c r="U20" s="311">
        <v>0</v>
      </c>
      <c r="V20" s="319">
        <v>313842.90000000002</v>
      </c>
    </row>
    <row r="21" spans="1:22" x14ac:dyDescent="0.25">
      <c r="A21" s="98">
        <v>45860</v>
      </c>
      <c r="B21" s="162">
        <v>0</v>
      </c>
      <c r="C21" s="160">
        <v>1130.9000000000001</v>
      </c>
      <c r="D21" s="169">
        <v>1250.9099999999999</v>
      </c>
      <c r="E21" s="160">
        <v>2435</v>
      </c>
      <c r="F21" s="160">
        <v>4871.3999999999996</v>
      </c>
      <c r="G21" s="160">
        <v>1249.2099999999998</v>
      </c>
      <c r="H21" s="162">
        <v>4869</v>
      </c>
      <c r="I21" s="160">
        <v>2858.4</v>
      </c>
      <c r="J21" s="169">
        <v>0</v>
      </c>
      <c r="K21" s="160">
        <v>0</v>
      </c>
      <c r="L21" s="160">
        <v>5895.2</v>
      </c>
      <c r="M21" s="160">
        <v>2498.42</v>
      </c>
      <c r="N21" s="162">
        <v>0</v>
      </c>
      <c r="O21" s="160">
        <v>0</v>
      </c>
      <c r="P21" s="169">
        <v>0</v>
      </c>
      <c r="Q21" s="111"/>
      <c r="R21" s="84" t="s">
        <v>63</v>
      </c>
      <c r="S21" s="314">
        <v>202069.6</v>
      </c>
      <c r="T21" s="311">
        <v>130233.60000000001</v>
      </c>
      <c r="U21" s="311">
        <v>21236.57</v>
      </c>
      <c r="V21" s="319">
        <v>353539.77</v>
      </c>
    </row>
    <row r="22" spans="1:22" x14ac:dyDescent="0.25">
      <c r="A22" s="98">
        <v>45859</v>
      </c>
      <c r="B22" s="162">
        <v>1144</v>
      </c>
      <c r="C22" s="160">
        <v>0</v>
      </c>
      <c r="D22" s="169">
        <v>0</v>
      </c>
      <c r="E22" s="160">
        <v>2435</v>
      </c>
      <c r="F22" s="160">
        <v>4871.3999999999996</v>
      </c>
      <c r="G22" s="160">
        <v>0</v>
      </c>
      <c r="H22" s="162">
        <v>6086</v>
      </c>
      <c r="I22" s="160">
        <v>4287.6000000000004</v>
      </c>
      <c r="J22" s="169">
        <v>0</v>
      </c>
      <c r="K22" s="160">
        <v>0</v>
      </c>
      <c r="L22" s="160">
        <v>1623.8</v>
      </c>
      <c r="M22" s="160">
        <v>0</v>
      </c>
      <c r="N22" s="162">
        <v>1217.3</v>
      </c>
      <c r="O22" s="160">
        <v>0</v>
      </c>
      <c r="P22" s="169">
        <v>0</v>
      </c>
      <c r="Q22" s="111"/>
      <c r="R22" s="84" t="s">
        <v>64</v>
      </c>
      <c r="S22" s="314">
        <v>217895.2</v>
      </c>
      <c r="T22" s="311">
        <v>194742.80000000002</v>
      </c>
      <c r="U22" s="311">
        <v>47469.979999999996</v>
      </c>
      <c r="V22" s="319">
        <v>460107.98</v>
      </c>
    </row>
    <row r="23" spans="1:22" x14ac:dyDescent="0.25">
      <c r="A23" s="97" t="s">
        <v>194</v>
      </c>
      <c r="B23" s="162">
        <v>10296</v>
      </c>
      <c r="C23" s="160">
        <v>3392.7000000000003</v>
      </c>
      <c r="D23" s="169">
        <v>1250.9099999999999</v>
      </c>
      <c r="E23" s="160">
        <v>8521</v>
      </c>
      <c r="F23" s="160">
        <v>19485.599999999999</v>
      </c>
      <c r="G23" s="160">
        <v>2498.4199999999996</v>
      </c>
      <c r="H23" s="162">
        <v>14606</v>
      </c>
      <c r="I23" s="160">
        <v>17150.400000000001</v>
      </c>
      <c r="J23" s="169">
        <v>1249.21</v>
      </c>
      <c r="K23" s="160">
        <v>0</v>
      </c>
      <c r="L23" s="160">
        <v>23404.6</v>
      </c>
      <c r="M23" s="160">
        <v>3747.63</v>
      </c>
      <c r="N23" s="162">
        <v>2434.6</v>
      </c>
      <c r="O23" s="160">
        <v>0</v>
      </c>
      <c r="P23" s="169">
        <v>0</v>
      </c>
      <c r="Q23" s="111"/>
      <c r="R23" s="84" t="s">
        <v>65</v>
      </c>
      <c r="S23" s="314">
        <v>111841.3</v>
      </c>
      <c r="T23" s="311">
        <v>114015</v>
      </c>
      <c r="U23" s="311">
        <v>17488.940000000002</v>
      </c>
      <c r="V23" s="319">
        <v>243345.24</v>
      </c>
    </row>
    <row r="24" spans="1:22" x14ac:dyDescent="0.25">
      <c r="A24" s="97" t="s">
        <v>187</v>
      </c>
      <c r="B24" s="162"/>
      <c r="C24" s="160"/>
      <c r="D24" s="169"/>
      <c r="E24" s="160"/>
      <c r="F24" s="160"/>
      <c r="G24" s="160"/>
      <c r="H24" s="162"/>
      <c r="I24" s="160"/>
      <c r="J24" s="169"/>
      <c r="K24" s="160"/>
      <c r="L24" s="160"/>
      <c r="M24" s="160"/>
      <c r="N24" s="162"/>
      <c r="O24" s="160"/>
      <c r="P24" s="169"/>
      <c r="Q24" s="111"/>
      <c r="R24" s="84" t="s">
        <v>66</v>
      </c>
      <c r="S24" s="314">
        <v>103322.8</v>
      </c>
      <c r="T24" s="311">
        <v>162570.20000000001</v>
      </c>
      <c r="U24" s="311">
        <v>23734.989999999998</v>
      </c>
      <c r="V24" s="319">
        <v>289627.99</v>
      </c>
    </row>
    <row r="25" spans="1:22" x14ac:dyDescent="0.25">
      <c r="A25" s="98">
        <v>45856</v>
      </c>
      <c r="B25" s="162">
        <v>1144</v>
      </c>
      <c r="C25" s="160">
        <v>0</v>
      </c>
      <c r="D25" s="169">
        <v>0</v>
      </c>
      <c r="E25" s="160">
        <v>3652</v>
      </c>
      <c r="F25" s="160">
        <v>1623.8</v>
      </c>
      <c r="G25" s="160">
        <v>0</v>
      </c>
      <c r="H25" s="162">
        <v>6086</v>
      </c>
      <c r="I25" s="160">
        <v>2858.4</v>
      </c>
      <c r="J25" s="169">
        <v>2498.42</v>
      </c>
      <c r="K25" s="160">
        <v>0</v>
      </c>
      <c r="L25" s="160">
        <v>4871.3999999999996</v>
      </c>
      <c r="M25" s="160">
        <v>1249.21</v>
      </c>
      <c r="N25" s="162">
        <v>0</v>
      </c>
      <c r="O25" s="160">
        <v>0</v>
      </c>
      <c r="P25" s="169">
        <v>0</v>
      </c>
      <c r="Q25" s="111"/>
      <c r="R25" s="84" t="s">
        <v>67</v>
      </c>
      <c r="S25" s="314">
        <v>127813.9</v>
      </c>
      <c r="T25" s="311">
        <v>223435.40000000002</v>
      </c>
      <c r="U25" s="311">
        <v>28731.83</v>
      </c>
      <c r="V25" s="319">
        <v>379981.13</v>
      </c>
    </row>
    <row r="26" spans="1:22" ht="15.75" thickBot="1" x14ac:dyDescent="0.3">
      <c r="A26" s="98">
        <v>45855</v>
      </c>
      <c r="B26" s="162">
        <v>1144</v>
      </c>
      <c r="C26" s="160">
        <v>1130.9000000000001</v>
      </c>
      <c r="D26" s="169">
        <v>0</v>
      </c>
      <c r="E26" s="160">
        <v>2435</v>
      </c>
      <c r="F26" s="160">
        <v>3247.6</v>
      </c>
      <c r="G26" s="160">
        <v>0</v>
      </c>
      <c r="H26" s="162">
        <v>4869</v>
      </c>
      <c r="I26" s="160">
        <v>2858.4</v>
      </c>
      <c r="J26" s="169">
        <v>0</v>
      </c>
      <c r="K26" s="160">
        <v>0</v>
      </c>
      <c r="L26" s="160">
        <v>4871.3999999999996</v>
      </c>
      <c r="M26" s="160">
        <v>0</v>
      </c>
      <c r="N26" s="162">
        <v>6086.5</v>
      </c>
      <c r="O26" s="160">
        <v>0</v>
      </c>
      <c r="P26" s="169">
        <v>0</v>
      </c>
      <c r="Q26" s="111"/>
      <c r="R26" s="82" t="s">
        <v>68</v>
      </c>
      <c r="S26" s="314">
        <v>34084.1</v>
      </c>
      <c r="T26" s="311">
        <v>45012.2</v>
      </c>
      <c r="U26" s="311">
        <v>3747.6299999999997</v>
      </c>
      <c r="V26" s="319">
        <v>82843.930000000008</v>
      </c>
    </row>
    <row r="27" spans="1:22" ht="15.75" thickBot="1" x14ac:dyDescent="0.3">
      <c r="A27" s="98">
        <v>45854</v>
      </c>
      <c r="B27" s="162">
        <v>2288</v>
      </c>
      <c r="C27" s="160">
        <v>0</v>
      </c>
      <c r="D27" s="169">
        <v>1250.9099999999999</v>
      </c>
      <c r="E27" s="160">
        <v>1217</v>
      </c>
      <c r="F27" s="160">
        <v>1623.8</v>
      </c>
      <c r="G27" s="160">
        <v>0</v>
      </c>
      <c r="H27" s="162">
        <v>0</v>
      </c>
      <c r="I27" s="160">
        <v>7146</v>
      </c>
      <c r="J27" s="169">
        <v>0</v>
      </c>
      <c r="K27" s="160">
        <v>0</v>
      </c>
      <c r="L27" s="160">
        <v>3247.6</v>
      </c>
      <c r="M27" s="160">
        <v>0</v>
      </c>
      <c r="N27" s="162">
        <v>4869.2</v>
      </c>
      <c r="O27" s="160">
        <v>0</v>
      </c>
      <c r="P27" s="169">
        <v>0</v>
      </c>
      <c r="Q27" s="111"/>
      <c r="R27" s="85" t="s">
        <v>35</v>
      </c>
      <c r="S27" s="315">
        <v>1358769.9</v>
      </c>
      <c r="T27" s="316">
        <v>983596.39999999991</v>
      </c>
      <c r="U27" s="316">
        <v>142409.93999999994</v>
      </c>
      <c r="V27" s="317">
        <v>2484776.2400000002</v>
      </c>
    </row>
    <row r="28" spans="1:22" x14ac:dyDescent="0.25">
      <c r="A28" s="98">
        <v>45853</v>
      </c>
      <c r="B28" s="162">
        <v>3432</v>
      </c>
      <c r="C28" s="160">
        <v>0</v>
      </c>
      <c r="D28" s="169">
        <v>0</v>
      </c>
      <c r="E28" s="160">
        <v>2435</v>
      </c>
      <c r="F28" s="160">
        <v>0</v>
      </c>
      <c r="G28" s="160">
        <v>0</v>
      </c>
      <c r="H28" s="162">
        <v>1217</v>
      </c>
      <c r="I28" s="160">
        <v>1429.2</v>
      </c>
      <c r="J28" s="169">
        <v>0</v>
      </c>
      <c r="K28" s="160">
        <v>0</v>
      </c>
      <c r="L28" s="160">
        <v>4871.3999999999996</v>
      </c>
      <c r="M28" s="160">
        <v>0</v>
      </c>
      <c r="N28" s="162">
        <v>0</v>
      </c>
      <c r="O28" s="160">
        <v>0</v>
      </c>
      <c r="P28" s="169">
        <v>0</v>
      </c>
      <c r="Q28" s="111"/>
    </row>
    <row r="29" spans="1:22" x14ac:dyDescent="0.25">
      <c r="A29" s="98">
        <v>45852</v>
      </c>
      <c r="B29" s="162">
        <v>2288</v>
      </c>
      <c r="C29" s="160">
        <v>0</v>
      </c>
      <c r="D29" s="169">
        <v>0</v>
      </c>
      <c r="E29" s="160">
        <v>6086</v>
      </c>
      <c r="F29" s="160">
        <v>1623.8</v>
      </c>
      <c r="G29" s="160">
        <v>1249.2099999999998</v>
      </c>
      <c r="H29" s="162">
        <v>2435</v>
      </c>
      <c r="I29" s="160">
        <v>1429.2</v>
      </c>
      <c r="J29" s="169">
        <v>1249.21</v>
      </c>
      <c r="K29" s="160">
        <v>0</v>
      </c>
      <c r="L29" s="160">
        <v>3247.6</v>
      </c>
      <c r="M29" s="160">
        <v>1249.21</v>
      </c>
      <c r="N29" s="162">
        <v>1217.3</v>
      </c>
      <c r="O29" s="160">
        <v>0</v>
      </c>
      <c r="P29" s="169">
        <v>0</v>
      </c>
      <c r="Q29" s="111"/>
    </row>
    <row r="30" spans="1:22" x14ac:dyDescent="0.25">
      <c r="A30" s="97" t="s">
        <v>188</v>
      </c>
      <c r="B30" s="162">
        <v>10296</v>
      </c>
      <c r="C30" s="160">
        <v>1130.9000000000001</v>
      </c>
      <c r="D30" s="169">
        <v>1250.9099999999999</v>
      </c>
      <c r="E30" s="160">
        <v>15825</v>
      </c>
      <c r="F30" s="160">
        <v>8119</v>
      </c>
      <c r="G30" s="160">
        <v>1249.2099999999998</v>
      </c>
      <c r="H30" s="162">
        <v>14607</v>
      </c>
      <c r="I30" s="160">
        <v>15721.2</v>
      </c>
      <c r="J30" s="169">
        <v>3747.63</v>
      </c>
      <c r="K30" s="160">
        <v>0</v>
      </c>
      <c r="L30" s="160">
        <v>21109.4</v>
      </c>
      <c r="M30" s="160">
        <v>2498.42</v>
      </c>
      <c r="N30" s="162">
        <v>12173</v>
      </c>
      <c r="O30" s="160">
        <v>0</v>
      </c>
      <c r="P30" s="169">
        <v>0</v>
      </c>
      <c r="Q30" s="111"/>
    </row>
    <row r="31" spans="1:22" x14ac:dyDescent="0.25">
      <c r="A31" s="97" t="s">
        <v>185</v>
      </c>
      <c r="B31" s="162"/>
      <c r="C31" s="160"/>
      <c r="D31" s="169"/>
      <c r="E31" s="160"/>
      <c r="F31" s="160"/>
      <c r="G31" s="160"/>
      <c r="H31" s="162"/>
      <c r="I31" s="160"/>
      <c r="J31" s="169"/>
      <c r="K31" s="160"/>
      <c r="L31" s="160"/>
      <c r="M31" s="160"/>
      <c r="N31" s="162"/>
      <c r="O31" s="160"/>
      <c r="P31" s="169"/>
      <c r="Q31" s="111"/>
    </row>
    <row r="32" spans="1:22" x14ac:dyDescent="0.25">
      <c r="A32" s="98">
        <v>45849</v>
      </c>
      <c r="B32" s="162">
        <v>1144</v>
      </c>
      <c r="C32" s="160">
        <v>1130.9000000000001</v>
      </c>
      <c r="D32" s="169">
        <v>0</v>
      </c>
      <c r="E32" s="160">
        <v>0</v>
      </c>
      <c r="F32" s="160">
        <v>0</v>
      </c>
      <c r="G32" s="160">
        <v>0</v>
      </c>
      <c r="H32" s="162">
        <v>2435</v>
      </c>
      <c r="I32" s="160">
        <v>2858.4</v>
      </c>
      <c r="J32" s="169">
        <v>0</v>
      </c>
      <c r="K32" s="160">
        <v>0</v>
      </c>
      <c r="L32" s="160">
        <v>8119</v>
      </c>
      <c r="M32" s="160">
        <v>0</v>
      </c>
      <c r="N32" s="162">
        <v>2434.6</v>
      </c>
      <c r="O32" s="160">
        <v>0</v>
      </c>
      <c r="P32" s="169">
        <v>1249.21</v>
      </c>
      <c r="Q32" s="111"/>
    </row>
    <row r="33" spans="1:17" x14ac:dyDescent="0.25">
      <c r="A33" s="98">
        <v>45848</v>
      </c>
      <c r="B33" s="162">
        <v>2288</v>
      </c>
      <c r="C33" s="160">
        <v>0</v>
      </c>
      <c r="D33" s="169">
        <v>0</v>
      </c>
      <c r="E33" s="160">
        <v>0</v>
      </c>
      <c r="F33" s="160">
        <v>0</v>
      </c>
      <c r="G33" s="160">
        <v>0</v>
      </c>
      <c r="H33" s="162">
        <v>1217</v>
      </c>
      <c r="I33" s="160">
        <v>5716.8</v>
      </c>
      <c r="J33" s="169">
        <v>0</v>
      </c>
      <c r="K33" s="160">
        <v>0</v>
      </c>
      <c r="L33" s="160">
        <v>11366.6</v>
      </c>
      <c r="M33" s="160">
        <v>0</v>
      </c>
      <c r="N33" s="162">
        <v>1217.3</v>
      </c>
      <c r="O33" s="160">
        <v>0</v>
      </c>
      <c r="P33" s="169">
        <v>0</v>
      </c>
      <c r="Q33" s="111"/>
    </row>
    <row r="34" spans="1:17" x14ac:dyDescent="0.25">
      <c r="A34" s="98">
        <v>45847</v>
      </c>
      <c r="B34" s="162">
        <v>2288</v>
      </c>
      <c r="C34" s="160">
        <v>0</v>
      </c>
      <c r="D34" s="169">
        <v>0</v>
      </c>
      <c r="E34" s="160">
        <v>2435</v>
      </c>
      <c r="F34" s="160">
        <v>1623.8</v>
      </c>
      <c r="G34" s="160">
        <v>0</v>
      </c>
      <c r="H34" s="162">
        <v>2435</v>
      </c>
      <c r="I34" s="160">
        <v>7146</v>
      </c>
      <c r="J34" s="169">
        <v>0</v>
      </c>
      <c r="K34" s="160">
        <v>0</v>
      </c>
      <c r="L34" s="160">
        <v>0</v>
      </c>
      <c r="M34" s="160">
        <v>1249.21</v>
      </c>
      <c r="N34" s="162">
        <v>4869.2</v>
      </c>
      <c r="O34" s="160">
        <v>0</v>
      </c>
      <c r="P34" s="169">
        <v>0</v>
      </c>
      <c r="Q34" s="111"/>
    </row>
    <row r="35" spans="1:17" x14ac:dyDescent="0.25">
      <c r="A35" s="98">
        <v>45846</v>
      </c>
      <c r="B35" s="162">
        <v>1144</v>
      </c>
      <c r="C35" s="160">
        <v>0</v>
      </c>
      <c r="D35" s="169">
        <v>0</v>
      </c>
      <c r="E35" s="160">
        <v>2435</v>
      </c>
      <c r="F35" s="160">
        <v>0</v>
      </c>
      <c r="G35" s="160">
        <v>0</v>
      </c>
      <c r="H35" s="162">
        <v>2435</v>
      </c>
      <c r="I35" s="160">
        <v>2858.4</v>
      </c>
      <c r="J35" s="169">
        <v>0</v>
      </c>
      <c r="K35" s="160">
        <v>0</v>
      </c>
      <c r="L35" s="160">
        <v>9742.7999999999993</v>
      </c>
      <c r="M35" s="160">
        <v>1249.21</v>
      </c>
      <c r="N35" s="162">
        <v>0</v>
      </c>
      <c r="O35" s="160">
        <v>0</v>
      </c>
      <c r="P35" s="169">
        <v>0</v>
      </c>
      <c r="Q35" s="111"/>
    </row>
    <row r="36" spans="1:17" x14ac:dyDescent="0.25">
      <c r="A36" s="98">
        <v>45845</v>
      </c>
      <c r="B36" s="162">
        <v>0</v>
      </c>
      <c r="C36" s="160">
        <v>0</v>
      </c>
      <c r="D36" s="169">
        <v>0</v>
      </c>
      <c r="E36" s="160">
        <v>4869</v>
      </c>
      <c r="F36" s="160">
        <v>1623.8</v>
      </c>
      <c r="G36" s="160">
        <v>0</v>
      </c>
      <c r="H36" s="162">
        <v>4869</v>
      </c>
      <c r="I36" s="160">
        <v>1429.2</v>
      </c>
      <c r="J36" s="169">
        <v>0</v>
      </c>
      <c r="K36" s="160">
        <v>0</v>
      </c>
      <c r="L36" s="160">
        <v>6495.2</v>
      </c>
      <c r="M36" s="160">
        <v>0</v>
      </c>
      <c r="N36" s="162">
        <v>0</v>
      </c>
      <c r="O36" s="160">
        <v>0</v>
      </c>
      <c r="P36" s="169">
        <v>0</v>
      </c>
      <c r="Q36" s="111"/>
    </row>
    <row r="37" spans="1:17" x14ac:dyDescent="0.25">
      <c r="A37" s="97" t="s">
        <v>186</v>
      </c>
      <c r="B37" s="162">
        <v>6864</v>
      </c>
      <c r="C37" s="160">
        <v>1130.9000000000001</v>
      </c>
      <c r="D37" s="169">
        <v>0</v>
      </c>
      <c r="E37" s="160">
        <v>9739</v>
      </c>
      <c r="F37" s="160">
        <v>3247.6</v>
      </c>
      <c r="G37" s="160">
        <v>0</v>
      </c>
      <c r="H37" s="162">
        <v>13391</v>
      </c>
      <c r="I37" s="160">
        <v>20008.8</v>
      </c>
      <c r="J37" s="169">
        <v>0</v>
      </c>
      <c r="K37" s="160">
        <v>0</v>
      </c>
      <c r="L37" s="160">
        <v>35723.599999999999</v>
      </c>
      <c r="M37" s="160">
        <v>2498.42</v>
      </c>
      <c r="N37" s="162">
        <v>8521.1</v>
      </c>
      <c r="O37" s="160">
        <v>0</v>
      </c>
      <c r="P37" s="169">
        <v>1249.21</v>
      </c>
      <c r="Q37" s="111"/>
    </row>
    <row r="38" spans="1:17" x14ac:dyDescent="0.25">
      <c r="A38" s="97" t="s">
        <v>182</v>
      </c>
      <c r="B38" s="162"/>
      <c r="C38" s="160"/>
      <c r="D38" s="169"/>
      <c r="E38" s="160"/>
      <c r="F38" s="160"/>
      <c r="G38" s="160"/>
      <c r="H38" s="162"/>
      <c r="I38" s="160"/>
      <c r="J38" s="169"/>
      <c r="K38" s="160"/>
      <c r="L38" s="160"/>
      <c r="M38" s="160"/>
      <c r="N38" s="162"/>
      <c r="O38" s="160"/>
      <c r="P38" s="169"/>
      <c r="Q38" s="111"/>
    </row>
    <row r="39" spans="1:17" x14ac:dyDescent="0.25">
      <c r="A39" s="98">
        <v>45842</v>
      </c>
      <c r="B39" s="162">
        <v>0</v>
      </c>
      <c r="C39" s="160">
        <v>0</v>
      </c>
      <c r="D39" s="169">
        <v>0</v>
      </c>
      <c r="E39" s="160">
        <v>0</v>
      </c>
      <c r="F39" s="160">
        <v>0</v>
      </c>
      <c r="G39" s="160">
        <v>0</v>
      </c>
      <c r="H39" s="162">
        <v>1217</v>
      </c>
      <c r="I39" s="160">
        <v>1429.2</v>
      </c>
      <c r="J39" s="169">
        <v>1249.21</v>
      </c>
      <c r="K39" s="160">
        <v>0</v>
      </c>
      <c r="L39" s="160">
        <v>0</v>
      </c>
      <c r="M39" s="160">
        <v>0</v>
      </c>
      <c r="N39" s="162">
        <v>0</v>
      </c>
      <c r="O39" s="160">
        <v>979.2</v>
      </c>
      <c r="P39" s="169">
        <v>0</v>
      </c>
      <c r="Q39" s="111"/>
    </row>
    <row r="40" spans="1:17" x14ac:dyDescent="0.25">
      <c r="A40" s="98">
        <v>45841</v>
      </c>
      <c r="B40" s="162">
        <v>0</v>
      </c>
      <c r="C40" s="160">
        <v>0</v>
      </c>
      <c r="D40" s="169">
        <v>0</v>
      </c>
      <c r="E40" s="160">
        <v>1217</v>
      </c>
      <c r="F40" s="160">
        <v>0</v>
      </c>
      <c r="G40" s="160">
        <v>0</v>
      </c>
      <c r="H40" s="162">
        <v>1217</v>
      </c>
      <c r="I40" s="160">
        <v>4287.6000000000004</v>
      </c>
      <c r="J40" s="169">
        <v>0</v>
      </c>
      <c r="K40" s="160">
        <v>0</v>
      </c>
      <c r="L40" s="160">
        <v>3247.6</v>
      </c>
      <c r="M40" s="160">
        <v>0</v>
      </c>
      <c r="N40" s="162">
        <v>0</v>
      </c>
      <c r="O40" s="160">
        <v>0</v>
      </c>
      <c r="P40" s="169">
        <v>0</v>
      </c>
      <c r="Q40" s="111"/>
    </row>
    <row r="41" spans="1:17" x14ac:dyDescent="0.25">
      <c r="A41" s="98">
        <v>45840</v>
      </c>
      <c r="B41" s="162">
        <v>0</v>
      </c>
      <c r="C41" s="160">
        <v>0</v>
      </c>
      <c r="D41" s="169">
        <v>0</v>
      </c>
      <c r="E41" s="160">
        <v>3652</v>
      </c>
      <c r="F41" s="160">
        <v>1623.8</v>
      </c>
      <c r="G41" s="160">
        <v>0</v>
      </c>
      <c r="H41" s="162">
        <v>0</v>
      </c>
      <c r="I41" s="160">
        <v>2858.4</v>
      </c>
      <c r="J41" s="169">
        <v>2498.42</v>
      </c>
      <c r="K41" s="160">
        <v>0</v>
      </c>
      <c r="L41" s="160">
        <v>4871.3999999999996</v>
      </c>
      <c r="M41" s="160">
        <v>0</v>
      </c>
      <c r="N41" s="162">
        <v>1217.3</v>
      </c>
      <c r="O41" s="160">
        <v>1958.4</v>
      </c>
      <c r="P41" s="169">
        <v>0</v>
      </c>
      <c r="Q41" s="111"/>
    </row>
    <row r="42" spans="1:17" x14ac:dyDescent="0.25">
      <c r="A42" s="98">
        <v>45839</v>
      </c>
      <c r="B42" s="162">
        <v>2438</v>
      </c>
      <c r="C42" s="160">
        <v>1130.9000000000001</v>
      </c>
      <c r="D42" s="169">
        <v>0</v>
      </c>
      <c r="E42" s="160">
        <v>4869</v>
      </c>
      <c r="F42" s="160">
        <v>1623.8</v>
      </c>
      <c r="G42" s="160">
        <v>0</v>
      </c>
      <c r="H42" s="162">
        <v>1217</v>
      </c>
      <c r="I42" s="160">
        <v>4287.6000000000004</v>
      </c>
      <c r="J42" s="169">
        <v>0</v>
      </c>
      <c r="K42" s="160">
        <v>0</v>
      </c>
      <c r="L42" s="160">
        <v>1623.8</v>
      </c>
      <c r="M42" s="160">
        <v>1249.21</v>
      </c>
      <c r="N42" s="162">
        <v>0</v>
      </c>
      <c r="O42" s="160">
        <v>0</v>
      </c>
      <c r="P42" s="169">
        <v>0</v>
      </c>
      <c r="Q42" s="111"/>
    </row>
    <row r="43" spans="1:17" x14ac:dyDescent="0.25">
      <c r="A43" s="98">
        <v>45838</v>
      </c>
      <c r="B43" s="162">
        <v>2288</v>
      </c>
      <c r="C43" s="160">
        <v>1130.9000000000001</v>
      </c>
      <c r="D43" s="169">
        <v>0</v>
      </c>
      <c r="E43" s="160">
        <v>3652</v>
      </c>
      <c r="F43" s="160">
        <v>3247.6</v>
      </c>
      <c r="G43" s="160">
        <v>1249.2099999999998</v>
      </c>
      <c r="H43" s="162">
        <v>1217</v>
      </c>
      <c r="I43" s="160">
        <v>2858.4</v>
      </c>
      <c r="J43" s="169">
        <v>0</v>
      </c>
      <c r="K43" s="160">
        <v>0</v>
      </c>
      <c r="L43" s="160">
        <v>6495.2</v>
      </c>
      <c r="M43" s="160">
        <v>1249.21</v>
      </c>
      <c r="N43" s="162">
        <v>0</v>
      </c>
      <c r="O43" s="160">
        <v>0</v>
      </c>
      <c r="P43" s="169">
        <v>0</v>
      </c>
      <c r="Q43" s="111"/>
    </row>
    <row r="44" spans="1:17" x14ac:dyDescent="0.25">
      <c r="A44" s="97" t="s">
        <v>183</v>
      </c>
      <c r="B44" s="162">
        <v>4726</v>
      </c>
      <c r="C44" s="160">
        <v>2261.8000000000002</v>
      </c>
      <c r="D44" s="169">
        <v>0</v>
      </c>
      <c r="E44" s="160">
        <v>13390</v>
      </c>
      <c r="F44" s="160">
        <v>6495.2</v>
      </c>
      <c r="G44" s="160">
        <v>1249.2099999999998</v>
      </c>
      <c r="H44" s="162">
        <v>4868</v>
      </c>
      <c r="I44" s="160">
        <v>15721.2</v>
      </c>
      <c r="J44" s="169">
        <v>3747.63</v>
      </c>
      <c r="K44" s="160">
        <v>0</v>
      </c>
      <c r="L44" s="160">
        <v>16238</v>
      </c>
      <c r="M44" s="160">
        <v>2498.42</v>
      </c>
      <c r="N44" s="162">
        <v>1217.3</v>
      </c>
      <c r="O44" s="160">
        <v>2937.6</v>
      </c>
      <c r="P44" s="169">
        <v>0</v>
      </c>
      <c r="Q44" s="111"/>
    </row>
    <row r="45" spans="1:17" x14ac:dyDescent="0.25">
      <c r="A45" s="97" t="s">
        <v>180</v>
      </c>
      <c r="B45" s="162"/>
      <c r="C45" s="160"/>
      <c r="D45" s="169"/>
      <c r="E45" s="160"/>
      <c r="F45" s="160"/>
      <c r="G45" s="160"/>
      <c r="H45" s="162"/>
      <c r="I45" s="160"/>
      <c r="J45" s="169"/>
      <c r="K45" s="160"/>
      <c r="L45" s="160"/>
      <c r="M45" s="160"/>
      <c r="N45" s="162"/>
      <c r="O45" s="160"/>
      <c r="P45" s="169"/>
      <c r="Q45" s="111"/>
    </row>
    <row r="46" spans="1:17" x14ac:dyDescent="0.25">
      <c r="A46" s="98">
        <v>45835</v>
      </c>
      <c r="B46" s="162">
        <v>0</v>
      </c>
      <c r="C46" s="160">
        <v>0</v>
      </c>
      <c r="D46" s="169">
        <v>0</v>
      </c>
      <c r="E46" s="160">
        <v>1217</v>
      </c>
      <c r="F46" s="160">
        <v>3247.6</v>
      </c>
      <c r="G46" s="160">
        <v>0</v>
      </c>
      <c r="H46" s="162">
        <v>2435</v>
      </c>
      <c r="I46" s="160">
        <v>1958.4</v>
      </c>
      <c r="J46" s="169">
        <v>0</v>
      </c>
      <c r="K46" s="160">
        <v>0</v>
      </c>
      <c r="L46" s="160">
        <v>4871.3999999999996</v>
      </c>
      <c r="M46" s="160">
        <v>1249.21</v>
      </c>
      <c r="N46" s="162">
        <v>0</v>
      </c>
      <c r="O46" s="160">
        <v>0</v>
      </c>
      <c r="P46" s="169">
        <v>1249.21</v>
      </c>
      <c r="Q46" s="111"/>
    </row>
    <row r="47" spans="1:17" x14ac:dyDescent="0.25">
      <c r="A47" s="98">
        <v>45834</v>
      </c>
      <c r="B47" s="162">
        <v>3657</v>
      </c>
      <c r="C47" s="160">
        <v>1130.9000000000001</v>
      </c>
      <c r="D47" s="169">
        <v>1250.9099999999999</v>
      </c>
      <c r="E47" s="160">
        <v>0</v>
      </c>
      <c r="F47" s="160">
        <v>4871.3999999999996</v>
      </c>
      <c r="G47" s="160">
        <v>1249.2099999999998</v>
      </c>
      <c r="H47" s="162">
        <v>0</v>
      </c>
      <c r="I47" s="160">
        <v>0</v>
      </c>
      <c r="J47" s="169">
        <v>0</v>
      </c>
      <c r="K47" s="160">
        <v>0</v>
      </c>
      <c r="L47" s="160">
        <v>6495.2</v>
      </c>
      <c r="M47" s="160">
        <v>0</v>
      </c>
      <c r="N47" s="162">
        <v>0</v>
      </c>
      <c r="O47" s="160">
        <v>0</v>
      </c>
      <c r="P47" s="169">
        <v>0</v>
      </c>
      <c r="Q47" s="111"/>
    </row>
    <row r="48" spans="1:17" x14ac:dyDescent="0.25">
      <c r="A48" s="98">
        <v>45833</v>
      </c>
      <c r="B48" s="162">
        <v>1144</v>
      </c>
      <c r="C48" s="160">
        <v>0</v>
      </c>
      <c r="D48" s="169">
        <v>0</v>
      </c>
      <c r="E48" s="160">
        <v>2435</v>
      </c>
      <c r="F48" s="160">
        <v>0</v>
      </c>
      <c r="G48" s="160">
        <v>0</v>
      </c>
      <c r="H48" s="162">
        <v>3652</v>
      </c>
      <c r="I48" s="160">
        <v>979.2</v>
      </c>
      <c r="J48" s="169">
        <v>0</v>
      </c>
      <c r="K48" s="160">
        <v>0</v>
      </c>
      <c r="L48" s="160">
        <v>4871.3999999999996</v>
      </c>
      <c r="M48" s="160">
        <v>1249.21</v>
      </c>
      <c r="N48" s="162">
        <v>0</v>
      </c>
      <c r="O48" s="160">
        <v>979.2</v>
      </c>
      <c r="P48" s="169">
        <v>1249.21</v>
      </c>
      <c r="Q48" s="111"/>
    </row>
    <row r="49" spans="1:17" x14ac:dyDescent="0.25">
      <c r="A49" s="98">
        <v>45832</v>
      </c>
      <c r="B49" s="162">
        <v>1144</v>
      </c>
      <c r="C49" s="160">
        <v>0</v>
      </c>
      <c r="D49" s="169">
        <v>0</v>
      </c>
      <c r="E49" s="160">
        <v>0</v>
      </c>
      <c r="F49" s="160">
        <v>3247.6</v>
      </c>
      <c r="G49" s="160">
        <v>0</v>
      </c>
      <c r="H49" s="162">
        <v>1217</v>
      </c>
      <c r="I49" s="160">
        <v>979.2</v>
      </c>
      <c r="J49" s="169">
        <v>1249.21</v>
      </c>
      <c r="K49" s="160">
        <v>0</v>
      </c>
      <c r="L49" s="160">
        <v>1623.8</v>
      </c>
      <c r="M49" s="160">
        <v>0</v>
      </c>
      <c r="N49" s="162">
        <v>0</v>
      </c>
      <c r="O49" s="160">
        <v>0</v>
      </c>
      <c r="P49" s="169">
        <v>0</v>
      </c>
      <c r="Q49" s="111"/>
    </row>
    <row r="50" spans="1:17" x14ac:dyDescent="0.25">
      <c r="A50" s="98">
        <v>45831</v>
      </c>
      <c r="B50" s="162">
        <v>3432</v>
      </c>
      <c r="C50" s="160">
        <v>0</v>
      </c>
      <c r="D50" s="169">
        <v>1250.9099999999999</v>
      </c>
      <c r="E50" s="160">
        <v>2435</v>
      </c>
      <c r="F50" s="160">
        <v>0</v>
      </c>
      <c r="G50" s="160">
        <v>0</v>
      </c>
      <c r="H50" s="162">
        <v>4869</v>
      </c>
      <c r="I50" s="160">
        <v>0</v>
      </c>
      <c r="J50" s="169">
        <v>0</v>
      </c>
      <c r="K50" s="160">
        <v>0</v>
      </c>
      <c r="L50" s="160">
        <v>3247.6</v>
      </c>
      <c r="M50" s="160">
        <v>0</v>
      </c>
      <c r="N50" s="162">
        <v>1217.3</v>
      </c>
      <c r="O50" s="160">
        <v>0</v>
      </c>
      <c r="P50" s="169">
        <v>0</v>
      </c>
      <c r="Q50" s="111"/>
    </row>
    <row r="51" spans="1:17" x14ac:dyDescent="0.25">
      <c r="A51" s="97" t="s">
        <v>181</v>
      </c>
      <c r="B51" s="162">
        <v>9377</v>
      </c>
      <c r="C51" s="160">
        <v>1130.9000000000001</v>
      </c>
      <c r="D51" s="169">
        <v>2501.8199999999997</v>
      </c>
      <c r="E51" s="160">
        <v>6087</v>
      </c>
      <c r="F51" s="160">
        <v>11366.6</v>
      </c>
      <c r="G51" s="160">
        <v>1249.2099999999998</v>
      </c>
      <c r="H51" s="162">
        <v>12173</v>
      </c>
      <c r="I51" s="160">
        <v>3916.8</v>
      </c>
      <c r="J51" s="169">
        <v>1249.21</v>
      </c>
      <c r="K51" s="160">
        <v>0</v>
      </c>
      <c r="L51" s="160">
        <v>21109.4</v>
      </c>
      <c r="M51" s="160">
        <v>2498.42</v>
      </c>
      <c r="N51" s="162">
        <v>1217.3</v>
      </c>
      <c r="O51" s="160">
        <v>979.2</v>
      </c>
      <c r="P51" s="169">
        <v>2498.42</v>
      </c>
      <c r="Q51" s="111"/>
    </row>
    <row r="52" spans="1:17" x14ac:dyDescent="0.25">
      <c r="A52" s="97" t="s">
        <v>175</v>
      </c>
      <c r="B52" s="162"/>
      <c r="C52" s="160"/>
      <c r="D52" s="169"/>
      <c r="E52" s="160"/>
      <c r="F52" s="160"/>
      <c r="G52" s="160"/>
      <c r="H52" s="162"/>
      <c r="I52" s="160"/>
      <c r="J52" s="169"/>
      <c r="K52" s="160"/>
      <c r="L52" s="160"/>
      <c r="M52" s="160"/>
      <c r="N52" s="162"/>
      <c r="O52" s="160"/>
      <c r="P52" s="169"/>
      <c r="Q52" s="111"/>
    </row>
    <row r="53" spans="1:17" x14ac:dyDescent="0.25">
      <c r="A53" s="98">
        <v>45828</v>
      </c>
      <c r="B53" s="162">
        <v>2288</v>
      </c>
      <c r="C53" s="160">
        <v>0</v>
      </c>
      <c r="D53" s="169">
        <v>0</v>
      </c>
      <c r="E53" s="160">
        <v>1217</v>
      </c>
      <c r="F53" s="160">
        <v>1173.8</v>
      </c>
      <c r="G53" s="160">
        <v>1249.2099999999998</v>
      </c>
      <c r="H53" s="162">
        <v>7304</v>
      </c>
      <c r="I53" s="160">
        <v>1958.4</v>
      </c>
      <c r="J53" s="169">
        <v>0</v>
      </c>
      <c r="K53" s="160">
        <v>0</v>
      </c>
      <c r="L53" s="160">
        <v>3247.6</v>
      </c>
      <c r="M53" s="160">
        <v>0</v>
      </c>
      <c r="N53" s="162">
        <v>1217.3</v>
      </c>
      <c r="O53" s="160">
        <v>0</v>
      </c>
      <c r="P53" s="169">
        <v>0</v>
      </c>
      <c r="Q53" s="111"/>
    </row>
    <row r="54" spans="1:17" x14ac:dyDescent="0.25">
      <c r="A54" s="98">
        <v>45827</v>
      </c>
      <c r="B54" s="162">
        <v>3432</v>
      </c>
      <c r="C54" s="160">
        <v>0</v>
      </c>
      <c r="D54" s="169">
        <v>1250.9099999999999</v>
      </c>
      <c r="E54" s="160">
        <v>2435</v>
      </c>
      <c r="F54" s="160">
        <v>1173.8</v>
      </c>
      <c r="G54" s="160">
        <v>0</v>
      </c>
      <c r="H54" s="162">
        <v>6086</v>
      </c>
      <c r="I54" s="160">
        <v>1958.4</v>
      </c>
      <c r="J54" s="169">
        <v>2498.42</v>
      </c>
      <c r="K54" s="160">
        <v>2435</v>
      </c>
      <c r="L54" s="160">
        <v>8119</v>
      </c>
      <c r="M54" s="160">
        <v>1249.21</v>
      </c>
      <c r="N54" s="162">
        <v>0</v>
      </c>
      <c r="O54" s="160">
        <v>0</v>
      </c>
      <c r="P54" s="169">
        <v>0</v>
      </c>
      <c r="Q54" s="111"/>
    </row>
    <row r="55" spans="1:17" x14ac:dyDescent="0.25">
      <c r="A55" s="98">
        <v>45826</v>
      </c>
      <c r="B55" s="162">
        <v>1144</v>
      </c>
      <c r="C55" s="160">
        <v>1130.9000000000001</v>
      </c>
      <c r="D55" s="169">
        <v>0</v>
      </c>
      <c r="E55" s="160">
        <v>0</v>
      </c>
      <c r="F55" s="160">
        <v>1173.8</v>
      </c>
      <c r="G55" s="160">
        <v>0</v>
      </c>
      <c r="H55" s="162">
        <v>2435</v>
      </c>
      <c r="I55" s="160">
        <v>1958.4</v>
      </c>
      <c r="J55" s="169">
        <v>0</v>
      </c>
      <c r="K55" s="160">
        <v>1217</v>
      </c>
      <c r="L55" s="160">
        <v>4871.3999999999996</v>
      </c>
      <c r="M55" s="160">
        <v>0</v>
      </c>
      <c r="N55" s="162">
        <v>1217.3</v>
      </c>
      <c r="O55" s="160">
        <v>979.2</v>
      </c>
      <c r="P55" s="169">
        <v>0</v>
      </c>
      <c r="Q55" s="111"/>
    </row>
    <row r="56" spans="1:17" x14ac:dyDescent="0.25">
      <c r="A56" s="98">
        <v>45825</v>
      </c>
      <c r="B56" s="162">
        <v>0</v>
      </c>
      <c r="C56" s="160">
        <v>0</v>
      </c>
      <c r="D56" s="169">
        <v>0</v>
      </c>
      <c r="E56" s="160">
        <v>0</v>
      </c>
      <c r="F56" s="160">
        <v>1173.8</v>
      </c>
      <c r="G56" s="160">
        <v>0</v>
      </c>
      <c r="H56" s="162">
        <v>4869</v>
      </c>
      <c r="I56" s="160">
        <v>0</v>
      </c>
      <c r="J56" s="169">
        <v>0</v>
      </c>
      <c r="K56" s="160">
        <v>3652</v>
      </c>
      <c r="L56" s="160">
        <v>4871.3999999999996</v>
      </c>
      <c r="M56" s="160">
        <v>0</v>
      </c>
      <c r="N56" s="162">
        <v>1217.3</v>
      </c>
      <c r="O56" s="160">
        <v>0</v>
      </c>
      <c r="P56" s="169">
        <v>0</v>
      </c>
      <c r="Q56" s="111"/>
    </row>
    <row r="57" spans="1:17" x14ac:dyDescent="0.25">
      <c r="A57" s="98">
        <v>45824</v>
      </c>
      <c r="B57" s="162">
        <v>3432</v>
      </c>
      <c r="C57" s="160">
        <v>0</v>
      </c>
      <c r="D57" s="169">
        <v>0</v>
      </c>
      <c r="E57" s="160">
        <v>0</v>
      </c>
      <c r="F57" s="160">
        <v>0</v>
      </c>
      <c r="G57" s="160">
        <v>0</v>
      </c>
      <c r="H57" s="162">
        <v>2435</v>
      </c>
      <c r="I57" s="160">
        <v>0</v>
      </c>
      <c r="J57" s="169">
        <v>0</v>
      </c>
      <c r="K57" s="160">
        <v>0</v>
      </c>
      <c r="L57" s="160">
        <v>3247.6</v>
      </c>
      <c r="M57" s="160">
        <v>0</v>
      </c>
      <c r="N57" s="162">
        <v>0</v>
      </c>
      <c r="O57" s="160">
        <v>979.2</v>
      </c>
      <c r="P57" s="169">
        <v>0</v>
      </c>
      <c r="Q57" s="111"/>
    </row>
    <row r="58" spans="1:17" x14ac:dyDescent="0.25">
      <c r="A58" s="97" t="s">
        <v>176</v>
      </c>
      <c r="B58" s="162">
        <v>10296</v>
      </c>
      <c r="C58" s="160">
        <v>1130.9000000000001</v>
      </c>
      <c r="D58" s="169">
        <v>1250.9099999999999</v>
      </c>
      <c r="E58" s="160">
        <v>3652</v>
      </c>
      <c r="F58" s="160">
        <v>4695.2</v>
      </c>
      <c r="G58" s="160">
        <v>1249.2099999999998</v>
      </c>
      <c r="H58" s="162">
        <v>23129</v>
      </c>
      <c r="I58" s="160">
        <v>5875.2</v>
      </c>
      <c r="J58" s="169">
        <v>2498.42</v>
      </c>
      <c r="K58" s="160">
        <v>7304</v>
      </c>
      <c r="L58" s="160">
        <v>24357</v>
      </c>
      <c r="M58" s="160">
        <v>1249.21</v>
      </c>
      <c r="N58" s="162">
        <v>3651.9</v>
      </c>
      <c r="O58" s="160">
        <v>1958.4</v>
      </c>
      <c r="P58" s="169">
        <v>0</v>
      </c>
      <c r="Q58" s="111"/>
    </row>
    <row r="59" spans="1:17" x14ac:dyDescent="0.25">
      <c r="A59" s="97" t="s">
        <v>173</v>
      </c>
      <c r="B59" s="162"/>
      <c r="C59" s="160"/>
      <c r="D59" s="169"/>
      <c r="E59" s="160"/>
      <c r="F59" s="160"/>
      <c r="G59" s="160"/>
      <c r="H59" s="162"/>
      <c r="I59" s="160"/>
      <c r="J59" s="169"/>
      <c r="K59" s="160"/>
      <c r="L59" s="160"/>
      <c r="M59" s="160"/>
      <c r="N59" s="162"/>
      <c r="O59" s="160"/>
      <c r="P59" s="169"/>
      <c r="Q59" s="111"/>
    </row>
    <row r="60" spans="1:17" x14ac:dyDescent="0.25">
      <c r="A60" s="98">
        <v>45819</v>
      </c>
      <c r="B60" s="162">
        <v>1144</v>
      </c>
      <c r="C60" s="160">
        <v>0</v>
      </c>
      <c r="D60" s="169">
        <v>0</v>
      </c>
      <c r="E60" s="160">
        <v>0</v>
      </c>
      <c r="F60" s="160">
        <v>1173.8</v>
      </c>
      <c r="G60" s="160">
        <v>0</v>
      </c>
      <c r="H60" s="162">
        <v>0</v>
      </c>
      <c r="I60" s="160">
        <v>2937.6</v>
      </c>
      <c r="J60" s="169">
        <v>0</v>
      </c>
      <c r="K60" s="160">
        <v>0</v>
      </c>
      <c r="L60" s="160">
        <v>6495.2</v>
      </c>
      <c r="M60" s="160">
        <v>0</v>
      </c>
      <c r="N60" s="162">
        <v>1217.3</v>
      </c>
      <c r="O60" s="160">
        <v>0</v>
      </c>
      <c r="P60" s="169">
        <v>0</v>
      </c>
      <c r="Q60" s="111"/>
    </row>
    <row r="61" spans="1:17" x14ac:dyDescent="0.25">
      <c r="A61" s="98">
        <v>45818</v>
      </c>
      <c r="B61" s="162">
        <v>2288</v>
      </c>
      <c r="C61" s="160">
        <v>0</v>
      </c>
      <c r="D61" s="169">
        <v>0</v>
      </c>
      <c r="E61" s="160">
        <v>0</v>
      </c>
      <c r="F61" s="160">
        <v>0</v>
      </c>
      <c r="G61" s="160">
        <v>0</v>
      </c>
      <c r="H61" s="162">
        <v>3652</v>
      </c>
      <c r="I61" s="160">
        <v>2937.6</v>
      </c>
      <c r="J61" s="169">
        <v>0</v>
      </c>
      <c r="K61" s="160">
        <v>0</v>
      </c>
      <c r="L61" s="160">
        <v>7219</v>
      </c>
      <c r="M61" s="160">
        <v>0</v>
      </c>
      <c r="N61" s="162">
        <v>0</v>
      </c>
      <c r="O61" s="160">
        <v>2937.6</v>
      </c>
      <c r="P61" s="169">
        <v>0</v>
      </c>
      <c r="Q61" s="111"/>
    </row>
    <row r="62" spans="1:17" x14ac:dyDescent="0.25">
      <c r="A62" s="98">
        <v>45817</v>
      </c>
      <c r="B62" s="162">
        <v>3432</v>
      </c>
      <c r="C62" s="160">
        <v>0</v>
      </c>
      <c r="D62" s="169">
        <v>1250.9099999999999</v>
      </c>
      <c r="E62" s="160">
        <v>1217</v>
      </c>
      <c r="F62" s="160">
        <v>2347.6</v>
      </c>
      <c r="G62" s="160">
        <v>0</v>
      </c>
      <c r="H62" s="162">
        <v>4869</v>
      </c>
      <c r="I62" s="160">
        <v>4896</v>
      </c>
      <c r="J62" s="169">
        <v>1249.21</v>
      </c>
      <c r="K62" s="160">
        <v>0</v>
      </c>
      <c r="L62" s="160">
        <v>4695.2</v>
      </c>
      <c r="M62" s="160">
        <v>0</v>
      </c>
      <c r="N62" s="162">
        <v>0</v>
      </c>
      <c r="O62" s="160">
        <v>979.2</v>
      </c>
      <c r="P62" s="169">
        <v>0</v>
      </c>
      <c r="Q62" s="111"/>
    </row>
    <row r="63" spans="1:17" x14ac:dyDescent="0.25">
      <c r="A63" s="97" t="s">
        <v>174</v>
      </c>
      <c r="B63" s="162">
        <v>6864</v>
      </c>
      <c r="C63" s="160">
        <v>0</v>
      </c>
      <c r="D63" s="169">
        <v>1250.9099999999999</v>
      </c>
      <c r="E63" s="160">
        <v>1217</v>
      </c>
      <c r="F63" s="160">
        <v>3521.4</v>
      </c>
      <c r="G63" s="160">
        <v>0</v>
      </c>
      <c r="H63" s="162">
        <v>8521</v>
      </c>
      <c r="I63" s="160">
        <v>10771.2</v>
      </c>
      <c r="J63" s="169">
        <v>1249.21</v>
      </c>
      <c r="K63" s="160">
        <v>0</v>
      </c>
      <c r="L63" s="160">
        <v>18409.400000000001</v>
      </c>
      <c r="M63" s="160">
        <v>0</v>
      </c>
      <c r="N63" s="162">
        <v>1217.3</v>
      </c>
      <c r="O63" s="160">
        <v>3916.8</v>
      </c>
      <c r="P63" s="169">
        <v>0</v>
      </c>
      <c r="Q63" s="111"/>
    </row>
    <row r="64" spans="1:17" x14ac:dyDescent="0.25">
      <c r="A64" s="97" t="s">
        <v>168</v>
      </c>
      <c r="B64" s="162"/>
      <c r="C64" s="160"/>
      <c r="D64" s="169"/>
      <c r="E64" s="160"/>
      <c r="F64" s="160"/>
      <c r="G64" s="160"/>
      <c r="H64" s="162"/>
      <c r="I64" s="160"/>
      <c r="J64" s="169"/>
      <c r="K64" s="160"/>
      <c r="L64" s="160"/>
      <c r="M64" s="160"/>
      <c r="N64" s="162"/>
      <c r="O64" s="160"/>
      <c r="P64" s="169"/>
      <c r="Q64" s="111"/>
    </row>
    <row r="65" spans="1:17" x14ac:dyDescent="0.25">
      <c r="A65" s="98">
        <v>45814</v>
      </c>
      <c r="B65" s="162">
        <v>3432</v>
      </c>
      <c r="C65" s="160">
        <v>0</v>
      </c>
      <c r="D65" s="169">
        <v>0</v>
      </c>
      <c r="E65" s="160">
        <v>0</v>
      </c>
      <c r="F65" s="160">
        <v>2347.6</v>
      </c>
      <c r="G65" s="160">
        <v>0</v>
      </c>
      <c r="H65" s="162">
        <v>3652</v>
      </c>
      <c r="I65" s="160">
        <v>1958.4</v>
      </c>
      <c r="J65" s="169">
        <v>0</v>
      </c>
      <c r="K65" s="160">
        <v>3652</v>
      </c>
      <c r="L65" s="160">
        <v>2347.6</v>
      </c>
      <c r="M65" s="160">
        <v>0</v>
      </c>
      <c r="N65" s="162">
        <v>0</v>
      </c>
      <c r="O65" s="160">
        <v>0</v>
      </c>
      <c r="P65" s="169">
        <v>0</v>
      </c>
      <c r="Q65" s="111"/>
    </row>
    <row r="66" spans="1:17" x14ac:dyDescent="0.25">
      <c r="A66" s="98">
        <v>45813</v>
      </c>
      <c r="B66" s="162">
        <v>4576</v>
      </c>
      <c r="C66" s="160">
        <v>0</v>
      </c>
      <c r="D66" s="169">
        <v>0</v>
      </c>
      <c r="E66" s="160">
        <v>0</v>
      </c>
      <c r="F66" s="160">
        <v>0</v>
      </c>
      <c r="G66" s="160">
        <v>1249.2099999999998</v>
      </c>
      <c r="H66" s="162">
        <v>4869</v>
      </c>
      <c r="I66" s="160">
        <v>3916.8</v>
      </c>
      <c r="J66" s="169">
        <v>1249.21</v>
      </c>
      <c r="K66" s="160">
        <v>2435</v>
      </c>
      <c r="L66" s="160">
        <v>4695.2</v>
      </c>
      <c r="M66" s="160">
        <v>0</v>
      </c>
      <c r="N66" s="162">
        <v>1217.3</v>
      </c>
      <c r="O66" s="160">
        <v>0</v>
      </c>
      <c r="P66" s="169">
        <v>0</v>
      </c>
      <c r="Q66" s="111"/>
    </row>
    <row r="67" spans="1:17" x14ac:dyDescent="0.25">
      <c r="A67" s="98">
        <v>45812</v>
      </c>
      <c r="B67" s="162">
        <v>2288</v>
      </c>
      <c r="C67" s="160">
        <v>0</v>
      </c>
      <c r="D67" s="169">
        <v>1250.9099999999999</v>
      </c>
      <c r="E67" s="160">
        <v>2285</v>
      </c>
      <c r="F67" s="160">
        <v>2347.6</v>
      </c>
      <c r="G67" s="160">
        <v>0</v>
      </c>
      <c r="H67" s="162">
        <v>2435</v>
      </c>
      <c r="I67" s="160">
        <v>979.2</v>
      </c>
      <c r="J67" s="169">
        <v>1249.21</v>
      </c>
      <c r="K67" s="160">
        <v>0</v>
      </c>
      <c r="L67" s="160">
        <v>7042.8</v>
      </c>
      <c r="M67" s="160">
        <v>0</v>
      </c>
      <c r="N67" s="162">
        <v>0</v>
      </c>
      <c r="O67" s="160">
        <v>979.2</v>
      </c>
      <c r="P67" s="169">
        <v>0</v>
      </c>
      <c r="Q67" s="111"/>
    </row>
    <row r="68" spans="1:17" x14ac:dyDescent="0.25">
      <c r="A68" s="98">
        <v>45811</v>
      </c>
      <c r="B68" s="162">
        <v>5720</v>
      </c>
      <c r="C68" s="160">
        <v>1130.9000000000001</v>
      </c>
      <c r="D68" s="169">
        <v>0</v>
      </c>
      <c r="E68" s="160">
        <v>0</v>
      </c>
      <c r="F68" s="160">
        <v>1173.8</v>
      </c>
      <c r="G68" s="160">
        <v>0</v>
      </c>
      <c r="H68" s="162">
        <v>3652</v>
      </c>
      <c r="I68" s="160">
        <v>0</v>
      </c>
      <c r="J68" s="169">
        <v>0</v>
      </c>
      <c r="K68" s="160">
        <v>3652</v>
      </c>
      <c r="L68" s="160">
        <v>1173.8</v>
      </c>
      <c r="M68" s="160">
        <v>0</v>
      </c>
      <c r="N68" s="162">
        <v>0</v>
      </c>
      <c r="O68" s="160">
        <v>1129.2</v>
      </c>
      <c r="P68" s="169">
        <v>0</v>
      </c>
      <c r="Q68" s="111"/>
    </row>
    <row r="69" spans="1:17" x14ac:dyDescent="0.25">
      <c r="A69" s="98">
        <v>45810</v>
      </c>
      <c r="B69" s="162">
        <v>0</v>
      </c>
      <c r="C69" s="160">
        <v>0</v>
      </c>
      <c r="D69" s="169">
        <v>0</v>
      </c>
      <c r="E69" s="160">
        <v>0</v>
      </c>
      <c r="F69" s="160">
        <v>1173.8</v>
      </c>
      <c r="G69" s="160">
        <v>3747.6299999999997</v>
      </c>
      <c r="H69" s="162">
        <v>0</v>
      </c>
      <c r="I69" s="160">
        <v>1958.4</v>
      </c>
      <c r="J69" s="169">
        <v>0</v>
      </c>
      <c r="K69" s="160">
        <v>2435</v>
      </c>
      <c r="L69" s="160">
        <v>5869</v>
      </c>
      <c r="M69" s="160">
        <v>0</v>
      </c>
      <c r="N69" s="162">
        <v>0</v>
      </c>
      <c r="O69" s="160">
        <v>0</v>
      </c>
      <c r="P69" s="169">
        <v>0</v>
      </c>
      <c r="Q69" s="111"/>
    </row>
    <row r="70" spans="1:17" x14ac:dyDescent="0.25">
      <c r="A70" s="97" t="s">
        <v>169</v>
      </c>
      <c r="B70" s="162">
        <v>16016</v>
      </c>
      <c r="C70" s="160">
        <v>1130.9000000000001</v>
      </c>
      <c r="D70" s="169">
        <v>1250.9099999999999</v>
      </c>
      <c r="E70" s="160">
        <v>2285</v>
      </c>
      <c r="F70" s="160">
        <v>7042.8</v>
      </c>
      <c r="G70" s="160">
        <v>4996.8399999999992</v>
      </c>
      <c r="H70" s="162">
        <v>14608</v>
      </c>
      <c r="I70" s="160">
        <v>8812.7999999999993</v>
      </c>
      <c r="J70" s="169">
        <v>2498.42</v>
      </c>
      <c r="K70" s="160">
        <v>12174</v>
      </c>
      <c r="L70" s="160">
        <v>21128.400000000001</v>
      </c>
      <c r="M70" s="160">
        <v>0</v>
      </c>
      <c r="N70" s="162">
        <v>1217.3</v>
      </c>
      <c r="O70" s="160">
        <v>2108.4</v>
      </c>
      <c r="P70" s="169">
        <v>0</v>
      </c>
      <c r="Q70" s="111"/>
    </row>
    <row r="71" spans="1:17" x14ac:dyDescent="0.25">
      <c r="A71" s="97" t="s">
        <v>165</v>
      </c>
      <c r="B71" s="162"/>
      <c r="C71" s="160"/>
      <c r="D71" s="169"/>
      <c r="E71" s="160"/>
      <c r="F71" s="160"/>
      <c r="G71" s="160"/>
      <c r="H71" s="162"/>
      <c r="I71" s="160"/>
      <c r="J71" s="169"/>
      <c r="K71" s="160"/>
      <c r="L71" s="160"/>
      <c r="M71" s="160"/>
      <c r="N71" s="162"/>
      <c r="O71" s="160"/>
      <c r="P71" s="169"/>
      <c r="Q71" s="111"/>
    </row>
    <row r="72" spans="1:17" x14ac:dyDescent="0.25">
      <c r="A72" s="98">
        <v>45807</v>
      </c>
      <c r="B72" s="162">
        <v>0</v>
      </c>
      <c r="C72" s="160">
        <v>0</v>
      </c>
      <c r="D72" s="169">
        <v>0</v>
      </c>
      <c r="E72" s="160">
        <v>2435</v>
      </c>
      <c r="F72" s="160">
        <v>0</v>
      </c>
      <c r="G72" s="160">
        <v>0</v>
      </c>
      <c r="H72" s="162">
        <v>0</v>
      </c>
      <c r="I72" s="160">
        <v>979.2</v>
      </c>
      <c r="J72" s="169">
        <v>0</v>
      </c>
      <c r="K72" s="160">
        <v>0</v>
      </c>
      <c r="L72" s="160">
        <v>2347.6</v>
      </c>
      <c r="M72" s="160">
        <v>0</v>
      </c>
      <c r="N72" s="162">
        <v>0</v>
      </c>
      <c r="O72" s="160">
        <v>0</v>
      </c>
      <c r="P72" s="169">
        <v>0</v>
      </c>
      <c r="Q72" s="111"/>
    </row>
    <row r="73" spans="1:17" x14ac:dyDescent="0.25">
      <c r="A73" s="98">
        <v>45806</v>
      </c>
      <c r="B73" s="162">
        <v>1144</v>
      </c>
      <c r="C73" s="160">
        <v>0</v>
      </c>
      <c r="D73" s="169">
        <v>0</v>
      </c>
      <c r="E73" s="160">
        <v>1217</v>
      </c>
      <c r="F73" s="160">
        <v>1173.8</v>
      </c>
      <c r="G73" s="160">
        <v>0</v>
      </c>
      <c r="H73" s="162">
        <v>2435</v>
      </c>
      <c r="I73" s="160">
        <v>979.2</v>
      </c>
      <c r="J73" s="169">
        <v>1249.21</v>
      </c>
      <c r="K73" s="160">
        <v>1217</v>
      </c>
      <c r="L73" s="160">
        <v>2347.6</v>
      </c>
      <c r="M73" s="160">
        <v>0</v>
      </c>
      <c r="N73" s="162">
        <v>1217.3</v>
      </c>
      <c r="O73" s="160">
        <v>0</v>
      </c>
      <c r="P73" s="169">
        <v>0</v>
      </c>
    </row>
    <row r="74" spans="1:17" x14ac:dyDescent="0.25">
      <c r="A74" s="98">
        <v>45805</v>
      </c>
      <c r="B74" s="162">
        <v>3432</v>
      </c>
      <c r="C74" s="160">
        <v>0</v>
      </c>
      <c r="D74" s="169">
        <v>0</v>
      </c>
      <c r="E74" s="160">
        <v>1217</v>
      </c>
      <c r="F74" s="160">
        <v>2347.6</v>
      </c>
      <c r="G74" s="160">
        <v>1249.2099999999998</v>
      </c>
      <c r="H74" s="162">
        <v>1142</v>
      </c>
      <c r="I74" s="160">
        <v>979.2</v>
      </c>
      <c r="J74" s="169">
        <v>0</v>
      </c>
      <c r="K74" s="160">
        <v>2435</v>
      </c>
      <c r="L74" s="160">
        <v>4695.2</v>
      </c>
      <c r="M74" s="160">
        <v>1249.21</v>
      </c>
      <c r="N74" s="162">
        <v>0</v>
      </c>
      <c r="O74" s="160">
        <v>0</v>
      </c>
      <c r="P74" s="169">
        <v>0</v>
      </c>
    </row>
    <row r="75" spans="1:17" x14ac:dyDescent="0.25">
      <c r="A75" s="98">
        <v>45804</v>
      </c>
      <c r="B75" s="162">
        <v>1144</v>
      </c>
      <c r="C75" s="160">
        <v>0</v>
      </c>
      <c r="D75" s="169">
        <v>0</v>
      </c>
      <c r="E75" s="160">
        <v>0</v>
      </c>
      <c r="F75" s="160">
        <v>3521.4</v>
      </c>
      <c r="G75" s="160">
        <v>0</v>
      </c>
      <c r="H75" s="162">
        <v>4869</v>
      </c>
      <c r="I75" s="160">
        <v>979.2</v>
      </c>
      <c r="J75" s="169">
        <v>0</v>
      </c>
      <c r="K75" s="160">
        <v>2435</v>
      </c>
      <c r="L75" s="160">
        <v>3521.4</v>
      </c>
      <c r="M75" s="160">
        <v>0</v>
      </c>
      <c r="N75" s="162">
        <v>1217.3</v>
      </c>
      <c r="O75" s="160">
        <v>0</v>
      </c>
      <c r="P75" s="169">
        <v>0</v>
      </c>
    </row>
    <row r="76" spans="1:17" x14ac:dyDescent="0.25">
      <c r="A76" s="98">
        <v>45803</v>
      </c>
      <c r="B76" s="162">
        <v>2288</v>
      </c>
      <c r="C76" s="160">
        <v>4523.6000000000004</v>
      </c>
      <c r="D76" s="169">
        <v>0</v>
      </c>
      <c r="E76" s="160">
        <v>2435</v>
      </c>
      <c r="F76" s="160">
        <v>3521.4</v>
      </c>
      <c r="G76" s="160">
        <v>0</v>
      </c>
      <c r="H76" s="162">
        <v>3652</v>
      </c>
      <c r="I76" s="160">
        <v>0</v>
      </c>
      <c r="J76" s="169">
        <v>0</v>
      </c>
      <c r="K76" s="160">
        <v>3652</v>
      </c>
      <c r="L76" s="160">
        <v>2347.6</v>
      </c>
      <c r="M76" s="160">
        <v>0</v>
      </c>
      <c r="N76" s="162">
        <v>0</v>
      </c>
      <c r="O76" s="160">
        <v>0</v>
      </c>
      <c r="P76" s="169">
        <v>0</v>
      </c>
    </row>
    <row r="77" spans="1:17" x14ac:dyDescent="0.25">
      <c r="A77" s="97" t="s">
        <v>166</v>
      </c>
      <c r="B77" s="162">
        <v>8008</v>
      </c>
      <c r="C77" s="160">
        <v>4523.6000000000004</v>
      </c>
      <c r="D77" s="169">
        <v>0</v>
      </c>
      <c r="E77" s="160">
        <v>7304</v>
      </c>
      <c r="F77" s="160">
        <v>10564.2</v>
      </c>
      <c r="G77" s="160">
        <v>1249.2099999999998</v>
      </c>
      <c r="H77" s="162">
        <v>12098</v>
      </c>
      <c r="I77" s="160">
        <v>3916.8</v>
      </c>
      <c r="J77" s="169">
        <v>1249.21</v>
      </c>
      <c r="K77" s="160">
        <v>9739</v>
      </c>
      <c r="L77" s="160">
        <v>15259.4</v>
      </c>
      <c r="M77" s="160">
        <v>1249.21</v>
      </c>
      <c r="N77" s="162">
        <v>2434.6</v>
      </c>
      <c r="O77" s="160">
        <v>0</v>
      </c>
      <c r="P77" s="169">
        <v>0</v>
      </c>
    </row>
    <row r="78" spans="1:17" x14ac:dyDescent="0.25">
      <c r="A78" s="97" t="s">
        <v>162</v>
      </c>
      <c r="B78" s="162"/>
      <c r="C78" s="160"/>
      <c r="D78" s="169"/>
      <c r="E78" s="160"/>
      <c r="F78" s="160"/>
      <c r="G78" s="160"/>
      <c r="H78" s="162"/>
      <c r="I78" s="160"/>
      <c r="J78" s="169"/>
      <c r="K78" s="160"/>
      <c r="L78" s="160"/>
      <c r="M78" s="160"/>
      <c r="N78" s="162"/>
      <c r="O78" s="160"/>
      <c r="P78" s="169"/>
    </row>
    <row r="79" spans="1:17" x14ac:dyDescent="0.25">
      <c r="A79" s="98">
        <v>45800</v>
      </c>
      <c r="B79" s="162">
        <v>2288</v>
      </c>
      <c r="C79" s="160">
        <v>1130.9000000000001</v>
      </c>
      <c r="D79" s="169">
        <v>0</v>
      </c>
      <c r="E79" s="160">
        <v>0</v>
      </c>
      <c r="F79" s="160">
        <v>3521.4</v>
      </c>
      <c r="G79" s="160">
        <v>0</v>
      </c>
      <c r="H79" s="162">
        <v>0</v>
      </c>
      <c r="I79" s="160">
        <v>1958.4</v>
      </c>
      <c r="J79" s="169">
        <v>0</v>
      </c>
      <c r="K79" s="160">
        <v>1142</v>
      </c>
      <c r="L79" s="160">
        <v>4695.2</v>
      </c>
      <c r="M79" s="160">
        <v>0</v>
      </c>
      <c r="N79" s="162">
        <v>2434.6</v>
      </c>
      <c r="O79" s="160">
        <v>2258.4</v>
      </c>
      <c r="P79" s="169">
        <v>0</v>
      </c>
    </row>
    <row r="80" spans="1:17" x14ac:dyDescent="0.25">
      <c r="A80" s="98">
        <v>45799</v>
      </c>
      <c r="B80" s="162">
        <v>0</v>
      </c>
      <c r="C80" s="160">
        <v>0</v>
      </c>
      <c r="D80" s="169">
        <v>0</v>
      </c>
      <c r="E80" s="160">
        <v>0</v>
      </c>
      <c r="F80" s="160">
        <v>0</v>
      </c>
      <c r="G80" s="160">
        <v>0</v>
      </c>
      <c r="H80" s="162">
        <v>0</v>
      </c>
      <c r="I80" s="160">
        <v>0</v>
      </c>
      <c r="J80" s="169">
        <v>0</v>
      </c>
      <c r="K80" s="160">
        <v>2435</v>
      </c>
      <c r="L80" s="160">
        <v>4695.2</v>
      </c>
      <c r="M80" s="160">
        <v>0</v>
      </c>
      <c r="N80" s="162">
        <v>0</v>
      </c>
      <c r="O80" s="160">
        <v>0</v>
      </c>
      <c r="P80" s="169">
        <v>0</v>
      </c>
    </row>
    <row r="81" spans="1:16" x14ac:dyDescent="0.25">
      <c r="A81" s="98">
        <v>45798</v>
      </c>
      <c r="B81" s="162">
        <v>1144</v>
      </c>
      <c r="C81" s="160">
        <v>3392.7</v>
      </c>
      <c r="D81" s="169">
        <v>0</v>
      </c>
      <c r="E81" s="160">
        <v>0</v>
      </c>
      <c r="F81" s="160">
        <v>2347.6</v>
      </c>
      <c r="G81" s="160">
        <v>2498.4199999999996</v>
      </c>
      <c r="H81" s="162">
        <v>3652</v>
      </c>
      <c r="I81" s="160">
        <v>979.2</v>
      </c>
      <c r="J81" s="169">
        <v>0</v>
      </c>
      <c r="K81" s="160">
        <v>3652</v>
      </c>
      <c r="L81" s="160">
        <v>3521.4</v>
      </c>
      <c r="M81" s="160">
        <v>1249.21</v>
      </c>
      <c r="N81" s="162">
        <v>1217.3</v>
      </c>
      <c r="O81" s="160">
        <v>0</v>
      </c>
      <c r="P81" s="169">
        <v>0</v>
      </c>
    </row>
    <row r="82" spans="1:16" x14ac:dyDescent="0.25">
      <c r="A82" s="98">
        <v>45797</v>
      </c>
      <c r="B82" s="162">
        <v>1144</v>
      </c>
      <c r="C82" s="160">
        <v>1130.9000000000001</v>
      </c>
      <c r="D82" s="169">
        <v>0</v>
      </c>
      <c r="E82" s="160">
        <v>1217</v>
      </c>
      <c r="F82" s="160">
        <v>0</v>
      </c>
      <c r="G82" s="160">
        <v>0</v>
      </c>
      <c r="H82" s="162">
        <v>3652</v>
      </c>
      <c r="I82" s="160">
        <v>979.2</v>
      </c>
      <c r="J82" s="169">
        <v>0</v>
      </c>
      <c r="K82" s="160">
        <v>2435</v>
      </c>
      <c r="L82" s="160">
        <v>1173.8</v>
      </c>
      <c r="M82" s="160">
        <v>1249.21</v>
      </c>
      <c r="N82" s="162">
        <v>0</v>
      </c>
      <c r="O82" s="160">
        <v>1129.2</v>
      </c>
      <c r="P82" s="169">
        <v>0</v>
      </c>
    </row>
    <row r="83" spans="1:16" x14ac:dyDescent="0.25">
      <c r="A83" s="98">
        <v>45796</v>
      </c>
      <c r="B83" s="162">
        <v>0</v>
      </c>
      <c r="C83" s="160">
        <v>1130.9000000000001</v>
      </c>
      <c r="D83" s="169">
        <v>0</v>
      </c>
      <c r="E83" s="160">
        <v>0</v>
      </c>
      <c r="F83" s="160">
        <v>0</v>
      </c>
      <c r="G83" s="160">
        <v>0</v>
      </c>
      <c r="H83" s="162">
        <v>3652</v>
      </c>
      <c r="I83" s="160">
        <v>2937.6</v>
      </c>
      <c r="J83" s="169">
        <v>0</v>
      </c>
      <c r="K83" s="160">
        <v>2435</v>
      </c>
      <c r="L83" s="160">
        <v>2347.6</v>
      </c>
      <c r="M83" s="160">
        <v>0</v>
      </c>
      <c r="N83" s="162">
        <v>1217.3</v>
      </c>
      <c r="O83" s="160">
        <v>0</v>
      </c>
      <c r="P83" s="169">
        <v>0</v>
      </c>
    </row>
    <row r="84" spans="1:16" x14ac:dyDescent="0.25">
      <c r="A84" s="97" t="s">
        <v>163</v>
      </c>
      <c r="B84" s="162">
        <v>4576</v>
      </c>
      <c r="C84" s="160">
        <v>6785.4</v>
      </c>
      <c r="D84" s="169">
        <v>0</v>
      </c>
      <c r="E84" s="160">
        <v>1217</v>
      </c>
      <c r="F84" s="160">
        <v>5869</v>
      </c>
      <c r="G84" s="160">
        <v>2498.4199999999996</v>
      </c>
      <c r="H84" s="162">
        <v>10956</v>
      </c>
      <c r="I84" s="160">
        <v>6854.4</v>
      </c>
      <c r="J84" s="169">
        <v>0</v>
      </c>
      <c r="K84" s="160">
        <v>12099</v>
      </c>
      <c r="L84" s="160">
        <v>16433.2</v>
      </c>
      <c r="M84" s="160">
        <v>2498.42</v>
      </c>
      <c r="N84" s="162">
        <v>4869.2</v>
      </c>
      <c r="O84" s="160">
        <v>3387.6</v>
      </c>
      <c r="P84" s="169">
        <v>0</v>
      </c>
    </row>
    <row r="85" spans="1:16" x14ac:dyDescent="0.25">
      <c r="A85" s="97" t="s">
        <v>159</v>
      </c>
      <c r="B85" s="162"/>
      <c r="C85" s="160"/>
      <c r="D85" s="169"/>
      <c r="E85" s="160"/>
      <c r="F85" s="160"/>
      <c r="G85" s="160"/>
      <c r="H85" s="162"/>
      <c r="I85" s="160"/>
      <c r="J85" s="169"/>
      <c r="K85" s="160"/>
      <c r="L85" s="160"/>
      <c r="M85" s="160"/>
      <c r="N85" s="162"/>
      <c r="O85" s="160"/>
      <c r="P85" s="169"/>
    </row>
    <row r="86" spans="1:16" x14ac:dyDescent="0.25">
      <c r="A86" s="98">
        <v>45793</v>
      </c>
      <c r="B86" s="162">
        <v>2288</v>
      </c>
      <c r="C86" s="160">
        <v>2261.8000000000002</v>
      </c>
      <c r="D86" s="169">
        <v>0</v>
      </c>
      <c r="E86" s="160">
        <v>1217</v>
      </c>
      <c r="F86" s="160">
        <v>1173.8</v>
      </c>
      <c r="G86" s="160">
        <v>0</v>
      </c>
      <c r="H86" s="162">
        <v>1217</v>
      </c>
      <c r="I86" s="160">
        <v>0</v>
      </c>
      <c r="J86" s="169">
        <v>0</v>
      </c>
      <c r="K86" s="160">
        <v>0</v>
      </c>
      <c r="L86" s="160">
        <v>0</v>
      </c>
      <c r="M86" s="160">
        <v>0</v>
      </c>
      <c r="N86" s="162">
        <v>0</v>
      </c>
      <c r="O86" s="160">
        <v>1129.2</v>
      </c>
      <c r="P86" s="169">
        <v>0</v>
      </c>
    </row>
    <row r="87" spans="1:16" x14ac:dyDescent="0.25">
      <c r="A87" s="98">
        <v>45792</v>
      </c>
      <c r="B87" s="162">
        <v>0</v>
      </c>
      <c r="C87" s="160">
        <v>1130.9000000000001</v>
      </c>
      <c r="D87" s="169">
        <v>0</v>
      </c>
      <c r="E87" s="160">
        <v>0</v>
      </c>
      <c r="F87" s="160">
        <v>1958.4</v>
      </c>
      <c r="G87" s="160">
        <v>0</v>
      </c>
      <c r="H87" s="162">
        <v>6086</v>
      </c>
      <c r="I87" s="160">
        <v>0</v>
      </c>
      <c r="J87" s="169">
        <v>0</v>
      </c>
      <c r="K87" s="160">
        <v>2435</v>
      </c>
      <c r="L87" s="160">
        <v>1173.8</v>
      </c>
      <c r="M87" s="160">
        <v>0</v>
      </c>
      <c r="N87" s="162">
        <v>1217.3</v>
      </c>
      <c r="O87" s="160">
        <v>1129.2</v>
      </c>
      <c r="P87" s="169">
        <v>1249.21</v>
      </c>
    </row>
    <row r="88" spans="1:16" x14ac:dyDescent="0.25">
      <c r="A88" s="98">
        <v>45791</v>
      </c>
      <c r="B88" s="162">
        <v>0</v>
      </c>
      <c r="C88" s="160">
        <v>0</v>
      </c>
      <c r="D88" s="169">
        <v>0</v>
      </c>
      <c r="E88" s="160">
        <v>0</v>
      </c>
      <c r="F88" s="160">
        <v>979.2</v>
      </c>
      <c r="G88" s="160">
        <v>0</v>
      </c>
      <c r="H88" s="162">
        <v>7304</v>
      </c>
      <c r="I88" s="160">
        <v>979.2</v>
      </c>
      <c r="J88" s="169">
        <v>0</v>
      </c>
      <c r="K88" s="160">
        <v>1217</v>
      </c>
      <c r="L88" s="160">
        <v>4695.2</v>
      </c>
      <c r="M88" s="160">
        <v>0</v>
      </c>
      <c r="N88" s="162">
        <v>1217.3</v>
      </c>
      <c r="O88" s="160">
        <v>0</v>
      </c>
      <c r="P88" s="169">
        <v>0</v>
      </c>
    </row>
    <row r="89" spans="1:16" x14ac:dyDescent="0.25">
      <c r="A89" s="98">
        <v>45790</v>
      </c>
      <c r="B89" s="162">
        <v>0</v>
      </c>
      <c r="C89" s="160">
        <v>1130.9000000000001</v>
      </c>
      <c r="D89" s="169">
        <v>0</v>
      </c>
      <c r="E89" s="160">
        <v>1217</v>
      </c>
      <c r="F89" s="160">
        <v>2937.6</v>
      </c>
      <c r="G89" s="160">
        <v>0</v>
      </c>
      <c r="H89" s="162">
        <v>4869</v>
      </c>
      <c r="I89" s="160">
        <v>1958.4</v>
      </c>
      <c r="J89" s="169">
        <v>1249.21</v>
      </c>
      <c r="K89" s="160">
        <v>3652</v>
      </c>
      <c r="L89" s="160">
        <v>4695.2</v>
      </c>
      <c r="M89" s="160">
        <v>0</v>
      </c>
      <c r="N89" s="162">
        <v>1217.3</v>
      </c>
      <c r="O89" s="160">
        <v>0</v>
      </c>
      <c r="P89" s="169">
        <v>0</v>
      </c>
    </row>
    <row r="90" spans="1:16" x14ac:dyDescent="0.25">
      <c r="A90" s="98">
        <v>45789</v>
      </c>
      <c r="B90" s="162">
        <v>1144</v>
      </c>
      <c r="C90" s="160">
        <v>1130.9000000000001</v>
      </c>
      <c r="D90" s="169">
        <v>1250.9099999999999</v>
      </c>
      <c r="E90" s="160">
        <v>0</v>
      </c>
      <c r="F90" s="160">
        <v>0</v>
      </c>
      <c r="G90" s="160">
        <v>0</v>
      </c>
      <c r="H90" s="162">
        <v>1217</v>
      </c>
      <c r="I90" s="160">
        <v>2937.6</v>
      </c>
      <c r="J90" s="169">
        <v>0</v>
      </c>
      <c r="K90" s="160">
        <v>1217</v>
      </c>
      <c r="L90" s="160">
        <v>8972.6</v>
      </c>
      <c r="M90" s="160">
        <v>1249.21</v>
      </c>
      <c r="N90" s="162">
        <v>1217.3</v>
      </c>
      <c r="O90" s="160">
        <v>0</v>
      </c>
      <c r="P90" s="169">
        <v>0</v>
      </c>
    </row>
    <row r="91" spans="1:16" x14ac:dyDescent="0.25">
      <c r="A91" s="97" t="s">
        <v>160</v>
      </c>
      <c r="B91" s="162">
        <v>3432</v>
      </c>
      <c r="C91" s="160">
        <v>5654.5</v>
      </c>
      <c r="D91" s="169">
        <v>1250.9099999999999</v>
      </c>
      <c r="E91" s="160">
        <v>2434</v>
      </c>
      <c r="F91" s="160">
        <v>7049</v>
      </c>
      <c r="G91" s="160">
        <v>0</v>
      </c>
      <c r="H91" s="162">
        <v>20693</v>
      </c>
      <c r="I91" s="160">
        <v>5875.2</v>
      </c>
      <c r="J91" s="169">
        <v>1249.21</v>
      </c>
      <c r="K91" s="160">
        <v>8521</v>
      </c>
      <c r="L91" s="160">
        <v>19536.8</v>
      </c>
      <c r="M91" s="160">
        <v>1249.21</v>
      </c>
      <c r="N91" s="162">
        <v>4869.2</v>
      </c>
      <c r="O91" s="160">
        <v>2258.4</v>
      </c>
      <c r="P91" s="169">
        <v>1249.21</v>
      </c>
    </row>
    <row r="92" spans="1:16" x14ac:dyDescent="0.25">
      <c r="A92" s="97" t="s">
        <v>157</v>
      </c>
      <c r="B92" s="162"/>
      <c r="C92" s="160"/>
      <c r="D92" s="169"/>
      <c r="E92" s="160"/>
      <c r="F92" s="160"/>
      <c r="G92" s="160"/>
      <c r="H92" s="162"/>
      <c r="I92" s="160"/>
      <c r="J92" s="169"/>
      <c r="K92" s="160"/>
      <c r="L92" s="160"/>
      <c r="M92" s="160"/>
      <c r="N92" s="162"/>
      <c r="O92" s="160"/>
      <c r="P92" s="169"/>
    </row>
    <row r="93" spans="1:16" x14ac:dyDescent="0.25">
      <c r="A93" s="98">
        <v>45784</v>
      </c>
      <c r="B93" s="162">
        <v>1144</v>
      </c>
      <c r="C93" s="160">
        <v>1130.9000000000001</v>
      </c>
      <c r="D93" s="169">
        <v>0</v>
      </c>
      <c r="E93" s="160">
        <v>0</v>
      </c>
      <c r="F93" s="160">
        <v>0</v>
      </c>
      <c r="G93" s="160">
        <v>0</v>
      </c>
      <c r="H93" s="162">
        <v>3652</v>
      </c>
      <c r="I93" s="160">
        <v>1958.4</v>
      </c>
      <c r="J93" s="169">
        <v>0</v>
      </c>
      <c r="K93" s="160">
        <v>0</v>
      </c>
      <c r="L93" s="160">
        <v>3971.4</v>
      </c>
      <c r="M93" s="160">
        <v>0</v>
      </c>
      <c r="N93" s="162">
        <v>0</v>
      </c>
      <c r="O93" s="160">
        <v>0</v>
      </c>
      <c r="P93" s="169">
        <v>0</v>
      </c>
    </row>
    <row r="94" spans="1:16" x14ac:dyDescent="0.25">
      <c r="A94" s="98">
        <v>45783</v>
      </c>
      <c r="B94" s="162">
        <v>0</v>
      </c>
      <c r="C94" s="160">
        <v>1130.9000000000001</v>
      </c>
      <c r="D94" s="169">
        <v>1250.9099999999999</v>
      </c>
      <c r="E94" s="160">
        <v>1217</v>
      </c>
      <c r="F94" s="160">
        <v>979.2</v>
      </c>
      <c r="G94" s="160">
        <v>1249.2099999999998</v>
      </c>
      <c r="H94" s="162">
        <v>3652</v>
      </c>
      <c r="I94" s="160">
        <v>2937.6</v>
      </c>
      <c r="J94" s="169">
        <v>0</v>
      </c>
      <c r="K94" s="160">
        <v>1217</v>
      </c>
      <c r="L94" s="160">
        <v>2647.6</v>
      </c>
      <c r="M94" s="160">
        <v>2498.42</v>
      </c>
      <c r="N94" s="162">
        <v>1217.3</v>
      </c>
      <c r="O94" s="160">
        <v>0</v>
      </c>
      <c r="P94" s="169">
        <v>0</v>
      </c>
    </row>
    <row r="95" spans="1:16" x14ac:dyDescent="0.25">
      <c r="A95" s="98">
        <v>45782</v>
      </c>
      <c r="B95" s="162">
        <v>1144</v>
      </c>
      <c r="C95" s="160">
        <v>4523.6000000000004</v>
      </c>
      <c r="D95" s="169">
        <v>2501.8199999999997</v>
      </c>
      <c r="E95" s="160">
        <v>1217</v>
      </c>
      <c r="F95" s="160">
        <v>0</v>
      </c>
      <c r="G95" s="160">
        <v>1249.2099999999998</v>
      </c>
      <c r="H95" s="162">
        <v>2435</v>
      </c>
      <c r="I95" s="160">
        <v>0</v>
      </c>
      <c r="J95" s="169">
        <v>0</v>
      </c>
      <c r="K95" s="160">
        <v>0</v>
      </c>
      <c r="L95" s="160">
        <v>4516.8</v>
      </c>
      <c r="M95" s="160">
        <v>0</v>
      </c>
      <c r="N95" s="162">
        <v>0</v>
      </c>
      <c r="O95" s="160">
        <v>0</v>
      </c>
      <c r="P95" s="169">
        <v>0</v>
      </c>
    </row>
    <row r="96" spans="1:16" x14ac:dyDescent="0.25">
      <c r="A96" s="97" t="s">
        <v>158</v>
      </c>
      <c r="B96" s="162">
        <v>2288</v>
      </c>
      <c r="C96" s="160">
        <v>6785.4</v>
      </c>
      <c r="D96" s="169">
        <v>3752.7299999999996</v>
      </c>
      <c r="E96" s="160">
        <v>2434</v>
      </c>
      <c r="F96" s="160">
        <v>979.2</v>
      </c>
      <c r="G96" s="160">
        <v>2498.4199999999996</v>
      </c>
      <c r="H96" s="162">
        <v>9739</v>
      </c>
      <c r="I96" s="160">
        <v>4896</v>
      </c>
      <c r="J96" s="169">
        <v>0</v>
      </c>
      <c r="K96" s="160">
        <v>1217</v>
      </c>
      <c r="L96" s="160">
        <v>11135.8</v>
      </c>
      <c r="M96" s="160">
        <v>2498.42</v>
      </c>
      <c r="N96" s="162">
        <v>1217.3</v>
      </c>
      <c r="O96" s="160">
        <v>0</v>
      </c>
      <c r="P96" s="169">
        <v>0</v>
      </c>
    </row>
    <row r="97" spans="1:16" x14ac:dyDescent="0.25">
      <c r="A97" s="97" t="s">
        <v>155</v>
      </c>
      <c r="B97" s="162"/>
      <c r="C97" s="160"/>
      <c r="D97" s="169"/>
      <c r="E97" s="160"/>
      <c r="F97" s="160"/>
      <c r="G97" s="160"/>
      <c r="H97" s="162"/>
      <c r="I97" s="160"/>
      <c r="J97" s="169"/>
      <c r="K97" s="160"/>
      <c r="L97" s="160"/>
      <c r="M97" s="160"/>
      <c r="N97" s="162"/>
      <c r="O97" s="160"/>
      <c r="P97" s="169"/>
    </row>
    <row r="98" spans="1:16" x14ac:dyDescent="0.25">
      <c r="A98" s="98">
        <v>45777</v>
      </c>
      <c r="B98" s="162">
        <v>1144</v>
      </c>
      <c r="C98" s="160">
        <v>0</v>
      </c>
      <c r="D98" s="169">
        <v>0</v>
      </c>
      <c r="E98" s="160">
        <v>1217</v>
      </c>
      <c r="F98" s="160">
        <v>2108.4</v>
      </c>
      <c r="G98" s="160">
        <v>1249.2099999999998</v>
      </c>
      <c r="H98" s="162">
        <v>2435</v>
      </c>
      <c r="I98" s="160">
        <v>0</v>
      </c>
      <c r="J98" s="169">
        <v>0</v>
      </c>
      <c r="K98" s="160">
        <v>2435</v>
      </c>
      <c r="L98" s="160">
        <v>4516.8</v>
      </c>
      <c r="M98" s="160">
        <v>0</v>
      </c>
      <c r="N98" s="162">
        <v>1217.3</v>
      </c>
      <c r="O98" s="160">
        <v>2258.4</v>
      </c>
      <c r="P98" s="169">
        <v>0</v>
      </c>
    </row>
    <row r="99" spans="1:16" x14ac:dyDescent="0.25">
      <c r="A99" s="98">
        <v>45776</v>
      </c>
      <c r="B99" s="162">
        <v>1144</v>
      </c>
      <c r="C99" s="160">
        <v>0</v>
      </c>
      <c r="D99" s="169">
        <v>2501.8199999999997</v>
      </c>
      <c r="E99" s="160">
        <v>2435</v>
      </c>
      <c r="F99" s="160">
        <v>0</v>
      </c>
      <c r="G99" s="160">
        <v>1249.2099999999998</v>
      </c>
      <c r="H99" s="162">
        <v>6086</v>
      </c>
      <c r="I99" s="160">
        <v>1129.2</v>
      </c>
      <c r="J99" s="169">
        <v>0</v>
      </c>
      <c r="K99" s="160">
        <v>2435</v>
      </c>
      <c r="L99" s="160">
        <v>4516.8</v>
      </c>
      <c r="M99" s="160">
        <v>2498.42</v>
      </c>
      <c r="N99" s="162">
        <v>2434.6</v>
      </c>
      <c r="O99" s="160">
        <v>0</v>
      </c>
      <c r="P99" s="169">
        <v>0</v>
      </c>
    </row>
    <row r="100" spans="1:16" x14ac:dyDescent="0.25">
      <c r="A100" s="98">
        <v>45775</v>
      </c>
      <c r="B100" s="162">
        <v>2288</v>
      </c>
      <c r="C100" s="160">
        <v>2261.8000000000002</v>
      </c>
      <c r="D100" s="169">
        <v>0</v>
      </c>
      <c r="E100" s="160">
        <v>0</v>
      </c>
      <c r="F100" s="160">
        <v>2258.4</v>
      </c>
      <c r="G100" s="160">
        <v>0</v>
      </c>
      <c r="H100" s="162">
        <v>1217</v>
      </c>
      <c r="I100" s="160">
        <v>5646</v>
      </c>
      <c r="J100" s="169">
        <v>1249.21</v>
      </c>
      <c r="K100" s="160">
        <v>3652</v>
      </c>
      <c r="L100" s="160">
        <v>1129.2</v>
      </c>
      <c r="M100" s="160">
        <v>0</v>
      </c>
      <c r="N100" s="162">
        <v>2434.6</v>
      </c>
      <c r="O100" s="160">
        <v>1129.2</v>
      </c>
      <c r="P100" s="169">
        <v>0</v>
      </c>
    </row>
    <row r="101" spans="1:16" x14ac:dyDescent="0.25">
      <c r="A101" s="97" t="s">
        <v>156</v>
      </c>
      <c r="B101" s="162">
        <v>4576</v>
      </c>
      <c r="C101" s="160">
        <v>2261.8000000000002</v>
      </c>
      <c r="D101" s="169">
        <v>2501.8199999999997</v>
      </c>
      <c r="E101" s="160">
        <v>3652</v>
      </c>
      <c r="F101" s="160">
        <v>4366.8</v>
      </c>
      <c r="G101" s="160">
        <v>2498.4199999999996</v>
      </c>
      <c r="H101" s="162">
        <v>9738</v>
      </c>
      <c r="I101" s="160">
        <v>6775.2</v>
      </c>
      <c r="J101" s="169">
        <v>1249.21</v>
      </c>
      <c r="K101" s="160">
        <v>8522</v>
      </c>
      <c r="L101" s="160">
        <v>10162.799999999999</v>
      </c>
      <c r="M101" s="160">
        <v>2498.42</v>
      </c>
      <c r="N101" s="162">
        <v>6086.5</v>
      </c>
      <c r="O101" s="160">
        <v>3387.6</v>
      </c>
      <c r="P101" s="169">
        <v>0</v>
      </c>
    </row>
    <row r="102" spans="1:16" x14ac:dyDescent="0.25">
      <c r="A102" s="97" t="s">
        <v>153</v>
      </c>
      <c r="B102" s="162"/>
      <c r="C102" s="160"/>
      <c r="D102" s="169"/>
      <c r="E102" s="160"/>
      <c r="F102" s="160"/>
      <c r="G102" s="160"/>
      <c r="H102" s="162"/>
      <c r="I102" s="160"/>
      <c r="J102" s="169"/>
      <c r="K102" s="160"/>
      <c r="L102" s="160"/>
      <c r="M102" s="160"/>
      <c r="N102" s="162"/>
      <c r="O102" s="160"/>
      <c r="P102" s="169"/>
    </row>
    <row r="103" spans="1:16" x14ac:dyDescent="0.25">
      <c r="A103" s="98">
        <v>45772</v>
      </c>
      <c r="B103" s="162">
        <v>1144</v>
      </c>
      <c r="C103" s="160">
        <v>0</v>
      </c>
      <c r="D103" s="169">
        <v>0</v>
      </c>
      <c r="E103" s="160">
        <v>2435</v>
      </c>
      <c r="F103" s="160">
        <v>1129.2</v>
      </c>
      <c r="G103" s="160">
        <v>1249.2099999999998</v>
      </c>
      <c r="H103" s="162">
        <v>4869</v>
      </c>
      <c r="I103" s="160">
        <v>4516.8</v>
      </c>
      <c r="J103" s="169">
        <v>1249.21</v>
      </c>
      <c r="K103" s="160">
        <v>1217</v>
      </c>
      <c r="L103" s="160">
        <v>6775.2</v>
      </c>
      <c r="M103" s="160">
        <v>3747.63</v>
      </c>
      <c r="N103" s="162">
        <v>3651.9</v>
      </c>
      <c r="O103" s="160">
        <v>1129.2</v>
      </c>
      <c r="P103" s="169">
        <v>0</v>
      </c>
    </row>
    <row r="104" spans="1:16" x14ac:dyDescent="0.25">
      <c r="A104" s="98">
        <v>45771</v>
      </c>
      <c r="B104" s="162">
        <v>1144</v>
      </c>
      <c r="C104" s="160">
        <v>1130.9000000000001</v>
      </c>
      <c r="D104" s="169">
        <v>0</v>
      </c>
      <c r="E104" s="160">
        <v>6086</v>
      </c>
      <c r="F104" s="160">
        <v>0</v>
      </c>
      <c r="G104" s="160">
        <v>0</v>
      </c>
      <c r="H104" s="162">
        <v>7304</v>
      </c>
      <c r="I104" s="160">
        <v>4516.8</v>
      </c>
      <c r="J104" s="169">
        <v>0</v>
      </c>
      <c r="K104" s="160">
        <v>1217</v>
      </c>
      <c r="L104" s="160">
        <v>2258.4</v>
      </c>
      <c r="M104" s="160">
        <v>1249.21</v>
      </c>
      <c r="N104" s="162">
        <v>0</v>
      </c>
      <c r="O104" s="160">
        <v>0</v>
      </c>
      <c r="P104" s="169">
        <v>0</v>
      </c>
    </row>
    <row r="105" spans="1:16" x14ac:dyDescent="0.25">
      <c r="A105" s="98">
        <v>45770</v>
      </c>
      <c r="B105" s="162">
        <v>2288</v>
      </c>
      <c r="C105" s="160">
        <v>0</v>
      </c>
      <c r="D105" s="169">
        <v>0</v>
      </c>
      <c r="E105" s="160">
        <v>6086</v>
      </c>
      <c r="F105" s="160">
        <v>2258.4</v>
      </c>
      <c r="G105" s="160">
        <v>0</v>
      </c>
      <c r="H105" s="162">
        <v>6086</v>
      </c>
      <c r="I105" s="160">
        <v>2258.4</v>
      </c>
      <c r="J105" s="169">
        <v>0</v>
      </c>
      <c r="K105" s="160">
        <v>0</v>
      </c>
      <c r="L105" s="160">
        <v>5646</v>
      </c>
      <c r="M105" s="160">
        <v>1249.21</v>
      </c>
      <c r="N105" s="162">
        <v>0</v>
      </c>
      <c r="O105" s="160">
        <v>0</v>
      </c>
      <c r="P105" s="169">
        <v>0</v>
      </c>
    </row>
    <row r="106" spans="1:16" x14ac:dyDescent="0.25">
      <c r="A106" s="98">
        <v>45769</v>
      </c>
      <c r="B106" s="162">
        <v>4576</v>
      </c>
      <c r="C106" s="160">
        <v>1130.9000000000001</v>
      </c>
      <c r="D106" s="169">
        <v>0</v>
      </c>
      <c r="E106" s="160">
        <v>2435</v>
      </c>
      <c r="F106" s="160">
        <v>2258.4</v>
      </c>
      <c r="G106" s="160">
        <v>3747.6299999999997</v>
      </c>
      <c r="H106" s="162">
        <v>3652</v>
      </c>
      <c r="I106" s="160">
        <v>2258.4</v>
      </c>
      <c r="J106" s="169">
        <v>1249.21</v>
      </c>
      <c r="K106" s="160">
        <v>2435</v>
      </c>
      <c r="L106" s="160">
        <v>4516.8</v>
      </c>
      <c r="M106" s="160">
        <v>0</v>
      </c>
      <c r="N106" s="162">
        <v>1217.3</v>
      </c>
      <c r="O106" s="160">
        <v>979.2</v>
      </c>
      <c r="P106" s="169">
        <v>0</v>
      </c>
    </row>
    <row r="107" spans="1:16" x14ac:dyDescent="0.25">
      <c r="A107" s="98">
        <v>45768</v>
      </c>
      <c r="B107" s="162">
        <v>3432</v>
      </c>
      <c r="C107" s="160">
        <v>0</v>
      </c>
      <c r="D107" s="169">
        <v>0</v>
      </c>
      <c r="E107" s="160">
        <v>1217</v>
      </c>
      <c r="F107" s="160">
        <v>1129.2</v>
      </c>
      <c r="G107" s="160">
        <v>0</v>
      </c>
      <c r="H107" s="162">
        <v>3652</v>
      </c>
      <c r="I107" s="160">
        <v>1129.2</v>
      </c>
      <c r="J107" s="169">
        <v>0</v>
      </c>
      <c r="K107" s="160">
        <v>2435</v>
      </c>
      <c r="L107" s="160">
        <v>3387.6</v>
      </c>
      <c r="M107" s="160">
        <v>2498.42</v>
      </c>
      <c r="N107" s="162">
        <v>2434.6</v>
      </c>
      <c r="O107" s="160">
        <v>0</v>
      </c>
      <c r="P107" s="169">
        <v>0</v>
      </c>
    </row>
    <row r="108" spans="1:16" x14ac:dyDescent="0.25">
      <c r="A108" s="97" t="s">
        <v>154</v>
      </c>
      <c r="B108" s="162">
        <v>12584</v>
      </c>
      <c r="C108" s="160">
        <v>2261.8000000000002</v>
      </c>
      <c r="D108" s="169">
        <v>0</v>
      </c>
      <c r="E108" s="160">
        <v>18259</v>
      </c>
      <c r="F108" s="160">
        <v>6775.2</v>
      </c>
      <c r="G108" s="160">
        <v>4996.8399999999992</v>
      </c>
      <c r="H108" s="162">
        <v>25563</v>
      </c>
      <c r="I108" s="160">
        <v>14679.6</v>
      </c>
      <c r="J108" s="169">
        <v>2498.42</v>
      </c>
      <c r="K108" s="160">
        <v>7304</v>
      </c>
      <c r="L108" s="160">
        <v>22584</v>
      </c>
      <c r="M108" s="160">
        <v>8744.4700000000012</v>
      </c>
      <c r="N108" s="162">
        <v>7303.8</v>
      </c>
      <c r="O108" s="160">
        <v>2108.4</v>
      </c>
      <c r="P108" s="169">
        <v>0</v>
      </c>
    </row>
    <row r="109" spans="1:16" x14ac:dyDescent="0.25">
      <c r="A109" s="97" t="s">
        <v>149</v>
      </c>
      <c r="B109" s="162"/>
      <c r="C109" s="160"/>
      <c r="D109" s="169"/>
      <c r="E109" s="160"/>
      <c r="F109" s="160"/>
      <c r="G109" s="160"/>
      <c r="H109" s="162"/>
      <c r="I109" s="160"/>
      <c r="J109" s="169"/>
      <c r="K109" s="160"/>
      <c r="L109" s="160"/>
      <c r="M109" s="160"/>
      <c r="N109" s="162"/>
      <c r="O109" s="160"/>
      <c r="P109" s="169"/>
    </row>
    <row r="110" spans="1:16" x14ac:dyDescent="0.25">
      <c r="A110" s="98">
        <v>45765</v>
      </c>
      <c r="B110" s="162">
        <v>0</v>
      </c>
      <c r="C110" s="160">
        <v>0</v>
      </c>
      <c r="D110" s="169">
        <v>0</v>
      </c>
      <c r="E110" s="160">
        <v>0</v>
      </c>
      <c r="F110" s="160">
        <v>1129.2</v>
      </c>
      <c r="G110" s="160">
        <v>0</v>
      </c>
      <c r="H110" s="162">
        <v>4869</v>
      </c>
      <c r="I110" s="160">
        <v>3387.6</v>
      </c>
      <c r="J110" s="169">
        <v>0</v>
      </c>
      <c r="K110" s="160">
        <v>1217</v>
      </c>
      <c r="L110" s="160">
        <v>4516.8</v>
      </c>
      <c r="M110" s="160">
        <v>1249.21</v>
      </c>
      <c r="N110" s="162">
        <v>3651.9</v>
      </c>
      <c r="O110" s="160">
        <v>0</v>
      </c>
      <c r="P110" s="169">
        <v>0</v>
      </c>
    </row>
    <row r="111" spans="1:16" x14ac:dyDescent="0.25">
      <c r="A111" s="98">
        <v>45764</v>
      </c>
      <c r="B111" s="162">
        <v>1144</v>
      </c>
      <c r="C111" s="160">
        <v>0</v>
      </c>
      <c r="D111" s="169">
        <v>1250.9099999999999</v>
      </c>
      <c r="E111" s="160">
        <v>1217</v>
      </c>
      <c r="F111" s="160">
        <v>0</v>
      </c>
      <c r="G111" s="160">
        <v>0</v>
      </c>
      <c r="H111" s="162">
        <v>1217</v>
      </c>
      <c r="I111" s="160">
        <v>2258.4</v>
      </c>
      <c r="J111" s="169">
        <v>1249.21</v>
      </c>
      <c r="K111" s="160">
        <v>1217</v>
      </c>
      <c r="L111" s="160">
        <v>7904.4</v>
      </c>
      <c r="M111" s="160">
        <v>0</v>
      </c>
      <c r="N111" s="162">
        <v>0</v>
      </c>
      <c r="O111" s="160">
        <v>0</v>
      </c>
      <c r="P111" s="169">
        <v>0</v>
      </c>
    </row>
    <row r="112" spans="1:16" x14ac:dyDescent="0.25">
      <c r="A112" s="98">
        <v>45763</v>
      </c>
      <c r="B112" s="162">
        <v>0</v>
      </c>
      <c r="C112" s="160">
        <v>0</v>
      </c>
      <c r="D112" s="169">
        <v>0</v>
      </c>
      <c r="E112" s="160">
        <v>1217</v>
      </c>
      <c r="F112" s="160">
        <v>2937.6</v>
      </c>
      <c r="G112" s="160">
        <v>1249.2099999999998</v>
      </c>
      <c r="H112" s="162">
        <v>3652</v>
      </c>
      <c r="I112" s="160">
        <v>3916.8</v>
      </c>
      <c r="J112" s="169">
        <v>1249.21</v>
      </c>
      <c r="K112" s="160">
        <v>1217</v>
      </c>
      <c r="L112" s="160">
        <v>2258.4</v>
      </c>
      <c r="M112" s="160">
        <v>1249.21</v>
      </c>
      <c r="N112" s="162">
        <v>2434.6</v>
      </c>
      <c r="O112" s="160">
        <v>0</v>
      </c>
      <c r="P112" s="169">
        <v>0</v>
      </c>
    </row>
    <row r="113" spans="1:16" x14ac:dyDescent="0.25">
      <c r="A113" s="98">
        <v>45762</v>
      </c>
      <c r="B113" s="162">
        <v>0</v>
      </c>
      <c r="C113" s="160">
        <v>0</v>
      </c>
      <c r="D113" s="169">
        <v>0</v>
      </c>
      <c r="E113" s="160">
        <v>2435</v>
      </c>
      <c r="F113" s="160">
        <v>979.2</v>
      </c>
      <c r="G113" s="160">
        <v>0</v>
      </c>
      <c r="H113" s="162">
        <v>3652</v>
      </c>
      <c r="I113" s="160">
        <v>3916.8</v>
      </c>
      <c r="J113" s="169">
        <v>0</v>
      </c>
      <c r="K113" s="160">
        <v>2435</v>
      </c>
      <c r="L113" s="160">
        <v>3387.6</v>
      </c>
      <c r="M113" s="160">
        <v>0</v>
      </c>
      <c r="N113" s="162">
        <v>2434.6</v>
      </c>
      <c r="O113" s="160">
        <v>0</v>
      </c>
      <c r="P113" s="169">
        <v>1249.21</v>
      </c>
    </row>
    <row r="114" spans="1:16" x14ac:dyDescent="0.25">
      <c r="A114" s="98">
        <v>45761</v>
      </c>
      <c r="B114" s="162">
        <v>3432</v>
      </c>
      <c r="C114" s="160">
        <v>1130.9000000000001</v>
      </c>
      <c r="D114" s="169">
        <v>2501.8199999999997</v>
      </c>
      <c r="E114" s="160">
        <v>6086</v>
      </c>
      <c r="F114" s="160">
        <v>5875.2</v>
      </c>
      <c r="G114" s="160">
        <v>1249.2099999999998</v>
      </c>
      <c r="H114" s="162">
        <v>1217</v>
      </c>
      <c r="I114" s="160">
        <v>2937.6</v>
      </c>
      <c r="J114" s="169">
        <v>0</v>
      </c>
      <c r="K114" s="160">
        <v>3652</v>
      </c>
      <c r="L114" s="160">
        <v>10771.2</v>
      </c>
      <c r="M114" s="160">
        <v>0</v>
      </c>
      <c r="N114" s="162">
        <v>1217.3</v>
      </c>
      <c r="O114" s="160">
        <v>0</v>
      </c>
      <c r="P114" s="169">
        <v>0</v>
      </c>
    </row>
    <row r="115" spans="1:16" x14ac:dyDescent="0.25">
      <c r="A115" s="97" t="s">
        <v>150</v>
      </c>
      <c r="B115" s="162">
        <v>4576</v>
      </c>
      <c r="C115" s="160">
        <v>1130.9000000000001</v>
      </c>
      <c r="D115" s="169">
        <v>3752.7299999999996</v>
      </c>
      <c r="E115" s="160">
        <v>10955</v>
      </c>
      <c r="F115" s="160">
        <v>10921.2</v>
      </c>
      <c r="G115" s="160">
        <v>2498.4199999999996</v>
      </c>
      <c r="H115" s="162">
        <v>14607</v>
      </c>
      <c r="I115" s="160">
        <v>16417.2</v>
      </c>
      <c r="J115" s="169">
        <v>2498.42</v>
      </c>
      <c r="K115" s="160">
        <v>9738</v>
      </c>
      <c r="L115" s="160">
        <v>28838.400000000001</v>
      </c>
      <c r="M115" s="160">
        <v>2498.42</v>
      </c>
      <c r="N115" s="162">
        <v>9738.4</v>
      </c>
      <c r="O115" s="160">
        <v>0</v>
      </c>
      <c r="P115" s="169">
        <v>1249.21</v>
      </c>
    </row>
    <row r="116" spans="1:16" x14ac:dyDescent="0.25">
      <c r="A116" s="97" t="s">
        <v>146</v>
      </c>
      <c r="B116" s="162"/>
      <c r="C116" s="160"/>
      <c r="D116" s="169"/>
      <c r="E116" s="160"/>
      <c r="F116" s="160"/>
      <c r="G116" s="160"/>
      <c r="H116" s="162"/>
      <c r="I116" s="160"/>
      <c r="J116" s="169"/>
      <c r="K116" s="160"/>
      <c r="L116" s="160"/>
      <c r="M116" s="160"/>
      <c r="N116" s="162"/>
      <c r="O116" s="160"/>
      <c r="P116" s="169"/>
    </row>
    <row r="117" spans="1:16" x14ac:dyDescent="0.25">
      <c r="A117" s="98">
        <v>45758</v>
      </c>
      <c r="B117" s="162">
        <v>2288</v>
      </c>
      <c r="C117" s="160">
        <v>1130.9000000000001</v>
      </c>
      <c r="D117" s="169">
        <v>0</v>
      </c>
      <c r="E117" s="160">
        <v>2435</v>
      </c>
      <c r="F117" s="160">
        <v>0</v>
      </c>
      <c r="G117" s="160">
        <v>0</v>
      </c>
      <c r="H117" s="162">
        <v>1217</v>
      </c>
      <c r="I117" s="160">
        <v>2937.6</v>
      </c>
      <c r="J117" s="169">
        <v>1249.21</v>
      </c>
      <c r="K117" s="160">
        <v>2435</v>
      </c>
      <c r="L117" s="160">
        <v>6854.4</v>
      </c>
      <c r="M117" s="160">
        <v>0</v>
      </c>
      <c r="N117" s="162">
        <v>0</v>
      </c>
      <c r="O117" s="160">
        <v>0</v>
      </c>
      <c r="P117" s="169">
        <v>0</v>
      </c>
    </row>
    <row r="118" spans="1:16" x14ac:dyDescent="0.25">
      <c r="A118" s="98">
        <v>45757</v>
      </c>
      <c r="B118" s="162">
        <v>0</v>
      </c>
      <c r="C118" s="160">
        <v>1130.9000000000001</v>
      </c>
      <c r="D118" s="169">
        <v>0</v>
      </c>
      <c r="E118" s="160">
        <v>3652</v>
      </c>
      <c r="F118" s="160">
        <v>979.2</v>
      </c>
      <c r="G118" s="160">
        <v>0</v>
      </c>
      <c r="H118" s="162">
        <v>10956</v>
      </c>
      <c r="I118" s="160">
        <v>3916.8</v>
      </c>
      <c r="J118" s="169">
        <v>1249.21</v>
      </c>
      <c r="K118" s="160">
        <v>0</v>
      </c>
      <c r="L118" s="160">
        <v>6036.8</v>
      </c>
      <c r="M118" s="160">
        <v>0</v>
      </c>
      <c r="N118" s="162">
        <v>0</v>
      </c>
      <c r="O118" s="160">
        <v>979.2</v>
      </c>
      <c r="P118" s="169">
        <v>0</v>
      </c>
    </row>
    <row r="119" spans="1:16" x14ac:dyDescent="0.25">
      <c r="A119" s="98">
        <v>45756</v>
      </c>
      <c r="B119" s="162">
        <v>1144</v>
      </c>
      <c r="C119" s="160">
        <v>1130.9000000000001</v>
      </c>
      <c r="D119" s="169">
        <v>0</v>
      </c>
      <c r="E119" s="160">
        <v>4869</v>
      </c>
      <c r="F119" s="160">
        <v>979.2</v>
      </c>
      <c r="G119" s="160">
        <v>1249.2099999999998</v>
      </c>
      <c r="H119" s="162">
        <v>4869</v>
      </c>
      <c r="I119" s="160">
        <v>3916.8</v>
      </c>
      <c r="J119" s="169">
        <v>1249.21</v>
      </c>
      <c r="K119" s="160">
        <v>1217</v>
      </c>
      <c r="L119" s="160">
        <v>3916.8</v>
      </c>
      <c r="M119" s="160">
        <v>0</v>
      </c>
      <c r="N119" s="162">
        <v>1217.3</v>
      </c>
      <c r="O119" s="160">
        <v>979.2</v>
      </c>
      <c r="P119" s="169">
        <v>0</v>
      </c>
    </row>
    <row r="120" spans="1:16" x14ac:dyDescent="0.25">
      <c r="A120" s="98">
        <v>45755</v>
      </c>
      <c r="B120" s="162">
        <v>0</v>
      </c>
      <c r="C120" s="160">
        <v>1130.9000000000001</v>
      </c>
      <c r="D120" s="169">
        <v>0</v>
      </c>
      <c r="E120" s="160">
        <v>4869</v>
      </c>
      <c r="F120" s="160">
        <v>0</v>
      </c>
      <c r="G120" s="160">
        <v>0</v>
      </c>
      <c r="H120" s="162">
        <v>3652</v>
      </c>
      <c r="I120" s="160">
        <v>979.2</v>
      </c>
      <c r="J120" s="169">
        <v>0</v>
      </c>
      <c r="K120" s="160">
        <v>1217</v>
      </c>
      <c r="L120" s="160">
        <v>2937.6</v>
      </c>
      <c r="M120" s="160">
        <v>2498.42</v>
      </c>
      <c r="N120" s="162">
        <v>1217.3</v>
      </c>
      <c r="O120" s="160">
        <v>0</v>
      </c>
      <c r="P120" s="169">
        <v>0</v>
      </c>
    </row>
    <row r="121" spans="1:16" x14ac:dyDescent="0.25">
      <c r="A121" s="98">
        <v>45754</v>
      </c>
      <c r="B121" s="162">
        <v>1144</v>
      </c>
      <c r="C121" s="160">
        <v>3392.7</v>
      </c>
      <c r="D121" s="169">
        <v>1250.9099999999999</v>
      </c>
      <c r="E121" s="160">
        <v>2435</v>
      </c>
      <c r="F121" s="160">
        <v>1958.4</v>
      </c>
      <c r="G121" s="160">
        <v>0</v>
      </c>
      <c r="H121" s="162">
        <v>2435</v>
      </c>
      <c r="I121" s="160">
        <v>2937.6</v>
      </c>
      <c r="J121" s="169">
        <v>1249.21</v>
      </c>
      <c r="K121" s="160">
        <v>1217</v>
      </c>
      <c r="L121" s="160">
        <v>979.2</v>
      </c>
      <c r="M121" s="160">
        <v>1249.21</v>
      </c>
      <c r="N121" s="162">
        <v>2434.6</v>
      </c>
      <c r="O121" s="160">
        <v>979.2</v>
      </c>
      <c r="P121" s="169">
        <v>0</v>
      </c>
    </row>
    <row r="122" spans="1:16" x14ac:dyDescent="0.25">
      <c r="A122" s="97" t="s">
        <v>147</v>
      </c>
      <c r="B122" s="162">
        <v>4576</v>
      </c>
      <c r="C122" s="160">
        <v>7916.2999999999993</v>
      </c>
      <c r="D122" s="169">
        <v>1250.9099999999999</v>
      </c>
      <c r="E122" s="160">
        <v>18260</v>
      </c>
      <c r="F122" s="160">
        <v>3916.8</v>
      </c>
      <c r="G122" s="160">
        <v>1249.2099999999998</v>
      </c>
      <c r="H122" s="162">
        <v>23129</v>
      </c>
      <c r="I122" s="160">
        <v>14688</v>
      </c>
      <c r="J122" s="169">
        <v>4996.84</v>
      </c>
      <c r="K122" s="160">
        <v>6086</v>
      </c>
      <c r="L122" s="160">
        <v>20724.8</v>
      </c>
      <c r="M122" s="160">
        <v>3747.63</v>
      </c>
      <c r="N122" s="162">
        <v>4869.2</v>
      </c>
      <c r="O122" s="160">
        <v>2937.6</v>
      </c>
      <c r="P122" s="169">
        <v>0</v>
      </c>
    </row>
    <row r="123" spans="1:16" x14ac:dyDescent="0.25">
      <c r="A123" s="97" t="s">
        <v>144</v>
      </c>
      <c r="B123" s="162"/>
      <c r="C123" s="160"/>
      <c r="D123" s="169"/>
      <c r="E123" s="160"/>
      <c r="F123" s="160"/>
      <c r="G123" s="160"/>
      <c r="H123" s="162"/>
      <c r="I123" s="160"/>
      <c r="J123" s="169"/>
      <c r="K123" s="160"/>
      <c r="L123" s="160"/>
      <c r="M123" s="160"/>
      <c r="N123" s="162"/>
      <c r="O123" s="160"/>
      <c r="P123" s="169"/>
    </row>
    <row r="124" spans="1:16" x14ac:dyDescent="0.25">
      <c r="A124" s="98">
        <v>45751</v>
      </c>
      <c r="B124" s="162">
        <v>2288</v>
      </c>
      <c r="C124" s="160">
        <v>0</v>
      </c>
      <c r="D124" s="169">
        <v>0</v>
      </c>
      <c r="E124" s="160">
        <v>1217</v>
      </c>
      <c r="F124" s="160">
        <v>0</v>
      </c>
      <c r="G124" s="160">
        <v>0</v>
      </c>
      <c r="H124" s="162">
        <v>2435</v>
      </c>
      <c r="I124" s="160">
        <v>979.2</v>
      </c>
      <c r="J124" s="169">
        <v>0</v>
      </c>
      <c r="K124" s="160">
        <v>0</v>
      </c>
      <c r="L124" s="160">
        <v>1958.4</v>
      </c>
      <c r="M124" s="160">
        <v>1249.21</v>
      </c>
      <c r="N124" s="162">
        <v>1217.3</v>
      </c>
      <c r="O124" s="160">
        <v>0</v>
      </c>
      <c r="P124" s="169">
        <v>0</v>
      </c>
    </row>
    <row r="125" spans="1:16" x14ac:dyDescent="0.25">
      <c r="A125" s="98">
        <v>45750</v>
      </c>
      <c r="B125" s="162">
        <v>1144</v>
      </c>
      <c r="C125" s="160">
        <v>0</v>
      </c>
      <c r="D125" s="169">
        <v>0</v>
      </c>
      <c r="E125" s="160">
        <v>2435</v>
      </c>
      <c r="F125" s="160">
        <v>979.2</v>
      </c>
      <c r="G125" s="160">
        <v>0</v>
      </c>
      <c r="H125" s="162">
        <v>2435</v>
      </c>
      <c r="I125" s="160">
        <v>1958.4</v>
      </c>
      <c r="J125" s="169">
        <v>0</v>
      </c>
      <c r="K125" s="160">
        <v>6086</v>
      </c>
      <c r="L125" s="160">
        <v>3916.8</v>
      </c>
      <c r="M125" s="160">
        <v>0</v>
      </c>
      <c r="N125" s="162">
        <v>0</v>
      </c>
      <c r="O125" s="160">
        <v>2937.6</v>
      </c>
      <c r="P125" s="169">
        <v>0</v>
      </c>
    </row>
    <row r="126" spans="1:16" x14ac:dyDescent="0.25">
      <c r="A126" s="98">
        <v>45749</v>
      </c>
      <c r="B126" s="162">
        <v>1144</v>
      </c>
      <c r="C126" s="160">
        <v>1130.9000000000001</v>
      </c>
      <c r="D126" s="169">
        <v>0</v>
      </c>
      <c r="E126" s="160">
        <v>1217</v>
      </c>
      <c r="F126" s="160">
        <v>979.2</v>
      </c>
      <c r="G126" s="160">
        <v>1249.2099999999998</v>
      </c>
      <c r="H126" s="162">
        <v>3652</v>
      </c>
      <c r="I126" s="160">
        <v>0</v>
      </c>
      <c r="J126" s="169">
        <v>1249.21</v>
      </c>
      <c r="K126" s="160">
        <v>1217</v>
      </c>
      <c r="L126" s="160">
        <v>3916.8</v>
      </c>
      <c r="M126" s="160">
        <v>2498.42</v>
      </c>
      <c r="N126" s="162">
        <v>0</v>
      </c>
      <c r="O126" s="160">
        <v>979.2</v>
      </c>
      <c r="P126" s="169">
        <v>0</v>
      </c>
    </row>
    <row r="127" spans="1:16" x14ac:dyDescent="0.25">
      <c r="A127" s="98">
        <v>45748</v>
      </c>
      <c r="B127" s="162">
        <v>2288</v>
      </c>
      <c r="C127" s="160">
        <v>1130.9000000000001</v>
      </c>
      <c r="D127" s="169">
        <v>0</v>
      </c>
      <c r="E127" s="160">
        <v>1217</v>
      </c>
      <c r="F127" s="160">
        <v>979.2</v>
      </c>
      <c r="G127" s="160">
        <v>0</v>
      </c>
      <c r="H127" s="162">
        <v>8521</v>
      </c>
      <c r="I127" s="160">
        <v>1958.4</v>
      </c>
      <c r="J127" s="169">
        <v>0</v>
      </c>
      <c r="K127" s="160">
        <v>2435</v>
      </c>
      <c r="L127" s="160">
        <v>2937.6</v>
      </c>
      <c r="M127" s="160">
        <v>0</v>
      </c>
      <c r="N127" s="162">
        <v>0</v>
      </c>
      <c r="O127" s="160">
        <v>979.2</v>
      </c>
      <c r="P127" s="169">
        <v>0</v>
      </c>
    </row>
    <row r="128" spans="1:16" x14ac:dyDescent="0.25">
      <c r="A128" s="98">
        <v>45747</v>
      </c>
      <c r="B128" s="162">
        <v>1144</v>
      </c>
      <c r="C128" s="160">
        <v>1130.9000000000001</v>
      </c>
      <c r="D128" s="169">
        <v>1250.9099999999999</v>
      </c>
      <c r="E128" s="160">
        <v>0</v>
      </c>
      <c r="F128" s="160">
        <v>979.2</v>
      </c>
      <c r="G128" s="160">
        <v>0</v>
      </c>
      <c r="H128" s="162">
        <v>1217</v>
      </c>
      <c r="I128" s="160">
        <v>1958.4</v>
      </c>
      <c r="J128" s="169">
        <v>0</v>
      </c>
      <c r="K128" s="160">
        <v>3652</v>
      </c>
      <c r="L128" s="160">
        <v>1958.4</v>
      </c>
      <c r="M128" s="160">
        <v>0</v>
      </c>
      <c r="N128" s="162">
        <v>0</v>
      </c>
      <c r="O128" s="160">
        <v>1958.4</v>
      </c>
      <c r="P128" s="169">
        <v>0</v>
      </c>
    </row>
    <row r="129" spans="1:16" x14ac:dyDescent="0.25">
      <c r="A129" s="97" t="s">
        <v>145</v>
      </c>
      <c r="B129" s="162">
        <v>8008</v>
      </c>
      <c r="C129" s="160">
        <v>3392.7000000000003</v>
      </c>
      <c r="D129" s="169">
        <v>1250.9099999999999</v>
      </c>
      <c r="E129" s="160">
        <v>6086</v>
      </c>
      <c r="F129" s="160">
        <v>3916.8</v>
      </c>
      <c r="G129" s="160">
        <v>1249.2099999999998</v>
      </c>
      <c r="H129" s="162">
        <v>18260</v>
      </c>
      <c r="I129" s="160">
        <v>6854.4</v>
      </c>
      <c r="J129" s="169">
        <v>1249.21</v>
      </c>
      <c r="K129" s="160">
        <v>13390</v>
      </c>
      <c r="L129" s="160">
        <v>14688</v>
      </c>
      <c r="M129" s="160">
        <v>3747.63</v>
      </c>
      <c r="N129" s="162">
        <v>1217.3</v>
      </c>
      <c r="O129" s="160">
        <v>6854.4</v>
      </c>
      <c r="P129" s="169">
        <v>0</v>
      </c>
    </row>
    <row r="130" spans="1:16" x14ac:dyDescent="0.25">
      <c r="A130" s="97" t="s">
        <v>137</v>
      </c>
      <c r="B130" s="162"/>
      <c r="C130" s="160"/>
      <c r="D130" s="169"/>
      <c r="E130" s="160"/>
      <c r="F130" s="160"/>
      <c r="G130" s="160"/>
      <c r="H130" s="162"/>
      <c r="I130" s="160"/>
      <c r="J130" s="169"/>
      <c r="K130" s="160"/>
      <c r="L130" s="160"/>
      <c r="M130" s="160"/>
      <c r="N130" s="162"/>
      <c r="O130" s="160"/>
      <c r="P130" s="169"/>
    </row>
    <row r="131" spans="1:16" x14ac:dyDescent="0.25">
      <c r="A131" s="98">
        <v>45744</v>
      </c>
      <c r="B131" s="162">
        <v>2288</v>
      </c>
      <c r="C131" s="160">
        <v>0</v>
      </c>
      <c r="D131" s="169">
        <v>0</v>
      </c>
      <c r="E131" s="160">
        <v>6086</v>
      </c>
      <c r="F131" s="160">
        <v>0</v>
      </c>
      <c r="G131" s="160">
        <v>0</v>
      </c>
      <c r="H131" s="162">
        <v>1217</v>
      </c>
      <c r="I131" s="160">
        <v>2937.6</v>
      </c>
      <c r="J131" s="169">
        <v>0</v>
      </c>
      <c r="K131" s="160">
        <v>3652</v>
      </c>
      <c r="L131" s="160">
        <v>0</v>
      </c>
      <c r="M131" s="160">
        <v>1249.21</v>
      </c>
      <c r="N131" s="162">
        <v>1217.3</v>
      </c>
      <c r="O131" s="160">
        <v>0</v>
      </c>
      <c r="P131" s="169">
        <v>0</v>
      </c>
    </row>
    <row r="132" spans="1:16" x14ac:dyDescent="0.25">
      <c r="A132" s="98">
        <v>45743</v>
      </c>
      <c r="B132" s="162">
        <v>4576</v>
      </c>
      <c r="C132" s="160">
        <v>2261.8000000000002</v>
      </c>
      <c r="D132" s="169">
        <v>0</v>
      </c>
      <c r="E132" s="160">
        <v>0</v>
      </c>
      <c r="F132" s="160">
        <v>0</v>
      </c>
      <c r="G132" s="160">
        <v>0</v>
      </c>
      <c r="H132" s="162">
        <v>4869</v>
      </c>
      <c r="I132" s="160">
        <v>1958.4</v>
      </c>
      <c r="J132" s="169">
        <v>0</v>
      </c>
      <c r="K132" s="160">
        <v>4869</v>
      </c>
      <c r="L132" s="160">
        <v>1958.4</v>
      </c>
      <c r="M132" s="160">
        <v>0</v>
      </c>
      <c r="N132" s="162">
        <v>3651.9</v>
      </c>
      <c r="O132" s="160">
        <v>979.2</v>
      </c>
      <c r="P132" s="169">
        <v>0</v>
      </c>
    </row>
    <row r="133" spans="1:16" x14ac:dyDescent="0.25">
      <c r="A133" s="98">
        <v>45742</v>
      </c>
      <c r="B133" s="162">
        <v>1144</v>
      </c>
      <c r="C133" s="160">
        <v>1130.9000000000001</v>
      </c>
      <c r="D133" s="169">
        <v>0</v>
      </c>
      <c r="E133" s="160">
        <v>0</v>
      </c>
      <c r="F133" s="160">
        <v>0</v>
      </c>
      <c r="G133" s="160">
        <v>1249.2099999999998</v>
      </c>
      <c r="H133" s="162">
        <v>6086</v>
      </c>
      <c r="I133" s="160">
        <v>979.2</v>
      </c>
      <c r="J133" s="169">
        <v>0</v>
      </c>
      <c r="K133" s="160">
        <v>3652</v>
      </c>
      <c r="L133" s="160">
        <v>979.2</v>
      </c>
      <c r="M133" s="160">
        <v>1249.21</v>
      </c>
      <c r="N133" s="162">
        <v>3651.9</v>
      </c>
      <c r="O133" s="160">
        <v>979.2</v>
      </c>
      <c r="P133" s="169">
        <v>0</v>
      </c>
    </row>
    <row r="134" spans="1:16" x14ac:dyDescent="0.25">
      <c r="A134" s="98">
        <v>45741</v>
      </c>
      <c r="B134" s="162">
        <v>5720</v>
      </c>
      <c r="C134" s="160">
        <v>0</v>
      </c>
      <c r="D134" s="169">
        <v>0</v>
      </c>
      <c r="E134" s="160">
        <v>1217</v>
      </c>
      <c r="F134" s="160">
        <v>979.2</v>
      </c>
      <c r="G134" s="160">
        <v>1249.2099999999998</v>
      </c>
      <c r="H134" s="162">
        <v>0</v>
      </c>
      <c r="I134" s="160">
        <v>2937.6</v>
      </c>
      <c r="J134" s="169">
        <v>0</v>
      </c>
      <c r="K134" s="160">
        <v>0</v>
      </c>
      <c r="L134" s="160">
        <v>2937.6</v>
      </c>
      <c r="M134" s="160">
        <v>1249.21</v>
      </c>
      <c r="N134" s="162">
        <v>1217.3</v>
      </c>
      <c r="O134" s="160">
        <v>0</v>
      </c>
      <c r="P134" s="169">
        <v>0</v>
      </c>
    </row>
    <row r="135" spans="1:16" x14ac:dyDescent="0.25">
      <c r="A135" s="98">
        <v>45740</v>
      </c>
      <c r="B135" s="162">
        <v>2288</v>
      </c>
      <c r="C135" s="160">
        <v>1130.9000000000001</v>
      </c>
      <c r="D135" s="169">
        <v>0</v>
      </c>
      <c r="E135" s="160">
        <v>3652</v>
      </c>
      <c r="F135" s="160">
        <v>979.2</v>
      </c>
      <c r="G135" s="160">
        <v>0</v>
      </c>
      <c r="H135" s="162">
        <v>0</v>
      </c>
      <c r="I135" s="160">
        <v>1958.4</v>
      </c>
      <c r="J135" s="169">
        <v>1249.21</v>
      </c>
      <c r="K135" s="160">
        <v>8521</v>
      </c>
      <c r="L135" s="160">
        <v>2937.6</v>
      </c>
      <c r="M135" s="160">
        <v>0</v>
      </c>
      <c r="N135" s="162">
        <v>1217.3</v>
      </c>
      <c r="O135" s="160">
        <v>979.2</v>
      </c>
      <c r="P135" s="169">
        <v>0</v>
      </c>
    </row>
    <row r="136" spans="1:16" x14ac:dyDescent="0.25">
      <c r="A136" s="97" t="s">
        <v>138</v>
      </c>
      <c r="B136" s="162">
        <v>16016</v>
      </c>
      <c r="C136" s="160">
        <v>4523.6000000000004</v>
      </c>
      <c r="D136" s="169">
        <v>0</v>
      </c>
      <c r="E136" s="160">
        <v>10955</v>
      </c>
      <c r="F136" s="160">
        <v>1958.4</v>
      </c>
      <c r="G136" s="160">
        <v>2498.4199999999996</v>
      </c>
      <c r="H136" s="162">
        <v>12172</v>
      </c>
      <c r="I136" s="160">
        <v>10771.2</v>
      </c>
      <c r="J136" s="169">
        <v>1249.21</v>
      </c>
      <c r="K136" s="160">
        <v>20694</v>
      </c>
      <c r="L136" s="160">
        <v>8812.7999999999993</v>
      </c>
      <c r="M136" s="160">
        <v>3747.63</v>
      </c>
      <c r="N136" s="162">
        <v>10955.7</v>
      </c>
      <c r="O136" s="160">
        <v>2937.6</v>
      </c>
      <c r="P136" s="169">
        <v>0</v>
      </c>
    </row>
    <row r="137" spans="1:16" x14ac:dyDescent="0.25">
      <c r="A137" s="97" t="s">
        <v>133</v>
      </c>
      <c r="B137" s="162"/>
      <c r="C137" s="160"/>
      <c r="D137" s="169"/>
      <c r="E137" s="160"/>
      <c r="F137" s="160"/>
      <c r="G137" s="160"/>
      <c r="H137" s="162"/>
      <c r="I137" s="160"/>
      <c r="J137" s="169"/>
      <c r="K137" s="160"/>
      <c r="L137" s="160"/>
      <c r="M137" s="160"/>
      <c r="N137" s="162"/>
      <c r="O137" s="160"/>
      <c r="P137" s="169"/>
    </row>
    <row r="138" spans="1:16" x14ac:dyDescent="0.25">
      <c r="A138" s="98">
        <v>45737</v>
      </c>
      <c r="B138" s="162">
        <v>3432</v>
      </c>
      <c r="C138" s="160">
        <v>0</v>
      </c>
      <c r="D138" s="169">
        <v>0</v>
      </c>
      <c r="E138" s="160">
        <v>1217</v>
      </c>
      <c r="F138" s="160">
        <v>0</v>
      </c>
      <c r="G138" s="160">
        <v>0</v>
      </c>
      <c r="H138" s="162">
        <v>2435</v>
      </c>
      <c r="I138" s="160">
        <v>3916.8</v>
      </c>
      <c r="J138" s="169">
        <v>0</v>
      </c>
      <c r="K138" s="160">
        <v>1217</v>
      </c>
      <c r="L138" s="160">
        <v>0</v>
      </c>
      <c r="M138" s="160">
        <v>0</v>
      </c>
      <c r="N138" s="162">
        <v>1217.3</v>
      </c>
      <c r="O138" s="160">
        <v>0</v>
      </c>
      <c r="P138" s="169">
        <v>0</v>
      </c>
    </row>
    <row r="139" spans="1:16" x14ac:dyDescent="0.25">
      <c r="A139" s="98">
        <v>45736</v>
      </c>
      <c r="B139" s="162">
        <v>0</v>
      </c>
      <c r="C139" s="160">
        <v>0</v>
      </c>
      <c r="D139" s="169">
        <v>0</v>
      </c>
      <c r="E139" s="160">
        <v>0</v>
      </c>
      <c r="F139" s="160">
        <v>2937.6</v>
      </c>
      <c r="G139" s="160">
        <v>2498.4199999999996</v>
      </c>
      <c r="H139" s="162">
        <v>3652</v>
      </c>
      <c r="I139" s="160">
        <v>979.2</v>
      </c>
      <c r="J139" s="169">
        <v>1249.21</v>
      </c>
      <c r="K139" s="160">
        <v>1217</v>
      </c>
      <c r="L139" s="160">
        <v>1958.4</v>
      </c>
      <c r="M139" s="160">
        <v>1249.21</v>
      </c>
      <c r="N139" s="162">
        <v>2434.6</v>
      </c>
      <c r="O139" s="160">
        <v>979.2</v>
      </c>
      <c r="P139" s="169">
        <v>0</v>
      </c>
    </row>
    <row r="140" spans="1:16" x14ac:dyDescent="0.25">
      <c r="A140" s="98">
        <v>45735</v>
      </c>
      <c r="B140" s="162">
        <v>4576</v>
      </c>
      <c r="C140" s="160">
        <v>0</v>
      </c>
      <c r="D140" s="169">
        <v>0</v>
      </c>
      <c r="E140" s="160">
        <v>1217</v>
      </c>
      <c r="F140" s="160">
        <v>979.2</v>
      </c>
      <c r="G140" s="160">
        <v>1249.2099999999998</v>
      </c>
      <c r="H140" s="162">
        <v>2435</v>
      </c>
      <c r="I140" s="160">
        <v>979.2</v>
      </c>
      <c r="J140" s="169">
        <v>0</v>
      </c>
      <c r="K140" s="160">
        <v>4869</v>
      </c>
      <c r="L140" s="160">
        <v>1958.4</v>
      </c>
      <c r="M140" s="160">
        <v>1249.21</v>
      </c>
      <c r="N140" s="162">
        <v>1217.3</v>
      </c>
      <c r="O140" s="160">
        <v>0</v>
      </c>
      <c r="P140" s="169">
        <v>0</v>
      </c>
    </row>
    <row r="141" spans="1:16" x14ac:dyDescent="0.25">
      <c r="A141" s="98">
        <v>45734</v>
      </c>
      <c r="B141" s="162">
        <v>1144</v>
      </c>
      <c r="C141" s="160">
        <v>1130.9000000000001</v>
      </c>
      <c r="D141" s="169">
        <v>1250.9099999999999</v>
      </c>
      <c r="E141" s="160">
        <v>0</v>
      </c>
      <c r="F141" s="160">
        <v>979.2</v>
      </c>
      <c r="G141" s="160">
        <v>1249.2099999999998</v>
      </c>
      <c r="H141" s="162">
        <v>3652</v>
      </c>
      <c r="I141" s="160">
        <v>1958.4</v>
      </c>
      <c r="J141" s="169">
        <v>1249.21</v>
      </c>
      <c r="K141" s="160">
        <v>2435</v>
      </c>
      <c r="L141" s="160">
        <v>2937.6</v>
      </c>
      <c r="M141" s="160">
        <v>0</v>
      </c>
      <c r="N141" s="162">
        <v>1217.3</v>
      </c>
      <c r="O141" s="160">
        <v>0</v>
      </c>
      <c r="P141" s="169">
        <v>0</v>
      </c>
    </row>
    <row r="142" spans="1:16" x14ac:dyDescent="0.25">
      <c r="A142" s="98">
        <v>45733</v>
      </c>
      <c r="B142" s="162">
        <v>1144</v>
      </c>
      <c r="C142" s="160">
        <v>0</v>
      </c>
      <c r="D142" s="169">
        <v>1250.9099999999999</v>
      </c>
      <c r="E142" s="160">
        <v>2435</v>
      </c>
      <c r="F142" s="160">
        <v>1958.4</v>
      </c>
      <c r="G142" s="160">
        <v>0</v>
      </c>
      <c r="H142" s="162">
        <v>3652</v>
      </c>
      <c r="I142" s="160">
        <v>979.2</v>
      </c>
      <c r="J142" s="169">
        <v>0</v>
      </c>
      <c r="K142" s="160">
        <v>2435</v>
      </c>
      <c r="L142" s="160">
        <v>0</v>
      </c>
      <c r="M142" s="160">
        <v>0</v>
      </c>
      <c r="N142" s="162">
        <v>2434.6</v>
      </c>
      <c r="O142" s="160">
        <v>0</v>
      </c>
      <c r="P142" s="169">
        <v>0</v>
      </c>
    </row>
    <row r="143" spans="1:16" x14ac:dyDescent="0.25">
      <c r="A143" s="97" t="s">
        <v>134</v>
      </c>
      <c r="B143" s="162">
        <v>10296</v>
      </c>
      <c r="C143" s="160">
        <v>1130.9000000000001</v>
      </c>
      <c r="D143" s="169">
        <v>2501.8199999999997</v>
      </c>
      <c r="E143" s="160">
        <v>4869</v>
      </c>
      <c r="F143" s="160">
        <v>6854.4</v>
      </c>
      <c r="G143" s="160">
        <v>4996.8399999999992</v>
      </c>
      <c r="H143" s="162">
        <v>15826</v>
      </c>
      <c r="I143" s="160">
        <v>8812.7999999999993</v>
      </c>
      <c r="J143" s="169">
        <v>2498.42</v>
      </c>
      <c r="K143" s="160">
        <v>12173</v>
      </c>
      <c r="L143" s="160">
        <v>6854.4</v>
      </c>
      <c r="M143" s="160">
        <v>2498.42</v>
      </c>
      <c r="N143" s="162">
        <v>8521.1</v>
      </c>
      <c r="O143" s="160">
        <v>979.2</v>
      </c>
      <c r="P143" s="169">
        <v>0</v>
      </c>
    </row>
    <row r="144" spans="1:16" x14ac:dyDescent="0.25">
      <c r="A144" s="97" t="s">
        <v>110</v>
      </c>
      <c r="B144" s="162"/>
      <c r="C144" s="160"/>
      <c r="D144" s="169"/>
      <c r="E144" s="160"/>
      <c r="F144" s="160"/>
      <c r="G144" s="160"/>
      <c r="H144" s="162"/>
      <c r="I144" s="160"/>
      <c r="J144" s="169"/>
      <c r="K144" s="160"/>
      <c r="L144" s="160"/>
      <c r="M144" s="160"/>
      <c r="N144" s="162"/>
      <c r="O144" s="160"/>
      <c r="P144" s="169"/>
    </row>
    <row r="145" spans="1:16" x14ac:dyDescent="0.25">
      <c r="A145" s="98">
        <v>45730</v>
      </c>
      <c r="B145" s="162">
        <v>3432</v>
      </c>
      <c r="C145" s="160">
        <v>1130.9000000000001</v>
      </c>
      <c r="D145" s="169">
        <v>0</v>
      </c>
      <c r="E145" s="160">
        <v>4869</v>
      </c>
      <c r="F145" s="160">
        <v>979.2</v>
      </c>
      <c r="G145" s="160">
        <v>0</v>
      </c>
      <c r="H145" s="162">
        <v>3652</v>
      </c>
      <c r="I145" s="160">
        <v>4896</v>
      </c>
      <c r="J145" s="169">
        <v>1249.21</v>
      </c>
      <c r="K145" s="160">
        <v>1217</v>
      </c>
      <c r="L145" s="160">
        <v>0</v>
      </c>
      <c r="M145" s="160">
        <v>0</v>
      </c>
      <c r="N145" s="162">
        <v>1217.3</v>
      </c>
      <c r="O145" s="160">
        <v>0</v>
      </c>
      <c r="P145" s="169">
        <v>0</v>
      </c>
    </row>
    <row r="146" spans="1:16" x14ac:dyDescent="0.25">
      <c r="A146" s="98">
        <v>45729</v>
      </c>
      <c r="B146" s="162">
        <v>1144</v>
      </c>
      <c r="C146" s="160">
        <v>0</v>
      </c>
      <c r="D146" s="169">
        <v>0</v>
      </c>
      <c r="E146" s="160">
        <v>3652</v>
      </c>
      <c r="F146" s="160">
        <v>1958.4</v>
      </c>
      <c r="G146" s="160">
        <v>0</v>
      </c>
      <c r="H146" s="162">
        <v>1217</v>
      </c>
      <c r="I146" s="160">
        <v>1958.4</v>
      </c>
      <c r="J146" s="169">
        <v>0</v>
      </c>
      <c r="K146" s="160">
        <v>3652</v>
      </c>
      <c r="L146" s="160">
        <v>2937.6</v>
      </c>
      <c r="M146" s="160">
        <v>1249.21</v>
      </c>
      <c r="N146" s="162">
        <v>1217.3</v>
      </c>
      <c r="O146" s="160">
        <v>1958.4</v>
      </c>
      <c r="P146" s="169">
        <v>0</v>
      </c>
    </row>
    <row r="147" spans="1:16" x14ac:dyDescent="0.25">
      <c r="A147" s="98">
        <v>45728</v>
      </c>
      <c r="B147" s="162">
        <v>1144</v>
      </c>
      <c r="C147" s="160">
        <v>0</v>
      </c>
      <c r="D147" s="169">
        <v>0</v>
      </c>
      <c r="E147" s="160">
        <v>0</v>
      </c>
      <c r="F147" s="160">
        <v>1958.4</v>
      </c>
      <c r="G147" s="160">
        <v>0</v>
      </c>
      <c r="H147" s="162">
        <v>6086</v>
      </c>
      <c r="I147" s="160">
        <v>1958.4</v>
      </c>
      <c r="J147" s="169">
        <v>0</v>
      </c>
      <c r="K147" s="160">
        <v>1217</v>
      </c>
      <c r="L147" s="160">
        <v>2937.6</v>
      </c>
      <c r="M147" s="160">
        <v>0</v>
      </c>
      <c r="N147" s="162">
        <v>3651.9</v>
      </c>
      <c r="O147" s="160">
        <v>979.2</v>
      </c>
      <c r="P147" s="169">
        <v>0</v>
      </c>
    </row>
    <row r="148" spans="1:16" x14ac:dyDescent="0.25">
      <c r="A148" s="98">
        <v>45727</v>
      </c>
      <c r="B148" s="162">
        <v>2288</v>
      </c>
      <c r="C148" s="160">
        <v>0</v>
      </c>
      <c r="D148" s="169">
        <v>0</v>
      </c>
      <c r="E148" s="160">
        <v>4869</v>
      </c>
      <c r="F148" s="160">
        <v>2937.6</v>
      </c>
      <c r="G148" s="160">
        <v>0</v>
      </c>
      <c r="H148" s="162">
        <v>2435</v>
      </c>
      <c r="I148" s="160">
        <v>1958.4</v>
      </c>
      <c r="J148" s="169">
        <v>0</v>
      </c>
      <c r="K148" s="160">
        <v>1217</v>
      </c>
      <c r="L148" s="160">
        <v>3916.8</v>
      </c>
      <c r="M148" s="160">
        <v>0</v>
      </c>
      <c r="N148" s="162">
        <v>3651.9</v>
      </c>
      <c r="O148" s="160">
        <v>1958.4</v>
      </c>
      <c r="P148" s="169">
        <v>1249.21</v>
      </c>
    </row>
    <row r="149" spans="1:16" x14ac:dyDescent="0.25">
      <c r="A149" s="98">
        <v>45726</v>
      </c>
      <c r="B149" s="162">
        <v>1144</v>
      </c>
      <c r="C149" s="160">
        <v>1130.9000000000001</v>
      </c>
      <c r="D149" s="169">
        <v>0</v>
      </c>
      <c r="E149" s="160">
        <v>1217</v>
      </c>
      <c r="F149" s="160">
        <v>4896</v>
      </c>
      <c r="G149" s="160">
        <v>0</v>
      </c>
      <c r="H149" s="162">
        <v>3652</v>
      </c>
      <c r="I149" s="160">
        <v>1958.4</v>
      </c>
      <c r="J149" s="169">
        <v>0</v>
      </c>
      <c r="K149" s="160">
        <v>0</v>
      </c>
      <c r="L149" s="160">
        <v>5875.2</v>
      </c>
      <c r="M149" s="160">
        <v>0</v>
      </c>
      <c r="N149" s="162">
        <v>3651.9</v>
      </c>
      <c r="O149" s="160">
        <v>0</v>
      </c>
      <c r="P149" s="169">
        <v>0</v>
      </c>
    </row>
    <row r="150" spans="1:16" x14ac:dyDescent="0.25">
      <c r="A150" s="97" t="s">
        <v>111</v>
      </c>
      <c r="B150" s="162">
        <v>9152</v>
      </c>
      <c r="C150" s="160">
        <v>2261.8000000000002</v>
      </c>
      <c r="D150" s="169">
        <v>0</v>
      </c>
      <c r="E150" s="160">
        <v>14607</v>
      </c>
      <c r="F150" s="160">
        <v>12729.6</v>
      </c>
      <c r="G150" s="160">
        <v>0</v>
      </c>
      <c r="H150" s="162">
        <v>17042</v>
      </c>
      <c r="I150" s="160">
        <v>12729.6</v>
      </c>
      <c r="J150" s="169">
        <v>1249.21</v>
      </c>
      <c r="K150" s="160">
        <v>7303</v>
      </c>
      <c r="L150" s="160">
        <v>15667.2</v>
      </c>
      <c r="M150" s="160">
        <v>1249.21</v>
      </c>
      <c r="N150" s="162">
        <v>13390.3</v>
      </c>
      <c r="O150" s="160">
        <v>4896</v>
      </c>
      <c r="P150" s="169">
        <v>1249.21</v>
      </c>
    </row>
    <row r="151" spans="1:16" x14ac:dyDescent="0.25">
      <c r="A151" s="97" t="s">
        <v>108</v>
      </c>
      <c r="B151" s="162"/>
      <c r="C151" s="160"/>
      <c r="D151" s="169"/>
      <c r="E151" s="160"/>
      <c r="F151" s="160"/>
      <c r="G151" s="160"/>
      <c r="H151" s="162"/>
      <c r="I151" s="160"/>
      <c r="J151" s="169"/>
      <c r="K151" s="160"/>
      <c r="L151" s="160"/>
      <c r="M151" s="160"/>
      <c r="N151" s="162"/>
      <c r="O151" s="160"/>
      <c r="P151" s="169"/>
    </row>
    <row r="152" spans="1:16" x14ac:dyDescent="0.25">
      <c r="A152" s="98">
        <v>45723</v>
      </c>
      <c r="B152" s="162">
        <v>3432</v>
      </c>
      <c r="C152" s="160">
        <v>0</v>
      </c>
      <c r="D152" s="169">
        <v>0</v>
      </c>
      <c r="E152" s="160">
        <v>0</v>
      </c>
      <c r="F152" s="160">
        <v>979.2</v>
      </c>
      <c r="G152" s="160">
        <v>0</v>
      </c>
      <c r="H152" s="162">
        <v>0</v>
      </c>
      <c r="I152" s="160">
        <v>979.2</v>
      </c>
      <c r="J152" s="169">
        <v>0</v>
      </c>
      <c r="K152" s="160">
        <v>0</v>
      </c>
      <c r="L152" s="160">
        <v>979.2</v>
      </c>
      <c r="M152" s="160">
        <v>0</v>
      </c>
      <c r="N152" s="162">
        <v>0</v>
      </c>
      <c r="O152" s="160">
        <v>0</v>
      </c>
      <c r="P152" s="169">
        <v>0</v>
      </c>
    </row>
    <row r="153" spans="1:16" x14ac:dyDescent="0.25">
      <c r="A153" s="98">
        <v>45722</v>
      </c>
      <c r="B153" s="162">
        <v>1144</v>
      </c>
      <c r="C153" s="160">
        <v>1130.9000000000001</v>
      </c>
      <c r="D153" s="169">
        <v>0</v>
      </c>
      <c r="E153" s="160">
        <v>4869</v>
      </c>
      <c r="F153" s="160">
        <v>979.2</v>
      </c>
      <c r="G153" s="160">
        <v>0</v>
      </c>
      <c r="H153" s="162">
        <v>3652</v>
      </c>
      <c r="I153" s="160">
        <v>1958.4</v>
      </c>
      <c r="J153" s="169">
        <v>0</v>
      </c>
      <c r="K153" s="160">
        <v>2435</v>
      </c>
      <c r="L153" s="160">
        <v>979.2</v>
      </c>
      <c r="M153" s="160">
        <v>0</v>
      </c>
      <c r="N153" s="162">
        <v>1217.3</v>
      </c>
      <c r="O153" s="160">
        <v>979.2</v>
      </c>
      <c r="P153" s="169">
        <v>0</v>
      </c>
    </row>
    <row r="154" spans="1:16" x14ac:dyDescent="0.25">
      <c r="A154" s="98">
        <v>45721</v>
      </c>
      <c r="B154" s="162">
        <v>1144</v>
      </c>
      <c r="C154" s="160">
        <v>0</v>
      </c>
      <c r="D154" s="169">
        <v>0</v>
      </c>
      <c r="E154" s="160">
        <v>3652</v>
      </c>
      <c r="F154" s="160">
        <v>0</v>
      </c>
      <c r="G154" s="160">
        <v>0</v>
      </c>
      <c r="H154" s="162">
        <v>9738</v>
      </c>
      <c r="I154" s="160">
        <v>1958.4</v>
      </c>
      <c r="J154" s="169">
        <v>0</v>
      </c>
      <c r="K154" s="160">
        <v>2435</v>
      </c>
      <c r="L154" s="160">
        <v>4896</v>
      </c>
      <c r="M154" s="160">
        <v>0</v>
      </c>
      <c r="N154" s="162">
        <v>1217.3</v>
      </c>
      <c r="O154" s="160">
        <v>979.2</v>
      </c>
      <c r="P154" s="169">
        <v>0</v>
      </c>
    </row>
    <row r="155" spans="1:16" x14ac:dyDescent="0.25">
      <c r="A155" s="98">
        <v>45720</v>
      </c>
      <c r="B155" s="162">
        <v>3432</v>
      </c>
      <c r="C155" s="160">
        <v>3392.7</v>
      </c>
      <c r="D155" s="169">
        <v>0</v>
      </c>
      <c r="E155" s="160">
        <v>2435</v>
      </c>
      <c r="F155" s="160">
        <v>2937.6</v>
      </c>
      <c r="G155" s="160">
        <v>0</v>
      </c>
      <c r="H155" s="162">
        <v>4869</v>
      </c>
      <c r="I155" s="160">
        <v>1958.4</v>
      </c>
      <c r="J155" s="169">
        <v>0</v>
      </c>
      <c r="K155" s="160">
        <v>4869</v>
      </c>
      <c r="L155" s="160">
        <v>2937.6</v>
      </c>
      <c r="M155" s="160">
        <v>0</v>
      </c>
      <c r="N155" s="162">
        <v>0</v>
      </c>
      <c r="O155" s="160">
        <v>0</v>
      </c>
      <c r="P155" s="169">
        <v>0</v>
      </c>
    </row>
    <row r="156" spans="1:16" x14ac:dyDescent="0.25">
      <c r="A156" s="98">
        <v>45719</v>
      </c>
      <c r="B156" s="162">
        <v>0</v>
      </c>
      <c r="C156" s="160">
        <v>1130.9000000000001</v>
      </c>
      <c r="D156" s="169">
        <v>0</v>
      </c>
      <c r="E156" s="160">
        <v>0</v>
      </c>
      <c r="F156" s="160">
        <v>979.2</v>
      </c>
      <c r="G156" s="160">
        <v>0</v>
      </c>
      <c r="H156" s="162">
        <v>2435</v>
      </c>
      <c r="I156" s="160">
        <v>979.2</v>
      </c>
      <c r="J156" s="169">
        <v>0</v>
      </c>
      <c r="K156" s="160">
        <v>1217</v>
      </c>
      <c r="L156" s="160">
        <v>3916.8</v>
      </c>
      <c r="M156" s="160">
        <v>0</v>
      </c>
      <c r="N156" s="162">
        <v>3651.9</v>
      </c>
      <c r="O156" s="160">
        <v>0</v>
      </c>
      <c r="P156" s="169">
        <v>0</v>
      </c>
    </row>
    <row r="157" spans="1:16" x14ac:dyDescent="0.25">
      <c r="A157" s="97" t="s">
        <v>109</v>
      </c>
      <c r="B157" s="162">
        <v>9152</v>
      </c>
      <c r="C157" s="160">
        <v>5654.5</v>
      </c>
      <c r="D157" s="169">
        <v>0</v>
      </c>
      <c r="E157" s="160">
        <v>10956</v>
      </c>
      <c r="F157" s="160">
        <v>5875.2</v>
      </c>
      <c r="G157" s="160">
        <v>0</v>
      </c>
      <c r="H157" s="162">
        <v>20694</v>
      </c>
      <c r="I157" s="160">
        <v>7833.6</v>
      </c>
      <c r="J157" s="169">
        <v>0</v>
      </c>
      <c r="K157" s="160">
        <v>10956</v>
      </c>
      <c r="L157" s="160">
        <v>13708.8</v>
      </c>
      <c r="M157" s="160">
        <v>0</v>
      </c>
      <c r="N157" s="162">
        <v>6086.5</v>
      </c>
      <c r="O157" s="160">
        <v>1958.4</v>
      </c>
      <c r="P157" s="169">
        <v>0</v>
      </c>
    </row>
    <row r="158" spans="1:16" x14ac:dyDescent="0.25">
      <c r="A158" s="97" t="s">
        <v>116</v>
      </c>
      <c r="B158" s="162"/>
      <c r="C158" s="160"/>
      <c r="D158" s="169"/>
      <c r="E158" s="160"/>
      <c r="F158" s="160"/>
      <c r="G158" s="160"/>
      <c r="H158" s="162"/>
      <c r="I158" s="160"/>
      <c r="J158" s="169"/>
      <c r="K158" s="160"/>
      <c r="L158" s="160"/>
      <c r="M158" s="160"/>
      <c r="N158" s="162"/>
      <c r="O158" s="160"/>
      <c r="P158" s="169"/>
    </row>
    <row r="159" spans="1:16" x14ac:dyDescent="0.25">
      <c r="A159" s="98">
        <v>45716</v>
      </c>
      <c r="B159" s="162">
        <v>0</v>
      </c>
      <c r="C159" s="160">
        <v>0</v>
      </c>
      <c r="D159" s="169">
        <v>0</v>
      </c>
      <c r="E159" s="160">
        <v>6086</v>
      </c>
      <c r="F159" s="160">
        <v>2937.6</v>
      </c>
      <c r="G159" s="160">
        <v>0</v>
      </c>
      <c r="H159" s="162">
        <v>2435</v>
      </c>
      <c r="I159" s="160">
        <v>6854.4</v>
      </c>
      <c r="J159" s="169">
        <v>0</v>
      </c>
      <c r="K159" s="160">
        <v>0</v>
      </c>
      <c r="L159" s="160">
        <v>2937.6</v>
      </c>
      <c r="M159" s="160">
        <v>0</v>
      </c>
      <c r="N159" s="162">
        <v>1217.3</v>
      </c>
      <c r="O159" s="160">
        <v>979.2</v>
      </c>
      <c r="P159" s="169">
        <v>0</v>
      </c>
    </row>
    <row r="160" spans="1:16" x14ac:dyDescent="0.25">
      <c r="A160" s="98">
        <v>45715</v>
      </c>
      <c r="B160" s="162">
        <v>3432</v>
      </c>
      <c r="C160" s="160">
        <v>0</v>
      </c>
      <c r="D160" s="169">
        <v>0</v>
      </c>
      <c r="E160" s="160">
        <v>2435</v>
      </c>
      <c r="F160" s="160">
        <v>979.2</v>
      </c>
      <c r="G160" s="160">
        <v>0</v>
      </c>
      <c r="H160" s="162">
        <v>0</v>
      </c>
      <c r="I160" s="160">
        <v>1958.4</v>
      </c>
      <c r="J160" s="169">
        <v>0</v>
      </c>
      <c r="K160" s="160">
        <v>3652</v>
      </c>
      <c r="L160" s="160">
        <v>2937.6</v>
      </c>
      <c r="M160" s="160">
        <v>0</v>
      </c>
      <c r="N160" s="162">
        <v>3651.9</v>
      </c>
      <c r="O160" s="160">
        <v>0</v>
      </c>
      <c r="P160" s="169">
        <v>0</v>
      </c>
    </row>
    <row r="161" spans="1:16" x14ac:dyDescent="0.25">
      <c r="A161" s="98">
        <v>45714</v>
      </c>
      <c r="B161" s="162">
        <v>1144</v>
      </c>
      <c r="C161" s="160">
        <v>1130.9000000000001</v>
      </c>
      <c r="D161" s="169">
        <v>0</v>
      </c>
      <c r="E161" s="160">
        <v>2435</v>
      </c>
      <c r="F161" s="160">
        <v>979.2</v>
      </c>
      <c r="G161" s="160">
        <v>0</v>
      </c>
      <c r="H161" s="162">
        <v>1217</v>
      </c>
      <c r="I161" s="160">
        <v>1958.4</v>
      </c>
      <c r="J161" s="169">
        <v>0</v>
      </c>
      <c r="K161" s="160">
        <v>0</v>
      </c>
      <c r="L161" s="160">
        <v>979.2</v>
      </c>
      <c r="M161" s="160">
        <v>0</v>
      </c>
      <c r="N161" s="162">
        <v>3651.9</v>
      </c>
      <c r="O161" s="160">
        <v>979.2</v>
      </c>
      <c r="P161" s="169">
        <v>0</v>
      </c>
    </row>
    <row r="162" spans="1:16" x14ac:dyDescent="0.25">
      <c r="A162" s="98">
        <v>45713</v>
      </c>
      <c r="B162" s="162">
        <v>2288</v>
      </c>
      <c r="C162" s="160">
        <v>0</v>
      </c>
      <c r="D162" s="169">
        <v>0</v>
      </c>
      <c r="E162" s="160">
        <v>1217</v>
      </c>
      <c r="F162" s="160">
        <v>1958.4</v>
      </c>
      <c r="G162" s="160">
        <v>0</v>
      </c>
      <c r="H162" s="162">
        <v>0</v>
      </c>
      <c r="I162" s="160">
        <v>2937.6</v>
      </c>
      <c r="J162" s="169">
        <v>0</v>
      </c>
      <c r="K162" s="160">
        <v>1217</v>
      </c>
      <c r="L162" s="160">
        <v>979.2</v>
      </c>
      <c r="M162" s="160">
        <v>0</v>
      </c>
      <c r="N162" s="162">
        <v>2434.6</v>
      </c>
      <c r="O162" s="160">
        <v>0</v>
      </c>
      <c r="P162" s="169">
        <v>0</v>
      </c>
    </row>
    <row r="163" spans="1:16" x14ac:dyDescent="0.25">
      <c r="A163" s="98">
        <v>45712</v>
      </c>
      <c r="B163" s="162">
        <v>0</v>
      </c>
      <c r="C163" s="160">
        <v>0</v>
      </c>
      <c r="D163" s="169">
        <v>0</v>
      </c>
      <c r="E163" s="160">
        <v>2435</v>
      </c>
      <c r="F163" s="160">
        <v>1958.4</v>
      </c>
      <c r="G163" s="160">
        <v>0</v>
      </c>
      <c r="H163" s="162">
        <v>0</v>
      </c>
      <c r="I163" s="160">
        <v>1958.4</v>
      </c>
      <c r="J163" s="169">
        <v>0</v>
      </c>
      <c r="K163" s="160">
        <v>1217</v>
      </c>
      <c r="L163" s="160">
        <v>5875.2</v>
      </c>
      <c r="M163" s="160">
        <v>0</v>
      </c>
      <c r="N163" s="162">
        <v>3651.9</v>
      </c>
      <c r="O163" s="160">
        <v>979.2</v>
      </c>
      <c r="P163" s="169">
        <v>0</v>
      </c>
    </row>
    <row r="164" spans="1:16" x14ac:dyDescent="0.25">
      <c r="A164" s="97" t="s">
        <v>124</v>
      </c>
      <c r="B164" s="162">
        <v>6864</v>
      </c>
      <c r="C164" s="160">
        <v>1130.9000000000001</v>
      </c>
      <c r="D164" s="169">
        <v>0</v>
      </c>
      <c r="E164" s="160">
        <v>14608</v>
      </c>
      <c r="F164" s="160">
        <v>8812.7999999999993</v>
      </c>
      <c r="G164" s="160">
        <v>0</v>
      </c>
      <c r="H164" s="162">
        <v>3652</v>
      </c>
      <c r="I164" s="160">
        <v>15667.2</v>
      </c>
      <c r="J164" s="169">
        <v>0</v>
      </c>
      <c r="K164" s="160">
        <v>6086</v>
      </c>
      <c r="L164" s="160">
        <v>13708.8</v>
      </c>
      <c r="M164" s="160">
        <v>0</v>
      </c>
      <c r="N164" s="162">
        <v>14607.6</v>
      </c>
      <c r="O164" s="160">
        <v>2937.6</v>
      </c>
      <c r="P164" s="169">
        <v>0</v>
      </c>
    </row>
    <row r="165" spans="1:16" x14ac:dyDescent="0.25">
      <c r="A165" s="97" t="s">
        <v>117</v>
      </c>
      <c r="B165" s="162"/>
      <c r="C165" s="160"/>
      <c r="D165" s="169"/>
      <c r="E165" s="160"/>
      <c r="F165" s="160"/>
      <c r="G165" s="160"/>
      <c r="H165" s="162"/>
      <c r="I165" s="160"/>
      <c r="J165" s="169"/>
      <c r="K165" s="160"/>
      <c r="L165" s="160"/>
      <c r="M165" s="160"/>
      <c r="N165" s="162"/>
      <c r="O165" s="160"/>
      <c r="P165" s="169"/>
    </row>
    <row r="166" spans="1:16" x14ac:dyDescent="0.25">
      <c r="A166" s="98">
        <v>45709</v>
      </c>
      <c r="B166" s="162">
        <v>2288</v>
      </c>
      <c r="C166" s="160">
        <v>0</v>
      </c>
      <c r="D166" s="169">
        <v>0</v>
      </c>
      <c r="E166" s="160">
        <v>1217</v>
      </c>
      <c r="F166" s="160">
        <v>1958.4</v>
      </c>
      <c r="G166" s="160">
        <v>0</v>
      </c>
      <c r="H166" s="162">
        <v>0</v>
      </c>
      <c r="I166" s="160">
        <v>2937.6</v>
      </c>
      <c r="J166" s="169">
        <v>0</v>
      </c>
      <c r="K166" s="160">
        <v>2435</v>
      </c>
      <c r="L166" s="160">
        <v>2937.6</v>
      </c>
      <c r="M166" s="160">
        <v>0</v>
      </c>
      <c r="N166" s="162">
        <v>0</v>
      </c>
      <c r="O166" s="160">
        <v>0</v>
      </c>
      <c r="P166" s="169">
        <v>0</v>
      </c>
    </row>
    <row r="167" spans="1:16" x14ac:dyDescent="0.25">
      <c r="A167" s="98">
        <v>45708</v>
      </c>
      <c r="B167" s="162">
        <v>1144</v>
      </c>
      <c r="C167" s="160">
        <v>0</v>
      </c>
      <c r="D167" s="169">
        <v>0</v>
      </c>
      <c r="E167" s="160">
        <v>4869</v>
      </c>
      <c r="F167" s="160">
        <v>979.2</v>
      </c>
      <c r="G167" s="160">
        <v>0</v>
      </c>
      <c r="H167" s="162">
        <v>2435</v>
      </c>
      <c r="I167" s="160">
        <v>979.2</v>
      </c>
      <c r="J167" s="169">
        <v>0</v>
      </c>
      <c r="K167" s="160">
        <v>0</v>
      </c>
      <c r="L167" s="160">
        <v>3916.8</v>
      </c>
      <c r="M167" s="160">
        <v>0</v>
      </c>
      <c r="N167" s="162">
        <v>4869.2</v>
      </c>
      <c r="O167" s="160">
        <v>1958.4</v>
      </c>
      <c r="P167" s="169">
        <v>0</v>
      </c>
    </row>
    <row r="168" spans="1:16" x14ac:dyDescent="0.25">
      <c r="A168" s="98">
        <v>45707</v>
      </c>
      <c r="B168" s="162">
        <v>1144</v>
      </c>
      <c r="C168" s="160">
        <v>0</v>
      </c>
      <c r="D168" s="169">
        <v>0</v>
      </c>
      <c r="E168" s="160">
        <v>4869</v>
      </c>
      <c r="F168" s="160">
        <v>1958.4</v>
      </c>
      <c r="G168" s="160">
        <v>0</v>
      </c>
      <c r="H168" s="162">
        <v>1217</v>
      </c>
      <c r="I168" s="160">
        <v>979.2</v>
      </c>
      <c r="J168" s="169">
        <v>0</v>
      </c>
      <c r="K168" s="160">
        <v>4869</v>
      </c>
      <c r="L168" s="160">
        <v>1958.4</v>
      </c>
      <c r="M168" s="160">
        <v>0</v>
      </c>
      <c r="N168" s="162">
        <v>4869.2</v>
      </c>
      <c r="O168" s="160">
        <v>0</v>
      </c>
      <c r="P168" s="169">
        <v>0</v>
      </c>
    </row>
    <row r="169" spans="1:16" x14ac:dyDescent="0.25">
      <c r="A169" s="98">
        <v>45706</v>
      </c>
      <c r="B169" s="162">
        <v>2288</v>
      </c>
      <c r="C169" s="160">
        <v>1130.9000000000001</v>
      </c>
      <c r="D169" s="169">
        <v>0</v>
      </c>
      <c r="E169" s="160">
        <v>2435</v>
      </c>
      <c r="F169" s="160">
        <v>2937.6</v>
      </c>
      <c r="G169" s="160">
        <v>0</v>
      </c>
      <c r="H169" s="162">
        <v>3652</v>
      </c>
      <c r="I169" s="160">
        <v>2937.6</v>
      </c>
      <c r="J169" s="169">
        <v>0</v>
      </c>
      <c r="K169" s="160">
        <v>0</v>
      </c>
      <c r="L169" s="160">
        <v>2937.6</v>
      </c>
      <c r="M169" s="160">
        <v>0</v>
      </c>
      <c r="N169" s="162">
        <v>1217.3</v>
      </c>
      <c r="O169" s="160">
        <v>0</v>
      </c>
      <c r="P169" s="169">
        <v>0</v>
      </c>
    </row>
    <row r="170" spans="1:16" x14ac:dyDescent="0.25">
      <c r="A170" s="98">
        <v>45705</v>
      </c>
      <c r="B170" s="162">
        <v>1144</v>
      </c>
      <c r="C170" s="160">
        <v>1130.9000000000001</v>
      </c>
      <c r="D170" s="169">
        <v>0</v>
      </c>
      <c r="E170" s="160">
        <v>3652</v>
      </c>
      <c r="F170" s="160">
        <v>979.2</v>
      </c>
      <c r="G170" s="160">
        <v>0</v>
      </c>
      <c r="H170" s="162">
        <v>2435</v>
      </c>
      <c r="I170" s="160">
        <v>0</v>
      </c>
      <c r="J170" s="169">
        <v>0</v>
      </c>
      <c r="K170" s="160">
        <v>2435</v>
      </c>
      <c r="L170" s="160">
        <v>1958.4</v>
      </c>
      <c r="M170" s="160">
        <v>0</v>
      </c>
      <c r="N170" s="162">
        <v>1142.3</v>
      </c>
      <c r="O170" s="160">
        <v>0</v>
      </c>
      <c r="P170" s="169">
        <v>0</v>
      </c>
    </row>
    <row r="171" spans="1:16" x14ac:dyDescent="0.25">
      <c r="A171" s="97" t="s">
        <v>125</v>
      </c>
      <c r="B171" s="162">
        <v>8008</v>
      </c>
      <c r="C171" s="160">
        <v>2261.8000000000002</v>
      </c>
      <c r="D171" s="169">
        <v>0</v>
      </c>
      <c r="E171" s="160">
        <v>17042</v>
      </c>
      <c r="F171" s="160">
        <v>8812.7999999999993</v>
      </c>
      <c r="G171" s="160">
        <v>0</v>
      </c>
      <c r="H171" s="162">
        <v>9739</v>
      </c>
      <c r="I171" s="160">
        <v>7833.6</v>
      </c>
      <c r="J171" s="169">
        <v>0</v>
      </c>
      <c r="K171" s="160">
        <v>9739</v>
      </c>
      <c r="L171" s="160">
        <v>13708.8</v>
      </c>
      <c r="M171" s="160">
        <v>0</v>
      </c>
      <c r="N171" s="162">
        <v>12098</v>
      </c>
      <c r="O171" s="160">
        <v>1958.4</v>
      </c>
      <c r="P171" s="169">
        <v>0</v>
      </c>
    </row>
    <row r="172" spans="1:16" x14ac:dyDescent="0.25">
      <c r="A172" s="97" t="s">
        <v>118</v>
      </c>
      <c r="B172" s="162"/>
      <c r="C172" s="160"/>
      <c r="D172" s="169"/>
      <c r="E172" s="160"/>
      <c r="F172" s="160"/>
      <c r="G172" s="160"/>
      <c r="H172" s="162"/>
      <c r="I172" s="160"/>
      <c r="J172" s="169"/>
      <c r="K172" s="160"/>
      <c r="L172" s="160"/>
      <c r="M172" s="160"/>
      <c r="N172" s="162"/>
      <c r="O172" s="160"/>
      <c r="P172" s="169"/>
    </row>
    <row r="173" spans="1:16" x14ac:dyDescent="0.25">
      <c r="A173" s="98">
        <v>45702</v>
      </c>
      <c r="B173" s="162">
        <v>1144</v>
      </c>
      <c r="C173" s="160">
        <v>0</v>
      </c>
      <c r="D173" s="169">
        <v>0</v>
      </c>
      <c r="E173" s="160">
        <v>3652</v>
      </c>
      <c r="F173" s="160">
        <v>1958.4</v>
      </c>
      <c r="G173" s="160">
        <v>0</v>
      </c>
      <c r="H173" s="162">
        <v>3652</v>
      </c>
      <c r="I173" s="160">
        <v>979.2</v>
      </c>
      <c r="J173" s="169">
        <v>0</v>
      </c>
      <c r="K173" s="160">
        <v>4869</v>
      </c>
      <c r="L173" s="160">
        <v>3916.8</v>
      </c>
      <c r="M173" s="160">
        <v>0</v>
      </c>
      <c r="N173" s="162">
        <v>1142.3</v>
      </c>
      <c r="O173" s="160">
        <v>0</v>
      </c>
      <c r="P173" s="169">
        <v>0</v>
      </c>
    </row>
    <row r="174" spans="1:16" x14ac:dyDescent="0.25">
      <c r="A174" s="98">
        <v>45701</v>
      </c>
      <c r="B174" s="162">
        <v>1144</v>
      </c>
      <c r="C174" s="160">
        <v>0</v>
      </c>
      <c r="D174" s="169">
        <v>0</v>
      </c>
      <c r="E174" s="160">
        <v>1217</v>
      </c>
      <c r="F174" s="160">
        <v>0</v>
      </c>
      <c r="G174" s="160">
        <v>0</v>
      </c>
      <c r="H174" s="162">
        <v>3652</v>
      </c>
      <c r="I174" s="160">
        <v>7833.6</v>
      </c>
      <c r="J174" s="169">
        <v>0</v>
      </c>
      <c r="K174" s="160">
        <v>6086</v>
      </c>
      <c r="L174" s="160">
        <v>0</v>
      </c>
      <c r="M174" s="160">
        <v>0</v>
      </c>
      <c r="N174" s="162">
        <v>0</v>
      </c>
      <c r="O174" s="160">
        <v>0</v>
      </c>
      <c r="P174" s="169">
        <v>0</v>
      </c>
    </row>
    <row r="175" spans="1:16" x14ac:dyDescent="0.25">
      <c r="A175" s="98">
        <v>45700</v>
      </c>
      <c r="B175" s="162">
        <v>2288</v>
      </c>
      <c r="C175" s="160">
        <v>0</v>
      </c>
      <c r="D175" s="169">
        <v>0</v>
      </c>
      <c r="E175" s="160">
        <v>2435</v>
      </c>
      <c r="F175" s="160">
        <v>979.2</v>
      </c>
      <c r="G175" s="160">
        <v>0</v>
      </c>
      <c r="H175" s="162">
        <v>2435</v>
      </c>
      <c r="I175" s="160">
        <v>2937.6</v>
      </c>
      <c r="J175" s="169">
        <v>0</v>
      </c>
      <c r="K175" s="160">
        <v>2435</v>
      </c>
      <c r="L175" s="160">
        <v>1958.4</v>
      </c>
      <c r="M175" s="160">
        <v>0</v>
      </c>
      <c r="N175" s="162">
        <v>1142.3</v>
      </c>
      <c r="O175" s="160">
        <v>3916.8</v>
      </c>
      <c r="P175" s="169">
        <v>0</v>
      </c>
    </row>
    <row r="176" spans="1:16" x14ac:dyDescent="0.25">
      <c r="A176" s="98">
        <v>45699</v>
      </c>
      <c r="B176" s="162">
        <v>1144</v>
      </c>
      <c r="C176" s="160">
        <v>1130.9000000000001</v>
      </c>
      <c r="D176" s="169">
        <v>0</v>
      </c>
      <c r="E176" s="160">
        <v>2435</v>
      </c>
      <c r="F176" s="160">
        <v>0</v>
      </c>
      <c r="G176" s="160">
        <v>0</v>
      </c>
      <c r="H176" s="162">
        <v>3652</v>
      </c>
      <c r="I176" s="160">
        <v>3916.8</v>
      </c>
      <c r="J176" s="169">
        <v>0</v>
      </c>
      <c r="K176" s="160">
        <v>7304</v>
      </c>
      <c r="L176" s="160">
        <v>979.2</v>
      </c>
      <c r="M176" s="160">
        <v>0</v>
      </c>
      <c r="N176" s="162">
        <v>1142.3</v>
      </c>
      <c r="O176" s="160">
        <v>0</v>
      </c>
      <c r="P176" s="169">
        <v>0</v>
      </c>
    </row>
    <row r="177" spans="1:16" x14ac:dyDescent="0.25">
      <c r="A177" s="98">
        <v>45698</v>
      </c>
      <c r="B177" s="162">
        <v>1144</v>
      </c>
      <c r="C177" s="160">
        <v>0</v>
      </c>
      <c r="D177" s="169">
        <v>0</v>
      </c>
      <c r="E177" s="160">
        <v>0</v>
      </c>
      <c r="F177" s="160">
        <v>0</v>
      </c>
      <c r="G177" s="160">
        <v>0</v>
      </c>
      <c r="H177" s="162">
        <v>4869</v>
      </c>
      <c r="I177" s="160">
        <v>2937.6</v>
      </c>
      <c r="J177" s="169">
        <v>0</v>
      </c>
      <c r="K177" s="160">
        <v>4869</v>
      </c>
      <c r="L177" s="160">
        <v>979.2</v>
      </c>
      <c r="M177" s="160">
        <v>0</v>
      </c>
      <c r="N177" s="162">
        <v>1142.3</v>
      </c>
      <c r="O177" s="160">
        <v>979.2</v>
      </c>
      <c r="P177" s="169">
        <v>0</v>
      </c>
    </row>
    <row r="178" spans="1:16" x14ac:dyDescent="0.25">
      <c r="A178" s="97" t="s">
        <v>126</v>
      </c>
      <c r="B178" s="162">
        <v>6864</v>
      </c>
      <c r="C178" s="160">
        <v>1130.9000000000001</v>
      </c>
      <c r="D178" s="169">
        <v>0</v>
      </c>
      <c r="E178" s="160">
        <v>9739</v>
      </c>
      <c r="F178" s="160">
        <v>2937.6</v>
      </c>
      <c r="G178" s="160">
        <v>0</v>
      </c>
      <c r="H178" s="162">
        <v>18260</v>
      </c>
      <c r="I178" s="160">
        <v>18604.8</v>
      </c>
      <c r="J178" s="169">
        <v>0</v>
      </c>
      <c r="K178" s="160">
        <v>25563</v>
      </c>
      <c r="L178" s="160">
        <v>7833.6</v>
      </c>
      <c r="M178" s="160">
        <v>0</v>
      </c>
      <c r="N178" s="162">
        <v>4569.2</v>
      </c>
      <c r="O178" s="160">
        <v>4896</v>
      </c>
      <c r="P178" s="169">
        <v>0</v>
      </c>
    </row>
    <row r="179" spans="1:16" x14ac:dyDescent="0.25">
      <c r="A179" s="97" t="s">
        <v>119</v>
      </c>
      <c r="B179" s="162"/>
      <c r="C179" s="160"/>
      <c r="D179" s="169"/>
      <c r="E179" s="160"/>
      <c r="F179" s="160"/>
      <c r="G179" s="160"/>
      <c r="H179" s="162"/>
      <c r="I179" s="160"/>
      <c r="J179" s="169"/>
      <c r="K179" s="160"/>
      <c r="L179" s="160"/>
      <c r="M179" s="160"/>
      <c r="N179" s="162"/>
      <c r="O179" s="160"/>
      <c r="P179" s="169"/>
    </row>
    <row r="180" spans="1:16" x14ac:dyDescent="0.25">
      <c r="A180" s="98">
        <v>45695</v>
      </c>
      <c r="B180" s="162">
        <v>0</v>
      </c>
      <c r="C180" s="160">
        <v>0</v>
      </c>
      <c r="D180" s="169">
        <v>0</v>
      </c>
      <c r="E180" s="160">
        <v>2435</v>
      </c>
      <c r="F180" s="160">
        <v>0</v>
      </c>
      <c r="G180" s="160">
        <v>0</v>
      </c>
      <c r="H180" s="162">
        <v>1217</v>
      </c>
      <c r="I180" s="160">
        <v>0</v>
      </c>
      <c r="J180" s="169">
        <v>0</v>
      </c>
      <c r="K180" s="160">
        <v>1217</v>
      </c>
      <c r="L180" s="160">
        <v>1958.4</v>
      </c>
      <c r="M180" s="160">
        <v>0</v>
      </c>
      <c r="N180" s="162">
        <v>0</v>
      </c>
      <c r="O180" s="160">
        <v>0</v>
      </c>
      <c r="P180" s="169">
        <v>0</v>
      </c>
    </row>
    <row r="181" spans="1:16" x14ac:dyDescent="0.25">
      <c r="A181" s="98">
        <v>45694</v>
      </c>
      <c r="B181" s="162">
        <v>2288</v>
      </c>
      <c r="C181" s="160">
        <v>2261.8000000000002</v>
      </c>
      <c r="D181" s="169">
        <v>0</v>
      </c>
      <c r="E181" s="160">
        <v>0</v>
      </c>
      <c r="F181" s="160">
        <v>1958.4</v>
      </c>
      <c r="G181" s="160">
        <v>0</v>
      </c>
      <c r="H181" s="162">
        <v>2435</v>
      </c>
      <c r="I181" s="160">
        <v>979.2</v>
      </c>
      <c r="J181" s="169">
        <v>0</v>
      </c>
      <c r="K181" s="160">
        <v>3652</v>
      </c>
      <c r="L181" s="160">
        <v>979.2</v>
      </c>
      <c r="M181" s="160">
        <v>0</v>
      </c>
      <c r="N181" s="162">
        <v>0</v>
      </c>
      <c r="O181" s="160">
        <v>0</v>
      </c>
      <c r="P181" s="169">
        <v>0</v>
      </c>
    </row>
    <row r="182" spans="1:16" x14ac:dyDescent="0.25">
      <c r="A182" s="98">
        <v>45693</v>
      </c>
      <c r="B182" s="162">
        <v>1144</v>
      </c>
      <c r="C182" s="160">
        <v>0</v>
      </c>
      <c r="D182" s="169">
        <v>0</v>
      </c>
      <c r="E182" s="160">
        <v>1217</v>
      </c>
      <c r="F182" s="160">
        <v>0</v>
      </c>
      <c r="G182" s="160">
        <v>0</v>
      </c>
      <c r="H182" s="162">
        <v>7304</v>
      </c>
      <c r="I182" s="160">
        <v>0</v>
      </c>
      <c r="J182" s="169">
        <v>0</v>
      </c>
      <c r="K182" s="160">
        <v>3652</v>
      </c>
      <c r="L182" s="160">
        <v>0</v>
      </c>
      <c r="M182" s="160">
        <v>0</v>
      </c>
      <c r="N182" s="162">
        <v>2284.6</v>
      </c>
      <c r="O182" s="160">
        <v>0</v>
      </c>
      <c r="P182" s="169">
        <v>0</v>
      </c>
    </row>
    <row r="183" spans="1:16" x14ac:dyDescent="0.25">
      <c r="A183" s="98">
        <v>45692</v>
      </c>
      <c r="B183" s="162">
        <v>1144</v>
      </c>
      <c r="C183" s="160">
        <v>0</v>
      </c>
      <c r="D183" s="169">
        <v>0</v>
      </c>
      <c r="E183" s="160">
        <v>4869</v>
      </c>
      <c r="F183" s="160">
        <v>0</v>
      </c>
      <c r="G183" s="160">
        <v>0</v>
      </c>
      <c r="H183" s="162">
        <v>4869</v>
      </c>
      <c r="I183" s="160">
        <v>0</v>
      </c>
      <c r="J183" s="169">
        <v>0</v>
      </c>
      <c r="K183" s="160">
        <v>7304</v>
      </c>
      <c r="L183" s="160">
        <v>0</v>
      </c>
      <c r="M183" s="160">
        <v>0</v>
      </c>
      <c r="N183" s="162">
        <v>1142.3</v>
      </c>
      <c r="O183" s="160">
        <v>0</v>
      </c>
      <c r="P183" s="169">
        <v>0</v>
      </c>
    </row>
    <row r="184" spans="1:16" x14ac:dyDescent="0.25">
      <c r="A184" s="98">
        <v>45691</v>
      </c>
      <c r="B184" s="162">
        <v>0</v>
      </c>
      <c r="C184" s="160">
        <v>0</v>
      </c>
      <c r="D184" s="169">
        <v>0</v>
      </c>
      <c r="E184" s="160">
        <v>1217</v>
      </c>
      <c r="F184" s="160">
        <v>0</v>
      </c>
      <c r="G184" s="160">
        <v>0</v>
      </c>
      <c r="H184" s="162">
        <v>1217</v>
      </c>
      <c r="I184" s="160">
        <v>0</v>
      </c>
      <c r="J184" s="169">
        <v>0</v>
      </c>
      <c r="K184" s="160">
        <v>8521</v>
      </c>
      <c r="L184" s="160">
        <v>0</v>
      </c>
      <c r="M184" s="160">
        <v>0</v>
      </c>
      <c r="N184" s="162">
        <v>0</v>
      </c>
      <c r="O184" s="160">
        <v>0</v>
      </c>
      <c r="P184" s="169">
        <v>0</v>
      </c>
    </row>
    <row r="185" spans="1:16" x14ac:dyDescent="0.25">
      <c r="A185" s="97" t="s">
        <v>127</v>
      </c>
      <c r="B185" s="162">
        <v>4576</v>
      </c>
      <c r="C185" s="160">
        <v>2261.8000000000002</v>
      </c>
      <c r="D185" s="169">
        <v>0</v>
      </c>
      <c r="E185" s="160">
        <v>9738</v>
      </c>
      <c r="F185" s="160">
        <v>1958.4</v>
      </c>
      <c r="G185" s="160">
        <v>0</v>
      </c>
      <c r="H185" s="162">
        <v>17042</v>
      </c>
      <c r="I185" s="160">
        <v>979.2</v>
      </c>
      <c r="J185" s="169">
        <v>0</v>
      </c>
      <c r="K185" s="160">
        <v>24346</v>
      </c>
      <c r="L185" s="160">
        <v>2937.6</v>
      </c>
      <c r="M185" s="160">
        <v>0</v>
      </c>
      <c r="N185" s="162">
        <v>3426.9</v>
      </c>
      <c r="O185" s="160">
        <v>0</v>
      </c>
      <c r="P185" s="169">
        <v>0</v>
      </c>
    </row>
    <row r="186" spans="1:16" x14ac:dyDescent="0.25">
      <c r="A186" s="97" t="s">
        <v>120</v>
      </c>
      <c r="B186" s="162"/>
      <c r="C186" s="160"/>
      <c r="D186" s="169"/>
      <c r="E186" s="160"/>
      <c r="F186" s="160"/>
      <c r="G186" s="160"/>
      <c r="H186" s="162"/>
      <c r="I186" s="160"/>
      <c r="J186" s="169"/>
      <c r="K186" s="160"/>
      <c r="L186" s="160"/>
      <c r="M186" s="160"/>
      <c r="N186" s="162"/>
      <c r="O186" s="160"/>
      <c r="P186" s="169"/>
    </row>
    <row r="187" spans="1:16" x14ac:dyDescent="0.25">
      <c r="A187" s="98">
        <v>45688</v>
      </c>
      <c r="B187" s="162">
        <v>0</v>
      </c>
      <c r="C187" s="160">
        <v>0</v>
      </c>
      <c r="D187" s="169">
        <v>0</v>
      </c>
      <c r="E187" s="160">
        <v>7304</v>
      </c>
      <c r="F187" s="160">
        <v>0</v>
      </c>
      <c r="G187" s="160">
        <v>0</v>
      </c>
      <c r="H187" s="162">
        <v>2435</v>
      </c>
      <c r="I187" s="160">
        <v>0</v>
      </c>
      <c r="J187" s="169">
        <v>0</v>
      </c>
      <c r="K187" s="160">
        <v>6086</v>
      </c>
      <c r="L187" s="160">
        <v>0</v>
      </c>
      <c r="M187" s="160">
        <v>0</v>
      </c>
      <c r="N187" s="162">
        <v>0</v>
      </c>
      <c r="O187" s="160">
        <v>0</v>
      </c>
      <c r="P187" s="169">
        <v>0</v>
      </c>
    </row>
    <row r="188" spans="1:16" x14ac:dyDescent="0.25">
      <c r="A188" s="98">
        <v>45687</v>
      </c>
      <c r="B188" s="162">
        <v>1144</v>
      </c>
      <c r="C188" s="160">
        <v>0</v>
      </c>
      <c r="D188" s="169">
        <v>0</v>
      </c>
      <c r="E188" s="160">
        <v>1217</v>
      </c>
      <c r="F188" s="160">
        <v>0</v>
      </c>
      <c r="G188" s="160">
        <v>0</v>
      </c>
      <c r="H188" s="162">
        <v>4869</v>
      </c>
      <c r="I188" s="160">
        <v>0</v>
      </c>
      <c r="J188" s="169">
        <v>0</v>
      </c>
      <c r="K188" s="160">
        <v>2435</v>
      </c>
      <c r="L188" s="160">
        <v>0</v>
      </c>
      <c r="M188" s="160">
        <v>0</v>
      </c>
      <c r="N188" s="162">
        <v>1142.3</v>
      </c>
      <c r="O188" s="160">
        <v>0</v>
      </c>
      <c r="P188" s="169">
        <v>0</v>
      </c>
    </row>
    <row r="189" spans="1:16" x14ac:dyDescent="0.25">
      <c r="A189" s="98">
        <v>45686</v>
      </c>
      <c r="B189" s="162">
        <v>1144</v>
      </c>
      <c r="C189" s="160">
        <v>0</v>
      </c>
      <c r="D189" s="169">
        <v>0</v>
      </c>
      <c r="E189" s="160">
        <v>3652</v>
      </c>
      <c r="F189" s="160">
        <v>0</v>
      </c>
      <c r="G189" s="160">
        <v>0</v>
      </c>
      <c r="H189" s="162">
        <v>3652</v>
      </c>
      <c r="I189" s="160">
        <v>0</v>
      </c>
      <c r="J189" s="169">
        <v>0</v>
      </c>
      <c r="K189" s="160">
        <v>8521</v>
      </c>
      <c r="L189" s="160">
        <v>0</v>
      </c>
      <c r="M189" s="160">
        <v>0</v>
      </c>
      <c r="N189" s="162">
        <v>0</v>
      </c>
      <c r="O189" s="160">
        <v>0</v>
      </c>
      <c r="P189" s="169">
        <v>0</v>
      </c>
    </row>
    <row r="190" spans="1:16" x14ac:dyDescent="0.25">
      <c r="A190" s="98">
        <v>45685</v>
      </c>
      <c r="B190" s="162">
        <v>2288</v>
      </c>
      <c r="C190" s="160">
        <v>0</v>
      </c>
      <c r="D190" s="169">
        <v>0</v>
      </c>
      <c r="E190" s="160">
        <v>8521</v>
      </c>
      <c r="F190" s="160">
        <v>0</v>
      </c>
      <c r="G190" s="160">
        <v>0</v>
      </c>
      <c r="H190" s="162">
        <v>10956</v>
      </c>
      <c r="I190" s="160">
        <v>0</v>
      </c>
      <c r="J190" s="169">
        <v>0</v>
      </c>
      <c r="K190" s="160">
        <v>4869</v>
      </c>
      <c r="L190" s="160">
        <v>0</v>
      </c>
      <c r="M190" s="160">
        <v>0</v>
      </c>
      <c r="N190" s="162">
        <v>1142.3</v>
      </c>
      <c r="O190" s="160">
        <v>0</v>
      </c>
      <c r="P190" s="169">
        <v>0</v>
      </c>
    </row>
    <row r="191" spans="1:16" x14ac:dyDescent="0.25">
      <c r="A191" s="98">
        <v>45684</v>
      </c>
      <c r="B191" s="162">
        <v>0</v>
      </c>
      <c r="C191" s="160">
        <v>0</v>
      </c>
      <c r="D191" s="169">
        <v>0</v>
      </c>
      <c r="E191" s="160">
        <v>3652</v>
      </c>
      <c r="F191" s="160">
        <v>0</v>
      </c>
      <c r="G191" s="160">
        <v>0</v>
      </c>
      <c r="H191" s="162">
        <v>6086</v>
      </c>
      <c r="I191" s="160">
        <v>0</v>
      </c>
      <c r="J191" s="169">
        <v>0</v>
      </c>
      <c r="K191" s="160">
        <v>17042</v>
      </c>
      <c r="L191" s="160">
        <v>0</v>
      </c>
      <c r="M191" s="160">
        <v>0</v>
      </c>
      <c r="N191" s="162">
        <v>2284.6</v>
      </c>
      <c r="O191" s="160">
        <v>0</v>
      </c>
      <c r="P191" s="169">
        <v>0</v>
      </c>
    </row>
    <row r="192" spans="1:16" x14ac:dyDescent="0.25">
      <c r="A192" s="97" t="s">
        <v>128</v>
      </c>
      <c r="B192" s="162">
        <v>4576</v>
      </c>
      <c r="C192" s="160">
        <v>0</v>
      </c>
      <c r="D192" s="169">
        <v>0</v>
      </c>
      <c r="E192" s="160">
        <v>24346</v>
      </c>
      <c r="F192" s="160">
        <v>0</v>
      </c>
      <c r="G192" s="160">
        <v>0</v>
      </c>
      <c r="H192" s="162">
        <v>27998</v>
      </c>
      <c r="I192" s="160">
        <v>0</v>
      </c>
      <c r="J192" s="169">
        <v>0</v>
      </c>
      <c r="K192" s="160">
        <v>38953</v>
      </c>
      <c r="L192" s="160">
        <v>0</v>
      </c>
      <c r="M192" s="160">
        <v>0</v>
      </c>
      <c r="N192" s="162">
        <v>4569.2</v>
      </c>
      <c r="O192" s="160">
        <v>0</v>
      </c>
      <c r="P192" s="169">
        <v>0</v>
      </c>
    </row>
    <row r="193" spans="1:16" x14ac:dyDescent="0.25">
      <c r="A193" s="97" t="s">
        <v>121</v>
      </c>
      <c r="B193" s="162"/>
      <c r="C193" s="160"/>
      <c r="D193" s="169"/>
      <c r="E193" s="160"/>
      <c r="F193" s="160"/>
      <c r="G193" s="160"/>
      <c r="H193" s="162"/>
      <c r="I193" s="160"/>
      <c r="J193" s="169"/>
      <c r="K193" s="160"/>
      <c r="L193" s="160"/>
      <c r="M193" s="160"/>
      <c r="N193" s="162"/>
      <c r="O193" s="160"/>
      <c r="P193" s="169"/>
    </row>
    <row r="194" spans="1:16" x14ac:dyDescent="0.25">
      <c r="A194" s="98">
        <v>45681</v>
      </c>
      <c r="B194" s="162">
        <v>1144</v>
      </c>
      <c r="C194" s="160">
        <v>0</v>
      </c>
      <c r="D194" s="169">
        <v>0</v>
      </c>
      <c r="E194" s="160">
        <v>8521</v>
      </c>
      <c r="F194" s="160">
        <v>0</v>
      </c>
      <c r="G194" s="160">
        <v>0</v>
      </c>
      <c r="H194" s="162">
        <v>7304</v>
      </c>
      <c r="I194" s="160">
        <v>0</v>
      </c>
      <c r="J194" s="169">
        <v>0</v>
      </c>
      <c r="K194" s="160">
        <v>10956</v>
      </c>
      <c r="L194" s="160">
        <v>0</v>
      </c>
      <c r="M194" s="160">
        <v>0</v>
      </c>
      <c r="N194" s="162">
        <v>4569.2</v>
      </c>
      <c r="O194" s="160">
        <v>0</v>
      </c>
      <c r="P194" s="169">
        <v>0</v>
      </c>
    </row>
    <row r="195" spans="1:16" x14ac:dyDescent="0.25">
      <c r="A195" s="98">
        <v>45680</v>
      </c>
      <c r="B195" s="162">
        <v>0</v>
      </c>
      <c r="C195" s="160">
        <v>2261.8000000000002</v>
      </c>
      <c r="D195" s="169">
        <v>0</v>
      </c>
      <c r="E195" s="160">
        <v>6012</v>
      </c>
      <c r="F195" s="160">
        <v>0</v>
      </c>
      <c r="G195" s="160">
        <v>0</v>
      </c>
      <c r="H195" s="162">
        <v>4869</v>
      </c>
      <c r="I195" s="160">
        <v>0</v>
      </c>
      <c r="J195" s="169">
        <v>0</v>
      </c>
      <c r="K195" s="160">
        <v>6086</v>
      </c>
      <c r="L195" s="160">
        <v>0</v>
      </c>
      <c r="M195" s="160">
        <v>0</v>
      </c>
      <c r="N195" s="162">
        <v>3426.9</v>
      </c>
      <c r="O195" s="160">
        <v>0</v>
      </c>
      <c r="P195" s="169">
        <v>0</v>
      </c>
    </row>
    <row r="196" spans="1:16" x14ac:dyDescent="0.25">
      <c r="A196" s="98">
        <v>45679</v>
      </c>
      <c r="B196" s="162">
        <v>1144</v>
      </c>
      <c r="C196" s="160">
        <v>0</v>
      </c>
      <c r="D196" s="169">
        <v>0</v>
      </c>
      <c r="E196" s="160">
        <v>4569</v>
      </c>
      <c r="F196" s="160">
        <v>0</v>
      </c>
      <c r="G196" s="160">
        <v>0</v>
      </c>
      <c r="H196" s="162">
        <v>6086</v>
      </c>
      <c r="I196" s="160">
        <v>0</v>
      </c>
      <c r="J196" s="169">
        <v>0</v>
      </c>
      <c r="K196" s="160">
        <v>7304</v>
      </c>
      <c r="L196" s="160">
        <v>0</v>
      </c>
      <c r="M196" s="160">
        <v>0</v>
      </c>
      <c r="N196" s="162">
        <v>0</v>
      </c>
      <c r="O196" s="160">
        <v>0</v>
      </c>
      <c r="P196" s="169">
        <v>0</v>
      </c>
    </row>
    <row r="197" spans="1:16" x14ac:dyDescent="0.25">
      <c r="A197" s="98">
        <v>45678</v>
      </c>
      <c r="B197" s="162">
        <v>1144</v>
      </c>
      <c r="C197" s="160">
        <v>1130.9000000000001</v>
      </c>
      <c r="D197" s="169">
        <v>0</v>
      </c>
      <c r="E197" s="160">
        <v>2285</v>
      </c>
      <c r="F197" s="160">
        <v>0</v>
      </c>
      <c r="G197" s="160">
        <v>0</v>
      </c>
      <c r="H197" s="162">
        <v>4869</v>
      </c>
      <c r="I197" s="160">
        <v>0</v>
      </c>
      <c r="J197" s="169">
        <v>0</v>
      </c>
      <c r="K197" s="160">
        <v>7304</v>
      </c>
      <c r="L197" s="160">
        <v>0</v>
      </c>
      <c r="M197" s="160">
        <v>0</v>
      </c>
      <c r="N197" s="162">
        <v>1142.3</v>
      </c>
      <c r="O197" s="160">
        <v>0</v>
      </c>
      <c r="P197" s="169">
        <v>0</v>
      </c>
    </row>
    <row r="198" spans="1:16" x14ac:dyDescent="0.25">
      <c r="A198" s="98">
        <v>45677</v>
      </c>
      <c r="B198" s="162">
        <v>0</v>
      </c>
      <c r="C198" s="160">
        <v>0</v>
      </c>
      <c r="D198" s="169">
        <v>0</v>
      </c>
      <c r="E198" s="160">
        <v>10281</v>
      </c>
      <c r="F198" s="160">
        <v>0</v>
      </c>
      <c r="G198" s="160">
        <v>0</v>
      </c>
      <c r="H198" s="162">
        <v>7304</v>
      </c>
      <c r="I198" s="160">
        <v>0</v>
      </c>
      <c r="J198" s="169">
        <v>0</v>
      </c>
      <c r="K198" s="160">
        <v>9738</v>
      </c>
      <c r="L198" s="160">
        <v>0</v>
      </c>
      <c r="M198" s="160">
        <v>0</v>
      </c>
      <c r="N198" s="162">
        <v>1142.3</v>
      </c>
      <c r="O198" s="160">
        <v>0</v>
      </c>
      <c r="P198" s="169">
        <v>0</v>
      </c>
    </row>
    <row r="199" spans="1:16" x14ac:dyDescent="0.25">
      <c r="A199" s="97" t="s">
        <v>129</v>
      </c>
      <c r="B199" s="162">
        <v>3432</v>
      </c>
      <c r="C199" s="160">
        <v>3392.7000000000003</v>
      </c>
      <c r="D199" s="169">
        <v>0</v>
      </c>
      <c r="E199" s="160">
        <v>31668</v>
      </c>
      <c r="F199" s="160">
        <v>0</v>
      </c>
      <c r="G199" s="160">
        <v>0</v>
      </c>
      <c r="H199" s="162">
        <v>30432</v>
      </c>
      <c r="I199" s="160">
        <v>0</v>
      </c>
      <c r="J199" s="169">
        <v>0</v>
      </c>
      <c r="K199" s="160">
        <v>41388</v>
      </c>
      <c r="L199" s="160">
        <v>0</v>
      </c>
      <c r="M199" s="160">
        <v>0</v>
      </c>
      <c r="N199" s="162">
        <v>10280.700000000001</v>
      </c>
      <c r="O199" s="160">
        <v>0</v>
      </c>
      <c r="P199" s="169">
        <v>0</v>
      </c>
    </row>
    <row r="200" spans="1:16" x14ac:dyDescent="0.25">
      <c r="A200" s="97" t="s">
        <v>122</v>
      </c>
      <c r="B200" s="162"/>
      <c r="C200" s="160"/>
      <c r="D200" s="169"/>
      <c r="E200" s="160"/>
      <c r="F200" s="160"/>
      <c r="G200" s="160"/>
      <c r="H200" s="162"/>
      <c r="I200" s="160"/>
      <c r="J200" s="169"/>
      <c r="K200" s="160"/>
      <c r="L200" s="160"/>
      <c r="M200" s="160"/>
      <c r="N200" s="162"/>
      <c r="O200" s="160"/>
      <c r="P200" s="169"/>
    </row>
    <row r="201" spans="1:16" x14ac:dyDescent="0.25">
      <c r="A201" s="98">
        <v>45674</v>
      </c>
      <c r="B201" s="162">
        <v>1144</v>
      </c>
      <c r="C201" s="160">
        <v>0</v>
      </c>
      <c r="D201" s="169">
        <v>0</v>
      </c>
      <c r="E201" s="160">
        <v>4569</v>
      </c>
      <c r="F201" s="160">
        <v>0</v>
      </c>
      <c r="G201" s="160">
        <v>0</v>
      </c>
      <c r="H201" s="162">
        <v>8371</v>
      </c>
      <c r="I201" s="160">
        <v>0</v>
      </c>
      <c r="J201" s="169">
        <v>0</v>
      </c>
      <c r="K201" s="160">
        <v>12173</v>
      </c>
      <c r="L201" s="160">
        <v>0</v>
      </c>
      <c r="M201" s="160">
        <v>0</v>
      </c>
      <c r="N201" s="162">
        <v>6853.8</v>
      </c>
      <c r="O201" s="160">
        <v>0</v>
      </c>
      <c r="P201" s="169">
        <v>0</v>
      </c>
    </row>
    <row r="202" spans="1:16" x14ac:dyDescent="0.25">
      <c r="A202" s="98">
        <v>45673</v>
      </c>
      <c r="B202" s="162">
        <v>1144</v>
      </c>
      <c r="C202" s="160">
        <v>1130.9000000000001</v>
      </c>
      <c r="D202" s="169">
        <v>0</v>
      </c>
      <c r="E202" s="160">
        <v>4569</v>
      </c>
      <c r="F202" s="160">
        <v>0</v>
      </c>
      <c r="G202" s="160">
        <v>0</v>
      </c>
      <c r="H202" s="162">
        <v>6854</v>
      </c>
      <c r="I202" s="160">
        <v>0</v>
      </c>
      <c r="J202" s="169">
        <v>0</v>
      </c>
      <c r="K202" s="160">
        <v>10806</v>
      </c>
      <c r="L202" s="160">
        <v>0</v>
      </c>
      <c r="M202" s="160">
        <v>0</v>
      </c>
      <c r="N202" s="162">
        <v>3426.9</v>
      </c>
      <c r="O202" s="160">
        <v>0</v>
      </c>
      <c r="P202" s="169">
        <v>0</v>
      </c>
    </row>
    <row r="203" spans="1:16" x14ac:dyDescent="0.25">
      <c r="A203" s="98">
        <v>45672</v>
      </c>
      <c r="B203" s="162">
        <v>0</v>
      </c>
      <c r="C203" s="160">
        <v>1130.9000000000001</v>
      </c>
      <c r="D203" s="169">
        <v>0</v>
      </c>
      <c r="E203" s="160">
        <v>3427</v>
      </c>
      <c r="F203" s="160">
        <v>0</v>
      </c>
      <c r="G203" s="160">
        <v>0</v>
      </c>
      <c r="H203" s="162">
        <v>7996</v>
      </c>
      <c r="I203" s="160">
        <v>0</v>
      </c>
      <c r="J203" s="169">
        <v>0</v>
      </c>
      <c r="K203" s="160">
        <v>12565</v>
      </c>
      <c r="L203" s="160">
        <v>0</v>
      </c>
      <c r="M203" s="160">
        <v>0</v>
      </c>
      <c r="N203" s="162">
        <v>0</v>
      </c>
      <c r="O203" s="160">
        <v>0</v>
      </c>
      <c r="P203" s="169">
        <v>0</v>
      </c>
    </row>
    <row r="204" spans="1:16" x14ac:dyDescent="0.25">
      <c r="A204" s="98">
        <v>45671</v>
      </c>
      <c r="B204" s="162">
        <v>0</v>
      </c>
      <c r="C204" s="160">
        <v>2261.8000000000002</v>
      </c>
      <c r="D204" s="169">
        <v>0</v>
      </c>
      <c r="E204" s="160">
        <v>3427</v>
      </c>
      <c r="F204" s="160">
        <v>0</v>
      </c>
      <c r="G204" s="160">
        <v>0</v>
      </c>
      <c r="H204" s="162">
        <v>10281</v>
      </c>
      <c r="I204" s="160">
        <v>0</v>
      </c>
      <c r="J204" s="169">
        <v>0</v>
      </c>
      <c r="K204" s="160">
        <v>6854</v>
      </c>
      <c r="L204" s="160">
        <v>0</v>
      </c>
      <c r="M204" s="160">
        <v>0</v>
      </c>
      <c r="N204" s="162">
        <v>2284.6</v>
      </c>
      <c r="O204" s="160">
        <v>0</v>
      </c>
      <c r="P204" s="169">
        <v>0</v>
      </c>
    </row>
    <row r="205" spans="1:16" x14ac:dyDescent="0.25">
      <c r="A205" s="98">
        <v>45670</v>
      </c>
      <c r="B205" s="162">
        <v>1144</v>
      </c>
      <c r="C205" s="160">
        <v>1130.9000000000001</v>
      </c>
      <c r="D205" s="169">
        <v>0</v>
      </c>
      <c r="E205" s="160">
        <v>5712</v>
      </c>
      <c r="F205" s="160">
        <v>0</v>
      </c>
      <c r="G205" s="160">
        <v>0</v>
      </c>
      <c r="H205" s="162">
        <v>1142</v>
      </c>
      <c r="I205" s="160">
        <v>0</v>
      </c>
      <c r="J205" s="169">
        <v>0</v>
      </c>
      <c r="K205" s="160">
        <v>5712</v>
      </c>
      <c r="L205" s="160">
        <v>0</v>
      </c>
      <c r="M205" s="160">
        <v>0</v>
      </c>
      <c r="N205" s="162">
        <v>947.7</v>
      </c>
      <c r="O205" s="160">
        <v>0</v>
      </c>
      <c r="P205" s="169">
        <v>0</v>
      </c>
    </row>
    <row r="206" spans="1:16" x14ac:dyDescent="0.25">
      <c r="A206" s="97" t="s">
        <v>130</v>
      </c>
      <c r="B206" s="162">
        <v>3432</v>
      </c>
      <c r="C206" s="160">
        <v>5654.5</v>
      </c>
      <c r="D206" s="169">
        <v>0</v>
      </c>
      <c r="E206" s="160">
        <v>21704</v>
      </c>
      <c r="F206" s="160">
        <v>0</v>
      </c>
      <c r="G206" s="160">
        <v>0</v>
      </c>
      <c r="H206" s="162">
        <v>34644</v>
      </c>
      <c r="I206" s="160">
        <v>0</v>
      </c>
      <c r="J206" s="169">
        <v>0</v>
      </c>
      <c r="K206" s="160">
        <v>48110</v>
      </c>
      <c r="L206" s="160">
        <v>0</v>
      </c>
      <c r="M206" s="160">
        <v>0</v>
      </c>
      <c r="N206" s="162">
        <v>13513</v>
      </c>
      <c r="O206" s="160">
        <v>0</v>
      </c>
      <c r="P206" s="169">
        <v>0</v>
      </c>
    </row>
    <row r="207" spans="1:16" x14ac:dyDescent="0.25">
      <c r="A207" s="97" t="s">
        <v>123</v>
      </c>
      <c r="B207" s="162"/>
      <c r="C207" s="160"/>
      <c r="D207" s="169"/>
      <c r="E207" s="160"/>
      <c r="F207" s="160"/>
      <c r="G207" s="160"/>
      <c r="H207" s="162"/>
      <c r="I207" s="160"/>
      <c r="J207" s="169"/>
      <c r="K207" s="160"/>
      <c r="L207" s="160"/>
      <c r="M207" s="160"/>
      <c r="N207" s="162"/>
      <c r="O207" s="160"/>
      <c r="P207" s="169"/>
    </row>
    <row r="208" spans="1:16" x14ac:dyDescent="0.25">
      <c r="A208" s="98">
        <v>45667</v>
      </c>
      <c r="B208" s="162">
        <v>0</v>
      </c>
      <c r="C208" s="160">
        <v>1130.9000000000001</v>
      </c>
      <c r="D208" s="169">
        <v>0</v>
      </c>
      <c r="E208" s="160">
        <v>5712</v>
      </c>
      <c r="F208" s="160">
        <v>0</v>
      </c>
      <c r="G208" s="160">
        <v>0</v>
      </c>
      <c r="H208" s="162">
        <v>10281</v>
      </c>
      <c r="I208" s="160">
        <v>0</v>
      </c>
      <c r="J208" s="169">
        <v>0</v>
      </c>
      <c r="K208" s="160">
        <v>2285</v>
      </c>
      <c r="L208" s="160">
        <v>0</v>
      </c>
      <c r="M208" s="160">
        <v>0</v>
      </c>
      <c r="N208" s="162">
        <v>0</v>
      </c>
      <c r="O208" s="160">
        <v>0</v>
      </c>
      <c r="P208" s="169">
        <v>0</v>
      </c>
    </row>
    <row r="209" spans="1:16" x14ac:dyDescent="0.25">
      <c r="A209" s="98">
        <v>45666</v>
      </c>
      <c r="B209" s="162">
        <v>0</v>
      </c>
      <c r="C209" s="160">
        <v>0</v>
      </c>
      <c r="D209" s="169">
        <v>0</v>
      </c>
      <c r="E209" s="160">
        <v>5712</v>
      </c>
      <c r="F209" s="160">
        <v>0</v>
      </c>
      <c r="G209" s="160">
        <v>0</v>
      </c>
      <c r="H209" s="162">
        <v>3427</v>
      </c>
      <c r="I209" s="160">
        <v>0</v>
      </c>
      <c r="J209" s="169">
        <v>0</v>
      </c>
      <c r="K209" s="160">
        <v>4569</v>
      </c>
      <c r="L209" s="160">
        <v>0</v>
      </c>
      <c r="M209" s="160">
        <v>0</v>
      </c>
      <c r="N209" s="162">
        <v>1895.4</v>
      </c>
      <c r="O209" s="160">
        <v>0</v>
      </c>
      <c r="P209" s="169">
        <v>0</v>
      </c>
    </row>
    <row r="210" spans="1:16" ht="15.75" thickBot="1" x14ac:dyDescent="0.3">
      <c r="A210" s="97" t="s">
        <v>131</v>
      </c>
      <c r="B210" s="163">
        <v>0</v>
      </c>
      <c r="C210" s="161">
        <v>1130.9000000000001</v>
      </c>
      <c r="D210" s="170">
        <v>0</v>
      </c>
      <c r="E210" s="160">
        <v>11424</v>
      </c>
      <c r="F210" s="160">
        <v>0</v>
      </c>
      <c r="G210" s="160">
        <v>0</v>
      </c>
      <c r="H210" s="163">
        <v>13708</v>
      </c>
      <c r="I210" s="161">
        <v>0</v>
      </c>
      <c r="J210" s="170">
        <v>0</v>
      </c>
      <c r="K210" s="160">
        <v>6854</v>
      </c>
      <c r="L210" s="160">
        <v>0</v>
      </c>
      <c r="M210" s="160">
        <v>0</v>
      </c>
      <c r="N210" s="163">
        <v>1895.4</v>
      </c>
      <c r="O210" s="161">
        <v>0</v>
      </c>
      <c r="P210" s="170">
        <v>0</v>
      </c>
    </row>
  </sheetData>
  <mergeCells count="11">
    <mergeCell ref="S17:V17"/>
    <mergeCell ref="N1:P1"/>
    <mergeCell ref="K1:M1"/>
    <mergeCell ref="H1:J1"/>
    <mergeCell ref="E1:G1"/>
    <mergeCell ref="AI1:AL1"/>
    <mergeCell ref="B1:D1"/>
    <mergeCell ref="W1:Z1"/>
    <mergeCell ref="S1:V1"/>
    <mergeCell ref="AA1:AD1"/>
    <mergeCell ref="AE1:A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/>
  <dimension ref="A1:V237"/>
  <sheetViews>
    <sheetView zoomScale="90" zoomScaleNormal="90" workbookViewId="0">
      <selection activeCell="M36" sqref="M36"/>
    </sheetView>
  </sheetViews>
  <sheetFormatPr defaultRowHeight="15" x14ac:dyDescent="0.25"/>
  <cols>
    <col min="1" max="1" width="15.140625" customWidth="1"/>
    <col min="2" max="2" width="18" bestFit="1" customWidth="1"/>
    <col min="3" max="3" width="12.5703125" bestFit="1" customWidth="1"/>
    <col min="4" max="5" width="15.28515625" customWidth="1"/>
    <col min="6" max="6" width="14" customWidth="1"/>
    <col min="8" max="8" width="10" customWidth="1"/>
    <col min="9" max="9" width="15" bestFit="1" customWidth="1"/>
    <col min="10" max="10" width="12.5703125" customWidth="1"/>
    <col min="11" max="12" width="13.85546875" bestFit="1" customWidth="1"/>
    <col min="13" max="13" width="10" bestFit="1" customWidth="1"/>
    <col min="14" max="14" width="13.42578125" customWidth="1"/>
    <col min="15" max="15" width="9.5703125" bestFit="1" customWidth="1"/>
    <col min="16" max="16" width="12.42578125" bestFit="1" customWidth="1"/>
    <col min="17" max="17" width="13.28515625" customWidth="1"/>
    <col min="18" max="18" width="11.5703125" bestFit="1" customWidth="1"/>
    <col min="19" max="19" width="12.7109375" bestFit="1" customWidth="1"/>
    <col min="20" max="20" width="17.28515625" bestFit="1" customWidth="1"/>
    <col min="21" max="21" width="12.7109375" bestFit="1" customWidth="1"/>
    <col min="22" max="22" width="12.28515625" bestFit="1" customWidth="1"/>
  </cols>
  <sheetData>
    <row r="1" spans="1:22" ht="15.75" thickBot="1" x14ac:dyDescent="0.3">
      <c r="A1" s="41" t="s">
        <v>37</v>
      </c>
      <c r="B1" s="41" t="s">
        <v>38</v>
      </c>
      <c r="C1" s="41" t="s">
        <v>39</v>
      </c>
      <c r="D1" s="41" t="s">
        <v>40</v>
      </c>
      <c r="E1" s="41" t="s">
        <v>41</v>
      </c>
      <c r="I1" s="42" t="s">
        <v>42</v>
      </c>
      <c r="J1" s="43"/>
      <c r="K1" s="29">
        <v>50239.580000000016</v>
      </c>
      <c r="L1" s="21"/>
      <c r="N1" s="8" t="s">
        <v>43</v>
      </c>
      <c r="P1" s="9" t="s">
        <v>44</v>
      </c>
      <c r="Q1" t="s">
        <v>45</v>
      </c>
      <c r="S1" t="s">
        <v>46</v>
      </c>
    </row>
    <row r="2" spans="1:22" ht="15.75" thickBot="1" x14ac:dyDescent="0.3">
      <c r="A2" s="2">
        <f>SUMIF($C$13:$C$26,E2,$B$13:$B$26)</f>
        <v>223</v>
      </c>
      <c r="B2" s="2">
        <f>SUMIF(Продажи_Новак[Товар],E2,Продажи_Новак[Кол-во])</f>
        <v>195</v>
      </c>
      <c r="C2" s="2">
        <f>A2-B2</f>
        <v>28</v>
      </c>
      <c r="D2" s="240">
        <v>795</v>
      </c>
      <c r="E2" s="2" t="s">
        <v>3</v>
      </c>
      <c r="N2" s="64">
        <f>K1+(K16-(K16*Q3))-SUM(Q21:R30)-SUM(P6:V17)-SUM(R3:V3)</f>
        <v>132737.5799999999</v>
      </c>
      <c r="P2" s="24"/>
      <c r="Q2" s="27" t="s">
        <v>47</v>
      </c>
      <c r="R2" s="24" t="s">
        <v>48</v>
      </c>
      <c r="S2" s="24" t="s">
        <v>143</v>
      </c>
      <c r="T2" s="24" t="s">
        <v>49</v>
      </c>
      <c r="U2" s="24" t="s">
        <v>50</v>
      </c>
      <c r="V2" s="24" t="s">
        <v>51</v>
      </c>
    </row>
    <row r="3" spans="1:22" x14ac:dyDescent="0.25">
      <c r="A3" s="2">
        <f>SUMIF($C$13:$C$26,E3,$B$13:$B$26)</f>
        <v>95</v>
      </c>
      <c r="B3" s="2">
        <f>SUMIF(Продажи_Новак[Товар],E3,Продажи_Новак[Кол-во])</f>
        <v>77</v>
      </c>
      <c r="C3" s="2">
        <f t="shared" ref="C3:C4" si="0">A3-B3</f>
        <v>18</v>
      </c>
      <c r="D3" s="240">
        <v>1100</v>
      </c>
      <c r="E3" s="2" t="s">
        <v>4</v>
      </c>
      <c r="I3" s="30" t="s">
        <v>52</v>
      </c>
      <c r="J3" s="24" t="s">
        <v>53</v>
      </c>
      <c r="K3" s="24" t="s">
        <v>54</v>
      </c>
      <c r="L3" s="24" t="s">
        <v>55</v>
      </c>
      <c r="P3" s="61"/>
      <c r="Q3" s="75">
        <v>2.7E-2</v>
      </c>
      <c r="R3" s="61">
        <v>1200</v>
      </c>
      <c r="S3" s="61">
        <v>3860</v>
      </c>
      <c r="T3" s="61"/>
      <c r="U3" s="61">
        <v>1600</v>
      </c>
      <c r="V3" s="67">
        <v>5000</v>
      </c>
    </row>
    <row r="4" spans="1:22" ht="15.75" thickBot="1" x14ac:dyDescent="0.3">
      <c r="A4" s="2">
        <f>SUMIF($C$13:$C$26,E4,$B$13:$B$26)</f>
        <v>30</v>
      </c>
      <c r="B4" s="2">
        <f>SUMIF(Продажи_Новак[Товар],E4,Продажи_Новак[Кол-во])</f>
        <v>22</v>
      </c>
      <c r="C4" s="2">
        <f t="shared" si="0"/>
        <v>8</v>
      </c>
      <c r="D4" s="240">
        <v>1340</v>
      </c>
      <c r="E4" s="2" t="s">
        <v>112</v>
      </c>
      <c r="I4" s="31">
        <v>190</v>
      </c>
      <c r="J4" s="2" t="s">
        <v>18</v>
      </c>
      <c r="K4" s="71" cm="1">
        <f t="array" ref="K4">SUMPRODUCT(1*ISNUMBER(SEARCH(J4,TEXT(Продажи_Новак[Дата],"ММММ"))),Продажи_Новак[Выручка])</f>
        <v>40700</v>
      </c>
      <c r="L4" s="61" cm="1">
        <f t="array" ref="L4">SUMPRODUCT(IFERROR(SEARCH($J4,TEXT(Продажи_Новак[Дата],"ММММ")),0),Продажи_Новак[Прибыль])-SUM(Q6:R6,U6:V6)</f>
        <v>-698.38000000000102</v>
      </c>
    </row>
    <row r="5" spans="1:22" ht="15" customHeight="1" x14ac:dyDescent="0.25">
      <c r="I5" s="31">
        <v>215</v>
      </c>
      <c r="J5" s="2" t="s">
        <v>19</v>
      </c>
      <c r="K5" s="71" cm="1">
        <f t="array" ref="K5">SUMPRODUCT(1*ISNUMBER(SEARCH(J5,TEXT(Продажи_Новак[Дата],"ММММ"))),Продажи_Новак[Выручка])</f>
        <v>59800</v>
      </c>
      <c r="L5" s="61" cm="1">
        <f t="array" ref="L5">SUMPRODUCT(IFERROR(SEARCH($J5,TEXT(Продажи_Новак[Дата],"ММММ")),0),Продажи_Новак[Прибыль])-SUM(Q7:R7,U7:V7)</f>
        <v>11108.140000000003</v>
      </c>
      <c r="P5" s="14"/>
      <c r="Q5" s="6" t="s">
        <v>56</v>
      </c>
      <c r="R5" s="6" t="s">
        <v>57</v>
      </c>
      <c r="S5" s="6" t="s">
        <v>58</v>
      </c>
      <c r="T5" s="6" t="s">
        <v>59</v>
      </c>
      <c r="U5" s="6" t="s">
        <v>60</v>
      </c>
      <c r="V5" s="7" t="s">
        <v>61</v>
      </c>
    </row>
    <row r="6" spans="1:22" x14ac:dyDescent="0.25">
      <c r="A6" s="24" t="s">
        <v>62</v>
      </c>
      <c r="B6" s="24" t="s">
        <v>40</v>
      </c>
      <c r="C6" s="41" t="s">
        <v>41</v>
      </c>
      <c r="I6" s="31"/>
      <c r="J6" s="2" t="s">
        <v>63</v>
      </c>
      <c r="K6" s="71" cm="1">
        <f t="array" ref="K6">SUMPRODUCT(1*ISNUMBER(SEARCH(J6,TEXT(Продажи_Новак[Дата],"ММММ"))),Продажи_Новак[Выручка])</f>
        <v>117910</v>
      </c>
      <c r="L6" s="61" cm="1">
        <f t="array" ref="L6">SUMPRODUCT(IFERROR(SEARCH($J6,TEXT(Продажи_Новак[Дата],"ММММ")),0),Продажи_Новак[Прибыль])-SUM(Q8:R8,U8:V8)</f>
        <v>41920.170000000013</v>
      </c>
      <c r="P6" s="12" t="s">
        <v>18</v>
      </c>
      <c r="Q6" s="65">
        <v>900</v>
      </c>
      <c r="R6" s="61">
        <v>1059.26</v>
      </c>
      <c r="S6" s="65">
        <v>15000</v>
      </c>
      <c r="T6" s="65"/>
      <c r="U6" s="65">
        <v>20000</v>
      </c>
      <c r="V6" s="66">
        <v>357.22</v>
      </c>
    </row>
    <row r="7" spans="1:22" x14ac:dyDescent="0.25">
      <c r="A7" s="2">
        <v>0</v>
      </c>
      <c r="B7" s="2">
        <v>720</v>
      </c>
      <c r="C7" s="2" t="s">
        <v>3</v>
      </c>
      <c r="I7" s="31"/>
      <c r="J7" s="2" t="s">
        <v>64</v>
      </c>
      <c r="K7" s="71" cm="1">
        <f t="array" ref="K7">SUMPRODUCT(1*ISNUMBER(SEARCH(J7,TEXT(Продажи_Новак[Дата],"ММММ"))),Продажи_Новак[Выручка])</f>
        <v>106220</v>
      </c>
      <c r="L7" s="61" cm="1">
        <f t="array" ref="L7">SUMPRODUCT(IFERROR(SEARCH($J7,TEXT(Продажи_Новак[Дата],"ММММ")),0),Продажи_Новак[Прибыль])-SUM(Q9:R9,U9:V9)</f>
        <v>34554.800000000003</v>
      </c>
      <c r="P7" s="12" t="s">
        <v>19</v>
      </c>
      <c r="Q7" s="67">
        <v>900</v>
      </c>
      <c r="R7" s="61">
        <v>1059.26</v>
      </c>
      <c r="S7" s="65">
        <v>54530</v>
      </c>
      <c r="T7" s="65"/>
      <c r="U7" s="65">
        <v>20030</v>
      </c>
      <c r="V7" s="66"/>
    </row>
    <row r="8" spans="1:22" x14ac:dyDescent="0.25">
      <c r="A8" s="2" t="s">
        <v>167</v>
      </c>
      <c r="B8" s="2">
        <v>1100</v>
      </c>
      <c r="C8" s="2" t="s">
        <v>4</v>
      </c>
      <c r="I8" s="31"/>
      <c r="J8" s="2" t="s">
        <v>65</v>
      </c>
      <c r="K8" s="71" cm="1">
        <f t="array" ref="K8">SUMPRODUCT(1*ISNUMBER(SEARCH(J8,TEXT(Продажи_Новак[Дата],"ММММ"))),Продажи_Новак[Выручка])</f>
        <v>90980</v>
      </c>
      <c r="L8" s="61" cm="1">
        <f t="array" ref="L8">SUMPRODUCT(IFERROR(SEARCH($J8,TEXT(Продажи_Новак[Дата],"ММММ")),0),Продажи_Новак[Прибыль])-SUM(Q10:R10,U10:V10)</f>
        <v>25097.28000000001</v>
      </c>
      <c r="P8" s="12" t="s">
        <v>63</v>
      </c>
      <c r="Q8" s="65">
        <v>900</v>
      </c>
      <c r="R8" s="61">
        <v>1059.26</v>
      </c>
      <c r="S8" s="67">
        <v>77306.399999999994</v>
      </c>
      <c r="T8" s="67">
        <v>700</v>
      </c>
      <c r="U8" s="67">
        <v>20000</v>
      </c>
      <c r="V8" s="66">
        <v>335</v>
      </c>
    </row>
    <row r="9" spans="1:22" x14ac:dyDescent="0.25">
      <c r="A9" s="2"/>
      <c r="B9" s="2">
        <v>1340</v>
      </c>
      <c r="C9" s="2" t="s">
        <v>112</v>
      </c>
      <c r="I9" s="31"/>
      <c r="J9" s="2" t="s">
        <v>66</v>
      </c>
      <c r="K9" s="71" cm="1">
        <f t="array" ref="K9">SUMPRODUCT(1*ISNUMBER(SEARCH(J9,TEXT(Продажи_Новак[Дата],"ММММ"))),Продажи_Новак[Выручка])</f>
        <v>100550</v>
      </c>
      <c r="L9" s="61" cm="1">
        <f t="array" ref="L9">SUMPRODUCT(IFERROR(SEARCH($J9,TEXT(Продажи_Новак[Дата],"ММММ")),0),Продажи_Новак[Прибыль])-SUM(Q11:R11,U11:V11)</f>
        <v>33299.530000000013</v>
      </c>
      <c r="P9" s="12" t="s">
        <v>64</v>
      </c>
      <c r="Q9" s="65">
        <v>900</v>
      </c>
      <c r="R9" s="61">
        <v>1059.26</v>
      </c>
      <c r="S9" s="65">
        <v>44040</v>
      </c>
      <c r="T9" s="65"/>
      <c r="U9" s="65">
        <v>20000</v>
      </c>
      <c r="V9" s="66"/>
    </row>
    <row r="10" spans="1:22" x14ac:dyDescent="0.25">
      <c r="I10" s="31"/>
      <c r="J10" s="2" t="s">
        <v>67</v>
      </c>
      <c r="K10" s="71" cm="1">
        <f t="array" ref="K10">SUMPRODUCT(1*ISNUMBER(SEARCH(J10,TEXT(Продажи_Новак[Дата],"ММММ"))),Продажи_Новак[Выручка])</f>
        <v>81440</v>
      </c>
      <c r="L10" s="61" cm="1">
        <f t="array" ref="L10">SUMPRODUCT(IFERROR(SEARCH($J10,TEXT(Продажи_Новак[Дата],"ММММ")),0),Продажи_Новак[Прибыль])-SUM(Q12:R12,U12:V12)</f>
        <v>21871.860000000004</v>
      </c>
      <c r="P10" s="12" t="s">
        <v>65</v>
      </c>
      <c r="Q10" s="65">
        <v>900</v>
      </c>
      <c r="R10" s="61">
        <v>1059.26</v>
      </c>
      <c r="S10" s="65">
        <v>13430</v>
      </c>
      <c r="T10" s="65"/>
      <c r="U10" s="65">
        <v>20000</v>
      </c>
      <c r="V10" s="66"/>
    </row>
    <row r="11" spans="1:22" ht="15.75" thickBot="1" x14ac:dyDescent="0.3">
      <c r="I11" s="31"/>
      <c r="J11" s="2" t="s">
        <v>68</v>
      </c>
      <c r="K11" s="71" cm="1">
        <f t="array" ref="K11">SUMPRODUCT(1*ISNUMBER(SEARCH(J11,TEXT(Продажи_Новак[Дата],"ММММ"))),Продажи_Новак[Выручка])</f>
        <v>28240</v>
      </c>
      <c r="L11" s="61" cm="1">
        <f t="array" ref="L11">SUMPRODUCT(IFERROR(SEARCH($J11,TEXT(Продажи_Новак[Дата],"ММММ")),0),Продажи_Новак[Прибыль])-SUM(Q13:R13,U13:V13)</f>
        <v>13087.259999999998</v>
      </c>
      <c r="P11" s="12" t="s">
        <v>66</v>
      </c>
      <c r="Q11" s="65">
        <v>900</v>
      </c>
      <c r="R11" s="61">
        <v>1059.26</v>
      </c>
      <c r="S11" s="65"/>
      <c r="T11" s="65">
        <v>174</v>
      </c>
      <c r="U11" s="65">
        <v>20000</v>
      </c>
      <c r="V11" s="66">
        <v>360.36</v>
      </c>
    </row>
    <row r="12" spans="1:22" x14ac:dyDescent="0.25">
      <c r="A12" s="5" t="s">
        <v>69</v>
      </c>
      <c r="B12" s="44" t="s">
        <v>70</v>
      </c>
      <c r="C12" s="24" t="s">
        <v>41</v>
      </c>
      <c r="D12" s="24" t="s">
        <v>40</v>
      </c>
      <c r="E12" s="24" t="s">
        <v>71</v>
      </c>
      <c r="I12" s="31"/>
      <c r="J12" s="2" t="s">
        <v>72</v>
      </c>
      <c r="K12" s="71" cm="1">
        <f t="array" ref="K12">SUMPRODUCT(1*ISNUMBER(SEARCH(J12,TEXT(Продажи_Новак[Дата],"ММММ"))),Продажи_Новак[Выручка])</f>
        <v>0</v>
      </c>
      <c r="L12" s="61" cm="1">
        <f t="array" ref="L12">SUMPRODUCT(IFERROR(SEARCH($J12,TEXT(Продажи_Новак[Дата],"ММММ")),0),Продажи_Новак[Прибыль])-SUM(Q14:R14,U14:V14)</f>
        <v>-1059.26</v>
      </c>
      <c r="P12" s="12" t="s">
        <v>67</v>
      </c>
      <c r="Q12" s="65">
        <v>900</v>
      </c>
      <c r="R12" s="61">
        <v>1059.26</v>
      </c>
      <c r="S12" s="65"/>
      <c r="T12" s="65"/>
      <c r="U12" s="65">
        <v>20000</v>
      </c>
      <c r="V12">
        <v>1057</v>
      </c>
    </row>
    <row r="13" spans="1:22" x14ac:dyDescent="0.25">
      <c r="A13" s="22" t="s">
        <v>73</v>
      </c>
      <c r="B13" s="15">
        <v>60</v>
      </c>
      <c r="C13" s="2" t="s">
        <v>4</v>
      </c>
      <c r="D13" s="240">
        <v>1100</v>
      </c>
      <c r="E13" s="2"/>
      <c r="I13" s="31"/>
      <c r="J13" s="2" t="s">
        <v>74</v>
      </c>
      <c r="K13" s="71" cm="1">
        <f t="array" ref="K13">SUMPRODUCT(1*ISNUMBER(SEARCH(J13,TEXT(Продажи_Новак[Дата],"ММММ"))),Продажи_Новак[Выручка])</f>
        <v>0</v>
      </c>
      <c r="L13" s="61" cm="1">
        <f t="array" ref="L13">SUMPRODUCT(IFERROR(SEARCH($J13,TEXT(Продажи_Новак[Дата],"ММММ")),0),Продажи_Новак[Прибыль])-SUM(Q15:R15,U15:V15)</f>
        <v>0</v>
      </c>
      <c r="P13" s="12" t="s">
        <v>68</v>
      </c>
      <c r="Q13" s="65">
        <v>900</v>
      </c>
      <c r="R13" s="61">
        <v>1059.26</v>
      </c>
      <c r="S13" s="65"/>
      <c r="T13" s="65"/>
      <c r="U13" s="65"/>
      <c r="V13" s="66"/>
    </row>
    <row r="14" spans="1:22" x14ac:dyDescent="0.25">
      <c r="A14" s="22" t="s">
        <v>73</v>
      </c>
      <c r="B14">
        <v>29</v>
      </c>
      <c r="C14" s="2" t="s">
        <v>3</v>
      </c>
      <c r="D14" s="240">
        <v>795</v>
      </c>
      <c r="E14" s="2"/>
      <c r="I14" s="31"/>
      <c r="J14" s="2" t="s">
        <v>75</v>
      </c>
      <c r="K14" s="71" cm="1">
        <f t="array" ref="K14">SUMPRODUCT(1*ISNUMBER(SEARCH(J14,TEXT(Продажи_Новак[Дата],"ММММ"))),Продажи_Новак[Выручка])</f>
        <v>0</v>
      </c>
      <c r="L14" s="61" cm="1">
        <f t="array" ref="L14">SUMPRODUCT(IFERROR(SEARCH($J14,TEXT(Продажи_Новак[Дата],"ММММ")),0),Продажи_Новак[Прибыль])-SUM(Q16:R16,U16:V16)</f>
        <v>0</v>
      </c>
      <c r="P14" s="12" t="s">
        <v>72</v>
      </c>
      <c r="Q14" s="65"/>
      <c r="R14" s="61">
        <v>1059.26</v>
      </c>
      <c r="S14" s="65"/>
      <c r="T14" s="65"/>
      <c r="U14" s="65"/>
      <c r="V14" s="66"/>
    </row>
    <row r="15" spans="1:22" x14ac:dyDescent="0.25">
      <c r="A15" s="4">
        <v>45327</v>
      </c>
      <c r="B15" s="2">
        <v>50</v>
      </c>
      <c r="C15" s="2" t="s">
        <v>4</v>
      </c>
      <c r="D15" s="240">
        <v>1100</v>
      </c>
      <c r="E15" s="2"/>
      <c r="I15" s="31"/>
      <c r="J15" s="2" t="s">
        <v>76</v>
      </c>
      <c r="K15" s="71" cm="1">
        <f t="array" ref="K15">SUMPRODUCT(1*ISNUMBER(SEARCH(J15,TEXT(Продажи_Новак[Дата],"ММММ"))),Продажи_Новак[Выручка])</f>
        <v>0</v>
      </c>
      <c r="L15" s="61" cm="1">
        <f t="array" ref="L15">SUMPRODUCT(IFERROR(SEARCH($J15,TEXT(Продажи_Новак[Дата],"ММММ")),0),Продажи_Новак[Прибыль])-SUM(Q17:R17,U17:V17)</f>
        <v>0</v>
      </c>
      <c r="P15" s="12" t="s">
        <v>74</v>
      </c>
      <c r="Q15" s="65"/>
      <c r="R15" s="61"/>
      <c r="S15" s="65"/>
      <c r="T15" s="65"/>
      <c r="U15" s="65"/>
      <c r="V15" s="66"/>
    </row>
    <row r="16" spans="1:22" x14ac:dyDescent="0.25">
      <c r="A16" s="4">
        <v>45327</v>
      </c>
      <c r="B16" s="2">
        <v>50</v>
      </c>
      <c r="C16" s="2" t="s">
        <v>3</v>
      </c>
      <c r="D16" s="240">
        <v>795</v>
      </c>
      <c r="E16" s="2"/>
      <c r="I16" s="31"/>
      <c r="J16" s="2" t="s">
        <v>77</v>
      </c>
      <c r="K16" s="71">
        <f>SUM(K4:K15)</f>
        <v>625840</v>
      </c>
      <c r="L16" s="71">
        <f>SUM(L4:L15)</f>
        <v>179181.40000000005</v>
      </c>
      <c r="P16" s="12" t="s">
        <v>75</v>
      </c>
      <c r="Q16" s="65"/>
      <c r="R16" s="61"/>
      <c r="S16" s="65"/>
      <c r="T16" s="65"/>
      <c r="U16" s="65"/>
      <c r="V16" s="66"/>
    </row>
    <row r="17" spans="1:22" ht="15.75" thickBot="1" x14ac:dyDescent="0.3">
      <c r="A17" s="4">
        <v>45728</v>
      </c>
      <c r="B17" s="2">
        <v>50</v>
      </c>
      <c r="C17" s="2" t="s">
        <v>3</v>
      </c>
      <c r="D17" s="240">
        <v>795</v>
      </c>
      <c r="E17" s="2"/>
      <c r="P17" s="13" t="s">
        <v>76</v>
      </c>
      <c r="Q17" s="68"/>
      <c r="R17" s="62"/>
      <c r="S17" s="68"/>
      <c r="T17" s="68"/>
      <c r="U17" s="68"/>
      <c r="V17" s="63"/>
    </row>
    <row r="18" spans="1:22" ht="15.75" thickBot="1" x14ac:dyDescent="0.3">
      <c r="A18" s="4">
        <v>45728</v>
      </c>
      <c r="B18" s="2">
        <v>20</v>
      </c>
      <c r="C18" s="2" t="s">
        <v>112</v>
      </c>
      <c r="D18" s="240">
        <v>1340</v>
      </c>
      <c r="E18" s="2"/>
    </row>
    <row r="19" spans="1:22" x14ac:dyDescent="0.25">
      <c r="A19" s="4">
        <v>45800</v>
      </c>
      <c r="B19" s="2">
        <v>10</v>
      </c>
      <c r="C19" s="2" t="s">
        <v>112</v>
      </c>
      <c r="D19" s="240">
        <v>1340</v>
      </c>
      <c r="E19" s="2"/>
      <c r="P19" s="5" t="s">
        <v>78</v>
      </c>
      <c r="Q19" s="10"/>
      <c r="R19" s="11"/>
      <c r="T19" s="32" t="s">
        <v>189</v>
      </c>
      <c r="U19" s="33">
        <f>SUM(U20:U26)-N2</f>
        <v>-11937.5799999999</v>
      </c>
      <c r="V19" s="34">
        <f>U19/2050</f>
        <v>-5.823209756097512</v>
      </c>
    </row>
    <row r="20" spans="1:22" ht="15.75" thickBot="1" x14ac:dyDescent="0.3">
      <c r="A20" s="4">
        <v>45800</v>
      </c>
      <c r="B20" s="2">
        <v>20</v>
      </c>
      <c r="C20" s="2" t="s">
        <v>3</v>
      </c>
      <c r="D20" s="240">
        <v>795</v>
      </c>
      <c r="E20" s="2"/>
      <c r="P20" s="17" t="s">
        <v>79</v>
      </c>
      <c r="Q20" s="1" t="s">
        <v>80</v>
      </c>
      <c r="R20" s="18" t="s">
        <v>81</v>
      </c>
      <c r="T20" s="35" t="s">
        <v>82</v>
      </c>
      <c r="V20" s="36"/>
    </row>
    <row r="21" spans="1:22" x14ac:dyDescent="0.25">
      <c r="A21" s="4">
        <v>45825</v>
      </c>
      <c r="B21" s="2">
        <v>9</v>
      </c>
      <c r="C21" s="2" t="s">
        <v>3</v>
      </c>
      <c r="D21" s="240">
        <v>795</v>
      </c>
      <c r="E21" s="2"/>
      <c r="P21" s="19">
        <v>45674</v>
      </c>
      <c r="Q21" s="69">
        <v>27000</v>
      </c>
      <c r="R21" s="70">
        <v>30</v>
      </c>
      <c r="T21" s="35" t="s">
        <v>184</v>
      </c>
      <c r="U21">
        <v>81000</v>
      </c>
      <c r="V21" s="36"/>
    </row>
    <row r="22" spans="1:22" x14ac:dyDescent="0.25">
      <c r="A22" s="4">
        <v>45835</v>
      </c>
      <c r="B22" s="2">
        <v>25</v>
      </c>
      <c r="C22" s="2" t="s">
        <v>3</v>
      </c>
      <c r="D22" s="240">
        <v>795</v>
      </c>
      <c r="E22" s="2"/>
      <c r="P22" s="3">
        <v>45727</v>
      </c>
      <c r="Q22" s="61">
        <v>9521</v>
      </c>
      <c r="R22" s="66">
        <v>30</v>
      </c>
      <c r="T22" s="35" t="s">
        <v>84</v>
      </c>
      <c r="U22">
        <v>20000</v>
      </c>
      <c r="V22" s="36"/>
    </row>
    <row r="23" spans="1:22" x14ac:dyDescent="0.25">
      <c r="A23" s="4">
        <v>45859</v>
      </c>
      <c r="B23" s="2">
        <v>-15</v>
      </c>
      <c r="C23" s="2" t="s">
        <v>4</v>
      </c>
      <c r="D23" s="73"/>
      <c r="E23" s="2" t="s">
        <v>192</v>
      </c>
      <c r="P23" s="3">
        <v>45765</v>
      </c>
      <c r="Q23" s="61">
        <v>13000</v>
      </c>
      <c r="R23" s="66">
        <v>30</v>
      </c>
      <c r="T23" s="35" t="s">
        <v>85</v>
      </c>
      <c r="U23">
        <v>19000</v>
      </c>
      <c r="V23" s="36"/>
    </row>
    <row r="24" spans="1:22" x14ac:dyDescent="0.25">
      <c r="A24" s="249">
        <v>45862</v>
      </c>
      <c r="B24" s="258">
        <v>40</v>
      </c>
      <c r="C24" s="258" t="s">
        <v>3</v>
      </c>
      <c r="D24" s="259">
        <v>795</v>
      </c>
      <c r="E24" s="96"/>
      <c r="P24" s="3">
        <v>45783</v>
      </c>
      <c r="Q24" s="61">
        <v>23000</v>
      </c>
      <c r="R24" s="66">
        <v>30</v>
      </c>
      <c r="T24" s="35" t="s">
        <v>164</v>
      </c>
      <c r="V24" s="36"/>
    </row>
    <row r="25" spans="1:22" x14ac:dyDescent="0.25">
      <c r="A25" s="249"/>
      <c r="B25" s="96"/>
      <c r="C25" s="96"/>
      <c r="D25" s="250"/>
      <c r="E25" s="96"/>
      <c r="P25" s="3">
        <v>45803</v>
      </c>
      <c r="Q25" s="61">
        <v>29000</v>
      </c>
      <c r="R25" s="66">
        <v>30</v>
      </c>
      <c r="T25" s="35" t="s">
        <v>83</v>
      </c>
      <c r="U25">
        <v>800</v>
      </c>
      <c r="V25" s="36"/>
    </row>
    <row r="26" spans="1:22" x14ac:dyDescent="0.25">
      <c r="A26" s="16"/>
      <c r="C26" s="40"/>
      <c r="P26" s="3">
        <v>45814</v>
      </c>
      <c r="Q26" s="61">
        <v>21000</v>
      </c>
      <c r="R26" s="66">
        <v>30</v>
      </c>
      <c r="T26" s="187"/>
      <c r="V26" s="36"/>
    </row>
    <row r="27" spans="1:22" x14ac:dyDescent="0.25">
      <c r="P27" s="3">
        <v>45856</v>
      </c>
      <c r="Q27" s="61">
        <v>28000</v>
      </c>
      <c r="R27" s="66">
        <v>30</v>
      </c>
      <c r="T27" s="35"/>
      <c r="V27" s="36"/>
    </row>
    <row r="28" spans="1:22" ht="15.75" x14ac:dyDescent="0.25">
      <c r="I28" s="50" t="s">
        <v>70</v>
      </c>
      <c r="P28" s="3"/>
      <c r="Q28" s="61"/>
      <c r="R28" s="66"/>
      <c r="T28" s="37" t="s">
        <v>86</v>
      </c>
      <c r="V28" s="36"/>
    </row>
    <row r="29" spans="1:22" x14ac:dyDescent="0.25">
      <c r="A29" t="s">
        <v>79</v>
      </c>
      <c r="B29" t="s">
        <v>41</v>
      </c>
      <c r="C29" t="s">
        <v>70</v>
      </c>
      <c r="D29" t="s">
        <v>54</v>
      </c>
      <c r="E29" t="s">
        <v>87</v>
      </c>
      <c r="F29" t="s">
        <v>55</v>
      </c>
      <c r="I29" s="46" t="s">
        <v>53</v>
      </c>
      <c r="J29" s="47" t="s">
        <v>3</v>
      </c>
      <c r="K29" s="47" t="s">
        <v>4</v>
      </c>
      <c r="L29" s="47" t="s">
        <v>112</v>
      </c>
      <c r="M29" s="48" t="s">
        <v>88</v>
      </c>
      <c r="P29" s="3"/>
      <c r="Q29" s="61"/>
      <c r="R29" s="66"/>
      <c r="T29" s="37"/>
      <c r="V29" s="36"/>
    </row>
    <row r="30" spans="1:22" ht="15.75" thickBot="1" x14ac:dyDescent="0.3">
      <c r="A30" s="56">
        <v>45666</v>
      </c>
      <c r="B30" t="s">
        <v>89</v>
      </c>
      <c r="C30">
        <v>0</v>
      </c>
      <c r="D30" s="60" cm="1">
        <f t="array" ref="D3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30" s="60">
        <v>0</v>
      </c>
      <c r="F3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  <c r="I30" s="45" t="s">
        <v>18</v>
      </c>
      <c r="J30" s="51" cm="1">
        <f t="array" ref="J30">SUMPRODUCT(IFERROR(SEARCH(КолНовак[[#This Row],[Месяц]],TEXT(Продажи_Новак[Дата],"ММММ")),0),--(Продажи_Новак[Товар]=КолНовак[[#Headers],[Есмарт]]),Продажи_Новак[Кол-во])</f>
        <v>10</v>
      </c>
      <c r="K30" s="51" cm="1">
        <f t="array" ref="K30">SUMPRODUCT(IFERROR(SEARCH(КолНовак[[#This Row],[Месяц]],TEXT(Продажи_Новак[Дата],"ММММ")),0),--(Продажи_Новак[Товар]=КолНовак[[#Headers],[Рутокен]]),Продажи_Новак[Кол-во])</f>
        <v>9</v>
      </c>
      <c r="L30" s="51" cm="1">
        <f t="array" ref="L30">SUMPRODUCT(IFERROR(SEARCH(КолНовак[[#This Row],[Месяц]],TEXT(Продажи_Новак[Дата],"ММММ")),0),--(Продажи_Новак[Товар]=КолНовак[[#Headers],[Есмарт АРМ]]),Продажи_Новак[Кол-во])</f>
        <v>0</v>
      </c>
      <c r="M30" s="52">
        <f>SUM(J30:L30)</f>
        <v>19</v>
      </c>
      <c r="P30" s="28"/>
      <c r="Q30" s="62"/>
      <c r="R30" s="63"/>
      <c r="T30" s="35" t="s">
        <v>90</v>
      </c>
      <c r="U30">
        <f>SUM(U31:U43)-N2</f>
        <v>396400.20000000013</v>
      </c>
      <c r="V30" s="36">
        <f>U30/2050</f>
        <v>193.36595121951225</v>
      </c>
    </row>
    <row r="31" spans="1:22" x14ac:dyDescent="0.25">
      <c r="A31" s="56">
        <v>45667</v>
      </c>
      <c r="B31" t="s">
        <v>4</v>
      </c>
      <c r="C31">
        <v>1</v>
      </c>
      <c r="D31" s="60" cm="1">
        <f t="array" ref="D3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31" s="60">
        <v>1100</v>
      </c>
      <c r="F3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  <c r="I31" s="45" t="s">
        <v>19</v>
      </c>
      <c r="J31" s="51" cm="1">
        <f t="array" ref="J31">SUMPRODUCT(IFERROR(SEARCH(КолНовак[[#This Row],[Месяц]],TEXT(Продажи_Новак[Дата],"ММММ")),0),--(Продажи_Новак[Товар]=КолНовак[[#Headers],[Есмарт]]),Продажи_Новак[Кол-во])</f>
        <v>23</v>
      </c>
      <c r="K31" s="51" cm="1">
        <f t="array" ref="K31">SUMPRODUCT(IFERROR(SEARCH(КолНовак[[#This Row],[Месяц]],TEXT(Продажи_Новак[Дата],"ММММ")),0),--(Продажи_Новак[Товар]=КолНовак[[#Headers],[Рутокен]]),Продажи_Новак[Кол-во])</f>
        <v>6</v>
      </c>
      <c r="L31" s="51" cm="1">
        <f t="array" ref="L31">SUMPRODUCT(IFERROR(SEARCH(КолНовак[[#This Row],[Месяц]],TEXT(Продажи_Новак[Дата],"ММММ")),0),--(Продажи_Новак[Товар]=КолНовак[[#Headers],[Есмарт АРМ]]),Продажи_Новак[Кол-во])</f>
        <v>0</v>
      </c>
      <c r="M31" s="52">
        <f t="shared" ref="M31:M41" si="1">SUM(J31:L31)</f>
        <v>29</v>
      </c>
      <c r="T31" s="35" t="s">
        <v>82</v>
      </c>
      <c r="U31">
        <v>4500</v>
      </c>
      <c r="V31" s="36"/>
    </row>
    <row r="32" spans="1:22" x14ac:dyDescent="0.25">
      <c r="A32" s="56">
        <v>45670</v>
      </c>
      <c r="B32" t="s">
        <v>3</v>
      </c>
      <c r="C32">
        <v>1</v>
      </c>
      <c r="D32" s="60" cm="1">
        <f t="array" ref="D3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32" s="60">
        <v>795</v>
      </c>
      <c r="F3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32" s="45" t="s">
        <v>63</v>
      </c>
      <c r="J32" s="51" cm="1">
        <f t="array" ref="J32">SUMPRODUCT(IFERROR(SEARCH(КолНовак[[#This Row],[Месяц]],TEXT(Продажи_Новак[Дата],"ММММ")),0),--(Продажи_Новак[Товар]=КолНовак[[#Headers],[Есмарт]]),Продажи_Новак[Кол-во])</f>
        <v>40</v>
      </c>
      <c r="K32" s="51" cm="1">
        <f t="array" ref="K32">SUMPRODUCT(IFERROR(SEARCH(КолНовак[[#This Row],[Месяц]],TEXT(Продажи_Новак[Дата],"ММММ")),0),--(Продажи_Новак[Товар]=КолНовак[[#Headers],[Рутокен]]),Продажи_Новак[Кол-во])</f>
        <v>13</v>
      </c>
      <c r="L32" s="51" cm="1">
        <f t="array" ref="L32">SUMPRODUCT(IFERROR(SEARCH(КолНовак[[#This Row],[Месяц]],TEXT(Продажи_Новак[Дата],"ММММ")),0),--(Продажи_Новак[Товар]=КолНовак[[#Headers],[Есмарт АРМ]]),Продажи_Новак[Кол-во])</f>
        <v>3</v>
      </c>
      <c r="M32" s="52">
        <f t="shared" si="1"/>
        <v>56</v>
      </c>
      <c r="T32" s="35" t="s">
        <v>83</v>
      </c>
      <c r="V32" s="36"/>
    </row>
    <row r="33" spans="1:22" x14ac:dyDescent="0.25">
      <c r="A33" s="56">
        <v>45670</v>
      </c>
      <c r="B33" t="s">
        <v>4</v>
      </c>
      <c r="C33">
        <v>1</v>
      </c>
      <c r="D33" s="60" cm="1">
        <f t="array" ref="D3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33" s="60">
        <v>1100</v>
      </c>
      <c r="F3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  <c r="I33" s="45" t="s">
        <v>64</v>
      </c>
      <c r="J33" s="51" cm="1">
        <f t="array" ref="J33">SUMPRODUCT(IFERROR(SEARCH(КолНовак[[#This Row],[Месяц]],TEXT(Продажи_Новак[Дата],"ММММ")),0),--(Продажи_Новак[Товар]=КолНовак[[#Headers],[Есмарт]]),Продажи_Новак[Кол-во])</f>
        <v>29</v>
      </c>
      <c r="K33" s="51" cm="1">
        <f t="array" ref="K33">SUMPRODUCT(IFERROR(SEARCH(КолНовак[[#This Row],[Месяц]],TEXT(Продажи_Новак[Дата],"ММММ")),0),--(Продажи_Новак[Товар]=КолНовак[[#Headers],[Рутокен]]),Продажи_Новак[Кол-во])</f>
        <v>14</v>
      </c>
      <c r="L33" s="51" cm="1">
        <f t="array" ref="L33">SUMPRODUCT(IFERROR(SEARCH(КолНовак[[#This Row],[Месяц]],TEXT(Продажи_Новак[Дата],"ММММ")),0),--(Продажи_Новак[Товар]=КолНовак[[#Headers],[Есмарт АРМ]]),Продажи_Новак[Кол-во])</f>
        <v>6</v>
      </c>
      <c r="M33" s="52">
        <f t="shared" si="1"/>
        <v>49</v>
      </c>
      <c r="T33" s="35" t="s">
        <v>84</v>
      </c>
      <c r="U33">
        <v>100000</v>
      </c>
      <c r="V33" s="36"/>
    </row>
    <row r="34" spans="1:22" x14ac:dyDescent="0.25">
      <c r="A34" s="56">
        <v>45671</v>
      </c>
      <c r="B34" t="s">
        <v>4</v>
      </c>
      <c r="C34">
        <v>2</v>
      </c>
      <c r="D34" s="60" cm="1">
        <f t="array" ref="D3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34" s="60">
        <v>1100</v>
      </c>
      <c r="F3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  <c r="I34" s="45" t="s">
        <v>65</v>
      </c>
      <c r="J34" s="51" cm="1">
        <f t="array" ref="J34">SUMPRODUCT(IFERROR(SEARCH(КолНовак[[#This Row],[Месяц]],TEXT(Продажи_Новак[Дата],"ММММ")),0),--(Продажи_Новак[Товар]=КолНовак[[#Headers],[Есмарт]]),Продажи_Новак[Кол-во])</f>
        <v>16</v>
      </c>
      <c r="K34" s="51" cm="1">
        <f t="array" ref="K34">SUMPRODUCT(IFERROR(SEARCH(КолНовак[[#This Row],[Месяц]],TEXT(Продажи_Новак[Дата],"ММММ")),0),--(Продажи_Новак[Товар]=КолНовак[[#Headers],[Рутокен]]),Продажи_Новак[Кол-во])</f>
        <v>21</v>
      </c>
      <c r="L34" s="51" cm="1">
        <f t="array" ref="L34">SUMPRODUCT(IFERROR(SEARCH(КолНовак[[#This Row],[Месяц]],TEXT(Продажи_Новак[Дата],"ММММ")),0),--(Продажи_Новак[Товар]=КолНовак[[#Headers],[Есмарт АРМ]]),Продажи_Новак[Кол-во])</f>
        <v>4</v>
      </c>
      <c r="M34" s="52">
        <f t="shared" si="1"/>
        <v>41</v>
      </c>
      <c r="T34" s="35" t="s">
        <v>85</v>
      </c>
      <c r="U34">
        <v>150000</v>
      </c>
      <c r="V34" s="36"/>
    </row>
    <row r="35" spans="1:22" x14ac:dyDescent="0.25">
      <c r="A35" s="56">
        <v>45672</v>
      </c>
      <c r="B35" t="s">
        <v>4</v>
      </c>
      <c r="C35">
        <v>1</v>
      </c>
      <c r="D35" s="60" cm="1">
        <f t="array" ref="D3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35" s="60">
        <v>1100</v>
      </c>
      <c r="F3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  <c r="I35" s="45" t="s">
        <v>66</v>
      </c>
      <c r="J35" s="51" cm="1">
        <f t="array" ref="J35">SUMPRODUCT(IFERROR(SEARCH(КолНовак[[#This Row],[Месяц]],TEXT(Продажи_Новак[Дата],"ММММ")),0),--(Продажи_Новак[Товар]=КолНовак[[#Headers],[Есмарт]]),Продажи_Новак[Кол-во])</f>
        <v>39</v>
      </c>
      <c r="K35" s="51" cm="1">
        <f t="array" ref="K35">SUMPRODUCT(IFERROR(SEARCH(КолНовак[[#This Row],[Месяц]],TEXT(Продажи_Новак[Дата],"ММММ")),0),--(Продажи_Новак[Товар]=КолНовак[[#Headers],[Рутокен]]),Продажи_Новак[Кол-во])</f>
        <v>4</v>
      </c>
      <c r="L35" s="51" cm="1">
        <f t="array" ref="L35">SUMPRODUCT(IFERROR(SEARCH(КолНовак[[#This Row],[Месяц]],TEXT(Продажи_Новак[Дата],"ММММ")),0),--(Продажи_Новак[Товар]=КолНовак[[#Headers],[Есмарт АРМ]]),Продажи_Новак[Кол-во])</f>
        <v>5</v>
      </c>
      <c r="M35" s="52">
        <f t="shared" si="1"/>
        <v>48</v>
      </c>
      <c r="T35" s="35" t="s">
        <v>191</v>
      </c>
      <c r="U35">
        <v>230000</v>
      </c>
      <c r="V35" s="36" t="s">
        <v>190</v>
      </c>
    </row>
    <row r="36" spans="1:22" x14ac:dyDescent="0.25">
      <c r="A36" s="56">
        <v>45673</v>
      </c>
      <c r="B36" t="s">
        <v>4</v>
      </c>
      <c r="C36">
        <v>1</v>
      </c>
      <c r="D36" s="60" cm="1">
        <f t="array" ref="D3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36" s="60">
        <v>1100</v>
      </c>
      <c r="F3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  <c r="I36" s="45" t="s">
        <v>67</v>
      </c>
      <c r="J36" s="51" cm="1">
        <f t="array" ref="J36">SUMPRODUCT(IFERROR(SEARCH(КолНовак[[#This Row],[Месяц]],TEXT(Продажи_Новак[Дата],"ММММ")),0),--(Продажи_Новак[Товар]=КолНовак[[#Headers],[Есмарт]]),Продажи_Новак[Кол-во])</f>
        <v>30</v>
      </c>
      <c r="K36" s="51" cm="1">
        <f t="array" ref="K36">SUMPRODUCT(IFERROR(SEARCH(КолНовак[[#This Row],[Месяц]],TEXT(Продажи_Новак[Дата],"ММММ")),0),--(Продажи_Новак[Товар]=КолНовак[[#Headers],[Рутокен]]),Продажи_Новак[Кол-во])</f>
        <v>7</v>
      </c>
      <c r="L36" s="51" cm="1">
        <f t="array" ref="L36">SUMPRODUCT(IFERROR(SEARCH(КолНовак[[#This Row],[Месяц]],TEXT(Продажи_Новак[Дата],"ММММ")),0),--(Продажи_Новак[Товар]=КолНовак[[#Headers],[Есмарт АРМ]]),Продажи_Новак[Кол-во])</f>
        <v>2</v>
      </c>
      <c r="M36" s="52">
        <f t="shared" si="1"/>
        <v>39</v>
      </c>
      <c r="T36" s="35" t="s">
        <v>152</v>
      </c>
      <c r="V36" s="36"/>
    </row>
    <row r="37" spans="1:22" x14ac:dyDescent="0.25">
      <c r="A37" s="56">
        <v>45673</v>
      </c>
      <c r="B37" t="s">
        <v>3</v>
      </c>
      <c r="C37">
        <v>1</v>
      </c>
      <c r="D37" s="60" cm="1">
        <f t="array" ref="D3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37" s="60">
        <v>795</v>
      </c>
      <c r="F3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37" s="45" t="s">
        <v>68</v>
      </c>
      <c r="J37" s="51" cm="1">
        <f t="array" ref="J37">SUMPRODUCT(IFERROR(SEARCH(КолНовак[[#This Row],[Месяц]],TEXT(Продажи_Новак[Дата],"ММММ")),0),--(Продажи_Новак[Товар]=КолНовак[[#Headers],[Есмарт]]),Продажи_Новак[Кол-во])</f>
        <v>8</v>
      </c>
      <c r="K37" s="51" cm="1">
        <f t="array" ref="K37">SUMPRODUCT(IFERROR(SEARCH(КолНовак[[#This Row],[Месяц]],TEXT(Продажи_Новак[Дата],"ММММ")),0),--(Продажи_Новак[Товар]=КолНовак[[#Headers],[Рутокен]]),Продажи_Новак[Кол-во])</f>
        <v>3</v>
      </c>
      <c r="L37" s="51" cm="1">
        <f t="array" ref="L37">SUMPRODUCT(IFERROR(SEARCH(КолНовак[[#This Row],[Месяц]],TEXT(Продажи_Новак[Дата],"ММММ")),0),--(Продажи_Новак[Товар]=КолНовак[[#Headers],[Есмарт АРМ]]),Продажи_Новак[Кол-во])</f>
        <v>2</v>
      </c>
      <c r="M37" s="52">
        <f t="shared" si="1"/>
        <v>13</v>
      </c>
      <c r="T37" s="35" t="s">
        <v>177</v>
      </c>
      <c r="U37">
        <v>40200</v>
      </c>
      <c r="V37" s="36" t="s">
        <v>91</v>
      </c>
    </row>
    <row r="38" spans="1:22" x14ac:dyDescent="0.25">
      <c r="A38" s="56">
        <v>45674</v>
      </c>
      <c r="B38" t="s">
        <v>3</v>
      </c>
      <c r="C38">
        <v>1</v>
      </c>
      <c r="D38" s="60" cm="1">
        <f t="array" ref="D3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38" s="60">
        <v>795</v>
      </c>
      <c r="F3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38" s="45" t="s">
        <v>72</v>
      </c>
      <c r="J38" s="51" cm="1">
        <f t="array" ref="J38">SUMPRODUCT(IFERROR(SEARCH(КолНовак[[#This Row],[Месяц]],TEXT(Продажи_Новак[Дата],"ММММ")),0),--(Продажи_Новак[Товар]=КолНовак[[#Headers],[Есмарт]]),Продажи_Новак[Кол-во])</f>
        <v>0</v>
      </c>
      <c r="K38" s="51" cm="1">
        <f t="array" ref="K38">SUMPRODUCT(IFERROR(SEARCH(КолНовак[[#This Row],[Месяц]],TEXT(Продажи_Новак[Дата],"ММММ")),0),--(Продажи_Новак[Товар]=КолНовак[[#Headers],[Рутокен]]),Продажи_Новак[Кол-во])</f>
        <v>0</v>
      </c>
      <c r="L38" s="51" cm="1">
        <f t="array" ref="L38">SUMPRODUCT(IFERROR(SEARCH(КолНовак[[#This Row],[Месяц]],TEXT(Продажи_Новак[Дата],"ММММ")),0),--(Продажи_Новак[Товар]=КолНовак[[#Headers],[Есмарт АРМ]]),Продажи_Новак[Кол-во])</f>
        <v>0</v>
      </c>
      <c r="M38" s="52">
        <f t="shared" si="1"/>
        <v>0</v>
      </c>
      <c r="T38" s="35" t="s">
        <v>61</v>
      </c>
      <c r="V38" s="36"/>
    </row>
    <row r="39" spans="1:22" x14ac:dyDescent="0.25">
      <c r="A39" s="56">
        <v>45677</v>
      </c>
      <c r="B39" t="s">
        <v>89</v>
      </c>
      <c r="C39">
        <v>0</v>
      </c>
      <c r="D39" s="60" cm="1">
        <f t="array" ref="D3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39" s="60">
        <v>0</v>
      </c>
      <c r="F3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  <c r="I39" s="45" t="s">
        <v>74</v>
      </c>
      <c r="J39" s="51" cm="1">
        <f t="array" ref="J39">SUMPRODUCT(IFERROR(SEARCH(КолНовак[[#This Row],[Месяц]],TEXT(Продажи_Новак[Дата],"ММММ")),0),--(Продажи_Новак[Товар]=КолНовак[[#Headers],[Есмарт]]),Продажи_Новак[Кол-во])</f>
        <v>0</v>
      </c>
      <c r="K39" s="51" cm="1">
        <f t="array" ref="K39">SUMPRODUCT(IFERROR(SEARCH(КолНовак[[#This Row],[Месяц]],TEXT(Продажи_Новак[Дата],"ММММ")),0),--(Продажи_Новак[Товар]=КолНовак[[#Headers],[Рутокен]]),Продажи_Новак[Кол-во])</f>
        <v>0</v>
      </c>
      <c r="L39" s="51" cm="1">
        <f t="array" ref="L39">SUMPRODUCT(IFERROR(SEARCH(КолНовак[[#This Row],[Месяц]],TEXT(Продажи_Новак[Дата],"ММММ")),0),--(Продажи_Новак[Товар]=КолНовак[[#Headers],[Есмарт АРМ]]),Продажи_Новак[Кол-во])</f>
        <v>0</v>
      </c>
      <c r="M39" s="52">
        <f t="shared" si="1"/>
        <v>0</v>
      </c>
      <c r="T39" s="35" t="s">
        <v>57</v>
      </c>
      <c r="U39">
        <v>3177.78</v>
      </c>
      <c r="V39" s="36"/>
    </row>
    <row r="40" spans="1:22" x14ac:dyDescent="0.25">
      <c r="A40" s="56">
        <v>45678</v>
      </c>
      <c r="B40" t="s">
        <v>4</v>
      </c>
      <c r="C40">
        <v>1</v>
      </c>
      <c r="D40" s="60" cm="1">
        <f t="array" ref="D4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40" s="60">
        <v>1100</v>
      </c>
      <c r="F4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  <c r="I40" s="45" t="s">
        <v>75</v>
      </c>
      <c r="J40" s="51" cm="1">
        <f t="array" ref="J40">SUMPRODUCT(IFERROR(SEARCH(КолНовак[[#This Row],[Месяц]],TEXT(Продажи_Новак[Дата],"ММММ")),0),--(Продажи_Новак[Товар]=КолНовак[[#Headers],[Есмарт]]),Продажи_Новак[Кол-во])</f>
        <v>0</v>
      </c>
      <c r="K40" s="51" cm="1">
        <f t="array" ref="K40">SUMPRODUCT(IFERROR(SEARCH(КолНовак[[#This Row],[Месяц]],TEXT(Продажи_Новак[Дата],"ММММ")),0),--(Продажи_Новак[Товар]=КолНовак[[#Headers],[Рутокен]]),Продажи_Новак[Кол-во])</f>
        <v>0</v>
      </c>
      <c r="L40" s="51" cm="1">
        <f t="array" ref="L40">SUMPRODUCT(IFERROR(SEARCH(КолНовак[[#This Row],[Месяц]],TEXT(Продажи_Новак[Дата],"ММММ")),0),--(Продажи_Новак[Товар]=КолНовак[[#Headers],[Есмарт АРМ]]),Продажи_Новак[Кол-во])</f>
        <v>0</v>
      </c>
      <c r="M40" s="52">
        <f t="shared" si="1"/>
        <v>0</v>
      </c>
      <c r="T40" s="35" t="s">
        <v>92</v>
      </c>
      <c r="V40" s="36"/>
    </row>
    <row r="41" spans="1:22" x14ac:dyDescent="0.25">
      <c r="A41" s="56">
        <v>45678</v>
      </c>
      <c r="B41" t="s">
        <v>3</v>
      </c>
      <c r="C41">
        <v>1</v>
      </c>
      <c r="D41" s="60" cm="1">
        <f t="array" ref="D4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41" s="60">
        <v>795</v>
      </c>
      <c r="F4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41" s="45" t="s">
        <v>76</v>
      </c>
      <c r="J41" s="51" cm="1">
        <f t="array" ref="J41">SUMPRODUCT(IFERROR(SEARCH(КолНовак[[#This Row],[Месяц]],TEXT(Продажи_Новак[Дата],"ММММ")),0),--(Продажи_Новак[Товар]=КолНовак[[#Headers],[Есмарт]]),Продажи_Новак[Кол-во])</f>
        <v>0</v>
      </c>
      <c r="K41" s="51" cm="1">
        <f t="array" ref="K41">SUMPRODUCT(IFERROR(SEARCH(КолНовак[[#This Row],[Месяц]],TEXT(Продажи_Новак[Дата],"ММММ")),0),--(Продажи_Новак[Товар]=КолНовак[[#Headers],[Рутокен]]),Продажи_Новак[Кол-во])</f>
        <v>0</v>
      </c>
      <c r="L41" s="51" cm="1">
        <f t="array" ref="L41">SUMPRODUCT(IFERROR(SEARCH(КолНовак[[#This Row],[Месяц]],TEXT(Продажи_Новак[Дата],"ММММ")),0),--(Продажи_Новак[Товар]=КолНовак[[#Headers],[Есмарт АРМ]]),Продажи_Новак[Кол-во])</f>
        <v>0</v>
      </c>
      <c r="M41" s="52">
        <f t="shared" si="1"/>
        <v>0</v>
      </c>
      <c r="T41" s="35" t="s">
        <v>93</v>
      </c>
      <c r="V41" s="36"/>
    </row>
    <row r="42" spans="1:22" x14ac:dyDescent="0.25">
      <c r="A42" s="56">
        <v>45679</v>
      </c>
      <c r="B42" t="s">
        <v>3</v>
      </c>
      <c r="C42">
        <v>1</v>
      </c>
      <c r="D42" s="60" cm="1">
        <f t="array" ref="D4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42" s="60">
        <v>795</v>
      </c>
      <c r="F4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42" s="49" t="s">
        <v>88</v>
      </c>
      <c r="J42" s="53">
        <f>SUM(J30:J41)</f>
        <v>195</v>
      </c>
      <c r="K42" s="53">
        <f t="shared" ref="K42:L42" si="2">SUM(K30:K41)</f>
        <v>77</v>
      </c>
      <c r="L42" s="53">
        <f t="shared" si="2"/>
        <v>22</v>
      </c>
      <c r="M42" s="54">
        <f>SUM(J42:L42)</f>
        <v>294</v>
      </c>
      <c r="T42" s="35" t="s">
        <v>49</v>
      </c>
      <c r="U42">
        <v>1260</v>
      </c>
      <c r="V42" s="36"/>
    </row>
    <row r="43" spans="1:22" x14ac:dyDescent="0.25">
      <c r="A43" s="56">
        <v>45680</v>
      </c>
      <c r="B43" t="s">
        <v>4</v>
      </c>
      <c r="C43">
        <v>2</v>
      </c>
      <c r="D43" s="60" cm="1">
        <f t="array" ref="D4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43" s="60">
        <v>1100</v>
      </c>
      <c r="F4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  <c r="T43" s="38" t="s">
        <v>51</v>
      </c>
      <c r="U43" s="20"/>
      <c r="V43" s="39"/>
    </row>
    <row r="44" spans="1:22" x14ac:dyDescent="0.25">
      <c r="A44" s="56">
        <v>45681</v>
      </c>
      <c r="B44" t="s">
        <v>3</v>
      </c>
      <c r="C44">
        <v>1</v>
      </c>
      <c r="D44" s="60" cm="1">
        <f t="array" ref="D4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44" s="60">
        <v>795</v>
      </c>
      <c r="F4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45" spans="1:22" ht="15.75" x14ac:dyDescent="0.25">
      <c r="A45" s="56">
        <v>45684</v>
      </c>
      <c r="B45" t="s">
        <v>89</v>
      </c>
      <c r="C45">
        <v>0</v>
      </c>
      <c r="D45" s="60" cm="1">
        <f t="array" ref="D4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45" s="60">
        <v>0</v>
      </c>
      <c r="F4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  <c r="I45" s="50" t="s">
        <v>94</v>
      </c>
    </row>
    <row r="46" spans="1:22" x14ac:dyDescent="0.25">
      <c r="A46" s="56">
        <v>45685</v>
      </c>
      <c r="B46" t="s">
        <v>3</v>
      </c>
      <c r="C46">
        <v>2</v>
      </c>
      <c r="D46" s="60" cm="1">
        <f t="array" ref="D4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46" s="60">
        <v>795</v>
      </c>
      <c r="F4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  <c r="I46" s="46" t="s">
        <v>53</v>
      </c>
      <c r="J46" s="47" t="s">
        <v>3</v>
      </c>
      <c r="K46" s="47" t="s">
        <v>4</v>
      </c>
      <c r="L46" s="47" t="s">
        <v>112</v>
      </c>
      <c r="M46" s="48" t="s">
        <v>88</v>
      </c>
    </row>
    <row r="47" spans="1:22" x14ac:dyDescent="0.25">
      <c r="A47" s="56">
        <v>45686</v>
      </c>
      <c r="B47" t="s">
        <v>3</v>
      </c>
      <c r="C47">
        <v>1</v>
      </c>
      <c r="D47" s="60" cm="1">
        <f t="array" ref="D4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47" s="60">
        <v>795</v>
      </c>
      <c r="F4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47" s="45" t="s">
        <v>18</v>
      </c>
      <c r="J47" s="55" cm="1">
        <f t="array" ref="J47">IFERROR(J30/SUMPRODUCT(IF(TEXT(_xlfn.UNIQUE(Продажи_Новак[Дата]),"ММММ")=$I47,1,0)),"")</f>
        <v>0.58823529411764708</v>
      </c>
      <c r="K47" s="55" cm="1">
        <f t="array" ref="K47">IFERROR(K30/SUMPRODUCT(IF(TEXT(_xlfn.UNIQUE(Продажи_Новак[Дата]),"ММММ")=$I47,1,0)),"")</f>
        <v>0.52941176470588236</v>
      </c>
      <c r="L47" s="55" cm="1">
        <f t="array" ref="L47">IFERROR(L30/SUMPRODUCT(IF(TEXT(_xlfn.UNIQUE(Продажи_Новак[Дата]),"ММММ")=$I47,1,0)),"")</f>
        <v>0</v>
      </c>
      <c r="M47" s="59" cm="1">
        <f t="array" ref="M47">IFERROR(M30/SUMPRODUCT(IF(TEXT(_xlfn.UNIQUE(Продажи_Новак[Дата]),"ММММ")=$I47,1,0)),"")</f>
        <v>1.1176470588235294</v>
      </c>
    </row>
    <row r="48" spans="1:22" x14ac:dyDescent="0.25">
      <c r="A48" s="56">
        <v>45687</v>
      </c>
      <c r="B48" t="s">
        <v>3</v>
      </c>
      <c r="C48">
        <v>1</v>
      </c>
      <c r="D48" s="60" cm="1">
        <f t="array" ref="D4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48" s="60">
        <v>795</v>
      </c>
      <c r="F4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48" s="45" t="s">
        <v>19</v>
      </c>
      <c r="J48" s="55" cm="1">
        <f t="array" ref="J48">IFERROR(J31/SUMPRODUCT(IF(TEXT(_xlfn.UNIQUE(Продажи_Новак[Дата]),"ММММ")=$I48,1,0)),"")</f>
        <v>1.1499999999999999</v>
      </c>
      <c r="K48" s="55" cm="1">
        <f t="array" ref="K48">IFERROR(K31/SUMPRODUCT(IF(TEXT(_xlfn.UNIQUE(Продажи_Новак[Дата]),"ММММ")=$I48,1,0)),"")</f>
        <v>0.3</v>
      </c>
      <c r="L48" s="55" cm="1">
        <f t="array" ref="L48">IFERROR(L31/SUMPRODUCT(IF(TEXT(_xlfn.UNIQUE(Продажи_Новак[Дата]),"ММММ")=$I48,1,0)),"")</f>
        <v>0</v>
      </c>
      <c r="M48" s="58" cm="1">
        <f t="array" ref="M48">IFERROR(M31/SUMPRODUCT(IF(TEXT(_xlfn.UNIQUE(Продажи_Новак[Дата]),"ММММ")=$I48,1,0)),"")</f>
        <v>1.45</v>
      </c>
    </row>
    <row r="49" spans="1:13" x14ac:dyDescent="0.25">
      <c r="A49" s="56">
        <v>45688</v>
      </c>
      <c r="B49" t="s">
        <v>89</v>
      </c>
      <c r="C49">
        <v>0</v>
      </c>
      <c r="D49" s="60" cm="1">
        <f t="array" ref="D4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49" s="60">
        <v>0</v>
      </c>
      <c r="F4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  <c r="I49" s="45" t="s">
        <v>63</v>
      </c>
      <c r="J49" s="55" cm="1">
        <f t="array" ref="J49">IFERROR(J32/SUMPRODUCT(IF(TEXT(_xlfn.UNIQUE(Продажи_Новак[Дата]),"ММММ")=$I49,1,0)),"")</f>
        <v>1.9047619047619047</v>
      </c>
      <c r="K49" s="55" cm="1">
        <f t="array" ref="K49">IFERROR(K32/SUMPRODUCT(IF(TEXT(_xlfn.UNIQUE(Продажи_Новак[Дата]),"ММММ")=$I49,1,0)),"")</f>
        <v>0.61904761904761907</v>
      </c>
      <c r="L49" s="55" cm="1">
        <f t="array" ref="L49">IFERROR(L32/SUMPRODUCT(IF(TEXT(_xlfn.UNIQUE(Продажи_Новак[Дата]),"ММММ")=$I49,1,0)),"")</f>
        <v>0.14285714285714285</v>
      </c>
      <c r="M49" s="58" cm="1">
        <f t="array" ref="M49">IFERROR(M32/SUMPRODUCT(IF(TEXT(_xlfn.UNIQUE(Продажи_Новак[Дата]),"ММММ")=$I49,1,0)),"")</f>
        <v>2.6666666666666665</v>
      </c>
    </row>
    <row r="50" spans="1:13" x14ac:dyDescent="0.25">
      <c r="A50" s="56">
        <v>45691</v>
      </c>
      <c r="B50" t="s">
        <v>89</v>
      </c>
      <c r="C50">
        <v>0</v>
      </c>
      <c r="D50" s="60" cm="1">
        <f t="array" ref="D5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50" s="60">
        <v>0</v>
      </c>
      <c r="F5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  <c r="I50" s="45" t="s">
        <v>64</v>
      </c>
      <c r="J50" s="55" cm="1">
        <f t="array" ref="J50">IFERROR(J33/SUMPRODUCT(IF(TEXT(_xlfn.UNIQUE(Продажи_Новак[Дата]),"ММММ")=$I50,1,0)),"")</f>
        <v>1.3181818181818181</v>
      </c>
      <c r="K50" s="55" cm="1">
        <f t="array" ref="K50">IFERROR(K33/SUMPRODUCT(IF(TEXT(_xlfn.UNIQUE(Продажи_Новак[Дата]),"ММММ")=$I50,1,0)),"")</f>
        <v>0.63636363636363635</v>
      </c>
      <c r="L50" s="55" cm="1">
        <f t="array" ref="L50">IFERROR(L33/SUMPRODUCT(IF(TEXT(_xlfn.UNIQUE(Продажи_Новак[Дата]),"ММММ")=$I50,1,0)),"")</f>
        <v>0.27272727272727271</v>
      </c>
      <c r="M50" s="58" cm="1">
        <f t="array" ref="M50">IFERROR(M33/SUMPRODUCT(IF(TEXT(_xlfn.UNIQUE(Продажи_Новак[Дата]),"ММММ")=$I50,1,0)),"")</f>
        <v>2.2272727272727271</v>
      </c>
    </row>
    <row r="51" spans="1:13" x14ac:dyDescent="0.25">
      <c r="A51" s="56">
        <v>45692</v>
      </c>
      <c r="B51" t="s">
        <v>3</v>
      </c>
      <c r="C51">
        <v>1</v>
      </c>
      <c r="D51" s="60" cm="1">
        <f t="array" ref="D5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51" s="60">
        <v>795</v>
      </c>
      <c r="F5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51" s="45" t="s">
        <v>65</v>
      </c>
      <c r="J51" s="55" cm="1">
        <f t="array" ref="J51">IFERROR(J34/SUMPRODUCT(IF(TEXT(_xlfn.UNIQUE(Продажи_Новак[Дата]),"ММММ")=$I51,1,0)),"")</f>
        <v>0.88888888888888884</v>
      </c>
      <c r="K51" s="55" cm="1">
        <f t="array" ref="K51">IFERROR(K34/SUMPRODUCT(IF(TEXT(_xlfn.UNIQUE(Продажи_Новак[Дата]),"ММММ")=$I51,1,0)),"")</f>
        <v>1.1666666666666667</v>
      </c>
      <c r="L51" s="55" cm="1">
        <f t="array" ref="L51">IFERROR(L34/SUMPRODUCT(IF(TEXT(_xlfn.UNIQUE(Продажи_Новак[Дата]),"ММММ")=$I51,1,0)),"")</f>
        <v>0.22222222222222221</v>
      </c>
      <c r="M51" s="58" cm="1">
        <f t="array" ref="M51">IFERROR(M34/SUMPRODUCT(IF(TEXT(_xlfn.UNIQUE(Продажи_Новак[Дата]),"ММММ")=$I51,1,0)),"")</f>
        <v>2.2777777777777777</v>
      </c>
    </row>
    <row r="52" spans="1:13" x14ac:dyDescent="0.25">
      <c r="A52" s="56">
        <v>45693</v>
      </c>
      <c r="B52" t="s">
        <v>3</v>
      </c>
      <c r="C52">
        <v>1</v>
      </c>
      <c r="D52" s="60" cm="1">
        <f t="array" ref="D5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52" s="60">
        <v>795</v>
      </c>
      <c r="F5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52" s="45" t="s">
        <v>66</v>
      </c>
      <c r="J52" s="55" cm="1">
        <f t="array" ref="J52">IFERROR(J35/SUMPRODUCT(IF(TEXT(_xlfn.UNIQUE(Продажи_Новак[Дата]),"ММММ")=$I52,1,0)),"")</f>
        <v>2.0526315789473686</v>
      </c>
      <c r="K52" s="55" cm="1">
        <f t="array" ref="K52">IFERROR(K35/SUMPRODUCT(IF(TEXT(_xlfn.UNIQUE(Продажи_Новак[Дата]),"ММММ")=$I52,1,0)),"")</f>
        <v>0.21052631578947367</v>
      </c>
      <c r="L52" s="55" cm="1">
        <f t="array" ref="L52">IFERROR(L35/SUMPRODUCT(IF(TEXT(_xlfn.UNIQUE(Продажи_Новак[Дата]),"ММММ")=$I52,1,0)),"")</f>
        <v>0.26315789473684209</v>
      </c>
      <c r="M52" s="58" cm="1">
        <f t="array" ref="M52">IFERROR(M35/SUMPRODUCT(IF(TEXT(_xlfn.UNIQUE(Продажи_Новак[Дата]),"ММММ")=$I52,1,0)),"")</f>
        <v>2.5263157894736841</v>
      </c>
    </row>
    <row r="53" spans="1:13" x14ac:dyDescent="0.25">
      <c r="A53" s="56">
        <v>45694</v>
      </c>
      <c r="B53" t="s">
        <v>3</v>
      </c>
      <c r="C53">
        <v>2</v>
      </c>
      <c r="D53" s="60" cm="1">
        <f t="array" ref="D5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53" s="60">
        <v>795</v>
      </c>
      <c r="F5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  <c r="I53" s="45" t="s">
        <v>67</v>
      </c>
      <c r="J53" s="55" cm="1">
        <f t="array" ref="J53">IFERROR(J36/SUMPRODUCT(IF(TEXT(_xlfn.UNIQUE(Продажи_Новак[Дата]),"ММММ")=$I53,1,0)),"")</f>
        <v>1.3043478260869565</v>
      </c>
      <c r="K53" s="55" cm="1">
        <f t="array" ref="K53">IFERROR(K36/SUMPRODUCT(IF(TEXT(_xlfn.UNIQUE(Продажи_Новак[Дата]),"ММММ")=$I53,1,0)),"")</f>
        <v>0.30434782608695654</v>
      </c>
      <c r="L53" s="55" cm="1">
        <f t="array" ref="L53">IFERROR(L36/SUMPRODUCT(IF(TEXT(_xlfn.UNIQUE(Продажи_Новак[Дата]),"ММММ")=$I53,1,0)),"")</f>
        <v>8.6956521739130432E-2</v>
      </c>
      <c r="M53" s="58" cm="1">
        <f t="array" ref="M53">IFERROR(M36/SUMPRODUCT(IF(TEXT(_xlfn.UNIQUE(Продажи_Новак[Дата]),"ММММ")=$I53,1,0)),"")</f>
        <v>1.6956521739130435</v>
      </c>
    </row>
    <row r="54" spans="1:13" x14ac:dyDescent="0.25">
      <c r="A54" s="56">
        <v>45694</v>
      </c>
      <c r="B54" t="s">
        <v>4</v>
      </c>
      <c r="C54">
        <v>2</v>
      </c>
      <c r="D54" s="60" cm="1">
        <f t="array" ref="D5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54" s="60">
        <v>1100</v>
      </c>
      <c r="F5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  <c r="I54" s="45" t="s">
        <v>68</v>
      </c>
      <c r="J54" s="55" cm="1">
        <f t="array" ref="J54">IFERROR(J37/SUMPRODUCT(IF(TEXT(_xlfn.UNIQUE(Продажи_Новак[Дата]),"ММММ")=$I54,1,0)),"")</f>
        <v>1.3333333333333333</v>
      </c>
      <c r="K54" s="55" cm="1">
        <f t="array" ref="K54">IFERROR(K37/SUMPRODUCT(IF(TEXT(_xlfn.UNIQUE(Продажи_Новак[Дата]),"ММММ")=$I54,1,0)),"")</f>
        <v>0.5</v>
      </c>
      <c r="L54" s="55" cm="1">
        <f t="array" ref="L54">IFERROR(L37/SUMPRODUCT(IF(TEXT(_xlfn.UNIQUE(Продажи_Новак[Дата]),"ММММ")=$I54,1,0)),"")</f>
        <v>0.33333333333333331</v>
      </c>
      <c r="M54" s="58" cm="1">
        <f t="array" ref="M54">IFERROR(M37/SUMPRODUCT(IF(TEXT(_xlfn.UNIQUE(Продажи_Новак[Дата]),"ММММ")=$I54,1,0)),"")</f>
        <v>2.1666666666666665</v>
      </c>
    </row>
    <row r="55" spans="1:13" x14ac:dyDescent="0.25">
      <c r="A55" s="56">
        <v>45695</v>
      </c>
      <c r="B55" t="s">
        <v>89</v>
      </c>
      <c r="C55">
        <v>0</v>
      </c>
      <c r="D55" s="60" cm="1">
        <f t="array" ref="D5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55" s="60">
        <v>0</v>
      </c>
      <c r="F5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  <c r="I55" s="45" t="s">
        <v>72</v>
      </c>
      <c r="J55" s="55" t="str" cm="1">
        <f t="array" ref="J55">IFERROR(J38/SUMPRODUCT(IF(TEXT(_xlfn.UNIQUE(Продажи_Новак[Дата]),"ММММ")=$I55,1,0)),"")</f>
        <v/>
      </c>
      <c r="K55" s="55" t="str" cm="1">
        <f t="array" ref="K55">IFERROR(K38/SUMPRODUCT(IF(TEXT(_xlfn.UNIQUE(Продажи_Новак[Дата]),"ММММ")=$I55,1,0)),"")</f>
        <v/>
      </c>
      <c r="L55" s="55" t="str" cm="1">
        <f t="array" ref="L55">IFERROR(L38/SUMPRODUCT(IF(TEXT(_xlfn.UNIQUE(Продажи_Новак[Дата]),"ММММ")=$I55,1,0)),"")</f>
        <v/>
      </c>
      <c r="M55" s="58" t="str" cm="1">
        <f t="array" ref="M55">IFERROR(M38/SUMPRODUCT(IF(TEXT(_xlfn.UNIQUE(Продажи_Новак[Дата]),"ММММ")=$I55,1,0)),"")</f>
        <v/>
      </c>
    </row>
    <row r="56" spans="1:13" x14ac:dyDescent="0.25">
      <c r="A56" s="56">
        <v>45698</v>
      </c>
      <c r="B56" t="s">
        <v>3</v>
      </c>
      <c r="C56">
        <v>1</v>
      </c>
      <c r="D56" s="60" cm="1">
        <f t="array" ref="D5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56" s="60">
        <v>795</v>
      </c>
      <c r="F5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56" s="45" t="s">
        <v>74</v>
      </c>
      <c r="J56" s="55" t="str" cm="1">
        <f t="array" ref="J56">IFERROR(J39/SUMPRODUCT(IF(TEXT(_xlfn.UNIQUE(Продажи_Новак[Дата]),"ММММ")=$I56,1,0)),"")</f>
        <v/>
      </c>
      <c r="K56" s="55" t="str" cm="1">
        <f t="array" ref="K56">IFERROR(K39/SUMPRODUCT(IF(TEXT(_xlfn.UNIQUE(Продажи_Новак[Дата]),"ММММ")=$I56,1,0)),"")</f>
        <v/>
      </c>
      <c r="L56" s="55" t="str" cm="1">
        <f t="array" ref="L56">IFERROR(L39/SUMPRODUCT(IF(TEXT(_xlfn.UNIQUE(Продажи_Новак[Дата]),"ММММ")=$I56,1,0)),"")</f>
        <v/>
      </c>
      <c r="M56" s="58" t="str" cm="1">
        <f t="array" ref="M56">IFERROR(M39/SUMPRODUCT(IF(TEXT(_xlfn.UNIQUE(Продажи_Новак[Дата]),"ММММ")=$I56,1,0)),"")</f>
        <v/>
      </c>
    </row>
    <row r="57" spans="1:13" x14ac:dyDescent="0.25">
      <c r="A57" s="56">
        <v>45699</v>
      </c>
      <c r="B57" t="s">
        <v>3</v>
      </c>
      <c r="C57">
        <v>1</v>
      </c>
      <c r="D57" s="60" cm="1">
        <f t="array" ref="D5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57" s="60">
        <v>795</v>
      </c>
      <c r="F5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  <c r="I57" s="45" t="s">
        <v>75</v>
      </c>
      <c r="J57" s="55" t="str" cm="1">
        <f t="array" ref="J57">IFERROR(J40/SUMPRODUCT(IF(TEXT(_xlfn.UNIQUE(Продажи_Новак[Дата]),"ММММ")=$I57,1,0)),"")</f>
        <v/>
      </c>
      <c r="K57" s="55" t="str" cm="1">
        <f t="array" ref="K57">IFERROR(K40/SUMPRODUCT(IF(TEXT(_xlfn.UNIQUE(Продажи_Новак[Дата]),"ММММ")=$I57,1,0)),"")</f>
        <v/>
      </c>
      <c r="L57" s="55" t="str" cm="1">
        <f t="array" ref="L57">IFERROR(L40/SUMPRODUCT(IF(TEXT(_xlfn.UNIQUE(Продажи_Новак[Дата]),"ММММ")=$I57,1,0)),"")</f>
        <v/>
      </c>
      <c r="M57" s="58" t="str" cm="1">
        <f t="array" ref="M57">IFERROR(M40/SUMPRODUCT(IF(TEXT(_xlfn.UNIQUE(Продажи_Новак[Дата]),"ММММ")=$I57,1,0)),"")</f>
        <v/>
      </c>
    </row>
    <row r="58" spans="1:13" x14ac:dyDescent="0.25">
      <c r="A58" s="56">
        <v>45699</v>
      </c>
      <c r="B58" t="s">
        <v>4</v>
      </c>
      <c r="C58">
        <v>1</v>
      </c>
      <c r="D58" s="60" cm="1">
        <f t="array" ref="D5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58" s="60">
        <v>1100</v>
      </c>
      <c r="F5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  <c r="I58" s="45" t="s">
        <v>76</v>
      </c>
      <c r="J58" s="55" t="str" cm="1">
        <f t="array" ref="J58">IFERROR(J41/SUMPRODUCT(IF(TEXT(_xlfn.UNIQUE(Продажи_Новак[Дата]),"ММММ")=$I58,1,0)),"")</f>
        <v/>
      </c>
      <c r="K58" s="55" t="str" cm="1">
        <f t="array" ref="K58">IFERROR(K41/SUMPRODUCT(IF(TEXT(_xlfn.UNIQUE(Продажи_Новак[Дата]),"ММММ")=$I58,1,0)),"")</f>
        <v/>
      </c>
      <c r="L58" s="55" t="str" cm="1">
        <f t="array" ref="L58">IFERROR(L41/SUMPRODUCT(IF(TEXT(_xlfn.UNIQUE(Продажи_Новак[Дата]),"ММММ")=$I58,1,0)),"")</f>
        <v/>
      </c>
      <c r="M58" s="58" t="str" cm="1">
        <f t="array" ref="M58">IFERROR(M41/SUMPRODUCT(IF(TEXT(_xlfn.UNIQUE(Продажи_Новак[Дата]),"ММММ")=$I58,1,0)),"")</f>
        <v/>
      </c>
    </row>
    <row r="59" spans="1:13" x14ac:dyDescent="0.25">
      <c r="A59" s="56">
        <v>45700</v>
      </c>
      <c r="B59" t="s">
        <v>3</v>
      </c>
      <c r="C59">
        <v>2</v>
      </c>
      <c r="D59" s="60" cm="1">
        <f t="array" ref="D5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59" s="60">
        <v>795</v>
      </c>
      <c r="F5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  <c r="I59" s="49" t="s">
        <v>88</v>
      </c>
      <c r="J59" s="57">
        <f>J42/COUNT(_xlfn.UNIQUE(Продажи_Новак[Дата]))</f>
        <v>1.3356164383561644</v>
      </c>
      <c r="K59" s="57">
        <f>K42/COUNT(_xlfn.UNIQUE(Продажи_Новак[Дата]))</f>
        <v>0.5273972602739726</v>
      </c>
      <c r="L59" s="57" t="str" cm="1">
        <f t="array" ref="L59">IFERROR(L42/SUMPRODUCT(IF(TEXT(_xlfn.UNIQUE(Продажи_Новак[Дата]),"ММММ")=$I59,1,0)),"")</f>
        <v/>
      </c>
      <c r="M59" s="57">
        <f>M42/COUNT(_xlfn.UNIQUE(Продажи_Новак[Дата]))</f>
        <v>2.0136986301369864</v>
      </c>
    </row>
    <row r="60" spans="1:13" x14ac:dyDescent="0.25">
      <c r="A60" s="56">
        <v>45701</v>
      </c>
      <c r="B60" t="s">
        <v>3</v>
      </c>
      <c r="C60">
        <v>1</v>
      </c>
      <c r="D60" s="60" cm="1">
        <f t="array" ref="D6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60" s="60">
        <v>795</v>
      </c>
      <c r="F6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61" spans="1:13" x14ac:dyDescent="0.25">
      <c r="A61" s="56">
        <v>45702</v>
      </c>
      <c r="B61" t="s">
        <v>3</v>
      </c>
      <c r="C61">
        <v>1</v>
      </c>
      <c r="D61" s="60" cm="1">
        <f t="array" ref="D6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61" s="60">
        <v>795</v>
      </c>
      <c r="F6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62" spans="1:13" x14ac:dyDescent="0.25">
      <c r="A62" s="56">
        <v>45705</v>
      </c>
      <c r="B62" t="s">
        <v>3</v>
      </c>
      <c r="C62">
        <v>1</v>
      </c>
      <c r="D62" s="60" cm="1">
        <f t="array" ref="D6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62" s="60">
        <v>795</v>
      </c>
      <c r="F6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63" spans="1:13" x14ac:dyDescent="0.25">
      <c r="A63" s="56">
        <v>45705</v>
      </c>
      <c r="B63" t="s">
        <v>4</v>
      </c>
      <c r="C63">
        <v>1</v>
      </c>
      <c r="D63" s="60" cm="1">
        <f t="array" ref="D6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63" s="60">
        <v>1100</v>
      </c>
      <c r="F6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64" spans="1:13" x14ac:dyDescent="0.25">
      <c r="A64" s="56">
        <v>45706</v>
      </c>
      <c r="B64" t="s">
        <v>3</v>
      </c>
      <c r="C64">
        <v>2</v>
      </c>
      <c r="D64" s="60" cm="1">
        <f t="array" ref="D6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64" s="60">
        <v>795</v>
      </c>
      <c r="F6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65" spans="1:6" x14ac:dyDescent="0.25">
      <c r="A65" s="56">
        <v>45706</v>
      </c>
      <c r="B65" t="s">
        <v>4</v>
      </c>
      <c r="C65">
        <v>1</v>
      </c>
      <c r="D65" s="60" cm="1">
        <f t="array" ref="D6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65" s="60">
        <v>1100</v>
      </c>
      <c r="F6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66" spans="1:6" x14ac:dyDescent="0.25">
      <c r="A66" s="56">
        <v>45707</v>
      </c>
      <c r="B66" t="s">
        <v>3</v>
      </c>
      <c r="C66">
        <v>1</v>
      </c>
      <c r="D66" s="60" cm="1">
        <f t="array" ref="D6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66" s="60">
        <v>795</v>
      </c>
      <c r="F6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67" spans="1:6" x14ac:dyDescent="0.25">
      <c r="A67" s="56">
        <v>45708</v>
      </c>
      <c r="B67" t="s">
        <v>3</v>
      </c>
      <c r="C67">
        <v>1</v>
      </c>
      <c r="D67" s="60" cm="1">
        <f t="array" ref="D6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67" s="60">
        <v>795</v>
      </c>
      <c r="F6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68" spans="1:6" x14ac:dyDescent="0.25">
      <c r="A68" s="56">
        <v>45709</v>
      </c>
      <c r="B68" t="s">
        <v>3</v>
      </c>
      <c r="C68">
        <v>2</v>
      </c>
      <c r="D68" s="60" cm="1">
        <f t="array" ref="D6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68" s="60">
        <v>795</v>
      </c>
      <c r="F6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69" spans="1:6" x14ac:dyDescent="0.25">
      <c r="A69" s="56">
        <v>45712</v>
      </c>
      <c r="B69" t="s">
        <v>89</v>
      </c>
      <c r="C69">
        <v>0</v>
      </c>
      <c r="D69" s="60" cm="1">
        <f t="array" ref="D6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69" s="60">
        <v>0</v>
      </c>
      <c r="F6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70" spans="1:6" x14ac:dyDescent="0.25">
      <c r="A70" s="56">
        <v>45713</v>
      </c>
      <c r="B70" t="s">
        <v>3</v>
      </c>
      <c r="C70">
        <v>2</v>
      </c>
      <c r="D70" s="60" cm="1">
        <f t="array" ref="D7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70" s="60">
        <v>795</v>
      </c>
      <c r="F7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71" spans="1:6" x14ac:dyDescent="0.25">
      <c r="A71" s="56">
        <v>45714</v>
      </c>
      <c r="B71" t="s">
        <v>3</v>
      </c>
      <c r="C71">
        <v>1</v>
      </c>
      <c r="D71" s="60" cm="1">
        <f t="array" ref="D7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71" s="60">
        <v>795</v>
      </c>
      <c r="F7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72" spans="1:6" x14ac:dyDescent="0.25">
      <c r="A72" s="56">
        <v>45714</v>
      </c>
      <c r="B72" t="s">
        <v>4</v>
      </c>
      <c r="C72">
        <v>1</v>
      </c>
      <c r="D72" s="60" cm="1">
        <f t="array" ref="D7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72" s="60">
        <v>1100</v>
      </c>
      <c r="F7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73" spans="1:6" x14ac:dyDescent="0.25">
      <c r="A73" s="56">
        <v>45715</v>
      </c>
      <c r="B73" t="s">
        <v>3</v>
      </c>
      <c r="C73">
        <v>3</v>
      </c>
      <c r="D73" s="60" cm="1">
        <f t="array" ref="D7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73" s="60">
        <v>795</v>
      </c>
      <c r="F7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74" spans="1:6" x14ac:dyDescent="0.25">
      <c r="A74" s="56">
        <v>45716</v>
      </c>
      <c r="B74" t="s">
        <v>89</v>
      </c>
      <c r="C74">
        <v>0</v>
      </c>
      <c r="D74" s="60" cm="1">
        <f t="array" ref="D7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74" s="60">
        <v>0</v>
      </c>
      <c r="F7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75" spans="1:6" x14ac:dyDescent="0.25">
      <c r="A75" s="56">
        <v>45719</v>
      </c>
      <c r="B75" t="s">
        <v>4</v>
      </c>
      <c r="C75">
        <v>1</v>
      </c>
      <c r="D75" s="60" cm="1">
        <f t="array" ref="D7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75" s="60">
        <v>1100</v>
      </c>
      <c r="F7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76" spans="1:6" x14ac:dyDescent="0.25">
      <c r="A76" s="56">
        <v>45720</v>
      </c>
      <c r="B76" t="s">
        <v>4</v>
      </c>
      <c r="C76">
        <v>3</v>
      </c>
      <c r="D76" s="60" cm="1">
        <f t="array" ref="D7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6900</v>
      </c>
      <c r="E76" s="60">
        <v>1100</v>
      </c>
      <c r="F7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3392.7</v>
      </c>
    </row>
    <row r="77" spans="1:6" x14ac:dyDescent="0.25">
      <c r="A77" s="56">
        <v>45720</v>
      </c>
      <c r="B77" t="s">
        <v>3</v>
      </c>
      <c r="C77">
        <v>3</v>
      </c>
      <c r="D77" s="60" cm="1">
        <f t="array" ref="D7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77" s="60">
        <v>795</v>
      </c>
      <c r="F7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78" spans="1:6" x14ac:dyDescent="0.25">
      <c r="A78" s="56">
        <v>45721</v>
      </c>
      <c r="B78" t="s">
        <v>3</v>
      </c>
      <c r="C78">
        <v>1</v>
      </c>
      <c r="D78" s="60" cm="1">
        <f t="array" ref="D7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78" s="60">
        <v>795</v>
      </c>
      <c r="F7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79" spans="1:6" x14ac:dyDescent="0.25">
      <c r="A79" s="56">
        <v>45722</v>
      </c>
      <c r="B79" t="s">
        <v>3</v>
      </c>
      <c r="C79">
        <v>1</v>
      </c>
      <c r="D79" s="60" cm="1">
        <f t="array" ref="D7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79" s="60">
        <v>795</v>
      </c>
      <c r="F7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80" spans="1:6" x14ac:dyDescent="0.25">
      <c r="A80" s="56">
        <v>45722</v>
      </c>
      <c r="B80" t="s">
        <v>4</v>
      </c>
      <c r="C80">
        <v>1</v>
      </c>
      <c r="D80" s="60" cm="1">
        <f t="array" ref="D8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80" s="60">
        <v>1100</v>
      </c>
      <c r="F8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81" spans="1:6" x14ac:dyDescent="0.25">
      <c r="A81" s="56">
        <v>45723</v>
      </c>
      <c r="B81" t="s">
        <v>3</v>
      </c>
      <c r="C81">
        <v>3</v>
      </c>
      <c r="D81" s="60" cm="1">
        <f t="array" ref="D8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81" s="60">
        <v>795</v>
      </c>
      <c r="F8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82" spans="1:6" x14ac:dyDescent="0.25">
      <c r="A82" s="56">
        <v>45726</v>
      </c>
      <c r="B82" t="s">
        <v>3</v>
      </c>
      <c r="C82">
        <v>1</v>
      </c>
      <c r="D82" s="60" cm="1">
        <f t="array" ref="D8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82" s="60">
        <v>795</v>
      </c>
      <c r="F8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83" spans="1:6" x14ac:dyDescent="0.25">
      <c r="A83" s="56">
        <v>45726</v>
      </c>
      <c r="B83" t="s">
        <v>4</v>
      </c>
      <c r="C83">
        <v>1</v>
      </c>
      <c r="D83" s="60" cm="1">
        <f t="array" ref="D8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83" s="60">
        <v>1100</v>
      </c>
      <c r="F8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84" spans="1:6" x14ac:dyDescent="0.25">
      <c r="A84" s="56">
        <v>45727</v>
      </c>
      <c r="B84" t="s">
        <v>3</v>
      </c>
      <c r="C84">
        <v>2</v>
      </c>
      <c r="D84" s="60" cm="1">
        <f t="array" ref="D8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84" s="60">
        <v>795</v>
      </c>
      <c r="F8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85" spans="1:6" x14ac:dyDescent="0.25">
      <c r="A85" s="56">
        <v>45728</v>
      </c>
      <c r="B85" t="s">
        <v>3</v>
      </c>
      <c r="C85">
        <v>1</v>
      </c>
      <c r="D85" s="60" cm="1">
        <f t="array" ref="D8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85" s="60">
        <v>795</v>
      </c>
      <c r="F8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86" spans="1:6" x14ac:dyDescent="0.25">
      <c r="A86" s="56">
        <v>45729</v>
      </c>
      <c r="B86" t="s">
        <v>3</v>
      </c>
      <c r="C86">
        <v>1</v>
      </c>
      <c r="D86" s="60" cm="1">
        <f t="array" ref="D8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86" s="60">
        <v>795</v>
      </c>
      <c r="F8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87" spans="1:6" x14ac:dyDescent="0.25">
      <c r="A87" s="56">
        <v>45730</v>
      </c>
      <c r="B87" t="s">
        <v>3</v>
      </c>
      <c r="C87">
        <v>3</v>
      </c>
      <c r="D87" s="60" cm="1">
        <f t="array" ref="D8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87" s="60">
        <v>795</v>
      </c>
      <c r="F8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88" spans="1:6" x14ac:dyDescent="0.25">
      <c r="A88" s="56">
        <v>45730</v>
      </c>
      <c r="B88" t="s">
        <v>4</v>
      </c>
      <c r="C88">
        <v>1</v>
      </c>
      <c r="D88" s="60" cm="1">
        <f t="array" ref="D8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88" s="60">
        <v>1100</v>
      </c>
      <c r="F8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89" spans="1:6" x14ac:dyDescent="0.25">
      <c r="A89" s="56">
        <v>45733</v>
      </c>
      <c r="B89" t="s">
        <v>3</v>
      </c>
      <c r="C89">
        <v>1</v>
      </c>
      <c r="D89" s="60" cm="1">
        <f t="array" ref="D8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89" s="60">
        <v>795</v>
      </c>
      <c r="F8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90" spans="1:6" x14ac:dyDescent="0.25">
      <c r="A90" s="56">
        <v>45733</v>
      </c>
      <c r="B90" s="2" t="s">
        <v>112</v>
      </c>
      <c r="C90">
        <v>1</v>
      </c>
      <c r="D90" s="60" cm="1">
        <f t="array" ref="D9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90" s="60">
        <v>1340</v>
      </c>
      <c r="F9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91" spans="1:6" x14ac:dyDescent="0.25">
      <c r="A91" s="56">
        <v>45734</v>
      </c>
      <c r="B91" t="s">
        <v>112</v>
      </c>
      <c r="C91">
        <v>1</v>
      </c>
      <c r="D91" s="60" cm="1">
        <f t="array" ref="D9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91" s="60">
        <v>1340</v>
      </c>
      <c r="F9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92" spans="1:6" x14ac:dyDescent="0.25">
      <c r="A92" s="56">
        <v>45734</v>
      </c>
      <c r="B92" t="s">
        <v>3</v>
      </c>
      <c r="C92">
        <v>1</v>
      </c>
      <c r="D92" s="60" cm="1">
        <f t="array" ref="D9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92" s="60">
        <v>795</v>
      </c>
      <c r="F9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93" spans="1:6" x14ac:dyDescent="0.25">
      <c r="A93" s="56">
        <v>45734</v>
      </c>
      <c r="B93" t="s">
        <v>4</v>
      </c>
      <c r="C93">
        <v>1</v>
      </c>
      <c r="D93" s="60" cm="1">
        <f t="array" ref="D9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93" s="60">
        <v>1100</v>
      </c>
      <c r="F9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94" spans="1:6" x14ac:dyDescent="0.25">
      <c r="A94" s="56">
        <v>45735</v>
      </c>
      <c r="B94" t="s">
        <v>3</v>
      </c>
      <c r="C94">
        <v>4</v>
      </c>
      <c r="D94" s="60" cm="1">
        <f t="array" ref="D9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8000</v>
      </c>
      <c r="E94" s="60">
        <v>795</v>
      </c>
      <c r="F9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4576</v>
      </c>
    </row>
    <row r="95" spans="1:6" x14ac:dyDescent="0.25">
      <c r="A95" s="56">
        <v>45736</v>
      </c>
      <c r="B95" t="s">
        <v>89</v>
      </c>
      <c r="C95">
        <v>0</v>
      </c>
      <c r="D95" s="60" cm="1">
        <f t="array" ref="D9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95" s="60">
        <v>0</v>
      </c>
      <c r="F9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96" spans="1:6" x14ac:dyDescent="0.25">
      <c r="A96" s="56">
        <v>45737</v>
      </c>
      <c r="B96" t="s">
        <v>3</v>
      </c>
      <c r="C96">
        <v>3</v>
      </c>
      <c r="D96" s="60" cm="1">
        <f t="array" ref="D9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96" s="60">
        <v>795</v>
      </c>
      <c r="F9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97" spans="1:6" x14ac:dyDescent="0.25">
      <c r="A97" s="56">
        <v>45740</v>
      </c>
      <c r="B97" t="s">
        <v>4</v>
      </c>
      <c r="C97">
        <v>1</v>
      </c>
      <c r="D97" s="60" cm="1">
        <f t="array" ref="D9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97" s="60">
        <v>1100</v>
      </c>
      <c r="F9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98" spans="1:6" x14ac:dyDescent="0.25">
      <c r="A98" s="56">
        <v>45740</v>
      </c>
      <c r="B98" t="s">
        <v>3</v>
      </c>
      <c r="C98">
        <v>2</v>
      </c>
      <c r="D98" s="60" cm="1">
        <f t="array" ref="D9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98" s="60">
        <v>795</v>
      </c>
      <c r="F9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99" spans="1:6" x14ac:dyDescent="0.25">
      <c r="A99" s="56">
        <v>45741</v>
      </c>
      <c r="B99" t="s">
        <v>3</v>
      </c>
      <c r="C99">
        <v>5</v>
      </c>
      <c r="D99" s="60" cm="1">
        <f t="array" ref="D9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10000</v>
      </c>
      <c r="E99" s="60">
        <v>795</v>
      </c>
      <c r="F9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5720</v>
      </c>
    </row>
    <row r="100" spans="1:6" x14ac:dyDescent="0.25">
      <c r="A100" s="56">
        <v>45742</v>
      </c>
      <c r="B100" t="s">
        <v>3</v>
      </c>
      <c r="C100">
        <v>1</v>
      </c>
      <c r="D100" s="60" cm="1">
        <f t="array" ref="D10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00" s="60">
        <v>795</v>
      </c>
      <c r="F10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01" spans="1:6" x14ac:dyDescent="0.25">
      <c r="A101" s="56">
        <v>45742</v>
      </c>
      <c r="B101" t="s">
        <v>4</v>
      </c>
      <c r="C101">
        <v>1</v>
      </c>
      <c r="D101" s="60" cm="1">
        <f t="array" ref="D10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01" s="60">
        <v>1100</v>
      </c>
      <c r="F10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02" spans="1:6" x14ac:dyDescent="0.25">
      <c r="A102" s="56">
        <v>45743</v>
      </c>
      <c r="B102" t="s">
        <v>4</v>
      </c>
      <c r="C102">
        <v>2</v>
      </c>
      <c r="D102" s="60" cm="1">
        <f t="array" ref="D10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102" s="60">
        <v>1100</v>
      </c>
      <c r="F10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</row>
    <row r="103" spans="1:6" x14ac:dyDescent="0.25">
      <c r="A103" s="56">
        <v>45743</v>
      </c>
      <c r="B103" t="s">
        <v>3</v>
      </c>
      <c r="C103">
        <v>4</v>
      </c>
      <c r="D103" s="60" cm="1">
        <f t="array" ref="D10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8000</v>
      </c>
      <c r="E103" s="60">
        <v>795</v>
      </c>
      <c r="F10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4576</v>
      </c>
    </row>
    <row r="104" spans="1:6" x14ac:dyDescent="0.25">
      <c r="A104" s="56">
        <v>45744</v>
      </c>
      <c r="B104" t="s">
        <v>3</v>
      </c>
      <c r="C104">
        <v>2</v>
      </c>
      <c r="D104" s="60" cm="1">
        <f t="array" ref="D10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04" s="60">
        <v>795</v>
      </c>
      <c r="F10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05" spans="1:6" x14ac:dyDescent="0.25">
      <c r="A105" s="56">
        <v>45747</v>
      </c>
      <c r="B105" t="s">
        <v>4</v>
      </c>
      <c r="C105">
        <v>1</v>
      </c>
      <c r="D105" s="60" cm="1">
        <f t="array" ref="D10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05" s="60">
        <v>1100</v>
      </c>
      <c r="F10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06" spans="1:6" x14ac:dyDescent="0.25">
      <c r="A106" s="56">
        <v>45747</v>
      </c>
      <c r="B106" t="s">
        <v>112</v>
      </c>
      <c r="C106">
        <v>1</v>
      </c>
      <c r="D106" s="60" cm="1">
        <f t="array" ref="D10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06" s="60">
        <v>1340</v>
      </c>
      <c r="F10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07" spans="1:6" x14ac:dyDescent="0.25">
      <c r="A107" s="56">
        <v>45747</v>
      </c>
      <c r="B107" t="s">
        <v>3</v>
      </c>
      <c r="C107">
        <v>1</v>
      </c>
      <c r="D107" s="60" cm="1">
        <f t="array" ref="D10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07" s="60">
        <v>795</v>
      </c>
      <c r="F10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08" spans="1:6" x14ac:dyDescent="0.25">
      <c r="A108" s="56">
        <v>45748</v>
      </c>
      <c r="B108" t="s">
        <v>4</v>
      </c>
      <c r="C108">
        <v>1</v>
      </c>
      <c r="D108" s="60" cm="1">
        <f t="array" ref="D10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08" s="60">
        <v>1100</v>
      </c>
      <c r="F10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09" spans="1:6" x14ac:dyDescent="0.25">
      <c r="A109" s="56">
        <v>45748</v>
      </c>
      <c r="B109" t="s">
        <v>3</v>
      </c>
      <c r="C109">
        <v>2</v>
      </c>
      <c r="D109" s="60" cm="1">
        <f t="array" ref="D10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09" s="60">
        <v>795</v>
      </c>
      <c r="F10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10" spans="1:6" x14ac:dyDescent="0.25">
      <c r="A110" s="56">
        <v>45749</v>
      </c>
      <c r="B110" t="s">
        <v>3</v>
      </c>
      <c r="C110">
        <v>1</v>
      </c>
      <c r="D110" s="60" cm="1">
        <f t="array" ref="D11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10" s="60">
        <v>795</v>
      </c>
      <c r="F11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11" spans="1:6" x14ac:dyDescent="0.25">
      <c r="A111" s="56">
        <v>45749</v>
      </c>
      <c r="B111" t="s">
        <v>4</v>
      </c>
      <c r="C111">
        <v>1</v>
      </c>
      <c r="D111" s="60" cm="1">
        <f t="array" ref="D11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11" s="60">
        <v>1100</v>
      </c>
      <c r="F11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12" spans="1:6" x14ac:dyDescent="0.25">
      <c r="A112" s="56">
        <v>45750</v>
      </c>
      <c r="B112" t="s">
        <v>3</v>
      </c>
      <c r="C112">
        <v>1</v>
      </c>
      <c r="D112" s="60" cm="1">
        <f t="array" ref="D11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12" s="60">
        <v>795</v>
      </c>
      <c r="F11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13" spans="1:6" x14ac:dyDescent="0.25">
      <c r="A113" s="56">
        <v>45751</v>
      </c>
      <c r="B113" t="s">
        <v>3</v>
      </c>
      <c r="C113">
        <v>2</v>
      </c>
      <c r="D113" s="60" cm="1">
        <f t="array" ref="D11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13" s="60">
        <v>795</v>
      </c>
      <c r="F11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14" spans="1:6" x14ac:dyDescent="0.25">
      <c r="A114" s="56">
        <v>45754</v>
      </c>
      <c r="B114" t="s">
        <v>3</v>
      </c>
      <c r="C114">
        <v>1</v>
      </c>
      <c r="D114" s="60" cm="1">
        <f t="array" ref="D11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14" s="60">
        <v>795</v>
      </c>
      <c r="F11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15" spans="1:6" x14ac:dyDescent="0.25">
      <c r="A115" s="56">
        <v>45754</v>
      </c>
      <c r="B115" t="s">
        <v>4</v>
      </c>
      <c r="C115">
        <v>3</v>
      </c>
      <c r="D115" s="60" cm="1">
        <f t="array" ref="D11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6900</v>
      </c>
      <c r="E115" s="60">
        <v>1100</v>
      </c>
      <c r="F11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3392.7</v>
      </c>
    </row>
    <row r="116" spans="1:6" x14ac:dyDescent="0.25">
      <c r="A116" s="56">
        <v>45754</v>
      </c>
      <c r="B116" t="s">
        <v>112</v>
      </c>
      <c r="C116">
        <v>1</v>
      </c>
      <c r="D116" s="60" cm="1">
        <f t="array" ref="D11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16" s="60">
        <v>1340</v>
      </c>
      <c r="F11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17" spans="1:6" x14ac:dyDescent="0.25">
      <c r="A117" s="56">
        <v>45755</v>
      </c>
      <c r="B117" t="s">
        <v>4</v>
      </c>
      <c r="C117">
        <v>1</v>
      </c>
      <c r="D117" s="60" cm="1">
        <f t="array" ref="D11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17" s="60">
        <v>1100</v>
      </c>
      <c r="F11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18" spans="1:6" x14ac:dyDescent="0.25">
      <c r="A118" s="56">
        <v>45756</v>
      </c>
      <c r="B118" t="s">
        <v>4</v>
      </c>
      <c r="C118">
        <v>1</v>
      </c>
      <c r="D118" s="60" cm="1">
        <f t="array" ref="D11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18" s="60">
        <v>1100</v>
      </c>
      <c r="F11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19" spans="1:6" x14ac:dyDescent="0.25">
      <c r="A119" s="56">
        <v>45756</v>
      </c>
      <c r="B119" t="s">
        <v>3</v>
      </c>
      <c r="C119">
        <v>1</v>
      </c>
      <c r="D119" s="60" cm="1">
        <f t="array" ref="D11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19" s="60">
        <v>795</v>
      </c>
      <c r="F11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20" spans="1:6" x14ac:dyDescent="0.25">
      <c r="A120" s="56">
        <v>45757</v>
      </c>
      <c r="B120" t="s">
        <v>4</v>
      </c>
      <c r="C120">
        <v>1</v>
      </c>
      <c r="D120" s="60" cm="1">
        <f t="array" ref="D12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20" s="60">
        <v>1100</v>
      </c>
      <c r="F12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21" spans="1:6" x14ac:dyDescent="0.25">
      <c r="A121" s="56">
        <v>45758</v>
      </c>
      <c r="B121" t="s">
        <v>4</v>
      </c>
      <c r="C121">
        <v>1</v>
      </c>
      <c r="D121" s="60" cm="1">
        <f t="array" ref="D12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21" s="60">
        <v>1100</v>
      </c>
      <c r="F12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22" spans="1:6" x14ac:dyDescent="0.25">
      <c r="A122" s="56">
        <v>45758</v>
      </c>
      <c r="B122" t="s">
        <v>3</v>
      </c>
      <c r="C122">
        <v>2</v>
      </c>
      <c r="D122" s="60" cm="1">
        <f t="array" ref="D12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22" s="60">
        <v>795</v>
      </c>
      <c r="F12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23" spans="1:6" x14ac:dyDescent="0.25">
      <c r="A123" s="56">
        <v>45761</v>
      </c>
      <c r="B123" t="s">
        <v>3</v>
      </c>
      <c r="C123">
        <v>3</v>
      </c>
      <c r="D123" s="60" cm="1">
        <f t="array" ref="D12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23" s="60">
        <v>795</v>
      </c>
      <c r="F12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24" spans="1:6" x14ac:dyDescent="0.25">
      <c r="A124" s="56">
        <v>45761</v>
      </c>
      <c r="B124" t="s">
        <v>112</v>
      </c>
      <c r="C124">
        <v>2</v>
      </c>
      <c r="D124" s="60" cm="1">
        <f t="array" ref="D12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5340</v>
      </c>
      <c r="E124" s="60">
        <v>1340</v>
      </c>
      <c r="F12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2501.8199999999997</v>
      </c>
    </row>
    <row r="125" spans="1:6" x14ac:dyDescent="0.25">
      <c r="A125" s="56">
        <v>45761</v>
      </c>
      <c r="B125" t="s">
        <v>4</v>
      </c>
      <c r="C125">
        <v>1</v>
      </c>
      <c r="D125" s="60" cm="1">
        <f t="array" ref="D12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25" s="60">
        <v>1100</v>
      </c>
      <c r="F12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26" spans="1:6" x14ac:dyDescent="0.25">
      <c r="A126" s="56">
        <v>45762</v>
      </c>
      <c r="B126" t="s">
        <v>89</v>
      </c>
      <c r="C126">
        <v>0</v>
      </c>
      <c r="D126" s="60" cm="1">
        <f t="array" ref="D12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26" s="60">
        <v>0</v>
      </c>
      <c r="F12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27" spans="1:6" x14ac:dyDescent="0.25">
      <c r="A127" s="56">
        <v>45763</v>
      </c>
      <c r="B127" t="s">
        <v>89</v>
      </c>
      <c r="C127">
        <v>0</v>
      </c>
      <c r="D127" s="60" cm="1">
        <f t="array" ref="D12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27" s="60">
        <v>0</v>
      </c>
      <c r="F12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28" spans="1:6" x14ac:dyDescent="0.25">
      <c r="A128" s="56">
        <v>45764</v>
      </c>
      <c r="B128" t="s">
        <v>112</v>
      </c>
      <c r="C128">
        <v>1</v>
      </c>
      <c r="D128" s="60" cm="1">
        <f t="array" ref="D12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28" s="60">
        <v>1340</v>
      </c>
      <c r="F12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29" spans="1:6" x14ac:dyDescent="0.25">
      <c r="A129" s="56">
        <v>45764</v>
      </c>
      <c r="B129" t="s">
        <v>3</v>
      </c>
      <c r="C129">
        <v>1</v>
      </c>
      <c r="D129" s="60" cm="1">
        <f t="array" ref="D12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29" s="60">
        <v>795</v>
      </c>
      <c r="F12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30" spans="1:6" x14ac:dyDescent="0.25">
      <c r="A130" s="56">
        <v>45765</v>
      </c>
      <c r="B130" t="s">
        <v>89</v>
      </c>
      <c r="C130">
        <v>0</v>
      </c>
      <c r="D130" s="60" cm="1">
        <f t="array" ref="D13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30" s="60">
        <v>0</v>
      </c>
      <c r="F13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31" spans="1:6" x14ac:dyDescent="0.25">
      <c r="A131" s="56">
        <v>45768</v>
      </c>
      <c r="B131" t="s">
        <v>3</v>
      </c>
      <c r="C131">
        <v>3</v>
      </c>
      <c r="D131" s="60" cm="1">
        <f t="array" ref="D13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31" s="60">
        <v>795</v>
      </c>
      <c r="F13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32" spans="1:6" x14ac:dyDescent="0.25">
      <c r="A132" s="56">
        <v>45769</v>
      </c>
      <c r="B132" t="s">
        <v>3</v>
      </c>
      <c r="C132">
        <v>4</v>
      </c>
      <c r="D132" s="60" cm="1">
        <f t="array" ref="D13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8000</v>
      </c>
      <c r="E132" s="60">
        <v>795</v>
      </c>
      <c r="F13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4576</v>
      </c>
    </row>
    <row r="133" spans="1:6" x14ac:dyDescent="0.25">
      <c r="A133" s="56">
        <v>45769</v>
      </c>
      <c r="B133" t="s">
        <v>4</v>
      </c>
      <c r="C133">
        <v>1</v>
      </c>
      <c r="D133" s="60" cm="1">
        <f t="array" ref="D13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33" s="60">
        <v>1100</v>
      </c>
      <c r="F13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34" spans="1:6" x14ac:dyDescent="0.25">
      <c r="A134" s="56">
        <v>45770</v>
      </c>
      <c r="B134" t="s">
        <v>3</v>
      </c>
      <c r="C134">
        <v>2</v>
      </c>
      <c r="D134" s="60" cm="1">
        <f t="array" ref="D13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34" s="60">
        <v>795</v>
      </c>
      <c r="F13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35" spans="1:6" x14ac:dyDescent="0.25">
      <c r="A135" s="56">
        <v>45771</v>
      </c>
      <c r="B135" t="s">
        <v>3</v>
      </c>
      <c r="C135">
        <v>1</v>
      </c>
      <c r="D135" s="60" cm="1">
        <f t="array" ref="D13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35" s="60">
        <v>795</v>
      </c>
      <c r="F13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36" spans="1:6" x14ac:dyDescent="0.25">
      <c r="A136" s="56">
        <v>45771</v>
      </c>
      <c r="B136" t="s">
        <v>4</v>
      </c>
      <c r="C136">
        <v>1</v>
      </c>
      <c r="D136" s="60" cm="1">
        <f t="array" ref="D13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36" s="60">
        <v>1100</v>
      </c>
      <c r="F13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37" spans="1:6" x14ac:dyDescent="0.25">
      <c r="A137" s="56">
        <v>45772</v>
      </c>
      <c r="B137" t="s">
        <v>3</v>
      </c>
      <c r="C137">
        <v>1</v>
      </c>
      <c r="D137" s="60" cm="1">
        <f t="array" ref="D13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37" s="60">
        <v>795</v>
      </c>
      <c r="F13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38" spans="1:6" x14ac:dyDescent="0.25">
      <c r="A138" s="56">
        <v>45775</v>
      </c>
      <c r="B138" t="s">
        <v>3</v>
      </c>
      <c r="C138">
        <v>2</v>
      </c>
      <c r="D138" s="60" cm="1">
        <f t="array" ref="D13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38" s="60">
        <v>795</v>
      </c>
      <c r="F13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39" spans="1:6" x14ac:dyDescent="0.25">
      <c r="A139" s="56">
        <v>45775</v>
      </c>
      <c r="B139" t="s">
        <v>4</v>
      </c>
      <c r="C139">
        <v>2</v>
      </c>
      <c r="D139" s="60" cm="1">
        <f t="array" ref="D13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139" s="60">
        <v>1100</v>
      </c>
      <c r="F13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</row>
    <row r="140" spans="1:6" x14ac:dyDescent="0.25">
      <c r="A140" s="56">
        <v>45776</v>
      </c>
      <c r="B140" t="s">
        <v>112</v>
      </c>
      <c r="C140">
        <v>2</v>
      </c>
      <c r="D140" s="60" cm="1">
        <f t="array" ref="D14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5340</v>
      </c>
      <c r="E140" s="60">
        <v>1340</v>
      </c>
      <c r="F14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2501.8199999999997</v>
      </c>
    </row>
    <row r="141" spans="1:6" x14ac:dyDescent="0.25">
      <c r="A141" s="56">
        <v>45776</v>
      </c>
      <c r="B141" t="s">
        <v>3</v>
      </c>
      <c r="C141">
        <v>1</v>
      </c>
      <c r="D141" s="60" cm="1">
        <f t="array" ref="D14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41" s="60">
        <v>795</v>
      </c>
      <c r="F14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42" spans="1:6" x14ac:dyDescent="0.25">
      <c r="A142" s="56">
        <v>45777</v>
      </c>
      <c r="B142" t="s">
        <v>3</v>
      </c>
      <c r="C142">
        <v>1</v>
      </c>
      <c r="D142" s="60" cm="1">
        <f t="array" ref="D14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42" s="60">
        <v>795</v>
      </c>
      <c r="F14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43" spans="1:6" x14ac:dyDescent="0.25">
      <c r="A143" s="56">
        <v>45782</v>
      </c>
      <c r="B143" t="s">
        <v>112</v>
      </c>
      <c r="C143">
        <v>2</v>
      </c>
      <c r="D143" s="60" cm="1">
        <f t="array" ref="D14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5340</v>
      </c>
      <c r="E143" s="60">
        <v>1340</v>
      </c>
      <c r="F14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2501.8199999999997</v>
      </c>
    </row>
    <row r="144" spans="1:6" x14ac:dyDescent="0.25">
      <c r="A144" s="56">
        <v>45782</v>
      </c>
      <c r="B144" t="s">
        <v>4</v>
      </c>
      <c r="C144">
        <v>4</v>
      </c>
      <c r="D144" s="60" cm="1">
        <f t="array" ref="D14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9200</v>
      </c>
      <c r="E144" s="60">
        <v>1100</v>
      </c>
      <c r="F14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4523.6000000000004</v>
      </c>
    </row>
    <row r="145" spans="1:6" x14ac:dyDescent="0.25">
      <c r="A145" s="56">
        <v>45782</v>
      </c>
      <c r="B145" t="s">
        <v>3</v>
      </c>
      <c r="C145">
        <v>1</v>
      </c>
      <c r="D145" s="60" cm="1">
        <f t="array" ref="D14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45" s="60">
        <v>795</v>
      </c>
      <c r="F14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46" spans="1:6" x14ac:dyDescent="0.25">
      <c r="A146" s="56">
        <v>45783</v>
      </c>
      <c r="B146" t="s">
        <v>4</v>
      </c>
      <c r="C146">
        <v>1</v>
      </c>
      <c r="D146" s="60" cm="1">
        <f t="array" ref="D14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46" s="60">
        <v>1100</v>
      </c>
      <c r="F14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47" spans="1:6" x14ac:dyDescent="0.25">
      <c r="A147" s="56">
        <v>45783</v>
      </c>
      <c r="B147" t="s">
        <v>112</v>
      </c>
      <c r="C147">
        <v>1</v>
      </c>
      <c r="D147" s="60" cm="1">
        <f t="array" ref="D14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47" s="60">
        <v>1340</v>
      </c>
      <c r="F14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48" spans="1:6" x14ac:dyDescent="0.25">
      <c r="A148" s="56">
        <v>45784</v>
      </c>
      <c r="B148" t="s">
        <v>4</v>
      </c>
      <c r="C148">
        <v>1</v>
      </c>
      <c r="D148" s="60" cm="1">
        <f t="array" ref="D14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48" s="60">
        <v>1100</v>
      </c>
      <c r="F14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49" spans="1:6" x14ac:dyDescent="0.25">
      <c r="A149" s="56">
        <v>45784</v>
      </c>
      <c r="B149" t="s">
        <v>3</v>
      </c>
      <c r="C149">
        <v>1</v>
      </c>
      <c r="D149" s="60" cm="1">
        <f t="array" ref="D14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49" s="60">
        <v>795</v>
      </c>
      <c r="F14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50" spans="1:6" x14ac:dyDescent="0.25">
      <c r="A150" s="56">
        <v>45789</v>
      </c>
      <c r="B150" t="s">
        <v>3</v>
      </c>
      <c r="C150">
        <v>1</v>
      </c>
      <c r="D150" s="60" cm="1">
        <f t="array" ref="D15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50" s="60">
        <v>795</v>
      </c>
      <c r="F15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51" spans="1:6" x14ac:dyDescent="0.25">
      <c r="A151" s="56">
        <v>45789</v>
      </c>
      <c r="B151" t="s">
        <v>4</v>
      </c>
      <c r="C151">
        <v>1</v>
      </c>
      <c r="D151" s="60" cm="1">
        <f t="array" ref="D15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51" s="60">
        <v>1100</v>
      </c>
      <c r="F15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52" spans="1:6" x14ac:dyDescent="0.25">
      <c r="A152" s="56">
        <v>45789</v>
      </c>
      <c r="B152" t="s">
        <v>112</v>
      </c>
      <c r="C152">
        <v>1</v>
      </c>
      <c r="D152" s="60" cm="1">
        <f t="array" ref="D15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52" s="60">
        <v>1340</v>
      </c>
      <c r="F15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53" spans="1:6" x14ac:dyDescent="0.25">
      <c r="A153" s="56">
        <v>45790</v>
      </c>
      <c r="B153" t="s">
        <v>4</v>
      </c>
      <c r="C153">
        <v>1</v>
      </c>
      <c r="D153" s="60" cm="1">
        <f t="array" ref="D15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53" s="60">
        <v>1100</v>
      </c>
      <c r="F15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54" spans="1:6" x14ac:dyDescent="0.25">
      <c r="A154" s="56">
        <v>45791</v>
      </c>
      <c r="B154" t="s">
        <v>89</v>
      </c>
      <c r="C154">
        <v>0</v>
      </c>
      <c r="D154" s="60" cm="1">
        <f t="array" ref="D15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54" s="60">
        <v>0</v>
      </c>
      <c r="F15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55" spans="1:6" x14ac:dyDescent="0.25">
      <c r="A155" s="56">
        <v>45792</v>
      </c>
      <c r="B155" t="s">
        <v>4</v>
      </c>
      <c r="C155">
        <v>1</v>
      </c>
      <c r="D155" s="60" cm="1">
        <f t="array" ref="D15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55" s="60">
        <v>1100</v>
      </c>
      <c r="F15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56" spans="1:6" x14ac:dyDescent="0.25">
      <c r="A156" s="56">
        <v>45793</v>
      </c>
      <c r="B156" t="s">
        <v>4</v>
      </c>
      <c r="C156">
        <v>2</v>
      </c>
      <c r="D156" s="60" cm="1">
        <f t="array" ref="D15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156" s="60">
        <v>1100</v>
      </c>
      <c r="F15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</row>
    <row r="157" spans="1:6" x14ac:dyDescent="0.25">
      <c r="A157" s="56">
        <v>45793</v>
      </c>
      <c r="B157" t="s">
        <v>3</v>
      </c>
      <c r="C157">
        <v>2</v>
      </c>
      <c r="D157" s="60" cm="1">
        <f t="array" ref="D15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57" s="60">
        <v>795</v>
      </c>
      <c r="F15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58" spans="1:6" x14ac:dyDescent="0.25">
      <c r="A158" s="56">
        <v>45796</v>
      </c>
      <c r="B158" t="s">
        <v>4</v>
      </c>
      <c r="C158">
        <v>1</v>
      </c>
      <c r="D158" s="60" cm="1">
        <f t="array" ref="D15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58" s="60">
        <v>1100</v>
      </c>
      <c r="F15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59" spans="1:6" x14ac:dyDescent="0.25">
      <c r="A159" s="56">
        <v>45797</v>
      </c>
      <c r="B159" t="s">
        <v>4</v>
      </c>
      <c r="C159">
        <v>1</v>
      </c>
      <c r="D159" s="60" cm="1">
        <f t="array" ref="D15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59" s="60">
        <v>1100</v>
      </c>
      <c r="F15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60" spans="1:6" x14ac:dyDescent="0.25">
      <c r="A160" s="56">
        <v>45797</v>
      </c>
      <c r="B160" t="s">
        <v>3</v>
      </c>
      <c r="C160">
        <v>1</v>
      </c>
      <c r="D160" s="60" cm="1">
        <f t="array" ref="D16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60" s="60">
        <v>795</v>
      </c>
      <c r="F16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61" spans="1:6" x14ac:dyDescent="0.25">
      <c r="A161" s="56">
        <v>45798</v>
      </c>
      <c r="B161" t="s">
        <v>4</v>
      </c>
      <c r="C161">
        <v>3</v>
      </c>
      <c r="D161" s="60" cm="1">
        <f t="array" ref="D16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6900</v>
      </c>
      <c r="E161" s="60">
        <v>1100</v>
      </c>
      <c r="F16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3392.7</v>
      </c>
    </row>
    <row r="162" spans="1:6" x14ac:dyDescent="0.25">
      <c r="A162" s="56">
        <v>45798</v>
      </c>
      <c r="B162" t="s">
        <v>3</v>
      </c>
      <c r="C162">
        <v>1</v>
      </c>
      <c r="D162" s="60" cm="1">
        <f t="array" ref="D16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62" s="60">
        <v>795</v>
      </c>
      <c r="F16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63" spans="1:6" x14ac:dyDescent="0.25">
      <c r="A163" s="56">
        <v>45799</v>
      </c>
      <c r="B163" t="s">
        <v>89</v>
      </c>
      <c r="C163">
        <v>0</v>
      </c>
      <c r="D163" s="60" cm="1">
        <f t="array" ref="D16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63" s="60">
        <v>0</v>
      </c>
      <c r="F16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64" spans="1:6" x14ac:dyDescent="0.25">
      <c r="A164" s="56">
        <v>45800</v>
      </c>
      <c r="B164" t="s">
        <v>3</v>
      </c>
      <c r="C164">
        <v>2</v>
      </c>
      <c r="D164" s="60" cm="1">
        <f t="array" ref="D16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64" s="60">
        <v>795</v>
      </c>
      <c r="F16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65" spans="1:6" x14ac:dyDescent="0.25">
      <c r="A165" s="56">
        <v>45800</v>
      </c>
      <c r="B165" t="s">
        <v>4</v>
      </c>
      <c r="C165">
        <v>1</v>
      </c>
      <c r="D165" s="60" cm="1">
        <f t="array" ref="D16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65" s="60">
        <v>1100</v>
      </c>
      <c r="F16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66" spans="1:6" x14ac:dyDescent="0.25">
      <c r="A166" s="56">
        <v>45803</v>
      </c>
      <c r="B166" t="s">
        <v>4</v>
      </c>
      <c r="C166">
        <v>4</v>
      </c>
      <c r="D166" s="60" cm="1">
        <f t="array" ref="D16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9200</v>
      </c>
      <c r="E166" s="60">
        <v>1100</v>
      </c>
      <c r="F16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4523.6000000000004</v>
      </c>
    </row>
    <row r="167" spans="1:6" x14ac:dyDescent="0.25">
      <c r="A167" s="56">
        <v>45803</v>
      </c>
      <c r="B167" t="s">
        <v>3</v>
      </c>
      <c r="C167">
        <v>2</v>
      </c>
      <c r="D167" s="60" cm="1">
        <f t="array" ref="D16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67" s="60">
        <v>795</v>
      </c>
      <c r="F16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68" spans="1:6" x14ac:dyDescent="0.25">
      <c r="A168" s="56">
        <v>45804</v>
      </c>
      <c r="B168" t="s">
        <v>3</v>
      </c>
      <c r="C168">
        <v>1</v>
      </c>
      <c r="D168" s="60" cm="1">
        <f t="array" ref="D16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68" s="60">
        <v>795</v>
      </c>
      <c r="F16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69" spans="1:6" x14ac:dyDescent="0.25">
      <c r="A169" s="56">
        <v>45805</v>
      </c>
      <c r="B169" t="s">
        <v>3</v>
      </c>
      <c r="C169">
        <v>3</v>
      </c>
      <c r="D169" s="60" cm="1">
        <f t="array" ref="D16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69" s="60">
        <v>795</v>
      </c>
      <c r="F16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70" spans="1:6" x14ac:dyDescent="0.25">
      <c r="A170" s="56">
        <v>45806</v>
      </c>
      <c r="B170" t="s">
        <v>3</v>
      </c>
      <c r="C170">
        <v>1</v>
      </c>
      <c r="D170" s="60" cm="1">
        <f t="array" ref="D17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70" s="60">
        <v>795</v>
      </c>
      <c r="F17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71" spans="1:6" x14ac:dyDescent="0.25">
      <c r="A171" s="56">
        <v>45807</v>
      </c>
      <c r="B171" t="s">
        <v>89</v>
      </c>
      <c r="C171">
        <v>0</v>
      </c>
      <c r="D171" s="60" cm="1">
        <f t="array" ref="D17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71" s="60">
        <v>0</v>
      </c>
      <c r="F17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72" spans="1:6" x14ac:dyDescent="0.25">
      <c r="A172" s="56">
        <v>45810</v>
      </c>
      <c r="B172" t="s">
        <v>89</v>
      </c>
      <c r="C172">
        <v>0</v>
      </c>
      <c r="D172" s="60" cm="1">
        <f t="array" ref="D17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72" s="60">
        <v>0</v>
      </c>
      <c r="F17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73" spans="1:6" x14ac:dyDescent="0.25">
      <c r="A173" s="56">
        <v>45811</v>
      </c>
      <c r="B173" t="s">
        <v>3</v>
      </c>
      <c r="C173">
        <v>5</v>
      </c>
      <c r="D173" s="60" cm="1">
        <f t="array" ref="D17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10000</v>
      </c>
      <c r="E173" s="60">
        <v>795</v>
      </c>
      <c r="F17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5720</v>
      </c>
    </row>
    <row r="174" spans="1:6" x14ac:dyDescent="0.25">
      <c r="A174" s="56">
        <v>45811</v>
      </c>
      <c r="B174" t="s">
        <v>4</v>
      </c>
      <c r="C174">
        <v>1</v>
      </c>
      <c r="D174" s="60" cm="1">
        <f t="array" ref="D17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74" s="60">
        <v>1100</v>
      </c>
      <c r="F17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75" spans="1:6" x14ac:dyDescent="0.25">
      <c r="A175" s="56">
        <v>45812</v>
      </c>
      <c r="B175" t="s">
        <v>3</v>
      </c>
      <c r="C175">
        <v>2</v>
      </c>
      <c r="D175" s="60" cm="1">
        <f t="array" ref="D17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75" s="60">
        <v>795</v>
      </c>
      <c r="F17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76" spans="1:6" x14ac:dyDescent="0.25">
      <c r="A176" s="56">
        <v>45812</v>
      </c>
      <c r="B176" t="s">
        <v>112</v>
      </c>
      <c r="C176">
        <v>1</v>
      </c>
      <c r="D176" s="60" cm="1">
        <f t="array" ref="D17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76" s="60">
        <v>1340</v>
      </c>
      <c r="F17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77" spans="1:6" x14ac:dyDescent="0.25">
      <c r="A177" s="56">
        <v>45813</v>
      </c>
      <c r="B177" t="s">
        <v>3</v>
      </c>
      <c r="C177">
        <v>4</v>
      </c>
      <c r="D177" s="60" cm="1">
        <f t="array" ref="D17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8000</v>
      </c>
      <c r="E177" s="60">
        <v>795</v>
      </c>
      <c r="F17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4576</v>
      </c>
    </row>
    <row r="178" spans="1:6" x14ac:dyDescent="0.25">
      <c r="A178" s="56">
        <v>45814</v>
      </c>
      <c r="B178" t="s">
        <v>3</v>
      </c>
      <c r="C178">
        <v>3</v>
      </c>
      <c r="D178" s="60" cm="1">
        <f t="array" ref="D17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78" s="60">
        <v>795</v>
      </c>
      <c r="F17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79" spans="1:6" x14ac:dyDescent="0.25">
      <c r="A179" s="56">
        <v>45817</v>
      </c>
      <c r="B179" t="s">
        <v>3</v>
      </c>
      <c r="C179">
        <v>3</v>
      </c>
      <c r="D179" s="60" cm="1">
        <f t="array" ref="D17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79" s="60">
        <v>795</v>
      </c>
      <c r="F17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80" spans="1:6" x14ac:dyDescent="0.25">
      <c r="A180" s="56">
        <v>45817</v>
      </c>
      <c r="B180" t="s">
        <v>112</v>
      </c>
      <c r="C180">
        <v>1</v>
      </c>
      <c r="D180" s="60" cm="1">
        <f t="array" ref="D18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80" s="60">
        <v>1340</v>
      </c>
      <c r="F18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81" spans="1:6" x14ac:dyDescent="0.25">
      <c r="A181" s="56">
        <v>45818</v>
      </c>
      <c r="B181" t="s">
        <v>3</v>
      </c>
      <c r="C181">
        <v>2</v>
      </c>
      <c r="D181" s="60" cm="1">
        <f t="array" ref="D18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81" s="60">
        <v>795</v>
      </c>
      <c r="F18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82" spans="1:6" x14ac:dyDescent="0.25">
      <c r="A182" s="56">
        <v>45819</v>
      </c>
      <c r="B182" t="s">
        <v>3</v>
      </c>
      <c r="C182">
        <v>1</v>
      </c>
      <c r="D182" s="60" cm="1">
        <f t="array" ref="D18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82" s="60">
        <v>795</v>
      </c>
      <c r="F18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83" spans="1:6" x14ac:dyDescent="0.25">
      <c r="A183" s="56">
        <v>45824</v>
      </c>
      <c r="B183" t="s">
        <v>3</v>
      </c>
      <c r="C183">
        <v>3</v>
      </c>
      <c r="D183" s="60" cm="1">
        <f t="array" ref="D18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83" s="60">
        <v>795</v>
      </c>
      <c r="F18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84" spans="1:6" x14ac:dyDescent="0.25">
      <c r="A184" s="56">
        <v>45825</v>
      </c>
      <c r="B184" t="s">
        <v>89</v>
      </c>
      <c r="C184">
        <v>0</v>
      </c>
      <c r="D184" s="60" cm="1">
        <f t="array" ref="D18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84" s="60">
        <v>0</v>
      </c>
      <c r="F18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85" spans="1:6" x14ac:dyDescent="0.25">
      <c r="A185" s="56">
        <v>45826</v>
      </c>
      <c r="B185" t="s">
        <v>3</v>
      </c>
      <c r="C185">
        <v>1</v>
      </c>
      <c r="D185" s="60" cm="1">
        <f t="array" ref="D18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85" s="60">
        <v>795</v>
      </c>
      <c r="F18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86" spans="1:6" x14ac:dyDescent="0.25">
      <c r="A186" s="56">
        <v>45826</v>
      </c>
      <c r="B186" t="s">
        <v>4</v>
      </c>
      <c r="C186">
        <v>1</v>
      </c>
      <c r="D186" s="60" cm="1">
        <f t="array" ref="D18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86" s="60">
        <v>1100</v>
      </c>
      <c r="F18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87" spans="1:6" x14ac:dyDescent="0.25">
      <c r="A187" s="56">
        <v>45827</v>
      </c>
      <c r="B187" t="s">
        <v>3</v>
      </c>
      <c r="C187">
        <v>3</v>
      </c>
      <c r="D187" s="60" cm="1">
        <f t="array" ref="D18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87" s="60">
        <v>795</v>
      </c>
      <c r="F18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88" spans="1:6" x14ac:dyDescent="0.25">
      <c r="A188" s="56">
        <v>45827</v>
      </c>
      <c r="B188" t="s">
        <v>112</v>
      </c>
      <c r="C188">
        <v>1</v>
      </c>
      <c r="D188" s="60" cm="1">
        <f t="array" ref="D18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88" s="60">
        <v>1340</v>
      </c>
      <c r="F18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89" spans="1:6" x14ac:dyDescent="0.25">
      <c r="A189" s="56">
        <v>45828</v>
      </c>
      <c r="B189" t="s">
        <v>3</v>
      </c>
      <c r="C189">
        <v>2</v>
      </c>
      <c r="D189" s="60" cm="1">
        <f t="array" ref="D18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89" s="60">
        <v>795</v>
      </c>
      <c r="F18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90" spans="1:6" x14ac:dyDescent="0.25">
      <c r="A190" s="56">
        <v>45831</v>
      </c>
      <c r="B190" t="s">
        <v>3</v>
      </c>
      <c r="C190">
        <v>3</v>
      </c>
      <c r="D190" s="60" cm="1">
        <f t="array" ref="D19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90" s="60">
        <v>795</v>
      </c>
      <c r="F19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191" spans="1:6" x14ac:dyDescent="0.25">
      <c r="A191" s="56">
        <v>45831</v>
      </c>
      <c r="B191" t="s">
        <v>112</v>
      </c>
      <c r="C191">
        <v>1</v>
      </c>
      <c r="D191" s="60" cm="1">
        <f t="array" ref="D19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91" s="60">
        <v>1340</v>
      </c>
      <c r="F19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92" spans="1:6" x14ac:dyDescent="0.25">
      <c r="A192" s="56">
        <v>45832</v>
      </c>
      <c r="B192" t="s">
        <v>3</v>
      </c>
      <c r="C192">
        <v>1</v>
      </c>
      <c r="D192" s="60" cm="1">
        <f t="array" ref="D19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92" s="60">
        <v>795</v>
      </c>
      <c r="F19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93" spans="1:6" x14ac:dyDescent="0.25">
      <c r="A193" s="56">
        <v>45833</v>
      </c>
      <c r="B193" t="s">
        <v>3</v>
      </c>
      <c r="C193">
        <v>1</v>
      </c>
      <c r="D193" s="60" cm="1">
        <f t="array" ref="D19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193" s="60">
        <v>795</v>
      </c>
      <c r="F19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194" spans="1:6" x14ac:dyDescent="0.25">
      <c r="A194" s="56">
        <v>45834</v>
      </c>
      <c r="B194" t="s">
        <v>3</v>
      </c>
      <c r="C194">
        <v>3</v>
      </c>
      <c r="D194" s="60" cm="1">
        <f t="array" ref="D19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194" s="60">
        <v>720</v>
      </c>
      <c r="F19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3657</v>
      </c>
    </row>
    <row r="195" spans="1:6" x14ac:dyDescent="0.25">
      <c r="A195" s="56">
        <v>45834</v>
      </c>
      <c r="B195" t="s">
        <v>112</v>
      </c>
      <c r="C195">
        <v>1</v>
      </c>
      <c r="D195" s="60" cm="1">
        <f t="array" ref="D19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195" s="60">
        <v>1340</v>
      </c>
      <c r="F19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196" spans="1:6" x14ac:dyDescent="0.25">
      <c r="A196" s="56">
        <v>45834</v>
      </c>
      <c r="B196" t="s">
        <v>4</v>
      </c>
      <c r="C196">
        <v>1</v>
      </c>
      <c r="D196" s="60" cm="1">
        <f t="array" ref="D19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96" s="60">
        <v>1100</v>
      </c>
      <c r="F19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197" spans="1:6" x14ac:dyDescent="0.25">
      <c r="A197" s="56">
        <v>45835</v>
      </c>
      <c r="B197" t="s">
        <v>89</v>
      </c>
      <c r="C197">
        <v>0</v>
      </c>
      <c r="D197" s="60" cm="1">
        <f t="array" ref="D19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197" s="60">
        <v>0</v>
      </c>
      <c r="F19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198" spans="1:6" x14ac:dyDescent="0.25">
      <c r="A198" s="56">
        <v>45838</v>
      </c>
      <c r="B198" t="s">
        <v>3</v>
      </c>
      <c r="C198">
        <v>2</v>
      </c>
      <c r="D198" s="60" cm="1">
        <f t="array" ref="D19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198" s="60">
        <v>795</v>
      </c>
      <c r="F19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199" spans="1:6" x14ac:dyDescent="0.25">
      <c r="A199" s="56">
        <v>45838</v>
      </c>
      <c r="B199" t="s">
        <v>4</v>
      </c>
      <c r="C199">
        <v>1</v>
      </c>
      <c r="D199" s="60" cm="1">
        <f t="array" ref="D19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199" s="60">
        <v>1100</v>
      </c>
      <c r="F19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00" spans="1:6" x14ac:dyDescent="0.25">
      <c r="A200" s="56">
        <v>45839</v>
      </c>
      <c r="B200" t="s">
        <v>4</v>
      </c>
      <c r="C200">
        <v>1</v>
      </c>
      <c r="D200" s="60" cm="1">
        <f t="array" ref="D20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00" s="60">
        <v>1100</v>
      </c>
      <c r="F20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01" spans="1:6" x14ac:dyDescent="0.25">
      <c r="A201" s="56">
        <v>45839</v>
      </c>
      <c r="B201" t="s">
        <v>3</v>
      </c>
      <c r="C201">
        <v>2</v>
      </c>
      <c r="D201" s="60" cm="1">
        <f t="array" ref="D20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201" s="60">
        <v>720</v>
      </c>
      <c r="F20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2438</v>
      </c>
    </row>
    <row r="202" spans="1:6" x14ac:dyDescent="0.25">
      <c r="A202" s="56">
        <v>45840</v>
      </c>
      <c r="B202" t="s">
        <v>89</v>
      </c>
      <c r="C202">
        <v>0</v>
      </c>
      <c r="D202" s="60" cm="1">
        <f t="array" ref="D20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202" s="60">
        <v>0</v>
      </c>
      <c r="F20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203" spans="1:6" x14ac:dyDescent="0.25">
      <c r="A203" s="56">
        <v>45841</v>
      </c>
      <c r="B203" t="s">
        <v>89</v>
      </c>
      <c r="C203">
        <v>0</v>
      </c>
      <c r="D203" s="60" cm="1">
        <f t="array" ref="D20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203" s="60">
        <v>0</v>
      </c>
      <c r="F20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204" spans="1:6" x14ac:dyDescent="0.25">
      <c r="A204" s="56">
        <v>45842</v>
      </c>
      <c r="B204" t="s">
        <v>89</v>
      </c>
      <c r="C204">
        <v>0</v>
      </c>
      <c r="D204" s="60" cm="1">
        <f t="array" ref="D20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204" s="60">
        <v>0</v>
      </c>
      <c r="F20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205" spans="1:6" x14ac:dyDescent="0.25">
      <c r="A205" s="56">
        <v>45845</v>
      </c>
      <c r="B205" t="s">
        <v>89</v>
      </c>
      <c r="C205">
        <v>0</v>
      </c>
      <c r="D205" s="60" cm="1">
        <f t="array" ref="D20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205" s="60">
        <v>0</v>
      </c>
      <c r="F20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206" spans="1:6" x14ac:dyDescent="0.25">
      <c r="A206" s="56">
        <v>45846</v>
      </c>
      <c r="B206" t="s">
        <v>3</v>
      </c>
      <c r="C206">
        <v>1</v>
      </c>
      <c r="D206" s="60" cm="1">
        <f t="array" ref="D20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06" s="60">
        <v>795</v>
      </c>
      <c r="F20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07" spans="1:6" x14ac:dyDescent="0.25">
      <c r="A207" s="56">
        <v>45847</v>
      </c>
      <c r="B207" t="s">
        <v>3</v>
      </c>
      <c r="C207">
        <v>2</v>
      </c>
      <c r="D207" s="60" cm="1">
        <f t="array" ref="D20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207" s="60">
        <v>795</v>
      </c>
      <c r="F20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208" spans="1:6" x14ac:dyDescent="0.25">
      <c r="A208" s="56">
        <v>45848</v>
      </c>
      <c r="B208" t="s">
        <v>3</v>
      </c>
      <c r="C208">
        <v>2</v>
      </c>
      <c r="D208" s="60" cm="1">
        <f t="array" ref="D20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208" s="60">
        <v>795</v>
      </c>
      <c r="F20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209" spans="1:6" x14ac:dyDescent="0.25">
      <c r="A209" s="56">
        <v>45849</v>
      </c>
      <c r="B209" t="s">
        <v>3</v>
      </c>
      <c r="C209">
        <v>1</v>
      </c>
      <c r="D209" s="60" cm="1">
        <f t="array" ref="D20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09" s="60">
        <v>795</v>
      </c>
      <c r="F20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10" spans="1:6" x14ac:dyDescent="0.25">
      <c r="A210" s="56">
        <v>45849</v>
      </c>
      <c r="B210" t="s">
        <v>4</v>
      </c>
      <c r="C210">
        <v>1</v>
      </c>
      <c r="D210" s="60" cm="1">
        <f t="array" ref="D21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10" s="60">
        <v>1100</v>
      </c>
      <c r="F21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11" spans="1:6" x14ac:dyDescent="0.25">
      <c r="A211" s="56">
        <v>45852</v>
      </c>
      <c r="B211" t="s">
        <v>3</v>
      </c>
      <c r="C211">
        <v>2</v>
      </c>
      <c r="D211" s="60" cm="1">
        <f t="array" ref="D21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211" s="60">
        <v>795</v>
      </c>
      <c r="F21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212" spans="1:6" x14ac:dyDescent="0.25">
      <c r="A212" s="56">
        <v>45853</v>
      </c>
      <c r="B212" t="s">
        <v>3</v>
      </c>
      <c r="C212">
        <v>3</v>
      </c>
      <c r="D212" s="60" cm="1">
        <f t="array" ref="D21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212" s="60">
        <v>795</v>
      </c>
      <c r="F21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213" spans="1:6" x14ac:dyDescent="0.25">
      <c r="A213" s="56">
        <v>45854</v>
      </c>
      <c r="B213" t="s">
        <v>3</v>
      </c>
      <c r="C213">
        <v>2</v>
      </c>
      <c r="D213" s="60" cm="1">
        <f t="array" ref="D21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4000</v>
      </c>
      <c r="E213" s="60">
        <v>795</v>
      </c>
      <c r="F21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2288</v>
      </c>
    </row>
    <row r="214" spans="1:6" x14ac:dyDescent="0.25">
      <c r="A214" s="56">
        <v>45854</v>
      </c>
      <c r="B214" t="s">
        <v>112</v>
      </c>
      <c r="C214">
        <v>1</v>
      </c>
      <c r="D214" s="60" cm="1">
        <f t="array" ref="D21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214" s="60">
        <v>1340</v>
      </c>
      <c r="F21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215" spans="1:6" x14ac:dyDescent="0.25">
      <c r="A215" s="56">
        <v>45855</v>
      </c>
      <c r="B215" t="s">
        <v>4</v>
      </c>
      <c r="C215">
        <v>1</v>
      </c>
      <c r="D215" s="60" cm="1">
        <f t="array" ref="D21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15" s="60">
        <v>1100</v>
      </c>
      <c r="F21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16" spans="1:6" x14ac:dyDescent="0.25">
      <c r="A216" s="56">
        <v>45855</v>
      </c>
      <c r="B216" t="s">
        <v>3</v>
      </c>
      <c r="C216">
        <v>1</v>
      </c>
      <c r="D216" s="60" cm="1">
        <f t="array" ref="D21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16" s="60">
        <v>795</v>
      </c>
      <c r="F21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17" spans="1:6" x14ac:dyDescent="0.25">
      <c r="A217" s="56">
        <v>45856</v>
      </c>
      <c r="B217" t="s">
        <v>3</v>
      </c>
      <c r="C217">
        <v>1</v>
      </c>
      <c r="D217" s="60" cm="1">
        <f t="array" ref="D21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17" s="60">
        <v>795</v>
      </c>
      <c r="F21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18" spans="1:6" x14ac:dyDescent="0.25">
      <c r="A218" s="56">
        <v>45859</v>
      </c>
      <c r="B218" t="s">
        <v>3</v>
      </c>
      <c r="C218">
        <v>1</v>
      </c>
      <c r="D218" s="60" cm="1">
        <f t="array" ref="D21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18" s="60">
        <v>795</v>
      </c>
      <c r="F21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19" spans="1:6" x14ac:dyDescent="0.25">
      <c r="A219" s="56">
        <v>45860</v>
      </c>
      <c r="B219" t="s">
        <v>112</v>
      </c>
      <c r="C219">
        <v>1</v>
      </c>
      <c r="D219" s="60" cm="1">
        <f t="array" ref="D21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219" s="60">
        <v>1340</v>
      </c>
      <c r="F21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220" spans="1:6" x14ac:dyDescent="0.25">
      <c r="A220" s="56">
        <v>45860</v>
      </c>
      <c r="B220" t="s">
        <v>4</v>
      </c>
      <c r="C220">
        <v>1</v>
      </c>
      <c r="D220" s="60" cm="1">
        <f t="array" ref="D22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20" s="60">
        <v>1100</v>
      </c>
      <c r="F22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21" spans="1:6" x14ac:dyDescent="0.25">
      <c r="A221" s="56">
        <v>45861</v>
      </c>
      <c r="B221" t="s">
        <v>3</v>
      </c>
      <c r="C221">
        <v>5</v>
      </c>
      <c r="D221" s="60" cm="1">
        <f t="array" ref="D22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10000</v>
      </c>
      <c r="E221" s="60">
        <v>795</v>
      </c>
      <c r="F22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5720</v>
      </c>
    </row>
    <row r="222" spans="1:6" x14ac:dyDescent="0.25">
      <c r="A222" s="56">
        <v>45862</v>
      </c>
      <c r="B222" t="s">
        <v>3</v>
      </c>
      <c r="C222">
        <v>3</v>
      </c>
      <c r="D222" s="60" cm="1">
        <f t="array" ref="D22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222" s="60">
        <v>795</v>
      </c>
      <c r="F22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223" spans="1:6" x14ac:dyDescent="0.25">
      <c r="A223" s="56">
        <v>45863</v>
      </c>
      <c r="B223" t="s">
        <v>4</v>
      </c>
      <c r="C223">
        <v>2</v>
      </c>
      <c r="D223" s="60" cm="1">
        <f t="array" ref="D22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4600</v>
      </c>
      <c r="E223" s="60">
        <v>1100</v>
      </c>
      <c r="F22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2261.8000000000002</v>
      </c>
    </row>
    <row r="224" spans="1:6" x14ac:dyDescent="0.25">
      <c r="A224" s="56">
        <v>45866</v>
      </c>
      <c r="B224" t="s">
        <v>3</v>
      </c>
      <c r="C224">
        <v>1</v>
      </c>
      <c r="D224" s="60" cm="1">
        <f t="array" ref="D22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24" s="60">
        <v>795</v>
      </c>
      <c r="F22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25" spans="1:6" x14ac:dyDescent="0.25">
      <c r="A225" s="56">
        <v>45867</v>
      </c>
      <c r="B225" t="s">
        <v>3</v>
      </c>
      <c r="C225">
        <v>3</v>
      </c>
      <c r="D225" s="60" cm="1">
        <f t="array" ref="D22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225" s="60">
        <v>795</v>
      </c>
      <c r="F22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226" spans="1:6" x14ac:dyDescent="0.25">
      <c r="A226" s="56">
        <v>45868</v>
      </c>
      <c r="B226" t="s">
        <v>4</v>
      </c>
      <c r="C226">
        <v>1</v>
      </c>
      <c r="D226" s="60" cm="1">
        <f t="array" ref="D22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26" s="60">
        <v>1100</v>
      </c>
      <c r="F22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27" spans="1:6" x14ac:dyDescent="0.25">
      <c r="A227" s="56">
        <v>45869</v>
      </c>
      <c r="B227" t="s">
        <v>89</v>
      </c>
      <c r="C227">
        <v>0</v>
      </c>
      <c r="D227" s="60" cm="1">
        <f t="array" ref="D22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227" s="60">
        <v>0</v>
      </c>
      <c r="F22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  <row r="228" spans="1:6" x14ac:dyDescent="0.25">
      <c r="A228" s="56">
        <v>45870</v>
      </c>
      <c r="B228" t="s">
        <v>4</v>
      </c>
      <c r="C228">
        <v>1</v>
      </c>
      <c r="D228" s="60" cm="1">
        <f t="array" ref="D228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28" s="60">
        <v>1100</v>
      </c>
      <c r="F228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29" spans="1:6" x14ac:dyDescent="0.25">
      <c r="A229" s="56">
        <v>45870</v>
      </c>
      <c r="B229" t="s">
        <v>3</v>
      </c>
      <c r="C229">
        <v>3</v>
      </c>
      <c r="D229" s="60" cm="1">
        <f t="array" ref="D229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229" s="60">
        <v>795</v>
      </c>
      <c r="F229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230" spans="1:6" x14ac:dyDescent="0.25">
      <c r="A230" s="56">
        <v>45870</v>
      </c>
      <c r="B230" t="s">
        <v>112</v>
      </c>
      <c r="C230">
        <v>1</v>
      </c>
      <c r="D230" s="60" cm="1">
        <f t="array" ref="D230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230" s="60">
        <v>1340</v>
      </c>
      <c r="F230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231" spans="1:6" x14ac:dyDescent="0.25">
      <c r="A231" s="56">
        <v>45873</v>
      </c>
      <c r="B231" t="s">
        <v>3</v>
      </c>
      <c r="C231">
        <v>1</v>
      </c>
      <c r="D231" s="60" cm="1">
        <f t="array" ref="D231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31" s="60">
        <v>795</v>
      </c>
      <c r="F231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32" spans="1:6" x14ac:dyDescent="0.25">
      <c r="A232" s="56">
        <v>45873</v>
      </c>
      <c r="B232" t="s">
        <v>4</v>
      </c>
      <c r="C232">
        <v>1</v>
      </c>
      <c r="D232" s="60" cm="1">
        <f t="array" ref="D232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32" s="60">
        <v>1100</v>
      </c>
      <c r="F232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33" spans="1:6" x14ac:dyDescent="0.25">
      <c r="A233" s="56">
        <v>45874</v>
      </c>
      <c r="B233" t="s">
        <v>4</v>
      </c>
      <c r="C233">
        <v>1</v>
      </c>
      <c r="D233" s="60" cm="1">
        <f t="array" ref="D233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2300</v>
      </c>
      <c r="E233" s="60">
        <v>1100</v>
      </c>
      <c r="F233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1130.9000000000001</v>
      </c>
    </row>
    <row r="234" spans="1:6" x14ac:dyDescent="0.25">
      <c r="A234" s="56">
        <v>45875</v>
      </c>
      <c r="B234" t="s">
        <v>3</v>
      </c>
      <c r="C234">
        <v>3</v>
      </c>
      <c r="D234" s="60" cm="1">
        <f t="array" ref="D234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6000</v>
      </c>
      <c r="E234" s="60">
        <v>795</v>
      </c>
      <c r="F234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3432</v>
      </c>
    </row>
    <row r="235" spans="1:6" x14ac:dyDescent="0.25">
      <c r="A235" s="56">
        <v>45875</v>
      </c>
      <c r="B235" t="s">
        <v>112</v>
      </c>
      <c r="C235">
        <v>1</v>
      </c>
      <c r="D235" s="60" cm="1">
        <f t="array" ref="D235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2670</v>
      </c>
      <c r="E235" s="60">
        <v>1340</v>
      </c>
      <c r="F235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1250.9099999999999</v>
      </c>
    </row>
    <row r="236" spans="1:6" x14ac:dyDescent="0.25">
      <c r="A236" s="56">
        <v>45876</v>
      </c>
      <c r="B236" t="s">
        <v>3</v>
      </c>
      <c r="C236">
        <v>1</v>
      </c>
      <c r="D236" s="60" cm="1">
        <f t="array" ref="D236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2000</v>
      </c>
      <c r="E236" s="60">
        <v>795</v>
      </c>
      <c r="F236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1144</v>
      </c>
    </row>
    <row r="237" spans="1:6" x14ac:dyDescent="0.25">
      <c r="A237" s="56">
        <v>45877</v>
      </c>
      <c r="B237" t="s">
        <v>89</v>
      </c>
      <c r="C237">
        <v>0</v>
      </c>
      <c r="D237" s="60" cm="1">
        <f t="array" ref="D237">IFERROR(_xlfn.IFS(Продажи_Новак[[#This Row],[Товар]]=$E$2,Продажи_Новак[[#This Row],[Кол-во]]*2000,Продажи_Новак[[#This Row],[Товар]]=$E$3,Продажи_Новак[[#This Row],[Кол-во]]*2300,Продажи_Новак[[#This Row],[Товар]]=$E$4,Продажи_Новак[[#This Row],[Кол-во]]*2670),0)</f>
        <v>0</v>
      </c>
      <c r="E237" s="60">
        <v>0</v>
      </c>
      <c r="F237" s="60">
        <f>Продажи_Новак[[#This Row],[Выручка]]-Продажи_Новак[[#This Row],[Выручка]]*$Q$3-Продажи_Новак[[#This Row],[Закупка 1шт]]*Продажи_Новак[[#This Row],[Кол-во]]-Продажи_Новак[[#This Row],[Кол-во]]*7</f>
        <v>0</v>
      </c>
    </row>
  </sheetData>
  <conditionalFormatting sqref="A30:F237">
    <cfRule type="expression" dxfId="19" priority="7">
      <formula>MONTH($A30)&lt;&gt;MONTH($A31)</formula>
    </cfRule>
  </conditionalFormatting>
  <conditionalFormatting sqref="B30:F237">
    <cfRule type="expression" dxfId="18" priority="1">
      <formula>$B30="Есмарт АРМ"</formula>
    </cfRule>
    <cfRule type="expression" dxfId="17" priority="4">
      <formula>$B30="Есмарт"</formula>
    </cfRule>
    <cfRule type="expression" dxfId="16" priority="6">
      <formula>$B30="Рутокен"</formula>
    </cfRule>
  </conditionalFormatting>
  <dataValidations count="1">
    <dataValidation type="list" allowBlank="1" showInputMessage="1" showErrorMessage="1" sqref="B30:B237" xr:uid="{EDDFAD26-175E-4104-92C2-4BAA202CE1FE}">
      <formula1>"-,Есмарт,Рутокен,Есмарт АРМ"</formula1>
    </dataValidation>
  </dataValidations>
  <pageMargins left="0.7" right="0.7" top="0.75" bottom="0.75" header="0.3" footer="0.3"/>
  <pageSetup paperSize="9" orientation="portrait" r:id="rId1"/>
  <ignoredErrors>
    <ignoredError sqref="A14" numberStoredAsText="1"/>
    <ignoredError sqref="J48:J58 M48:M59" calculatedColumn="1"/>
    <ignoredError sqref="L4:L5" formulaRange="1"/>
  </ignoredErrors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/>
  <dimension ref="A1:V264"/>
  <sheetViews>
    <sheetView zoomScale="90" zoomScaleNormal="90" workbookViewId="0">
      <selection activeCell="D26" sqref="D26"/>
    </sheetView>
  </sheetViews>
  <sheetFormatPr defaultRowHeight="15" x14ac:dyDescent="0.25"/>
  <cols>
    <col min="1" max="1" width="15.140625" customWidth="1"/>
    <col min="2" max="2" width="18" bestFit="1" customWidth="1"/>
    <col min="3" max="3" width="12.5703125" bestFit="1" customWidth="1"/>
    <col min="4" max="5" width="15.28515625" customWidth="1"/>
    <col min="6" max="6" width="14" customWidth="1"/>
    <col min="8" max="8" width="11.5703125" bestFit="1" customWidth="1"/>
    <col min="9" max="9" width="13.7109375" customWidth="1"/>
    <col min="10" max="10" width="12.5703125" customWidth="1"/>
    <col min="11" max="12" width="13.85546875" bestFit="1" customWidth="1"/>
    <col min="13" max="13" width="10" bestFit="1" customWidth="1"/>
    <col min="14" max="14" width="12.7109375" bestFit="1" customWidth="1"/>
    <col min="15" max="15" width="9.5703125" bestFit="1" customWidth="1"/>
    <col min="16" max="16" width="12.42578125" bestFit="1" customWidth="1"/>
    <col min="17" max="17" width="13.28515625" customWidth="1"/>
    <col min="18" max="18" width="17.28515625" bestFit="1" customWidth="1"/>
    <col min="19" max="19" width="12.7109375" bestFit="1" customWidth="1"/>
    <col min="20" max="20" width="17.28515625" bestFit="1" customWidth="1"/>
    <col min="21" max="21" width="12.7109375" bestFit="1" customWidth="1"/>
    <col min="22" max="22" width="12.28515625" bestFit="1" customWidth="1"/>
  </cols>
  <sheetData>
    <row r="1" spans="1:22" x14ac:dyDescent="0.25">
      <c r="A1" s="41" t="s">
        <v>37</v>
      </c>
      <c r="B1" s="41" t="s">
        <v>38</v>
      </c>
      <c r="C1" s="41" t="s">
        <v>39</v>
      </c>
      <c r="D1" s="41" t="s">
        <v>40</v>
      </c>
      <c r="E1" s="41" t="s">
        <v>41</v>
      </c>
      <c r="P1" s="9" t="s">
        <v>44</v>
      </c>
      <c r="Q1" t="s">
        <v>95</v>
      </c>
      <c r="S1" t="s">
        <v>96</v>
      </c>
    </row>
    <row r="2" spans="1:22" ht="15" customHeight="1" x14ac:dyDescent="0.25">
      <c r="A2" s="2">
        <f>SUMIF($C$7:$C$23,E2,$B$7:$B$23)</f>
        <v>302</v>
      </c>
      <c r="B2" s="2">
        <f>SUMIF(Продажи_Засек[Товар],E2,Продажи_Засек[Кол-во])</f>
        <v>272</v>
      </c>
      <c r="C2" s="2">
        <f>A2-B2</f>
        <v>30</v>
      </c>
      <c r="D2" s="240">
        <v>720</v>
      </c>
      <c r="E2" s="2" t="s">
        <v>3</v>
      </c>
      <c r="P2" s="24"/>
      <c r="Q2" s="27" t="s">
        <v>47</v>
      </c>
      <c r="R2" s="24" t="s">
        <v>48</v>
      </c>
      <c r="S2" s="24"/>
      <c r="T2" s="24" t="s">
        <v>49</v>
      </c>
      <c r="U2" s="24" t="s">
        <v>50</v>
      </c>
      <c r="V2" s="24" t="s">
        <v>51</v>
      </c>
    </row>
    <row r="3" spans="1:22" x14ac:dyDescent="0.25">
      <c r="A3" s="2">
        <f t="shared" ref="A3:A4" si="0">SUMIF($C$7:$C$23,E3,$B$7:$B$23)</f>
        <v>158</v>
      </c>
      <c r="B3" s="2">
        <f>SUMIF(Продажи_Засек[Товар],E3,Продажи_Засек[Кол-во])</f>
        <v>154</v>
      </c>
      <c r="C3" s="2">
        <f t="shared" ref="C3:C4" si="1">A3-B3</f>
        <v>4</v>
      </c>
      <c r="D3" s="240">
        <v>1250</v>
      </c>
      <c r="E3" s="2" t="s">
        <v>4</v>
      </c>
      <c r="J3" s="24" t="s">
        <v>53</v>
      </c>
      <c r="K3" s="24" t="s">
        <v>54</v>
      </c>
      <c r="L3" s="24" t="s">
        <v>55</v>
      </c>
      <c r="P3" s="61"/>
      <c r="Q3" s="75">
        <v>2.7E-2</v>
      </c>
      <c r="R3" s="61"/>
      <c r="S3" s="61"/>
      <c r="T3" s="61"/>
      <c r="U3" s="61"/>
      <c r="V3" s="67"/>
    </row>
    <row r="4" spans="1:22" ht="15.75" thickBot="1" x14ac:dyDescent="0.3">
      <c r="A4" s="2">
        <f t="shared" si="0"/>
        <v>48</v>
      </c>
      <c r="B4" s="2">
        <f>SUMIF(Продажи_Засек[Товар],E4,Продажи_Засек[Кол-во])</f>
        <v>34</v>
      </c>
      <c r="C4" s="2">
        <f t="shared" si="1"/>
        <v>14</v>
      </c>
      <c r="D4" s="240">
        <v>1340</v>
      </c>
      <c r="E4" s="2" t="s">
        <v>112</v>
      </c>
      <c r="J4" s="2" t="s">
        <v>18</v>
      </c>
      <c r="K4" s="71" cm="1">
        <f t="array" ref="K4">SUMPRODUCT(1*ISNUMBER(SEARCH(J4,TEXT(Продажи_Засек[Дата],"ММММ"))),Продажи_Засек[Выручка])</f>
        <v>152000</v>
      </c>
      <c r="L4" s="61" cm="1">
        <f t="array" ref="L4">SUMPRODUCT(IFERROR(SEARCH($J4,TEXT(Продажи_Засек[Дата],"ММММ")),0),Продажи_Засек[Прибыль])-SUM(Q6:R6)</f>
        <v>87471.19</v>
      </c>
    </row>
    <row r="5" spans="1:22" ht="15.75" thickBot="1" x14ac:dyDescent="0.3">
      <c r="J5" s="2" t="s">
        <v>19</v>
      </c>
      <c r="K5" s="71" cm="1">
        <f t="array" ref="K5">SUMPRODUCT(1*ISNUMBER(SEARCH(J5,TEXT(Продажи_Засек[Дата],"ММММ"))),Продажи_Засек[Выручка])</f>
        <v>136900</v>
      </c>
      <c r="L5" s="61" cm="1">
        <f t="array" ref="L5">SUMPRODUCT(IFERROR(SEARCH($J5,TEXT(Продажи_Засек[Дата],"ММММ")),0),Продажи_Засек[Прибыль])-SUM(Q7:R7)</f>
        <v>71979.59</v>
      </c>
      <c r="P5" s="14"/>
      <c r="Q5" s="6" t="s">
        <v>57</v>
      </c>
      <c r="R5" s="7"/>
    </row>
    <row r="6" spans="1:22" x14ac:dyDescent="0.25">
      <c r="A6" s="5" t="s">
        <v>69</v>
      </c>
      <c r="B6" s="5" t="s">
        <v>70</v>
      </c>
      <c r="C6" s="24" t="s">
        <v>41</v>
      </c>
      <c r="D6" s="24" t="s">
        <v>40</v>
      </c>
      <c r="E6" s="24" t="s">
        <v>71</v>
      </c>
      <c r="J6" s="2" t="s">
        <v>63</v>
      </c>
      <c r="K6" s="71" cm="1">
        <f t="array" ref="K6">SUMPRODUCT(1*ISNUMBER(SEARCH(J6,TEXT(Продажи_Засек[Дата],"ММММ"))),Продажи_Засек[Выручка])</f>
        <v>150720</v>
      </c>
      <c r="L6" s="61" cm="1">
        <f t="array" ref="L6">SUMPRODUCT(IFERROR(SEARCH($J6,TEXT(Продажи_Засек[Дата],"ММММ")),0),Продажи_Засек[Прибыль])-SUM(Q8:R8)</f>
        <v>75611.650000000009</v>
      </c>
      <c r="P6" s="12" t="s">
        <v>18</v>
      </c>
      <c r="Q6" s="61">
        <v>1668.61</v>
      </c>
      <c r="R6" s="66"/>
    </row>
    <row r="7" spans="1:22" x14ac:dyDescent="0.25">
      <c r="A7" s="23" t="s">
        <v>73</v>
      </c>
      <c r="B7" s="2">
        <v>45</v>
      </c>
      <c r="C7" s="2" t="s">
        <v>3</v>
      </c>
      <c r="D7" s="241">
        <v>795</v>
      </c>
      <c r="E7" s="2"/>
      <c r="J7" s="2" t="s">
        <v>64</v>
      </c>
      <c r="K7" s="71" cm="1">
        <f t="array" ref="K7">SUMPRODUCT(1*ISNUMBER(SEARCH(J7,TEXT(Продажи_Засек[Дата],"ММММ"))),Продажи_Засек[Выручка])</f>
        <v>185100</v>
      </c>
      <c r="L7" s="61" cm="1">
        <f t="array" ref="L7">SUMPRODUCT(IFERROR(SEARCH($J7,TEXT(Продажи_Засек[Дата],"ММММ")),0),Продажи_Засек[Прибыль])-SUM(Q9:R9)</f>
        <v>96954.19</v>
      </c>
      <c r="P7" s="12" t="s">
        <v>19</v>
      </c>
      <c r="Q7" s="61">
        <v>1668.61</v>
      </c>
      <c r="R7" s="66"/>
    </row>
    <row r="8" spans="1:22" x14ac:dyDescent="0.25">
      <c r="A8" s="4">
        <v>45674</v>
      </c>
      <c r="B8" s="2">
        <v>101</v>
      </c>
      <c r="C8" s="2" t="s">
        <v>3</v>
      </c>
      <c r="D8" s="240">
        <v>720</v>
      </c>
      <c r="E8" s="2"/>
      <c r="J8" s="2" t="s">
        <v>65</v>
      </c>
      <c r="K8" s="71" cm="1">
        <f t="array" ref="K8">SUMPRODUCT(1*ISNUMBER(SEARCH(J8,TEXT(Продажи_Засек[Дата],"ММММ"))),Продажи_Засек[Выручка])</f>
        <v>88950</v>
      </c>
      <c r="L8" s="61" cm="1">
        <f t="array" ref="L8">SUMPRODUCT(IFERROR(SEARCH($J8,TEXT(Продажи_Засек[Дата],"ММММ")),0),Продажи_Засек[Прибыль])-SUM(Q10:R10)</f>
        <v>42429.14</v>
      </c>
      <c r="P8" s="12" t="s">
        <v>63</v>
      </c>
      <c r="Q8" s="61">
        <v>1668.61</v>
      </c>
      <c r="R8" s="66"/>
    </row>
    <row r="9" spans="1:22" x14ac:dyDescent="0.25">
      <c r="A9" s="4">
        <v>45693</v>
      </c>
      <c r="B9" s="2">
        <v>50</v>
      </c>
      <c r="C9" s="2" t="s">
        <v>4</v>
      </c>
      <c r="D9" s="240">
        <v>1250</v>
      </c>
      <c r="E9" s="2"/>
      <c r="J9" s="2" t="s">
        <v>66</v>
      </c>
      <c r="K9" s="71" cm="1">
        <f t="array" ref="K9">SUMPRODUCT(1*ISNUMBER(SEARCH(J9,TEXT(Продажи_Засек[Дата],"ММММ"))),Продажи_Засек[Выручка])</f>
        <v>101690</v>
      </c>
      <c r="L9" s="61" cm="1">
        <f t="array" ref="L9">SUMPRODUCT(IFERROR(SEARCH($J9,TEXT(Продажи_Засек[Дата],"ММММ")),0),Продажи_Засек[Прибыль])-SUM(Q11:R11)</f>
        <v>53841.659999999989</v>
      </c>
      <c r="P9" s="12" t="s">
        <v>64</v>
      </c>
      <c r="Q9" s="61">
        <v>1668.61</v>
      </c>
      <c r="R9" s="66"/>
    </row>
    <row r="10" spans="1:22" x14ac:dyDescent="0.25">
      <c r="A10" s="4">
        <v>45728</v>
      </c>
      <c r="B10" s="2">
        <v>79</v>
      </c>
      <c r="C10" s="2" t="s">
        <v>3</v>
      </c>
      <c r="D10" s="240">
        <v>720</v>
      </c>
      <c r="E10" s="2"/>
      <c r="J10" s="2" t="s">
        <v>67</v>
      </c>
      <c r="K10" s="71" cm="1">
        <f t="array" ref="K10">SUMPRODUCT(1*ISNUMBER(SEARCH(J10,TEXT(Продажи_Засек[Дата],"ММММ"))),Продажи_Засек[Выручка])</f>
        <v>157680</v>
      </c>
      <c r="L10" s="61" cm="1">
        <f t="array" ref="L10">SUMPRODUCT(IFERROR(SEARCH($J10,TEXT(Продажи_Засек[Дата],"ММММ")),0),Продажи_Засек[Прибыль])-SUM(Q12:R12)</f>
        <v>95456.330000000031</v>
      </c>
      <c r="P10" s="12" t="s">
        <v>65</v>
      </c>
      <c r="Q10" s="61">
        <v>1668.61</v>
      </c>
      <c r="R10" s="66"/>
    </row>
    <row r="11" spans="1:22" x14ac:dyDescent="0.25">
      <c r="A11" s="4">
        <v>45728</v>
      </c>
      <c r="B11" s="2">
        <v>28</v>
      </c>
      <c r="C11" s="2" t="s">
        <v>112</v>
      </c>
      <c r="D11" s="240">
        <v>1340</v>
      </c>
      <c r="E11" s="2"/>
      <c r="J11" s="2" t="s">
        <v>68</v>
      </c>
      <c r="K11" s="71" cm="1">
        <f t="array" ref="K11">SUMPRODUCT(1*ISNUMBER(SEARCH(J11,TEXT(Продажи_Засек[Дата],"ММММ"))),Продажи_Засек[Выручка])</f>
        <v>29340</v>
      </c>
      <c r="L11" s="61" cm="1">
        <f t="array" ref="L11">SUMPRODUCT(IFERROR(SEARCH($J11,TEXT(Продажи_Засек[Дата],"ММММ")),0),Продажи_Засек[Прибыль])-SUM(Q13:R13)</f>
        <v>14046.109999999997</v>
      </c>
      <c r="P11" s="12" t="s">
        <v>66</v>
      </c>
      <c r="Q11" s="61">
        <v>1668.61</v>
      </c>
      <c r="R11" s="66"/>
    </row>
    <row r="12" spans="1:22" x14ac:dyDescent="0.25">
      <c r="A12" s="4">
        <v>45370</v>
      </c>
      <c r="B12" s="2">
        <v>40</v>
      </c>
      <c r="C12" s="2" t="s">
        <v>4</v>
      </c>
      <c r="D12" s="240">
        <v>1250</v>
      </c>
      <c r="E12" s="2"/>
      <c r="J12" s="2" t="s">
        <v>72</v>
      </c>
      <c r="K12" s="71" cm="1">
        <f t="array" ref="K12">SUMPRODUCT(1*ISNUMBER(SEARCH(J12,TEXT(Продажи_Засек[Дата],"ММММ"))),Продажи_Засек[Выручка])</f>
        <v>0</v>
      </c>
      <c r="L12" s="61" cm="1">
        <f t="array" ref="L12">SUMPRODUCT(IFERROR(SEARCH($J12,TEXT(Продажи_Засек[Дата],"ММММ")),0),Продажи_Засек[Прибыль])-SUM(Q14:R14)</f>
        <v>-1668.61</v>
      </c>
      <c r="P12" s="12" t="s">
        <v>67</v>
      </c>
      <c r="Q12" s="61">
        <v>1668.61</v>
      </c>
      <c r="R12" s="66"/>
    </row>
    <row r="13" spans="1:22" x14ac:dyDescent="0.25">
      <c r="A13" s="4">
        <v>45763</v>
      </c>
      <c r="B13" s="2">
        <v>10</v>
      </c>
      <c r="C13" s="2" t="s">
        <v>4</v>
      </c>
      <c r="D13" s="240">
        <v>1100</v>
      </c>
      <c r="E13" s="2"/>
      <c r="J13" s="2" t="s">
        <v>74</v>
      </c>
      <c r="K13" s="71" cm="1">
        <f t="array" ref="K13">SUMPRODUCT(1*ISNUMBER(SEARCH(J13,TEXT(Продажи_Засек[Дата],"ММММ"))),Продажи_Засек[Выручка])</f>
        <v>0</v>
      </c>
      <c r="L13" s="61" cm="1">
        <f t="array" ref="L13">SUMPRODUCT(IFERROR(SEARCH($J13,TEXT(Продажи_Засек[Дата],"ММММ")),0),Продажи_Засек[Прибыль])-SUM(Q15:R15)</f>
        <v>0</v>
      </c>
      <c r="P13" s="12" t="s">
        <v>68</v>
      </c>
      <c r="Q13" s="61">
        <v>1668.61</v>
      </c>
      <c r="R13" s="66"/>
    </row>
    <row r="14" spans="1:22" x14ac:dyDescent="0.25">
      <c r="A14" s="4">
        <v>45768</v>
      </c>
      <c r="B14" s="2">
        <v>40</v>
      </c>
      <c r="C14" s="2" t="s">
        <v>3</v>
      </c>
      <c r="D14" s="240">
        <v>720</v>
      </c>
      <c r="E14" s="2"/>
      <c r="J14" s="2" t="s">
        <v>75</v>
      </c>
      <c r="K14" s="71" cm="1">
        <f t="array" ref="K14">SUMPRODUCT(1*ISNUMBER(SEARCH(J14,TEXT(Продажи_Засек[Дата],"ММММ"))),Продажи_Засек[Выручка])</f>
        <v>0</v>
      </c>
      <c r="L14" s="61" cm="1">
        <f t="array" ref="L14">SUMPRODUCT(IFERROR(SEARCH($J14,TEXT(Продажи_Засек[Дата],"ММММ")),0),Продажи_Засек[Прибыль])-SUM(Q16:R16)</f>
        <v>0</v>
      </c>
      <c r="P14" s="12" t="s">
        <v>72</v>
      </c>
      <c r="Q14" s="61">
        <v>1668.61</v>
      </c>
      <c r="R14" s="66"/>
    </row>
    <row r="15" spans="1:22" x14ac:dyDescent="0.25">
      <c r="A15" s="4">
        <v>45793</v>
      </c>
      <c r="B15" s="2">
        <v>20</v>
      </c>
      <c r="C15" s="2" t="s">
        <v>4</v>
      </c>
      <c r="D15" s="240">
        <v>1250</v>
      </c>
      <c r="E15" s="2"/>
      <c r="J15" s="2" t="s">
        <v>76</v>
      </c>
      <c r="K15" s="71" cm="1">
        <f t="array" ref="K15">SUMPRODUCT(1*ISNUMBER(SEARCH(J15,TEXT(Продажи_Засек[Дата],"ММММ"))),Продажи_Засек[Выручка])</f>
        <v>0</v>
      </c>
      <c r="L15" s="61" cm="1">
        <f t="array" ref="L15">SUMPRODUCT(IFERROR(SEARCH($J15,TEXT(Продажи_Засек[Дата],"ММММ")),0),Продажи_Засек[Прибыль])-SUM(Q17:R17)</f>
        <v>0</v>
      </c>
      <c r="P15" s="12" t="s">
        <v>74</v>
      </c>
      <c r="Q15" s="61"/>
      <c r="R15" s="66"/>
    </row>
    <row r="16" spans="1:22" x14ac:dyDescent="0.25">
      <c r="A16" s="4">
        <v>45793</v>
      </c>
      <c r="B16" s="2">
        <v>-20</v>
      </c>
      <c r="C16" s="2" t="s">
        <v>3</v>
      </c>
      <c r="D16" s="73"/>
      <c r="E16" s="2" t="s">
        <v>161</v>
      </c>
      <c r="J16" s="2" t="s">
        <v>77</v>
      </c>
      <c r="K16" s="71">
        <f>SUM(K4:K15)</f>
        <v>1002380</v>
      </c>
      <c r="L16" s="71">
        <f>SUM(L4:L15)</f>
        <v>536121.25</v>
      </c>
      <c r="P16" s="12" t="s">
        <v>75</v>
      </c>
      <c r="Q16" s="61"/>
      <c r="R16" s="66"/>
    </row>
    <row r="17" spans="1:18" ht="15.75" thickBot="1" x14ac:dyDescent="0.3">
      <c r="A17" s="4">
        <v>45800</v>
      </c>
      <c r="B17" s="2">
        <v>20</v>
      </c>
      <c r="C17" s="2" t="s">
        <v>112</v>
      </c>
      <c r="D17" s="251">
        <v>1340</v>
      </c>
      <c r="E17" s="2"/>
      <c r="P17" s="13" t="s">
        <v>76</v>
      </c>
      <c r="Q17" s="62"/>
      <c r="R17" s="63"/>
    </row>
    <row r="18" spans="1:18" x14ac:dyDescent="0.25">
      <c r="A18" s="4">
        <v>45814</v>
      </c>
      <c r="B18" s="2">
        <v>-5</v>
      </c>
      <c r="C18" s="2" t="s">
        <v>4</v>
      </c>
      <c r="D18" s="73"/>
      <c r="E18" s="2" t="s">
        <v>170</v>
      </c>
    </row>
    <row r="19" spans="1:18" x14ac:dyDescent="0.25">
      <c r="A19" s="4">
        <v>45825</v>
      </c>
      <c r="B19" s="2">
        <v>35</v>
      </c>
      <c r="C19" s="2" t="s">
        <v>4</v>
      </c>
      <c r="D19" s="240">
        <v>800</v>
      </c>
      <c r="E19" s="2"/>
    </row>
    <row r="20" spans="1:18" x14ac:dyDescent="0.25">
      <c r="A20" s="4">
        <v>45833</v>
      </c>
      <c r="B20" s="2">
        <v>-13</v>
      </c>
      <c r="C20" s="2" t="s">
        <v>3</v>
      </c>
      <c r="D20" s="73"/>
      <c r="E20" s="2" t="s">
        <v>161</v>
      </c>
    </row>
    <row r="21" spans="1:18" x14ac:dyDescent="0.25">
      <c r="A21" s="4">
        <v>45839</v>
      </c>
      <c r="B21" s="2">
        <v>25</v>
      </c>
      <c r="C21" s="2" t="s">
        <v>3</v>
      </c>
      <c r="D21" s="240">
        <v>720</v>
      </c>
      <c r="E21" s="2"/>
    </row>
    <row r="22" spans="1:18" x14ac:dyDescent="0.25">
      <c r="A22" s="4">
        <v>45861</v>
      </c>
      <c r="B22" s="2">
        <v>45</v>
      </c>
      <c r="C22" s="2" t="s">
        <v>3</v>
      </c>
      <c r="D22" s="61">
        <v>720</v>
      </c>
      <c r="E22" s="2"/>
    </row>
    <row r="23" spans="1:18" x14ac:dyDescent="0.25">
      <c r="A23" s="4">
        <v>45862</v>
      </c>
      <c r="B23" s="248">
        <v>8</v>
      </c>
      <c r="C23" s="248" t="s">
        <v>4</v>
      </c>
      <c r="D23" s="255">
        <v>1250</v>
      </c>
      <c r="E23" s="2"/>
    </row>
    <row r="25" spans="1:18" x14ac:dyDescent="0.25">
      <c r="A25" s="16"/>
    </row>
    <row r="26" spans="1:18" x14ac:dyDescent="0.25">
      <c r="A26" s="25" t="s">
        <v>86</v>
      </c>
    </row>
    <row r="27" spans="1:18" x14ac:dyDescent="0.25">
      <c r="A27" s="25"/>
    </row>
    <row r="28" spans="1:18" ht="15.75" x14ac:dyDescent="0.25">
      <c r="I28" s="50" t="s">
        <v>70</v>
      </c>
    </row>
    <row r="29" spans="1:18" x14ac:dyDescent="0.25">
      <c r="A29" t="s">
        <v>79</v>
      </c>
      <c r="B29" t="s">
        <v>41</v>
      </c>
      <c r="C29" t="s">
        <v>70</v>
      </c>
      <c r="D29" t="s">
        <v>54</v>
      </c>
      <c r="E29" t="s">
        <v>87</v>
      </c>
      <c r="F29" t="s">
        <v>55</v>
      </c>
      <c r="I29" s="46" t="s">
        <v>53</v>
      </c>
      <c r="J29" s="47" t="s">
        <v>3</v>
      </c>
      <c r="K29" s="47" t="s">
        <v>4</v>
      </c>
      <c r="L29" s="47" t="s">
        <v>112</v>
      </c>
      <c r="M29" s="48" t="s">
        <v>88</v>
      </c>
    </row>
    <row r="30" spans="1:18" x14ac:dyDescent="0.25">
      <c r="A30" s="56">
        <v>45666</v>
      </c>
      <c r="B30" t="s">
        <v>3</v>
      </c>
      <c r="C30">
        <v>5</v>
      </c>
      <c r="D30" s="72" cm="1">
        <f t="array" ref="D3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30" s="77">
        <v>795</v>
      </c>
      <c r="F3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5711.5</v>
      </c>
      <c r="I30" s="45" t="s">
        <v>18</v>
      </c>
      <c r="J30" s="51" cm="1">
        <f t="array" ref="J30">SUMPRODUCT(IFERROR(SEARCH(КолЗасек[[#This Row],[Месяц]],TEXT(Продажи_Засек[Дата],"ММММ")),0),--(Продажи_Засек[Товар]=КолЗасек[[#Headers],[Есмарт]]),Продажи_Засек[Кол-во])</f>
        <v>76</v>
      </c>
      <c r="K30" s="51" cm="1">
        <f t="array" ref="K30">SUMPRODUCT(IFERROR(SEARCH(КолЗасек[[#This Row],[Месяц]],TEXT(Продажи_Засек[Дата],"ММММ")),0),--(Продажи_Засек[Товар]=КолЗасек[[#Headers],[Рутокен]]),Продажи_Засек[Кол-во])</f>
        <v>0</v>
      </c>
      <c r="L30" s="51" cm="1">
        <f t="array" ref="L30">SUMPRODUCT(IFERROR(SEARCH(КолЗасек[[#This Row],[Месяц]],TEXT(Продажи_Засек[Дата],"ММММ")),0),--(Продажи_Засек[Товар]=КолЗасек[[#Headers],[Есмарт АРМ]]),Продажи_Засек[Кол-во])</f>
        <v>0</v>
      </c>
      <c r="M30" s="52">
        <f>SUM(J30:L30)</f>
        <v>76</v>
      </c>
    </row>
    <row r="31" spans="1:18" x14ac:dyDescent="0.25">
      <c r="A31" s="56">
        <v>45667</v>
      </c>
      <c r="B31" t="s">
        <v>3</v>
      </c>
      <c r="C31">
        <v>5</v>
      </c>
      <c r="D31" s="72" cm="1">
        <f t="array" ref="D3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31" s="77">
        <v>795</v>
      </c>
      <c r="F3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5711.5</v>
      </c>
      <c r="I31" s="45" t="s">
        <v>19</v>
      </c>
      <c r="J31" s="51" cm="1">
        <f t="array" ref="J31">SUMPRODUCT(IFERROR(SEARCH(КолЗасек[[#This Row],[Месяц]],TEXT(Продажи_Засек[Дата],"ММММ")),0),--(Продажи_Засек[Товар]=КолЗасек[[#Headers],[Есмарт]]),Продажи_Засек[Кол-во])</f>
        <v>42</v>
      </c>
      <c r="K31" s="51" cm="1">
        <f t="array" ref="K31">SUMPRODUCT(IFERROR(SEARCH(КолЗасек[[#This Row],[Месяц]],TEXT(Продажи_Засек[Дата],"ММММ")),0),--(Продажи_Засек[Товар]=КолЗасек[[#Headers],[Рутокен]]),Продажи_Засек[Кол-во])</f>
        <v>23</v>
      </c>
      <c r="L31" s="51" cm="1">
        <f t="array" ref="L31">SUMPRODUCT(IFERROR(SEARCH(КолЗасек[[#This Row],[Месяц]],TEXT(Продажи_Засек[Дата],"ММММ")),0),--(Продажи_Засек[Товар]=КолЗасек[[#Headers],[Есмарт АРМ]]),Продажи_Засек[Кол-во])</f>
        <v>0</v>
      </c>
      <c r="M31" s="52">
        <f t="shared" ref="M31:M41" si="2">SUM(J31:L31)</f>
        <v>65</v>
      </c>
    </row>
    <row r="32" spans="1:18" x14ac:dyDescent="0.25">
      <c r="A32" s="56">
        <v>45670</v>
      </c>
      <c r="B32" t="s">
        <v>3</v>
      </c>
      <c r="C32">
        <v>5</v>
      </c>
      <c r="D32" s="72" cm="1">
        <f t="array" ref="D3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32" s="77">
        <v>795</v>
      </c>
      <c r="F3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5711.5</v>
      </c>
      <c r="I32" s="45" t="s">
        <v>63</v>
      </c>
      <c r="J32" s="51" cm="1">
        <f t="array" ref="J32">SUMPRODUCT(IFERROR(SEARCH(КолЗасек[[#This Row],[Месяц]],TEXT(Продажи_Засек[Дата],"ММММ")),0),--(Продажи_Засек[Товар]=КолЗасек[[#Headers],[Есмарт]]),Продажи_Засек[Кол-во])</f>
        <v>34</v>
      </c>
      <c r="K32" s="51" cm="1">
        <f t="array" ref="K32">SUMPRODUCT(IFERROR(SEARCH(КолЗасек[[#This Row],[Месяц]],TEXT(Продажи_Засек[Дата],"ММММ")),0),--(Продажи_Засек[Товар]=КолЗасек[[#Headers],[Рутокен]]),Продажи_Засек[Кол-во])</f>
        <v>29</v>
      </c>
      <c r="L32" s="51" cm="1">
        <f t="array" ref="L32">SUMPRODUCT(IFERROR(SEARCH(КолЗасек[[#This Row],[Месяц]],TEXT(Продажи_Засек[Дата],"ММММ")),0),--(Продажи_Засек[Товар]=КолЗасек[[#Headers],[Есмарт АРМ]]),Продажи_Засек[Кол-во])</f>
        <v>6</v>
      </c>
      <c r="M32" s="52">
        <f t="shared" si="2"/>
        <v>69</v>
      </c>
    </row>
    <row r="33" spans="1:13" x14ac:dyDescent="0.25">
      <c r="A33" s="56">
        <v>45671</v>
      </c>
      <c r="B33" t="s">
        <v>3</v>
      </c>
      <c r="C33">
        <v>3</v>
      </c>
      <c r="D33" s="72" cm="1">
        <f t="array" ref="D3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33" s="77">
        <v>795</v>
      </c>
      <c r="F3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3426.9</v>
      </c>
      <c r="I33" s="45" t="s">
        <v>64</v>
      </c>
      <c r="J33" s="51" cm="1">
        <f t="array" ref="J33">SUMPRODUCT(IFERROR(SEARCH(КолЗасек[[#This Row],[Месяц]],TEXT(Продажи_Засек[Дата],"ММММ")),0),--(Продажи_Засек[Товар]=КолЗасек[[#Headers],[Есмарт]]),Продажи_Засек[Кол-во])</f>
        <v>47</v>
      </c>
      <c r="K33" s="51" cm="1">
        <f t="array" ref="K33">SUMPRODUCT(IFERROR(SEARCH(КолЗасек[[#This Row],[Месяц]],TEXT(Продажи_Засек[Дата],"ММММ")),0),--(Продажи_Засек[Товар]=КолЗасек[[#Headers],[Рутокен]]),Продажи_Засек[Кол-во])</f>
        <v>28</v>
      </c>
      <c r="L33" s="51" cm="1">
        <f t="array" ref="L33">SUMPRODUCT(IFERROR(SEARCH(КолЗасек[[#This Row],[Месяц]],TEXT(Продажи_Засек[Дата],"ММММ")),0),--(Продажи_Засек[Товар]=КолЗасек[[#Headers],[Есмарт АРМ]]),Продажи_Засек[Кол-во])</f>
        <v>10</v>
      </c>
      <c r="M33" s="52">
        <f t="shared" si="2"/>
        <v>85</v>
      </c>
    </row>
    <row r="34" spans="1:13" x14ac:dyDescent="0.25">
      <c r="A34" s="56">
        <v>45672</v>
      </c>
      <c r="B34" t="s">
        <v>3</v>
      </c>
      <c r="C34">
        <v>3</v>
      </c>
      <c r="D34" s="72" cm="1">
        <f t="array" ref="D3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34" s="77">
        <v>795</v>
      </c>
      <c r="F3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3426.9</v>
      </c>
      <c r="I34" s="45" t="s">
        <v>65</v>
      </c>
      <c r="J34" s="51" cm="1">
        <f t="array" ref="J34">SUMPRODUCT(IFERROR(SEARCH(КолЗасек[[#This Row],[Месяц]],TEXT(Продажи_Засек[Дата],"ММММ")),0),--(Продажи_Засек[Товар]=КолЗасек[[#Headers],[Есмарт]]),Продажи_Засек[Кол-во])</f>
        <v>11</v>
      </c>
      <c r="K34" s="51" cm="1">
        <f t="array" ref="K34">SUMPRODUCT(IFERROR(SEARCH(КолЗасек[[#This Row],[Месяц]],TEXT(Продажи_Засек[Дата],"ММММ")),0),--(Продажи_Засек[Товар]=КолЗасек[[#Headers],[Рутокен]]),Продажи_Засек[Кол-во])</f>
        <v>22</v>
      </c>
      <c r="L34" s="51" cm="1">
        <f t="array" ref="L34">SUMPRODUCT(IFERROR(SEARCH(КолЗасек[[#This Row],[Месяц]],TEXT(Продажи_Засек[Дата],"ММММ")),0),--(Продажи_Засек[Товар]=КолЗасек[[#Headers],[Есмарт АРМ]]),Продажи_Засек[Кол-во])</f>
        <v>5</v>
      </c>
      <c r="M34" s="52">
        <f t="shared" si="2"/>
        <v>38</v>
      </c>
    </row>
    <row r="35" spans="1:13" x14ac:dyDescent="0.25">
      <c r="A35" s="56">
        <v>45673</v>
      </c>
      <c r="B35" t="s">
        <v>3</v>
      </c>
      <c r="C35">
        <v>4</v>
      </c>
      <c r="D35" s="72" cm="1">
        <f t="array" ref="D3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35" s="77">
        <v>795</v>
      </c>
      <c r="F3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4569.2</v>
      </c>
      <c r="I35" s="45" t="s">
        <v>66</v>
      </c>
      <c r="J35" s="51" cm="1">
        <f t="array" ref="J35">SUMPRODUCT(IFERROR(SEARCH(КолЗасек[[#This Row],[Месяц]],TEXT(Продажи_Засек[Дата],"ММММ")),0),--(Продажи_Засек[Товар]=КолЗасек[[#Headers],[Есмарт]]),Продажи_Засек[Кол-во])</f>
        <v>14</v>
      </c>
      <c r="K35" s="51" cm="1">
        <f t="array" ref="K35">SUMPRODUCT(IFERROR(SEARCH(КолЗасек[[#This Row],[Месяц]],TEXT(Продажи_Засек[Дата],"ММММ")),0),--(Продажи_Засек[Товар]=КолЗасек[[#Headers],[Рутокен]]),Продажи_Засек[Кол-во])</f>
        <v>22</v>
      </c>
      <c r="L35" s="51" cm="1">
        <f t="array" ref="L35">SUMPRODUCT(IFERROR(SEARCH(КолЗасек[[#This Row],[Месяц]],TEXT(Продажи_Засек[Дата],"ММММ")),0),--(Продажи_Засек[Товар]=КолЗасек[[#Headers],[Есмарт АРМ]]),Продажи_Засек[Кол-во])</f>
        <v>7</v>
      </c>
      <c r="M35" s="52">
        <f t="shared" si="2"/>
        <v>43</v>
      </c>
    </row>
    <row r="36" spans="1:13" x14ac:dyDescent="0.25">
      <c r="A36" s="56">
        <v>45674</v>
      </c>
      <c r="B36" t="s">
        <v>3</v>
      </c>
      <c r="C36">
        <v>4</v>
      </c>
      <c r="D36" s="72" cm="1">
        <f t="array" ref="D3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36" s="77">
        <v>795</v>
      </c>
      <c r="F3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4569.2</v>
      </c>
      <c r="I36" s="45" t="s">
        <v>67</v>
      </c>
      <c r="J36" s="51" cm="1">
        <f t="array" ref="J36">SUMPRODUCT(IFERROR(SEARCH(КолЗасек[[#This Row],[Месяц]],TEXT(Продажи_Засек[Дата],"ММММ")),0),--(Продажи_Засек[Товар]=КолЗасек[[#Headers],[Есмарт]]),Продажи_Засек[Кол-во])</f>
        <v>41</v>
      </c>
      <c r="K36" s="51" cm="1">
        <f t="array" ref="K36">SUMPRODUCT(IFERROR(SEARCH(КолЗасек[[#This Row],[Месяц]],TEXT(Продажи_Засек[Дата],"ММММ")),0),--(Продажи_Засек[Товар]=КолЗасек[[#Headers],[Рутокен]]),Продажи_Засек[Кол-во])</f>
        <v>26</v>
      </c>
      <c r="L36" s="51" cm="1">
        <f t="array" ref="L36">SUMPRODUCT(IFERROR(SEARCH(КолЗасек[[#This Row],[Месяц]],TEXT(Продажи_Засек[Дата],"ММММ")),0),--(Продажи_Засек[Товар]=КолЗасек[[#Headers],[Есмарт АРМ]]),Продажи_Засек[Кол-во])</f>
        <v>4</v>
      </c>
      <c r="M36" s="52">
        <f t="shared" si="2"/>
        <v>71</v>
      </c>
    </row>
    <row r="37" spans="1:13" x14ac:dyDescent="0.25">
      <c r="A37" s="56">
        <v>45677</v>
      </c>
      <c r="B37" t="s">
        <v>3</v>
      </c>
      <c r="C37">
        <v>9</v>
      </c>
      <c r="D37" s="72" cm="1">
        <f t="array" ref="D3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18000</v>
      </c>
      <c r="E37" s="77">
        <v>795</v>
      </c>
      <c r="F3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10280.700000000001</v>
      </c>
      <c r="I37" s="45" t="s">
        <v>68</v>
      </c>
      <c r="J37" s="51" cm="1">
        <f t="array" ref="J37">SUMPRODUCT(IFERROR(SEARCH(КолЗасек[[#This Row],[Месяц]],TEXT(Продажи_Засек[Дата],"ММММ")),0),--(Продажи_Засек[Товар]=КолЗасек[[#Headers],[Есмарт]]),Продажи_Засек[Кол-во])</f>
        <v>7</v>
      </c>
      <c r="K37" s="51" cm="1">
        <f t="array" ref="K37">SUMPRODUCT(IFERROR(SEARCH(КолЗасек[[#This Row],[Месяц]],TEXT(Продажи_Засек[Дата],"ММММ")),0),--(Продажи_Засек[Товар]=КолЗасек[[#Headers],[Рутокен]]),Продажи_Засек[Кол-во])</f>
        <v>4</v>
      </c>
      <c r="L37" s="51" cm="1">
        <f t="array" ref="L37">SUMPRODUCT(IFERROR(SEARCH(КолЗасек[[#This Row],[Месяц]],TEXT(Продажи_Засек[Дата],"ММММ")),0),--(Продажи_Засек[Товар]=КолЗасек[[#Headers],[Есмарт АРМ]]),Продажи_Засек[Кол-во])</f>
        <v>2</v>
      </c>
      <c r="M37" s="52">
        <f t="shared" si="2"/>
        <v>13</v>
      </c>
    </row>
    <row r="38" spans="1:13" x14ac:dyDescent="0.25">
      <c r="A38" s="56">
        <v>45678</v>
      </c>
      <c r="B38" t="s">
        <v>3</v>
      </c>
      <c r="C38">
        <v>2</v>
      </c>
      <c r="D38" s="72" cm="1">
        <f t="array" ref="D3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38" s="77">
        <v>795</v>
      </c>
      <c r="F3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2284.6</v>
      </c>
      <c r="I38" s="45" t="s">
        <v>72</v>
      </c>
      <c r="J38" s="51" cm="1">
        <f t="array" ref="J38">SUMPRODUCT(IFERROR(SEARCH(КолЗасек[[#This Row],[Месяц]],TEXT(Продажи_Засек[Дата],"ММММ")),0),--(Продажи_Засек[Товар]=КолЗасек[[#Headers],[Есмарт]]),Продажи_Засек[Кол-во])</f>
        <v>0</v>
      </c>
      <c r="K38" s="51" cm="1">
        <f t="array" ref="K38">SUMPRODUCT(IFERROR(SEARCH(КолЗасек[[#This Row],[Месяц]],TEXT(Продажи_Засек[Дата],"ММММ")),0),--(Продажи_Засек[Товар]=КолЗасек[[#Headers],[Рутокен]]),Продажи_Засек[Кол-во])</f>
        <v>0</v>
      </c>
      <c r="L38" s="51" cm="1">
        <f t="array" ref="L38">SUMPRODUCT(IFERROR(SEARCH(КолЗасек[[#This Row],[Месяц]],TEXT(Продажи_Засек[Дата],"ММММ")),0),--(Продажи_Засек[Товар]=КолЗасек[[#Headers],[Есмарт АРМ]]),Продажи_Засек[Кол-во])</f>
        <v>0</v>
      </c>
      <c r="M38" s="52">
        <f t="shared" si="2"/>
        <v>0</v>
      </c>
    </row>
    <row r="39" spans="1:13" x14ac:dyDescent="0.25">
      <c r="A39" s="56">
        <v>45679</v>
      </c>
      <c r="B39" t="s">
        <v>3</v>
      </c>
      <c r="C39">
        <v>4</v>
      </c>
      <c r="D39" s="72" cm="1">
        <f t="array" ref="D3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39" s="77">
        <v>795</v>
      </c>
      <c r="F3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4569.2</v>
      </c>
      <c r="I39" s="45" t="s">
        <v>74</v>
      </c>
      <c r="J39" s="51" cm="1">
        <f t="array" ref="J39">SUMPRODUCT(IFERROR(SEARCH(КолЗасек[[#This Row],[Месяц]],TEXT(Продажи_Засек[Дата],"ММММ")),0),--(Продажи_Засек[Товар]=КолЗасек[[#Headers],[Есмарт]]),Продажи_Засек[Кол-во])</f>
        <v>0</v>
      </c>
      <c r="K39" s="51" cm="1">
        <f t="array" ref="K39">SUMPRODUCT(IFERROR(SEARCH(КолЗасек[[#This Row],[Месяц]],TEXT(Продажи_Засек[Дата],"ММММ")),0),--(Продажи_Засек[Товар]=КолЗасек[[#Headers],[Рутокен]]),Продажи_Засек[Кол-во])</f>
        <v>0</v>
      </c>
      <c r="L39" s="51" cm="1">
        <f t="array" ref="L39">SUMPRODUCT(IFERROR(SEARCH(КолЗасек[[#This Row],[Месяц]],TEXT(Продажи_Засек[Дата],"ММММ")),0),--(Продажи_Засек[Товар]=КолЗасек[[#Headers],[Есмарт АРМ]]),Продажи_Засек[Кол-во])</f>
        <v>0</v>
      </c>
      <c r="M39" s="52">
        <f t="shared" si="2"/>
        <v>0</v>
      </c>
    </row>
    <row r="40" spans="1:13" x14ac:dyDescent="0.25">
      <c r="A40" s="56">
        <v>45680</v>
      </c>
      <c r="B40" t="s">
        <v>3</v>
      </c>
      <c r="C40">
        <v>5</v>
      </c>
      <c r="D40" s="72" cm="1">
        <f t="array" ref="D4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40" s="77">
        <f>((4*720)+795)/Продажи_Засек[[#This Row],[Кол-во]]</f>
        <v>735</v>
      </c>
      <c r="F4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6011.5</v>
      </c>
      <c r="I40" s="45" t="s">
        <v>75</v>
      </c>
      <c r="J40" s="51" cm="1">
        <f t="array" ref="J40">SUMPRODUCT(IFERROR(SEARCH(КолЗасек[[#This Row],[Месяц]],TEXT(Продажи_Засек[Дата],"ММММ")),0),--(Продажи_Засек[Товар]=КолЗасек[[#Headers],[Есмарт]]),Продажи_Засек[Кол-во])</f>
        <v>0</v>
      </c>
      <c r="K40" s="51" cm="1">
        <f t="array" ref="K40">SUMPRODUCT(IFERROR(SEARCH(КолЗасек[[#This Row],[Месяц]],TEXT(Продажи_Засек[Дата],"ММММ")),0),--(Продажи_Засек[Товар]=КолЗасек[[#Headers],[Рутокен]]),Продажи_Засек[Кол-во])</f>
        <v>0</v>
      </c>
      <c r="L40" s="51" cm="1">
        <f t="array" ref="L40">SUMPRODUCT(IFERROR(SEARCH(КолЗасек[[#This Row],[Месяц]],TEXT(Продажи_Засек[Дата],"ММММ")),0),--(Продажи_Засек[Товар]=КолЗасек[[#Headers],[Есмарт АРМ]]),Продажи_Засек[Кол-во])</f>
        <v>0</v>
      </c>
      <c r="M40" s="52">
        <f t="shared" si="2"/>
        <v>0</v>
      </c>
    </row>
    <row r="41" spans="1:13" x14ac:dyDescent="0.25">
      <c r="A41" s="56">
        <v>45681</v>
      </c>
      <c r="B41" t="s">
        <v>3</v>
      </c>
      <c r="C41">
        <v>7</v>
      </c>
      <c r="D41" s="72" cm="1">
        <f t="array" ref="D4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14000</v>
      </c>
      <c r="E41" s="72">
        <v>720</v>
      </c>
      <c r="F4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8521.1</v>
      </c>
      <c r="I41" s="45" t="s">
        <v>76</v>
      </c>
      <c r="J41" s="51" cm="1">
        <f t="array" ref="J41">SUMPRODUCT(IFERROR(SEARCH(КолЗасек[[#This Row],[Месяц]],TEXT(Продажи_Засек[Дата],"ММММ")),0),--(Продажи_Засек[Товар]=КолЗасек[[#Headers],[Есмарт]]),Продажи_Засек[Кол-во])</f>
        <v>0</v>
      </c>
      <c r="K41" s="51" cm="1">
        <f t="array" ref="K41">SUMPRODUCT(IFERROR(SEARCH(КолЗасек[[#This Row],[Месяц]],TEXT(Продажи_Засек[Дата],"ММММ")),0),--(Продажи_Засек[Товар]=КолЗасек[[#Headers],[Рутокен]]),Продажи_Засек[Кол-во])</f>
        <v>0</v>
      </c>
      <c r="L41" s="51" cm="1">
        <f t="array" ref="L41">SUMPRODUCT(IFERROR(SEARCH(КолЗасек[[#This Row],[Месяц]],TEXT(Продажи_Засек[Дата],"ММММ")),0),--(Продажи_Засек[Товар]=КолЗасек[[#Headers],[Есмарт АРМ]]),Продажи_Засек[Кол-во])</f>
        <v>0</v>
      </c>
      <c r="M41" s="52">
        <f t="shared" si="2"/>
        <v>0</v>
      </c>
    </row>
    <row r="42" spans="1:13" x14ac:dyDescent="0.25">
      <c r="A42" s="56">
        <v>45684</v>
      </c>
      <c r="B42" t="s">
        <v>3</v>
      </c>
      <c r="C42">
        <v>3</v>
      </c>
      <c r="D42" s="72" cm="1">
        <f t="array" ref="D4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42" s="72">
        <v>720</v>
      </c>
      <c r="F4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  <c r="I42" s="49" t="s">
        <v>88</v>
      </c>
      <c r="J42" s="53">
        <f>SUM(J30:J41)</f>
        <v>272</v>
      </c>
      <c r="K42" s="53">
        <f t="shared" ref="K42:L42" si="3">SUM(K30:K41)</f>
        <v>154</v>
      </c>
      <c r="L42" s="53">
        <f t="shared" si="3"/>
        <v>34</v>
      </c>
      <c r="M42" s="54">
        <f>SUM(J42:L42)</f>
        <v>460</v>
      </c>
    </row>
    <row r="43" spans="1:13" x14ac:dyDescent="0.25">
      <c r="A43" s="56">
        <v>45685</v>
      </c>
      <c r="B43" t="s">
        <v>3</v>
      </c>
      <c r="C43">
        <v>7</v>
      </c>
      <c r="D43" s="72" cm="1">
        <f t="array" ref="D4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14000</v>
      </c>
      <c r="E43" s="72">
        <v>720</v>
      </c>
      <c r="F4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8521.1</v>
      </c>
    </row>
    <row r="44" spans="1:13" x14ac:dyDescent="0.25">
      <c r="A44" s="56">
        <v>45686</v>
      </c>
      <c r="B44" t="s">
        <v>3</v>
      </c>
      <c r="C44">
        <v>3</v>
      </c>
      <c r="D44" s="72" cm="1">
        <f t="array" ref="D4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44" s="72">
        <v>720</v>
      </c>
      <c r="F4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</row>
    <row r="45" spans="1:13" ht="15.75" x14ac:dyDescent="0.25">
      <c r="A45" s="56">
        <v>45687</v>
      </c>
      <c r="B45" t="s">
        <v>3</v>
      </c>
      <c r="C45">
        <v>1</v>
      </c>
      <c r="D45" s="72" cm="1">
        <f t="array" ref="D4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45" s="72">
        <v>720</v>
      </c>
      <c r="F4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I45" s="50" t="s">
        <v>94</v>
      </c>
    </row>
    <row r="46" spans="1:13" x14ac:dyDescent="0.25">
      <c r="A46" s="56">
        <v>45688</v>
      </c>
      <c r="B46" t="s">
        <v>3</v>
      </c>
      <c r="C46">
        <v>6</v>
      </c>
      <c r="D46" s="72" cm="1">
        <f t="array" ref="D4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12000</v>
      </c>
      <c r="E46" s="72">
        <v>720</v>
      </c>
      <c r="F4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7303.8</v>
      </c>
      <c r="I46" s="46" t="s">
        <v>53</v>
      </c>
      <c r="J46" s="47" t="s">
        <v>3</v>
      </c>
      <c r="K46" s="47" t="s">
        <v>4</v>
      </c>
      <c r="L46" s="47" t="s">
        <v>112</v>
      </c>
      <c r="M46" s="48" t="s">
        <v>88</v>
      </c>
    </row>
    <row r="47" spans="1:13" x14ac:dyDescent="0.25">
      <c r="A47" s="56">
        <v>45691</v>
      </c>
      <c r="B47" t="s">
        <v>3</v>
      </c>
      <c r="C47">
        <v>1</v>
      </c>
      <c r="D47" s="72" cm="1">
        <f t="array" ref="D4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47" s="72">
        <v>720</v>
      </c>
      <c r="F4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I47" s="45" t="s">
        <v>18</v>
      </c>
      <c r="J47" s="55" cm="1">
        <f t="array" ref="J47">IFERROR(J30/SUMPRODUCT(IF(TEXT(_xlfn.UNIQUE(Продажи_Засек[Дата]),"ММММ")=$I47,1,0)),"")</f>
        <v>4.4705882352941178</v>
      </c>
      <c r="K47" s="55" cm="1">
        <f t="array" ref="K47">IFERROR(K30/SUMPRODUCT(IF(TEXT(_xlfn.UNIQUE(Продажи_Засек[Дата]),"ММММ")=$I47,1,0)),"")</f>
        <v>0</v>
      </c>
      <c r="L47" s="55">
        <f>L30/COUNT(_xlfn.UNIQUE(Продажи_Засек[Дата]))</f>
        <v>0</v>
      </c>
      <c r="M47" s="59" cm="1">
        <f t="array" ref="M47">IFERROR(M30/SUMPRODUCT(IF(TEXT(_xlfn.UNIQUE(Продажи_Засек[Дата]),"ММММ")=$I47,1,0)),"")</f>
        <v>4.4705882352941178</v>
      </c>
    </row>
    <row r="48" spans="1:13" x14ac:dyDescent="0.25">
      <c r="A48" s="56">
        <v>45692</v>
      </c>
      <c r="B48" t="s">
        <v>3</v>
      </c>
      <c r="C48">
        <v>4</v>
      </c>
      <c r="D48" s="72" cm="1">
        <f t="array" ref="D4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48" s="72">
        <v>720</v>
      </c>
      <c r="F4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  <c r="I48" s="45" t="s">
        <v>19</v>
      </c>
      <c r="J48" s="55" cm="1">
        <f t="array" ref="J48">IFERROR(J31/SUMPRODUCT(IF(TEXT(_xlfn.UNIQUE(Продажи_Засек[Дата]),"ММММ")=$I48,1,0)),"")</f>
        <v>2.1</v>
      </c>
      <c r="K48" s="55" cm="1">
        <f t="array" ref="K48">IFERROR(K31/SUMPRODUCT(IF(TEXT(_xlfn.UNIQUE(Продажи_Засек[Дата]),"ММММ")=$I48,1,0)),"")</f>
        <v>1.1499999999999999</v>
      </c>
      <c r="L48" s="55">
        <f>L31/COUNT(_xlfn.UNIQUE(Продажи_Засек[Дата]))</f>
        <v>0</v>
      </c>
      <c r="M48" s="59" cm="1">
        <f t="array" ref="M48">IFERROR(M31/SUMPRODUCT(IF(TEXT(_xlfn.UNIQUE(Продажи_Засек[Дата]),"ММММ")=$I48,1,0)),"")</f>
        <v>3.25</v>
      </c>
    </row>
    <row r="49" spans="1:13" x14ac:dyDescent="0.25">
      <c r="A49" s="56">
        <v>45693</v>
      </c>
      <c r="B49" t="s">
        <v>3</v>
      </c>
      <c r="C49">
        <v>1</v>
      </c>
      <c r="D49" s="72" cm="1">
        <f t="array" ref="D4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49" s="72">
        <v>720</v>
      </c>
      <c r="F4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I49" s="45" t="s">
        <v>63</v>
      </c>
      <c r="J49" s="55" cm="1">
        <f t="array" ref="J49">IFERROR(J32/SUMPRODUCT(IF(TEXT(_xlfn.UNIQUE(Продажи_Засек[Дата]),"ММММ")=$I49,1,0)),"")</f>
        <v>1.6190476190476191</v>
      </c>
      <c r="K49" s="55" cm="1">
        <f t="array" ref="K49">IFERROR(K32/SUMPRODUCT(IF(TEXT(_xlfn.UNIQUE(Продажи_Засек[Дата]),"ММММ")=$I49,1,0)),"")</f>
        <v>1.3809523809523809</v>
      </c>
      <c r="L49" s="55">
        <f>L32/COUNT(_xlfn.UNIQUE(Продажи_Засек[Дата]))</f>
        <v>4.1095890410958902E-2</v>
      </c>
      <c r="M49" s="59" cm="1">
        <f t="array" ref="M49">IFERROR(M32/SUMPRODUCT(IF(TEXT(_xlfn.UNIQUE(Продажи_Засек[Дата]),"ММММ")=$I49,1,0)),"")</f>
        <v>3.2857142857142856</v>
      </c>
    </row>
    <row r="50" spans="1:13" x14ac:dyDescent="0.25">
      <c r="A50" s="56">
        <v>45694</v>
      </c>
      <c r="B50" t="s">
        <v>4</v>
      </c>
      <c r="C50">
        <v>2</v>
      </c>
      <c r="D50" s="72" cm="1">
        <f t="array" ref="D5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50" s="72">
        <v>1250</v>
      </c>
      <c r="F5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  <c r="I50" s="45" t="s">
        <v>64</v>
      </c>
      <c r="J50" s="55" cm="1">
        <f t="array" ref="J50">IFERROR(J33/SUMPRODUCT(IF(TEXT(_xlfn.UNIQUE(Продажи_Засек[Дата]),"ММММ")=$I50,1,0)),"")</f>
        <v>2.1363636363636362</v>
      </c>
      <c r="K50" s="55" cm="1">
        <f t="array" ref="K50">IFERROR(K33/SUMPRODUCT(IF(TEXT(_xlfn.UNIQUE(Продажи_Засек[Дата]),"ММММ")=$I50,1,0)),"")</f>
        <v>1.2727272727272727</v>
      </c>
      <c r="L50" s="55">
        <f>L33/COUNT(_xlfn.UNIQUE(Продажи_Засек[Дата]))</f>
        <v>6.8493150684931503E-2</v>
      </c>
      <c r="M50" s="59" cm="1">
        <f t="array" ref="M50">IFERROR(M33/SUMPRODUCT(IF(TEXT(_xlfn.UNIQUE(Продажи_Засек[Дата]),"ММММ")=$I50,1,0)),"")</f>
        <v>3.8636363636363638</v>
      </c>
    </row>
    <row r="51" spans="1:13" x14ac:dyDescent="0.25">
      <c r="A51" s="56">
        <v>45695</v>
      </c>
      <c r="B51" t="s">
        <v>3</v>
      </c>
      <c r="C51">
        <v>2</v>
      </c>
      <c r="D51" s="72" cm="1">
        <f t="array" ref="D5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51" s="72">
        <v>720</v>
      </c>
      <c r="F5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I51" s="45" t="s">
        <v>65</v>
      </c>
      <c r="J51" s="55" cm="1">
        <f t="array" ref="J51">IFERROR(J34/SUMPRODUCT(IF(TEXT(_xlfn.UNIQUE(Продажи_Засек[Дата]),"ММММ")=$I51,1,0)),"")</f>
        <v>0.61111111111111116</v>
      </c>
      <c r="K51" s="55" cm="1">
        <f t="array" ref="K51">IFERROR(K34/SUMPRODUCT(IF(TEXT(_xlfn.UNIQUE(Продажи_Засек[Дата]),"ММММ")=$I51,1,0)),"")</f>
        <v>1.2222222222222223</v>
      </c>
      <c r="L51" s="55">
        <f>L34/COUNT(_xlfn.UNIQUE(Продажи_Засек[Дата]))</f>
        <v>3.4246575342465752E-2</v>
      </c>
      <c r="M51" s="59" cm="1">
        <f t="array" ref="M51">IFERROR(M34/SUMPRODUCT(IF(TEXT(_xlfn.UNIQUE(Продажи_Засек[Дата]),"ММММ")=$I51,1,0)),"")</f>
        <v>2.1111111111111112</v>
      </c>
    </row>
    <row r="52" spans="1:13" x14ac:dyDescent="0.25">
      <c r="A52" s="56">
        <v>45698</v>
      </c>
      <c r="B52" t="s">
        <v>89</v>
      </c>
      <c r="C52">
        <v>0</v>
      </c>
      <c r="D52" s="72" cm="1">
        <f t="array" ref="D5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52" s="72">
        <v>0</v>
      </c>
      <c r="F5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  <c r="I52" s="45" t="s">
        <v>66</v>
      </c>
      <c r="J52" s="55" cm="1">
        <f t="array" ref="J52">IFERROR(J35/SUMPRODUCT(IF(TEXT(_xlfn.UNIQUE(Продажи_Засек[Дата]),"ММММ")=$I52,1,0)),"")</f>
        <v>0.73684210526315785</v>
      </c>
      <c r="K52" s="55" cm="1">
        <f t="array" ref="K52">IFERROR(K35/SUMPRODUCT(IF(TEXT(_xlfn.UNIQUE(Продажи_Засек[Дата]),"ММММ")=$I52,1,0)),"")</f>
        <v>1.1578947368421053</v>
      </c>
      <c r="L52" s="55">
        <f>L35/COUNT(_xlfn.UNIQUE(Продажи_Засек[Дата]))</f>
        <v>4.7945205479452052E-2</v>
      </c>
      <c r="M52" s="59" cm="1">
        <f t="array" ref="M52">IFERROR(M35/SUMPRODUCT(IF(TEXT(_xlfn.UNIQUE(Продажи_Засек[Дата]),"ММММ")=$I52,1,0)),"")</f>
        <v>2.263157894736842</v>
      </c>
    </row>
    <row r="53" spans="1:13" x14ac:dyDescent="0.25">
      <c r="A53" s="56">
        <v>45699</v>
      </c>
      <c r="B53" t="s">
        <v>3</v>
      </c>
      <c r="C53">
        <v>2</v>
      </c>
      <c r="D53" s="72" cm="1">
        <f t="array" ref="D5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53" s="72">
        <v>720</v>
      </c>
      <c r="F5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I53" s="45" t="s">
        <v>67</v>
      </c>
      <c r="J53" s="55" cm="1">
        <f t="array" ref="J53">IFERROR(J36/SUMPRODUCT(IF(TEXT(_xlfn.UNIQUE(Продажи_Засек[Дата]),"ММММ")=$I53,1,0)),"")</f>
        <v>1.7826086956521738</v>
      </c>
      <c r="K53" s="55" cm="1">
        <f t="array" ref="K53">IFERROR(K36/SUMPRODUCT(IF(TEXT(_xlfn.UNIQUE(Продажи_Засек[Дата]),"ММММ")=$I53,1,0)),"")</f>
        <v>1.1304347826086956</v>
      </c>
      <c r="L53" s="55">
        <f>L36/COUNT(_xlfn.UNIQUE(Продажи_Засек[Дата]))</f>
        <v>2.7397260273972601E-2</v>
      </c>
      <c r="M53" s="59" cm="1">
        <f t="array" ref="M53">IFERROR(M36/SUMPRODUCT(IF(TEXT(_xlfn.UNIQUE(Продажи_Засек[Дата]),"ММММ")=$I53,1,0)),"")</f>
        <v>3.0869565217391304</v>
      </c>
    </row>
    <row r="54" spans="1:13" x14ac:dyDescent="0.25">
      <c r="A54" s="56">
        <v>45700</v>
      </c>
      <c r="B54" t="s">
        <v>3</v>
      </c>
      <c r="C54">
        <v>2</v>
      </c>
      <c r="D54" s="72" cm="1">
        <f t="array" ref="D5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54" s="72">
        <v>720</v>
      </c>
      <c r="F5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I54" s="45" t="s">
        <v>68</v>
      </c>
      <c r="J54" s="55" cm="1">
        <f t="array" ref="J54">IFERROR(J37/SUMPRODUCT(IF(TEXT(_xlfn.UNIQUE(Продажи_Засек[Дата]),"ММММ")=$I54,1,0)),"")</f>
        <v>1.1666666666666667</v>
      </c>
      <c r="K54" s="55" cm="1">
        <f t="array" ref="K54">IFERROR(K37/SUMPRODUCT(IF(TEXT(_xlfn.UNIQUE(Продажи_Засек[Дата]),"ММММ")=$I54,1,0)),"")</f>
        <v>0.66666666666666663</v>
      </c>
      <c r="L54" s="55">
        <f>L37/COUNT(_xlfn.UNIQUE(Продажи_Засек[Дата]))</f>
        <v>1.3698630136986301E-2</v>
      </c>
      <c r="M54" s="59" cm="1">
        <f t="array" ref="M54">IFERROR(M37/SUMPRODUCT(IF(TEXT(_xlfn.UNIQUE(Продажи_Засек[Дата]),"ММММ")=$I54,1,0)),"")</f>
        <v>2.1666666666666665</v>
      </c>
    </row>
    <row r="55" spans="1:13" x14ac:dyDescent="0.25">
      <c r="A55" s="56">
        <v>45700</v>
      </c>
      <c r="B55" t="s">
        <v>4</v>
      </c>
      <c r="C55">
        <v>1</v>
      </c>
      <c r="D55" s="72" cm="1">
        <f t="array" ref="D5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55" s="72">
        <v>1250</v>
      </c>
      <c r="F5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I55" s="45" t="s">
        <v>72</v>
      </c>
      <c r="J55" s="55" t="str" cm="1">
        <f t="array" ref="J55">IFERROR(J38/SUMPRODUCT(IF(TEXT(_xlfn.UNIQUE(Продажи_Засек[Дата]),"ММММ")=$I55,1,0)),"")</f>
        <v/>
      </c>
      <c r="K55" s="55" t="str" cm="1">
        <f t="array" ref="K55">IFERROR(K38/SUMPRODUCT(IF(TEXT(_xlfn.UNIQUE(Продажи_Засек[Дата]),"ММММ")=$I55,1,0)),"")</f>
        <v/>
      </c>
      <c r="L55" s="55">
        <f>L38/COUNT(_xlfn.UNIQUE(Продажи_Засек[Дата]))</f>
        <v>0</v>
      </c>
      <c r="M55" s="59" t="str" cm="1">
        <f t="array" ref="M55">IFERROR(M38/SUMPRODUCT(IF(TEXT(_xlfn.UNIQUE(Продажи_Засек[Дата]),"ММММ")=$I55,1,0)),"")</f>
        <v/>
      </c>
    </row>
    <row r="56" spans="1:13" x14ac:dyDescent="0.25">
      <c r="A56" s="56">
        <v>45701</v>
      </c>
      <c r="B56" t="s">
        <v>3</v>
      </c>
      <c r="C56">
        <v>1</v>
      </c>
      <c r="D56" s="72" cm="1">
        <f t="array" ref="D5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56" s="72">
        <v>720</v>
      </c>
      <c r="F5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I56" s="45" t="s">
        <v>74</v>
      </c>
      <c r="J56" s="55" t="str" cm="1">
        <f t="array" ref="J56">IFERROR(J39/SUMPRODUCT(IF(TEXT(_xlfn.UNIQUE(Продажи_Засек[Дата]),"ММММ")=$I56,1,0)),"")</f>
        <v/>
      </c>
      <c r="K56" s="55" t="str" cm="1">
        <f t="array" ref="K56">IFERROR(K39/SUMPRODUCT(IF(TEXT(_xlfn.UNIQUE(Продажи_Засек[Дата]),"ММММ")=$I56,1,0)),"")</f>
        <v/>
      </c>
      <c r="L56" s="55">
        <f>L39/COUNT(_xlfn.UNIQUE(Продажи_Засек[Дата]))</f>
        <v>0</v>
      </c>
      <c r="M56" s="59" t="str" cm="1">
        <f t="array" ref="M56">IFERROR(M39/SUMPRODUCT(IF(TEXT(_xlfn.UNIQUE(Продажи_Засек[Дата]),"ММММ")=$I56,1,0)),"")</f>
        <v/>
      </c>
    </row>
    <row r="57" spans="1:13" x14ac:dyDescent="0.25">
      <c r="A57" s="56">
        <v>45702</v>
      </c>
      <c r="B57" t="s">
        <v>3</v>
      </c>
      <c r="C57">
        <v>3</v>
      </c>
      <c r="D57" s="72" cm="1">
        <f t="array" ref="D5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57" s="72">
        <v>720</v>
      </c>
      <c r="F5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  <c r="I57" s="45" t="s">
        <v>75</v>
      </c>
      <c r="J57" s="55" t="str" cm="1">
        <f t="array" ref="J57">IFERROR(J40/SUMPRODUCT(IF(TEXT(_xlfn.UNIQUE(Продажи_Засек[Дата]),"ММММ")=$I57,1,0)),"")</f>
        <v/>
      </c>
      <c r="K57" s="55" t="str" cm="1">
        <f t="array" ref="K57">IFERROR(K40/SUMPRODUCT(IF(TEXT(_xlfn.UNIQUE(Продажи_Засек[Дата]),"ММММ")=$I57,1,0)),"")</f>
        <v/>
      </c>
      <c r="L57" s="55">
        <f>L40/COUNT(_xlfn.UNIQUE(Продажи_Засек[Дата]))</f>
        <v>0</v>
      </c>
      <c r="M57" s="59" t="str" cm="1">
        <f t="array" ref="M57">IFERROR(M40/SUMPRODUCT(IF(TEXT(_xlfn.UNIQUE(Продажи_Засек[Дата]),"ММММ")=$I57,1,0)),"")</f>
        <v/>
      </c>
    </row>
    <row r="58" spans="1:13" x14ac:dyDescent="0.25">
      <c r="A58" s="56">
        <v>45702</v>
      </c>
      <c r="B58" t="s">
        <v>4</v>
      </c>
      <c r="C58">
        <v>2</v>
      </c>
      <c r="D58" s="72" cm="1">
        <f t="array" ref="D5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58" s="72">
        <v>1250</v>
      </c>
      <c r="F5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  <c r="I58" s="45" t="s">
        <v>76</v>
      </c>
      <c r="J58" s="55" t="str" cm="1">
        <f t="array" ref="J58">IFERROR(J41/SUMPRODUCT(IF(TEXT(_xlfn.UNIQUE(Продажи_Засек[Дата]),"ММММ")=$I58,1,0)),"")</f>
        <v/>
      </c>
      <c r="K58" s="55" t="str" cm="1">
        <f t="array" ref="K58">IFERROR(K41/SUMPRODUCT(IF(TEXT(_xlfn.UNIQUE(Продажи_Засек[Дата]),"ММММ")=$I58,1,0)),"")</f>
        <v/>
      </c>
      <c r="L58" s="55">
        <f>L41/COUNT(_xlfn.UNIQUE(Продажи_Засек[Дата]))</f>
        <v>0</v>
      </c>
      <c r="M58" s="59" t="str" cm="1">
        <f t="array" ref="M58">IFERROR(M41/SUMPRODUCT(IF(TEXT(_xlfn.UNIQUE(Продажи_Засек[Дата]),"ММММ")=$I58,1,0)),"")</f>
        <v/>
      </c>
    </row>
    <row r="59" spans="1:13" x14ac:dyDescent="0.25">
      <c r="A59" s="56">
        <v>45705</v>
      </c>
      <c r="B59" t="s">
        <v>3</v>
      </c>
      <c r="C59">
        <v>3</v>
      </c>
      <c r="D59" s="72" cm="1">
        <f t="array" ref="D5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59" s="72">
        <v>720</v>
      </c>
      <c r="F5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  <c r="I59" s="49" t="s">
        <v>88</v>
      </c>
      <c r="J59" s="57">
        <f>J42/COUNT(_xlfn.UNIQUE(Продажи_Засек[Дата]))</f>
        <v>1.8630136986301369</v>
      </c>
      <c r="K59" s="57">
        <f>K42/COUNT(_xlfn.UNIQUE(Продажи_Засек[Дата]))</f>
        <v>1.0547945205479452</v>
      </c>
      <c r="L59" s="57">
        <f>L42/COUNT(_xlfn.UNIQUE(Продажи_Засек[Дата]))</f>
        <v>0.23287671232876711</v>
      </c>
      <c r="M59" s="57">
        <f>M42/COUNT(_xlfn.UNIQUE(Продажи_Засек[Дата]))</f>
        <v>3.1506849315068495</v>
      </c>
    </row>
    <row r="60" spans="1:13" x14ac:dyDescent="0.25">
      <c r="A60" s="56">
        <v>45705</v>
      </c>
      <c r="B60" t="s">
        <v>4</v>
      </c>
      <c r="C60">
        <v>1</v>
      </c>
      <c r="D60" s="72" cm="1">
        <f t="array" ref="D6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60" s="72">
        <v>1250</v>
      </c>
      <c r="F6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61" spans="1:13" x14ac:dyDescent="0.25">
      <c r="A61" s="56">
        <v>45706</v>
      </c>
      <c r="B61" t="s">
        <v>3</v>
      </c>
      <c r="C61">
        <v>2</v>
      </c>
      <c r="D61" s="72" cm="1">
        <f t="array" ref="D6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61" s="72">
        <v>720</v>
      </c>
      <c r="F6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62" spans="1:13" x14ac:dyDescent="0.25">
      <c r="A62" s="56">
        <v>45706</v>
      </c>
      <c r="B62" t="s">
        <v>4</v>
      </c>
      <c r="C62">
        <v>3</v>
      </c>
      <c r="D62" s="72" cm="1">
        <f t="array" ref="D6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62" s="72">
        <v>1250</v>
      </c>
      <c r="F6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</row>
    <row r="63" spans="1:13" x14ac:dyDescent="0.25">
      <c r="A63" s="56">
        <v>45707</v>
      </c>
      <c r="B63" t="s">
        <v>3</v>
      </c>
      <c r="C63">
        <v>4</v>
      </c>
      <c r="D63" s="72" cm="1">
        <f t="array" ref="D6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63" s="72">
        <v>720</v>
      </c>
      <c r="F6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64" spans="1:13" x14ac:dyDescent="0.25">
      <c r="A64" s="56">
        <v>45707</v>
      </c>
      <c r="B64" t="s">
        <v>4</v>
      </c>
      <c r="C64">
        <v>2</v>
      </c>
      <c r="D64" s="72" cm="1">
        <f t="array" ref="D6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64" s="72">
        <v>1250</v>
      </c>
      <c r="F6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</row>
    <row r="65" spans="1:8" x14ac:dyDescent="0.25">
      <c r="A65" s="56">
        <v>45708</v>
      </c>
      <c r="B65" t="s">
        <v>4</v>
      </c>
      <c r="C65">
        <v>1</v>
      </c>
      <c r="D65" s="72" cm="1">
        <f t="array" ref="D6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65" s="72">
        <v>1250</v>
      </c>
      <c r="F6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66" spans="1:8" x14ac:dyDescent="0.25">
      <c r="A66" s="56">
        <v>45708</v>
      </c>
      <c r="B66" t="s">
        <v>3</v>
      </c>
      <c r="C66">
        <v>4</v>
      </c>
      <c r="D66" s="72" cm="1">
        <f t="array" ref="D6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66" s="72">
        <v>720</v>
      </c>
      <c r="F6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67" spans="1:8" x14ac:dyDescent="0.25">
      <c r="A67" s="56">
        <v>45709</v>
      </c>
      <c r="B67" t="s">
        <v>3</v>
      </c>
      <c r="C67">
        <v>1</v>
      </c>
      <c r="D67" s="72" cm="1">
        <f t="array" ref="D6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67" s="72">
        <v>720</v>
      </c>
      <c r="F6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68" spans="1:8" x14ac:dyDescent="0.25">
      <c r="A68" s="56">
        <v>45709</v>
      </c>
      <c r="B68" t="s">
        <v>4</v>
      </c>
      <c r="C68">
        <v>2</v>
      </c>
      <c r="D68" s="72" cm="1">
        <f t="array" ref="D6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68" s="72">
        <v>1250</v>
      </c>
      <c r="F6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</row>
    <row r="69" spans="1:8" x14ac:dyDescent="0.25">
      <c r="A69" s="56">
        <v>45712</v>
      </c>
      <c r="B69" t="s">
        <v>4</v>
      </c>
      <c r="C69">
        <v>2</v>
      </c>
      <c r="D69" s="72" cm="1">
        <f t="array" ref="D6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69" s="72">
        <v>1250</v>
      </c>
      <c r="F6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</row>
    <row r="70" spans="1:8" x14ac:dyDescent="0.25">
      <c r="A70" s="56">
        <v>45712</v>
      </c>
      <c r="B70" t="s">
        <v>3</v>
      </c>
      <c r="C70">
        <v>2</v>
      </c>
      <c r="D70" s="72" cm="1">
        <f t="array" ref="D7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70" s="72">
        <v>720</v>
      </c>
      <c r="F7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71" spans="1:8" x14ac:dyDescent="0.25">
      <c r="A71" s="56">
        <v>45713</v>
      </c>
      <c r="B71" t="s">
        <v>3</v>
      </c>
      <c r="C71">
        <v>1</v>
      </c>
      <c r="D71" s="72" cm="1">
        <f t="array" ref="D7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71" s="72">
        <v>720</v>
      </c>
      <c r="F7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72" spans="1:8" x14ac:dyDescent="0.25">
      <c r="A72" s="56">
        <v>45713</v>
      </c>
      <c r="B72" t="s">
        <v>4</v>
      </c>
      <c r="C72">
        <v>2</v>
      </c>
      <c r="D72" s="72" cm="1">
        <f t="array" ref="D7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72" s="72">
        <v>1250</v>
      </c>
      <c r="F7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</row>
    <row r="73" spans="1:8" x14ac:dyDescent="0.25">
      <c r="A73" s="56">
        <v>45714</v>
      </c>
      <c r="B73" t="s">
        <v>4</v>
      </c>
      <c r="C73">
        <v>1</v>
      </c>
      <c r="D73" s="72" cm="1">
        <f t="array" ref="D7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73" s="72">
        <v>1250</v>
      </c>
      <c r="F7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74" spans="1:8" x14ac:dyDescent="0.25">
      <c r="A74" s="56">
        <v>45714</v>
      </c>
      <c r="B74" t="s">
        <v>3</v>
      </c>
      <c r="C74">
        <v>2</v>
      </c>
      <c r="D74" s="72" cm="1">
        <f t="array" ref="D7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74" s="72">
        <v>720</v>
      </c>
      <c r="F7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75" spans="1:8" x14ac:dyDescent="0.25">
      <c r="A75" s="56">
        <v>45715</v>
      </c>
      <c r="B75" t="s">
        <v>3</v>
      </c>
      <c r="C75">
        <v>2</v>
      </c>
      <c r="D75" s="72" cm="1">
        <f t="array" ref="D7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75" s="72">
        <v>720</v>
      </c>
      <c r="F7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76" spans="1:8" x14ac:dyDescent="0.25">
      <c r="A76" s="56">
        <v>45715</v>
      </c>
      <c r="B76" t="s">
        <v>4</v>
      </c>
      <c r="C76">
        <v>1</v>
      </c>
      <c r="D76" s="72" cm="1">
        <f t="array" ref="D7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76" s="72">
        <v>1250</v>
      </c>
      <c r="F7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77" spans="1:8" x14ac:dyDescent="0.25">
      <c r="A77" s="56">
        <v>45716</v>
      </c>
      <c r="B77" t="s">
        <v>4</v>
      </c>
      <c r="C77">
        <v>3</v>
      </c>
      <c r="D77" s="72" cm="1">
        <f t="array" ref="D7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77" s="72">
        <v>1250</v>
      </c>
      <c r="F7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</row>
    <row r="78" spans="1:8" x14ac:dyDescent="0.25">
      <c r="A78" s="56">
        <v>45716</v>
      </c>
      <c r="B78" t="s">
        <v>3</v>
      </c>
      <c r="C78">
        <v>5</v>
      </c>
      <c r="D78" s="72" cm="1">
        <f t="array" ref="D7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78" s="72">
        <v>720</v>
      </c>
      <c r="F7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6086.5</v>
      </c>
    </row>
    <row r="79" spans="1:8" x14ac:dyDescent="0.25">
      <c r="A79" s="56">
        <v>45719</v>
      </c>
      <c r="B79" t="s">
        <v>4</v>
      </c>
      <c r="C79">
        <v>1</v>
      </c>
      <c r="D79" s="72" cm="1">
        <f t="array" ref="D7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79" s="72">
        <v>1250</v>
      </c>
      <c r="F7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79" s="72"/>
    </row>
    <row r="80" spans="1:8" x14ac:dyDescent="0.25">
      <c r="A80" s="56">
        <v>45720</v>
      </c>
      <c r="B80" t="s">
        <v>4</v>
      </c>
      <c r="C80">
        <v>3</v>
      </c>
      <c r="D80" s="72" cm="1">
        <f t="array" ref="D8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80" s="72">
        <v>1250</v>
      </c>
      <c r="F8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  <c r="H80" s="72"/>
    </row>
    <row r="81" spans="1:8" x14ac:dyDescent="0.25">
      <c r="A81" s="56">
        <v>45720</v>
      </c>
      <c r="B81" t="s">
        <v>3</v>
      </c>
      <c r="C81">
        <v>2</v>
      </c>
      <c r="D81" s="72" cm="1">
        <f t="array" ref="D8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81" s="72">
        <v>720</v>
      </c>
      <c r="F8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H81" s="72"/>
    </row>
    <row r="82" spans="1:8" x14ac:dyDescent="0.25">
      <c r="A82" s="56">
        <v>45721</v>
      </c>
      <c r="B82" t="s">
        <v>3</v>
      </c>
      <c r="C82">
        <v>3</v>
      </c>
      <c r="D82" s="72" cm="1">
        <f t="array" ref="D8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82" s="72">
        <v>720</v>
      </c>
      <c r="F8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  <c r="H82" s="72"/>
    </row>
    <row r="83" spans="1:8" x14ac:dyDescent="0.25">
      <c r="A83" s="56">
        <v>45722</v>
      </c>
      <c r="B83" t="s">
        <v>3</v>
      </c>
      <c r="C83">
        <v>4</v>
      </c>
      <c r="D83" s="72" cm="1">
        <f t="array" ref="D8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83" s="72">
        <v>720</v>
      </c>
      <c r="F8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  <c r="H83" s="72"/>
    </row>
    <row r="84" spans="1:8" x14ac:dyDescent="0.25">
      <c r="A84" s="56">
        <v>45722</v>
      </c>
      <c r="B84" t="s">
        <v>4</v>
      </c>
      <c r="C84">
        <v>1</v>
      </c>
      <c r="D84" s="72" cm="1">
        <f t="array" ref="D8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84" s="72">
        <v>1250</v>
      </c>
      <c r="F8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84" s="72"/>
    </row>
    <row r="85" spans="1:8" x14ac:dyDescent="0.25">
      <c r="A85" s="56">
        <v>45723</v>
      </c>
      <c r="B85" t="s">
        <v>4</v>
      </c>
      <c r="C85">
        <v>1</v>
      </c>
      <c r="D85" s="72" cm="1">
        <f t="array" ref="D8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85" s="72">
        <v>1250</v>
      </c>
      <c r="F8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85" s="72"/>
    </row>
    <row r="86" spans="1:8" x14ac:dyDescent="0.25">
      <c r="A86" s="56">
        <v>45726</v>
      </c>
      <c r="B86" t="s">
        <v>4</v>
      </c>
      <c r="C86">
        <v>5</v>
      </c>
      <c r="D86" s="72" cm="1">
        <f t="array" ref="D8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11500</v>
      </c>
      <c r="E86" s="72">
        <v>1250</v>
      </c>
      <c r="F8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4896</v>
      </c>
      <c r="H86" s="72"/>
    </row>
    <row r="87" spans="1:8" x14ac:dyDescent="0.25">
      <c r="A87" s="56">
        <v>45726</v>
      </c>
      <c r="B87" t="s">
        <v>3</v>
      </c>
      <c r="C87">
        <v>1</v>
      </c>
      <c r="D87" s="72" cm="1">
        <f t="array" ref="D8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87" s="72">
        <v>720</v>
      </c>
      <c r="F8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87" s="72"/>
    </row>
    <row r="88" spans="1:8" x14ac:dyDescent="0.25">
      <c r="A88" s="56">
        <v>45727</v>
      </c>
      <c r="B88" t="s">
        <v>4</v>
      </c>
      <c r="C88">
        <v>3</v>
      </c>
      <c r="D88" s="72" cm="1">
        <f t="array" ref="D8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88" s="72">
        <v>1250</v>
      </c>
      <c r="F8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  <c r="H88" s="72"/>
    </row>
    <row r="89" spans="1:8" x14ac:dyDescent="0.25">
      <c r="A89" s="56">
        <v>45727</v>
      </c>
      <c r="B89" t="s">
        <v>3</v>
      </c>
      <c r="C89">
        <v>4</v>
      </c>
      <c r="D89" s="72" cm="1">
        <f t="array" ref="D8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89" s="72">
        <v>720</v>
      </c>
      <c r="F8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  <c r="H89" s="72"/>
    </row>
    <row r="90" spans="1:8" x14ac:dyDescent="0.25">
      <c r="A90" s="56">
        <v>45728</v>
      </c>
      <c r="B90" t="s">
        <v>4</v>
      </c>
      <c r="C90">
        <v>2</v>
      </c>
      <c r="D90" s="72" cm="1">
        <f t="array" ref="D9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90" s="72">
        <v>1250</v>
      </c>
      <c r="F9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  <c r="H90" s="72"/>
    </row>
    <row r="91" spans="1:8" x14ac:dyDescent="0.25">
      <c r="A91" s="56">
        <v>45729</v>
      </c>
      <c r="B91" t="s">
        <v>4</v>
      </c>
      <c r="C91">
        <v>2</v>
      </c>
      <c r="D91" s="72" cm="1">
        <f t="array" ref="D9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91" s="72">
        <v>1250</v>
      </c>
      <c r="F9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  <c r="H91" s="72"/>
    </row>
    <row r="92" spans="1:8" x14ac:dyDescent="0.25">
      <c r="A92" s="56">
        <v>45729</v>
      </c>
      <c r="B92" t="s">
        <v>3</v>
      </c>
      <c r="C92">
        <v>3</v>
      </c>
      <c r="D92" s="72" cm="1">
        <f t="array" ref="D9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92" s="72">
        <v>720</v>
      </c>
      <c r="F9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  <c r="H92" s="72"/>
    </row>
    <row r="93" spans="1:8" x14ac:dyDescent="0.25">
      <c r="A93" s="56">
        <v>45730</v>
      </c>
      <c r="B93" t="s">
        <v>3</v>
      </c>
      <c r="C93">
        <v>4</v>
      </c>
      <c r="D93" s="72" cm="1">
        <f t="array" ref="D9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93" s="72">
        <v>720</v>
      </c>
      <c r="F9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  <c r="H93" s="72"/>
    </row>
    <row r="94" spans="1:8" x14ac:dyDescent="0.25">
      <c r="A94" s="56">
        <v>45730</v>
      </c>
      <c r="B94" t="s">
        <v>4</v>
      </c>
      <c r="C94">
        <v>1</v>
      </c>
      <c r="D94" s="72" cm="1">
        <f t="array" ref="D9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94" s="72">
        <v>1250</v>
      </c>
      <c r="F9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94" s="72"/>
    </row>
    <row r="95" spans="1:8" x14ac:dyDescent="0.25">
      <c r="A95" s="56">
        <v>45733</v>
      </c>
      <c r="B95" t="s">
        <v>4</v>
      </c>
      <c r="C95">
        <v>2</v>
      </c>
      <c r="D95" s="72" cm="1">
        <f t="array" ref="D9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95" s="72">
        <v>1250</v>
      </c>
      <c r="F9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  <c r="H95" s="72"/>
    </row>
    <row r="96" spans="1:8" x14ac:dyDescent="0.25">
      <c r="A96" s="56">
        <v>45733</v>
      </c>
      <c r="B96" t="s">
        <v>3</v>
      </c>
      <c r="C96">
        <v>2</v>
      </c>
      <c r="D96" s="72" cm="1">
        <f t="array" ref="D9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96" s="72">
        <v>720</v>
      </c>
      <c r="F9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H96" s="72"/>
    </row>
    <row r="97" spans="1:8" x14ac:dyDescent="0.25">
      <c r="A97" s="56">
        <v>45734</v>
      </c>
      <c r="B97" t="s">
        <v>4</v>
      </c>
      <c r="C97">
        <v>1</v>
      </c>
      <c r="D97" s="72" cm="1">
        <f t="array" ref="D9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97" s="72">
        <v>1250</v>
      </c>
      <c r="F9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97" s="72"/>
    </row>
    <row r="98" spans="1:8" x14ac:dyDescent="0.25">
      <c r="A98" s="56">
        <v>45734</v>
      </c>
      <c r="B98" t="s">
        <v>112</v>
      </c>
      <c r="C98">
        <v>1</v>
      </c>
      <c r="D98" s="72" cm="1">
        <f t="array" ref="D9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98" s="72">
        <v>1340</v>
      </c>
      <c r="F9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98" s="72"/>
    </row>
    <row r="99" spans="1:8" x14ac:dyDescent="0.25">
      <c r="A99" s="56">
        <v>45735</v>
      </c>
      <c r="B99" t="s">
        <v>112</v>
      </c>
      <c r="C99">
        <v>1</v>
      </c>
      <c r="D99" s="72" cm="1">
        <f t="array" ref="D9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99" s="72">
        <v>1340</v>
      </c>
      <c r="F9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99" s="72"/>
    </row>
    <row r="100" spans="1:8" x14ac:dyDescent="0.25">
      <c r="A100" s="56">
        <v>45735</v>
      </c>
      <c r="B100" t="s">
        <v>3</v>
      </c>
      <c r="C100">
        <v>1</v>
      </c>
      <c r="D100" s="72" cm="1">
        <f t="array" ref="D10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00" s="72">
        <v>720</v>
      </c>
      <c r="F10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00" s="72"/>
    </row>
    <row r="101" spans="1:8" x14ac:dyDescent="0.25">
      <c r="A101" s="56">
        <v>45735</v>
      </c>
      <c r="B101" t="s">
        <v>4</v>
      </c>
      <c r="C101">
        <v>1</v>
      </c>
      <c r="D101" s="72" cm="1">
        <f t="array" ref="D10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01" s="72">
        <v>1250</v>
      </c>
      <c r="F10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01" s="72"/>
    </row>
    <row r="102" spans="1:8" x14ac:dyDescent="0.25">
      <c r="A102" s="56">
        <v>45736</v>
      </c>
      <c r="B102" t="s">
        <v>112</v>
      </c>
      <c r="C102">
        <v>2</v>
      </c>
      <c r="D102" s="72" cm="1">
        <f t="array" ref="D10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5340</v>
      </c>
      <c r="E102" s="72">
        <v>1340</v>
      </c>
      <c r="F10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2498.4199999999996</v>
      </c>
      <c r="H102" s="72"/>
    </row>
    <row r="103" spans="1:8" x14ac:dyDescent="0.25">
      <c r="A103" s="56">
        <v>45736</v>
      </c>
      <c r="B103" t="s">
        <v>4</v>
      </c>
      <c r="C103">
        <v>3</v>
      </c>
      <c r="D103" s="72" cm="1">
        <f t="array" ref="D10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103" s="72">
        <v>1250</v>
      </c>
      <c r="F10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  <c r="H103" s="72"/>
    </row>
    <row r="104" spans="1:8" x14ac:dyDescent="0.25">
      <c r="A104" s="56">
        <v>45737</v>
      </c>
      <c r="B104" t="s">
        <v>3</v>
      </c>
      <c r="C104">
        <v>1</v>
      </c>
      <c r="D104" s="72" cm="1">
        <f t="array" ref="D10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04" s="72">
        <v>720</v>
      </c>
      <c r="F10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04" s="72"/>
    </row>
    <row r="105" spans="1:8" x14ac:dyDescent="0.25">
      <c r="A105" s="56">
        <v>45740</v>
      </c>
      <c r="B105" t="s">
        <v>3</v>
      </c>
      <c r="C105">
        <v>3</v>
      </c>
      <c r="D105" s="72" cm="1">
        <f t="array" ref="D10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105" s="72">
        <v>720</v>
      </c>
      <c r="F10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  <c r="H105" s="72"/>
    </row>
    <row r="106" spans="1:8" x14ac:dyDescent="0.25">
      <c r="A106" s="56">
        <v>45740</v>
      </c>
      <c r="B106" t="s">
        <v>4</v>
      </c>
      <c r="C106">
        <v>1</v>
      </c>
      <c r="D106" s="72" cm="1">
        <f t="array" ref="D10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06" s="72">
        <v>1250</v>
      </c>
      <c r="F10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06" s="72"/>
    </row>
    <row r="107" spans="1:8" x14ac:dyDescent="0.25">
      <c r="A107" s="56">
        <v>45741</v>
      </c>
      <c r="B107" t="s">
        <v>4</v>
      </c>
      <c r="C107">
        <v>1</v>
      </c>
      <c r="D107" s="72" cm="1">
        <f t="array" ref="D10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07" s="72">
        <v>1250</v>
      </c>
      <c r="F10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07" s="72"/>
    </row>
    <row r="108" spans="1:8" x14ac:dyDescent="0.25">
      <c r="A108" s="56">
        <v>45741</v>
      </c>
      <c r="B108" t="s">
        <v>3</v>
      </c>
      <c r="C108">
        <v>1</v>
      </c>
      <c r="D108" s="72" cm="1">
        <f t="array" ref="D10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08" s="72">
        <v>720</v>
      </c>
      <c r="F10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08" s="72"/>
    </row>
    <row r="109" spans="1:8" x14ac:dyDescent="0.25">
      <c r="A109" s="56">
        <v>45741</v>
      </c>
      <c r="B109" t="s">
        <v>112</v>
      </c>
      <c r="C109">
        <v>1</v>
      </c>
      <c r="D109" s="72" cm="1">
        <f t="array" ref="D10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09" s="72">
        <v>1340</v>
      </c>
      <c r="F10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109" s="72"/>
    </row>
    <row r="110" spans="1:8" x14ac:dyDescent="0.25">
      <c r="A110" s="56">
        <v>45742</v>
      </c>
      <c r="B110" t="s">
        <v>112</v>
      </c>
      <c r="C110">
        <v>1</v>
      </c>
      <c r="D110" s="72" cm="1">
        <f t="array" ref="D11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10" s="72">
        <v>1340</v>
      </c>
      <c r="F11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110" s="72"/>
    </row>
    <row r="111" spans="1:8" x14ac:dyDescent="0.25">
      <c r="A111" s="56">
        <v>45743</v>
      </c>
      <c r="B111" t="s">
        <v>89</v>
      </c>
      <c r="C111">
        <v>0</v>
      </c>
      <c r="D111" s="72" cm="1">
        <f t="array" ref="D11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11" s="72">
        <v>0</v>
      </c>
      <c r="F11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  <c r="H111" s="72"/>
    </row>
    <row r="112" spans="1:8" x14ac:dyDescent="0.25">
      <c r="A112" s="56">
        <v>45744</v>
      </c>
      <c r="B112" t="s">
        <v>3</v>
      </c>
      <c r="C112">
        <v>5</v>
      </c>
      <c r="D112" s="72" cm="1">
        <f t="array" ref="D11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112" s="72">
        <v>720</v>
      </c>
      <c r="F11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6086.5</v>
      </c>
      <c r="H112" s="72"/>
    </row>
    <row r="113" spans="1:8" x14ac:dyDescent="0.25">
      <c r="A113" s="56">
        <v>45747</v>
      </c>
      <c r="B113" t="s">
        <v>4</v>
      </c>
      <c r="C113">
        <v>1</v>
      </c>
      <c r="D113" s="72" cm="1">
        <f t="array" ref="D11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13" s="72">
        <v>1250</v>
      </c>
      <c r="F11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13" s="72"/>
    </row>
    <row r="114" spans="1:8" x14ac:dyDescent="0.25">
      <c r="A114" s="56">
        <v>45748</v>
      </c>
      <c r="B114" t="s">
        <v>4</v>
      </c>
      <c r="C114">
        <v>1</v>
      </c>
      <c r="D114" s="72" cm="1">
        <f t="array" ref="D11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14" s="72">
        <v>1250</v>
      </c>
      <c r="F11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14" s="72"/>
    </row>
    <row r="115" spans="1:8" x14ac:dyDescent="0.25">
      <c r="A115" s="56">
        <v>45748</v>
      </c>
      <c r="B115" t="s">
        <v>3</v>
      </c>
      <c r="C115">
        <v>1</v>
      </c>
      <c r="D115" s="72" cm="1">
        <f t="array" ref="D11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15" s="72">
        <v>720</v>
      </c>
      <c r="F11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15" s="72"/>
    </row>
    <row r="116" spans="1:8" x14ac:dyDescent="0.25">
      <c r="A116" s="56">
        <v>45749</v>
      </c>
      <c r="B116" t="s">
        <v>3</v>
      </c>
      <c r="C116">
        <v>1</v>
      </c>
      <c r="D116" s="72" cm="1">
        <f t="array" ref="D11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16" s="72">
        <v>720</v>
      </c>
      <c r="F11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17" spans="1:8" x14ac:dyDescent="0.25">
      <c r="A117" s="56">
        <v>45749</v>
      </c>
      <c r="B117" t="s">
        <v>4</v>
      </c>
      <c r="C117">
        <v>1</v>
      </c>
      <c r="D117" s="72" cm="1">
        <f t="array" ref="D11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17" s="72">
        <v>1250</v>
      </c>
      <c r="F11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118" spans="1:8" x14ac:dyDescent="0.25">
      <c r="A118" s="56">
        <v>45749</v>
      </c>
      <c r="B118" t="s">
        <v>112</v>
      </c>
      <c r="C118">
        <v>1</v>
      </c>
      <c r="D118" s="72" cm="1">
        <f t="array" ref="D11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18" s="72">
        <v>1340</v>
      </c>
      <c r="F11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19" spans="1:8" x14ac:dyDescent="0.25">
      <c r="A119" s="56">
        <v>45750</v>
      </c>
      <c r="B119" t="s">
        <v>4</v>
      </c>
      <c r="C119">
        <v>1</v>
      </c>
      <c r="D119" s="72" cm="1">
        <f t="array" ref="D11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19" s="72">
        <v>1250</v>
      </c>
      <c r="F11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120" spans="1:8" x14ac:dyDescent="0.25">
      <c r="A120" s="56">
        <v>45750</v>
      </c>
      <c r="B120" t="s">
        <v>3</v>
      </c>
      <c r="C120">
        <v>2</v>
      </c>
      <c r="D120" s="72" cm="1">
        <f t="array" ref="D12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20" s="72">
        <v>720</v>
      </c>
      <c r="F12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21" spans="1:8" x14ac:dyDescent="0.25">
      <c r="A121" s="56">
        <v>45751</v>
      </c>
      <c r="B121" t="s">
        <v>3</v>
      </c>
      <c r="C121">
        <v>1</v>
      </c>
      <c r="D121" s="72" cm="1">
        <f t="array" ref="D12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21" s="72">
        <v>720</v>
      </c>
      <c r="F12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22" spans="1:8" x14ac:dyDescent="0.25">
      <c r="A122" s="56">
        <v>45754</v>
      </c>
      <c r="B122" t="s">
        <v>4</v>
      </c>
      <c r="C122">
        <v>2</v>
      </c>
      <c r="D122" s="72" cm="1">
        <f t="array" ref="D12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122" s="72">
        <v>1250</v>
      </c>
      <c r="F12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</row>
    <row r="123" spans="1:8" x14ac:dyDescent="0.25">
      <c r="A123" s="56">
        <v>45754</v>
      </c>
      <c r="B123" t="s">
        <v>3</v>
      </c>
      <c r="C123">
        <v>2</v>
      </c>
      <c r="D123" s="72" cm="1">
        <f t="array" ref="D12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23" s="72">
        <v>720</v>
      </c>
      <c r="F12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24" spans="1:8" x14ac:dyDescent="0.25">
      <c r="A124" s="56">
        <v>45755</v>
      </c>
      <c r="B124" t="s">
        <v>3</v>
      </c>
      <c r="C124">
        <v>4</v>
      </c>
      <c r="D124" s="72" cm="1">
        <f t="array" ref="D12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124" s="72">
        <v>720</v>
      </c>
      <c r="F12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125" spans="1:8" x14ac:dyDescent="0.25">
      <c r="A125" s="56">
        <v>45756</v>
      </c>
      <c r="B125" t="s">
        <v>4</v>
      </c>
      <c r="C125">
        <v>1</v>
      </c>
      <c r="D125" s="72" cm="1">
        <f t="array" ref="D12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25" s="72">
        <v>1250</v>
      </c>
      <c r="F12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126" spans="1:8" x14ac:dyDescent="0.25">
      <c r="A126" s="56">
        <v>45756</v>
      </c>
      <c r="B126" t="s">
        <v>112</v>
      </c>
      <c r="C126">
        <v>1</v>
      </c>
      <c r="D126" s="72" cm="1">
        <f t="array" ref="D12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26" s="72">
        <v>1340</v>
      </c>
      <c r="F12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27" spans="1:8" x14ac:dyDescent="0.25">
      <c r="A127" s="56">
        <v>45756</v>
      </c>
      <c r="B127" t="s">
        <v>3</v>
      </c>
      <c r="C127">
        <v>4</v>
      </c>
      <c r="D127" s="72" cm="1">
        <f t="array" ref="D12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127" s="72">
        <v>720</v>
      </c>
      <c r="F12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128" spans="1:8" x14ac:dyDescent="0.25">
      <c r="A128" s="56">
        <v>45757</v>
      </c>
      <c r="B128" t="s">
        <v>3</v>
      </c>
      <c r="C128">
        <v>3</v>
      </c>
      <c r="D128" s="72" cm="1">
        <f t="array" ref="D12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128" s="72">
        <v>720</v>
      </c>
      <c r="F12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</row>
    <row r="129" spans="1:6" x14ac:dyDescent="0.25">
      <c r="A129" s="56">
        <v>45757</v>
      </c>
      <c r="B129" t="s">
        <v>4</v>
      </c>
      <c r="C129">
        <v>1</v>
      </c>
      <c r="D129" s="72" cm="1">
        <f t="array" ref="D12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29" s="72">
        <v>1250</v>
      </c>
      <c r="F12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130" spans="1:6" x14ac:dyDescent="0.25">
      <c r="A130" s="56">
        <v>45758</v>
      </c>
      <c r="B130" t="s">
        <v>3</v>
      </c>
      <c r="C130">
        <v>2</v>
      </c>
      <c r="D130" s="72" cm="1">
        <f t="array" ref="D13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30" s="72">
        <v>720</v>
      </c>
      <c r="F13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31" spans="1:6" x14ac:dyDescent="0.25">
      <c r="A131" s="56">
        <v>45761</v>
      </c>
      <c r="B131" t="s">
        <v>112</v>
      </c>
      <c r="C131">
        <v>1</v>
      </c>
      <c r="D131" s="72" cm="1">
        <f t="array" ref="D13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31" s="72">
        <v>1340</v>
      </c>
      <c r="F13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32" spans="1:6" x14ac:dyDescent="0.25">
      <c r="A132" s="56">
        <v>45761</v>
      </c>
      <c r="B132" t="s">
        <v>4</v>
      </c>
      <c r="C132">
        <v>6</v>
      </c>
      <c r="D132" s="72" cm="1">
        <f t="array" ref="D13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13800</v>
      </c>
      <c r="E132" s="72">
        <v>1250</v>
      </c>
      <c r="F13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5875.2</v>
      </c>
    </row>
    <row r="133" spans="1:6" x14ac:dyDescent="0.25">
      <c r="A133" s="56">
        <v>45761</v>
      </c>
      <c r="B133" t="s">
        <v>3</v>
      </c>
      <c r="C133">
        <v>5</v>
      </c>
      <c r="D133" s="72" cm="1">
        <f t="array" ref="D13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133" s="72">
        <v>720</v>
      </c>
      <c r="F13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6086.5</v>
      </c>
    </row>
    <row r="134" spans="1:6" x14ac:dyDescent="0.25">
      <c r="A134" s="56">
        <v>45762</v>
      </c>
      <c r="B134" t="s">
        <v>3</v>
      </c>
      <c r="C134">
        <v>2</v>
      </c>
      <c r="D134" s="72" cm="1">
        <f t="array" ref="D13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34" s="72">
        <v>720</v>
      </c>
      <c r="F13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35" spans="1:6" x14ac:dyDescent="0.25">
      <c r="A135" s="56">
        <v>45762</v>
      </c>
      <c r="B135" t="s">
        <v>4</v>
      </c>
      <c r="C135">
        <v>1</v>
      </c>
      <c r="D135" s="72" cm="1">
        <f t="array" ref="D13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35" s="72">
        <v>1250</v>
      </c>
      <c r="F13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</row>
    <row r="136" spans="1:6" x14ac:dyDescent="0.25">
      <c r="A136" s="56">
        <v>45763</v>
      </c>
      <c r="B136" t="s">
        <v>4</v>
      </c>
      <c r="C136">
        <v>3</v>
      </c>
      <c r="D136" s="72" cm="1">
        <f t="array" ref="D13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136" s="72">
        <v>1250</v>
      </c>
      <c r="F13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</row>
    <row r="137" spans="1:6" x14ac:dyDescent="0.25">
      <c r="A137" s="56">
        <v>45763</v>
      </c>
      <c r="B137" t="s">
        <v>112</v>
      </c>
      <c r="C137">
        <v>1</v>
      </c>
      <c r="D137" s="72" cm="1">
        <f t="array" ref="D13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37" s="72">
        <v>1340</v>
      </c>
      <c r="F13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38" spans="1:6" x14ac:dyDescent="0.25">
      <c r="A138" s="56">
        <v>45763</v>
      </c>
      <c r="B138" t="s">
        <v>3</v>
      </c>
      <c r="C138">
        <v>1</v>
      </c>
      <c r="D138" s="72" cm="1">
        <f t="array" ref="D13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38" s="72">
        <v>720</v>
      </c>
      <c r="F13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39" spans="1:6" x14ac:dyDescent="0.25">
      <c r="A139" s="56">
        <v>45764</v>
      </c>
      <c r="B139" t="s">
        <v>3</v>
      </c>
      <c r="C139">
        <v>1</v>
      </c>
      <c r="D139" s="72" cm="1">
        <f t="array" ref="D13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39" s="72">
        <v>720</v>
      </c>
      <c r="F13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40" spans="1:6" x14ac:dyDescent="0.25">
      <c r="A140" s="56">
        <v>45765</v>
      </c>
      <c r="B140" t="s">
        <v>4</v>
      </c>
      <c r="C140">
        <v>1</v>
      </c>
      <c r="D140" s="72" cm="1">
        <f t="array" ref="D14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40" s="72">
        <v>1100</v>
      </c>
      <c r="F14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1129.2</v>
      </c>
    </row>
    <row r="141" spans="1:6" x14ac:dyDescent="0.25">
      <c r="A141" s="56">
        <v>45768</v>
      </c>
      <c r="B141" t="s">
        <v>4</v>
      </c>
      <c r="C141">
        <v>1</v>
      </c>
      <c r="D141" s="72" cm="1">
        <f t="array" ref="D14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41" s="72">
        <v>1100</v>
      </c>
      <c r="F14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1129.2</v>
      </c>
    </row>
    <row r="142" spans="1:6" x14ac:dyDescent="0.25">
      <c r="A142" s="56">
        <v>45768</v>
      </c>
      <c r="B142" t="s">
        <v>3</v>
      </c>
      <c r="C142">
        <v>1</v>
      </c>
      <c r="D142" s="72" cm="1">
        <f t="array" ref="D14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42" s="72">
        <v>720</v>
      </c>
      <c r="F14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43" spans="1:6" x14ac:dyDescent="0.25">
      <c r="A143" s="56">
        <v>45769</v>
      </c>
      <c r="B143" t="s">
        <v>3</v>
      </c>
      <c r="C143">
        <v>2</v>
      </c>
      <c r="D143" s="72" cm="1">
        <f t="array" ref="D14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43" s="72">
        <v>720</v>
      </c>
      <c r="F14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44" spans="1:6" x14ac:dyDescent="0.25">
      <c r="A144" s="56">
        <v>45769</v>
      </c>
      <c r="B144" t="s">
        <v>4</v>
      </c>
      <c r="C144">
        <v>2</v>
      </c>
      <c r="D144" s="72" cm="1">
        <f t="array" ref="D14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144" s="72">
        <v>1100</v>
      </c>
      <c r="F14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2258.4</v>
      </c>
    </row>
    <row r="145" spans="1:8" x14ac:dyDescent="0.25">
      <c r="A145" s="56">
        <v>45769</v>
      </c>
      <c r="B145" t="s">
        <v>112</v>
      </c>
      <c r="C145">
        <v>3</v>
      </c>
      <c r="D145" s="72" cm="1">
        <f t="array" ref="D14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8010</v>
      </c>
      <c r="E145" s="72">
        <v>1340</v>
      </c>
      <c r="F14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3747.6299999999997</v>
      </c>
    </row>
    <row r="146" spans="1:8" x14ac:dyDescent="0.25">
      <c r="A146" s="56">
        <v>45770</v>
      </c>
      <c r="B146" t="s">
        <v>3</v>
      </c>
      <c r="C146">
        <v>5</v>
      </c>
      <c r="D146" s="72" cm="1">
        <f t="array" ref="D14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146" s="72">
        <v>720</v>
      </c>
      <c r="F14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6086.5</v>
      </c>
    </row>
    <row r="147" spans="1:8" x14ac:dyDescent="0.25">
      <c r="A147" s="56">
        <v>45770</v>
      </c>
      <c r="B147" t="s">
        <v>4</v>
      </c>
      <c r="C147">
        <v>2</v>
      </c>
      <c r="D147" s="72" cm="1">
        <f t="array" ref="D14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147" s="72">
        <v>1100</v>
      </c>
      <c r="F14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2258.4</v>
      </c>
    </row>
    <row r="148" spans="1:8" x14ac:dyDescent="0.25">
      <c r="A148" s="56">
        <v>45771</v>
      </c>
      <c r="B148" t="s">
        <v>3</v>
      </c>
      <c r="C148">
        <v>5</v>
      </c>
      <c r="D148" s="72" cm="1">
        <f t="array" ref="D14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148" s="72">
        <v>720</v>
      </c>
      <c r="F14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6086.5</v>
      </c>
    </row>
    <row r="149" spans="1:8" x14ac:dyDescent="0.25">
      <c r="A149" s="56">
        <v>45772</v>
      </c>
      <c r="B149" t="s">
        <v>3</v>
      </c>
      <c r="C149">
        <v>2</v>
      </c>
      <c r="D149" s="72" cm="1">
        <f t="array" ref="D14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49" s="72">
        <v>720</v>
      </c>
      <c r="F14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50" spans="1:8" x14ac:dyDescent="0.25">
      <c r="A150" s="56">
        <v>45772</v>
      </c>
      <c r="B150" t="s">
        <v>4</v>
      </c>
      <c r="C150">
        <v>1</v>
      </c>
      <c r="D150" s="72" cm="1">
        <f t="array" ref="D15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50" s="72">
        <v>1100</v>
      </c>
      <c r="F15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1129.2</v>
      </c>
    </row>
    <row r="151" spans="1:8" x14ac:dyDescent="0.25">
      <c r="A151" s="56">
        <v>45772</v>
      </c>
      <c r="B151" t="s">
        <v>112</v>
      </c>
      <c r="C151">
        <v>1</v>
      </c>
      <c r="D151" s="72" cm="1">
        <f t="array" ref="D15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51" s="72">
        <v>1340</v>
      </c>
      <c r="F15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52" spans="1:8" x14ac:dyDescent="0.25">
      <c r="A152" s="56">
        <v>45775</v>
      </c>
      <c r="B152" t="s">
        <v>4</v>
      </c>
      <c r="C152">
        <v>2</v>
      </c>
      <c r="D152" s="72" cm="1">
        <f t="array" ref="D15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152" s="72">
        <v>1100</v>
      </c>
      <c r="F15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2258.4</v>
      </c>
    </row>
    <row r="153" spans="1:8" x14ac:dyDescent="0.25">
      <c r="A153" s="56">
        <v>45776</v>
      </c>
      <c r="B153" t="s">
        <v>3</v>
      </c>
      <c r="C153">
        <v>2</v>
      </c>
      <c r="D153" s="72" cm="1">
        <f t="array" ref="D15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53" s="72">
        <v>720</v>
      </c>
      <c r="F15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154" spans="1:8" x14ac:dyDescent="0.25">
      <c r="A154" s="56">
        <v>45776</v>
      </c>
      <c r="B154" t="s">
        <v>112</v>
      </c>
      <c r="C154">
        <v>1</v>
      </c>
      <c r="D154" s="72" cm="1">
        <f t="array" ref="D15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54" s="72">
        <v>1340</v>
      </c>
      <c r="F15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55" spans="1:8" x14ac:dyDescent="0.25">
      <c r="A155" s="56">
        <v>45777</v>
      </c>
      <c r="B155" t="s">
        <v>112</v>
      </c>
      <c r="C155">
        <v>1</v>
      </c>
      <c r="D155" s="72" cm="1">
        <f t="array" ref="D15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55" s="72">
        <v>1340</v>
      </c>
      <c r="F15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56" spans="1:8" x14ac:dyDescent="0.25">
      <c r="A156" s="56">
        <v>45777</v>
      </c>
      <c r="B156" t="s">
        <v>3</v>
      </c>
      <c r="C156">
        <v>1</v>
      </c>
      <c r="D156" s="72" cm="1">
        <f t="array" ref="D15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56" s="72">
        <v>720</v>
      </c>
      <c r="F15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57" spans="1:8" x14ac:dyDescent="0.25">
      <c r="A157" s="56">
        <v>45777</v>
      </c>
      <c r="B157" t="s">
        <v>4</v>
      </c>
      <c r="C157">
        <v>2</v>
      </c>
      <c r="D157" s="72" cm="1">
        <f t="array" ref="D15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157" s="72">
        <v>1175</v>
      </c>
      <c r="F15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2108.4</v>
      </c>
    </row>
    <row r="158" spans="1:8" x14ac:dyDescent="0.25">
      <c r="A158" s="56">
        <v>45782</v>
      </c>
      <c r="B158" t="s">
        <v>112</v>
      </c>
      <c r="C158">
        <v>1</v>
      </c>
      <c r="D158" s="72" cm="1">
        <f t="array" ref="D15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58" s="72">
        <v>1340</v>
      </c>
      <c r="F15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158" s="72"/>
    </row>
    <row r="159" spans="1:8" x14ac:dyDescent="0.25">
      <c r="A159" s="56">
        <v>45782</v>
      </c>
      <c r="B159" t="s">
        <v>3</v>
      </c>
      <c r="C159">
        <v>1</v>
      </c>
      <c r="D159" s="72" cm="1">
        <f t="array" ref="D15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59" s="72">
        <v>720</v>
      </c>
      <c r="F15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59" s="72"/>
    </row>
    <row r="160" spans="1:8" x14ac:dyDescent="0.25">
      <c r="A160" s="56">
        <v>45783</v>
      </c>
      <c r="B160" t="s">
        <v>3</v>
      </c>
      <c r="C160">
        <v>1</v>
      </c>
      <c r="D160" s="72" cm="1">
        <f t="array" ref="D16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60" s="72">
        <v>720</v>
      </c>
      <c r="F16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60" s="72"/>
    </row>
    <row r="161" spans="1:8" x14ac:dyDescent="0.25">
      <c r="A161" s="56">
        <v>45783</v>
      </c>
      <c r="B161" t="s">
        <v>4</v>
      </c>
      <c r="C161">
        <v>1</v>
      </c>
      <c r="D161" s="72" cm="1">
        <f t="array" ref="D16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61" s="72">
        <v>1250</v>
      </c>
      <c r="F16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61" s="72"/>
    </row>
    <row r="162" spans="1:8" x14ac:dyDescent="0.25">
      <c r="A162" s="56">
        <v>45783</v>
      </c>
      <c r="B162" t="s">
        <v>112</v>
      </c>
      <c r="C162">
        <v>1</v>
      </c>
      <c r="D162" s="72" cm="1">
        <f t="array" ref="D16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62" s="72">
        <v>1340</v>
      </c>
      <c r="F16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162" s="72"/>
    </row>
    <row r="163" spans="1:8" x14ac:dyDescent="0.25">
      <c r="A163" s="56">
        <v>45784</v>
      </c>
      <c r="B163" t="s">
        <v>89</v>
      </c>
      <c r="C163">
        <v>0</v>
      </c>
      <c r="D163" s="72" cm="1">
        <f t="array" ref="D16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63" s="72">
        <v>0</v>
      </c>
      <c r="F16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  <c r="H163" s="72"/>
    </row>
    <row r="164" spans="1:8" x14ac:dyDescent="0.25">
      <c r="A164" s="56">
        <v>45789</v>
      </c>
      <c r="B164" t="s">
        <v>89</v>
      </c>
      <c r="C164">
        <v>0</v>
      </c>
      <c r="D164" s="72" cm="1">
        <f t="array" ref="D16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64" s="72">
        <v>0</v>
      </c>
      <c r="F16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  <c r="H164" s="72"/>
    </row>
    <row r="165" spans="1:8" x14ac:dyDescent="0.25">
      <c r="A165" s="56">
        <v>45790</v>
      </c>
      <c r="B165" t="s">
        <v>4</v>
      </c>
      <c r="C165">
        <v>3</v>
      </c>
      <c r="D165" s="72" cm="1">
        <f t="array" ref="D16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6900</v>
      </c>
      <c r="E165" s="72">
        <v>1250</v>
      </c>
      <c r="F16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2937.6</v>
      </c>
      <c r="H165" s="72"/>
    </row>
    <row r="166" spans="1:8" x14ac:dyDescent="0.25">
      <c r="A166" s="56">
        <v>45790</v>
      </c>
      <c r="B166" t="s">
        <v>3</v>
      </c>
      <c r="C166">
        <v>1</v>
      </c>
      <c r="D166" s="72" cm="1">
        <f t="array" ref="D16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66" s="72">
        <v>720</v>
      </c>
      <c r="F16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66" s="72"/>
    </row>
    <row r="167" spans="1:8" x14ac:dyDescent="0.25">
      <c r="A167" s="56">
        <v>45791</v>
      </c>
      <c r="B167" t="s">
        <v>4</v>
      </c>
      <c r="C167">
        <v>1</v>
      </c>
      <c r="D167" s="72" cm="1">
        <f t="array" ref="D16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2300</v>
      </c>
      <c r="E167" s="72">
        <v>1250</v>
      </c>
      <c r="F16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979.2</v>
      </c>
      <c r="H167" s="72"/>
    </row>
    <row r="168" spans="1:8" x14ac:dyDescent="0.25">
      <c r="A168" s="56">
        <v>45792</v>
      </c>
      <c r="B168" t="s">
        <v>4</v>
      </c>
      <c r="C168">
        <v>2</v>
      </c>
      <c r="D168" s="72" cm="1">
        <f t="array" ref="D16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4600</v>
      </c>
      <c r="E168" s="72">
        <v>1250</v>
      </c>
      <c r="F16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1958.4</v>
      </c>
      <c r="H168" s="72"/>
    </row>
    <row r="169" spans="1:8" x14ac:dyDescent="0.25">
      <c r="A169" s="56">
        <v>45793</v>
      </c>
      <c r="B169" t="s">
        <v>4</v>
      </c>
      <c r="C169">
        <v>1</v>
      </c>
      <c r="D169" s="72" cm="1">
        <f t="array" ref="D16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69" s="72">
        <v>1250</v>
      </c>
      <c r="F16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  <c r="H169" s="72"/>
    </row>
    <row r="170" spans="1:8" x14ac:dyDescent="0.25">
      <c r="A170" s="56">
        <v>45793</v>
      </c>
      <c r="B170" t="s">
        <v>3</v>
      </c>
      <c r="C170">
        <v>1</v>
      </c>
      <c r="D170" s="72" cm="1">
        <f t="array" ref="D17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70" s="72">
        <v>720</v>
      </c>
      <c r="F17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70" s="72"/>
    </row>
    <row r="171" spans="1:8" x14ac:dyDescent="0.25">
      <c r="A171" s="56">
        <v>45796</v>
      </c>
      <c r="B171" t="s">
        <v>89</v>
      </c>
      <c r="C171">
        <v>0</v>
      </c>
      <c r="D171" s="72" cm="1">
        <f t="array" ref="D17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71" s="72">
        <v>0</v>
      </c>
      <c r="F17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  <c r="H171" s="72"/>
    </row>
    <row r="172" spans="1:8" x14ac:dyDescent="0.25">
      <c r="A172" s="56">
        <v>45797</v>
      </c>
      <c r="B172" t="s">
        <v>3</v>
      </c>
      <c r="C172">
        <v>1</v>
      </c>
      <c r="D172" s="72" cm="1">
        <f t="array" ref="D17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72" s="72">
        <v>720</v>
      </c>
      <c r="F17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72" s="72"/>
    </row>
    <row r="173" spans="1:8" x14ac:dyDescent="0.25">
      <c r="A173" s="56">
        <v>45798</v>
      </c>
      <c r="B173" t="s">
        <v>4</v>
      </c>
      <c r="C173">
        <v>2</v>
      </c>
      <c r="D173" s="72" cm="1">
        <f t="array" ref="D17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173" s="72">
        <v>1250</v>
      </c>
      <c r="F17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2347.6</v>
      </c>
      <c r="H173" s="72"/>
    </row>
    <row r="174" spans="1:8" x14ac:dyDescent="0.25">
      <c r="A174" s="56">
        <v>45798</v>
      </c>
      <c r="B174" t="s">
        <v>112</v>
      </c>
      <c r="C174">
        <v>2</v>
      </c>
      <c r="D174" s="72" cm="1">
        <f t="array" ref="D17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5340</v>
      </c>
      <c r="E174" s="72">
        <v>1340</v>
      </c>
      <c r="F17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2498.4199999999996</v>
      </c>
      <c r="H174" s="72"/>
    </row>
    <row r="175" spans="1:8" x14ac:dyDescent="0.25">
      <c r="A175" s="56">
        <v>45799</v>
      </c>
      <c r="B175" t="s">
        <v>89</v>
      </c>
      <c r="C175">
        <v>0</v>
      </c>
      <c r="D175" s="72" cm="1">
        <f t="array" ref="D17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75" s="72">
        <v>0</v>
      </c>
      <c r="F17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  <c r="H175" s="72"/>
    </row>
    <row r="176" spans="1:8" x14ac:dyDescent="0.25">
      <c r="A176" s="56">
        <v>45800</v>
      </c>
      <c r="B176" t="s">
        <v>4</v>
      </c>
      <c r="C176">
        <v>3</v>
      </c>
      <c r="D176" s="72" cm="1">
        <f t="array" ref="D17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7500</v>
      </c>
      <c r="E176" s="72">
        <v>1250</v>
      </c>
      <c r="F17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3521.4</v>
      </c>
      <c r="H176" s="72"/>
    </row>
    <row r="177" spans="1:8" x14ac:dyDescent="0.25">
      <c r="A177" s="56">
        <v>45803</v>
      </c>
      <c r="B177" t="s">
        <v>4</v>
      </c>
      <c r="C177">
        <v>3</v>
      </c>
      <c r="D177" s="72" cm="1">
        <f t="array" ref="D17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7500</v>
      </c>
      <c r="E177" s="72">
        <v>1250</v>
      </c>
      <c r="F17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3521.4</v>
      </c>
      <c r="H177" s="72"/>
    </row>
    <row r="178" spans="1:8" x14ac:dyDescent="0.25">
      <c r="A178" s="56">
        <v>45803</v>
      </c>
      <c r="B178" t="s">
        <v>3</v>
      </c>
      <c r="C178">
        <v>2</v>
      </c>
      <c r="D178" s="72" cm="1">
        <f t="array" ref="D17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78" s="72">
        <v>720</v>
      </c>
      <c r="F17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H178" s="72"/>
    </row>
    <row r="179" spans="1:8" x14ac:dyDescent="0.25">
      <c r="A179" s="56">
        <v>45804</v>
      </c>
      <c r="B179" t="s">
        <v>4</v>
      </c>
      <c r="C179">
        <v>3</v>
      </c>
      <c r="D179" s="72" cm="1">
        <f t="array" ref="D17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7500</v>
      </c>
      <c r="E179" s="72">
        <v>1250</v>
      </c>
      <c r="F17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3521.4</v>
      </c>
      <c r="H179" s="72"/>
    </row>
    <row r="180" spans="1:8" x14ac:dyDescent="0.25">
      <c r="A180" s="56">
        <v>45805</v>
      </c>
      <c r="B180" t="s">
        <v>4</v>
      </c>
      <c r="C180">
        <v>2</v>
      </c>
      <c r="D180" s="72" cm="1">
        <f t="array" ref="D18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180" s="72">
        <v>1250</v>
      </c>
      <c r="F18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2347.6</v>
      </c>
      <c r="H180" s="72"/>
    </row>
    <row r="181" spans="1:8" x14ac:dyDescent="0.25">
      <c r="A181" s="56">
        <v>45805</v>
      </c>
      <c r="B181" t="s">
        <v>3</v>
      </c>
      <c r="C181">
        <v>1</v>
      </c>
      <c r="D181" s="72" cm="1">
        <f t="array" ref="D18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81" s="72">
        <v>720</v>
      </c>
      <c r="F18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81" s="72"/>
    </row>
    <row r="182" spans="1:8" x14ac:dyDescent="0.25">
      <c r="A182" s="56">
        <v>45805</v>
      </c>
      <c r="B182" t="s">
        <v>112</v>
      </c>
      <c r="C182">
        <v>1</v>
      </c>
      <c r="D182" s="72" cm="1">
        <f t="array" ref="D18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82" s="72">
        <v>1340</v>
      </c>
      <c r="F18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  <c r="H182" s="72"/>
    </row>
    <row r="183" spans="1:8" x14ac:dyDescent="0.25">
      <c r="A183" s="56">
        <v>45806</v>
      </c>
      <c r="B183" t="s">
        <v>3</v>
      </c>
      <c r="C183">
        <v>1</v>
      </c>
      <c r="D183" s="72" cm="1">
        <f t="array" ref="D18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83" s="72">
        <v>720</v>
      </c>
      <c r="F18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  <c r="H183" s="72"/>
    </row>
    <row r="184" spans="1:8" x14ac:dyDescent="0.25">
      <c r="A184" s="56">
        <v>45806</v>
      </c>
      <c r="B184" t="s">
        <v>4</v>
      </c>
      <c r="C184">
        <v>1</v>
      </c>
      <c r="D184" s="72" cm="1">
        <f t="array" ref="D18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84" s="72">
        <v>1250</v>
      </c>
      <c r="F18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  <c r="H184" s="72"/>
    </row>
    <row r="185" spans="1:8" x14ac:dyDescent="0.25">
      <c r="A185" s="56">
        <v>45807</v>
      </c>
      <c r="B185" t="s">
        <v>3</v>
      </c>
      <c r="C185">
        <v>2</v>
      </c>
      <c r="D185" s="72" cm="1">
        <f t="array" ref="D18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85" s="72">
        <v>720</v>
      </c>
      <c r="F18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  <c r="H185" s="72"/>
    </row>
    <row r="186" spans="1:8" x14ac:dyDescent="0.25">
      <c r="A186" s="56">
        <v>45810</v>
      </c>
      <c r="B186" t="s">
        <v>112</v>
      </c>
      <c r="C186">
        <v>3</v>
      </c>
      <c r="D186" s="72" cm="1">
        <f t="array" ref="D18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8010</v>
      </c>
      <c r="E186" s="72">
        <v>1340</v>
      </c>
      <c r="F18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3747.6299999999997</v>
      </c>
      <c r="H186" s="72"/>
    </row>
    <row r="187" spans="1:8" x14ac:dyDescent="0.25">
      <c r="A187" s="56">
        <v>45810</v>
      </c>
      <c r="B187" t="s">
        <v>4</v>
      </c>
      <c r="C187">
        <v>1</v>
      </c>
      <c r="D187" s="72" cm="1">
        <f t="array" ref="D18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87" s="72">
        <v>1250</v>
      </c>
      <c r="F18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188" spans="1:8" x14ac:dyDescent="0.25">
      <c r="A188" s="56">
        <v>45811</v>
      </c>
      <c r="B188" t="s">
        <v>4</v>
      </c>
      <c r="C188">
        <v>1</v>
      </c>
      <c r="D188" s="72" cm="1">
        <f t="array" ref="D18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88" s="72">
        <v>1250</v>
      </c>
      <c r="F18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189" spans="1:8" x14ac:dyDescent="0.25">
      <c r="A189" s="56">
        <v>45812</v>
      </c>
      <c r="B189" t="s">
        <v>3</v>
      </c>
      <c r="C189">
        <v>2</v>
      </c>
      <c r="D189" s="72" cm="1">
        <f t="array" ref="D18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189" s="72">
        <v>795</v>
      </c>
      <c r="F18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2284.6</v>
      </c>
    </row>
    <row r="190" spans="1:8" x14ac:dyDescent="0.25">
      <c r="A190" s="56">
        <v>45812</v>
      </c>
      <c r="B190" t="s">
        <v>4</v>
      </c>
      <c r="C190">
        <v>2</v>
      </c>
      <c r="D190" s="72" cm="1">
        <f t="array" ref="D19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190" s="72">
        <v>1250</v>
      </c>
      <c r="F19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2347.6</v>
      </c>
    </row>
    <row r="191" spans="1:8" x14ac:dyDescent="0.25">
      <c r="A191" s="56">
        <v>45813</v>
      </c>
      <c r="B191" t="s">
        <v>112</v>
      </c>
      <c r="C191">
        <v>1</v>
      </c>
      <c r="D191" s="72" cm="1">
        <f t="array" ref="D19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191" s="72">
        <v>1340</v>
      </c>
      <c r="F19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192" spans="1:8" x14ac:dyDescent="0.25">
      <c r="A192" s="56">
        <v>45814</v>
      </c>
      <c r="B192" t="s">
        <v>4</v>
      </c>
      <c r="C192">
        <v>2</v>
      </c>
      <c r="D192" s="72" cm="1">
        <f t="array" ref="D19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192" s="72">
        <v>1250</v>
      </c>
      <c r="F19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2347.6</v>
      </c>
    </row>
    <row r="193" spans="1:6" x14ac:dyDescent="0.25">
      <c r="A193" s="56">
        <v>45817</v>
      </c>
      <c r="B193" t="s">
        <v>3</v>
      </c>
      <c r="C193">
        <v>1</v>
      </c>
      <c r="D193" s="72" cm="1">
        <f t="array" ref="D19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193" s="72">
        <v>720</v>
      </c>
      <c r="F19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194" spans="1:6" x14ac:dyDescent="0.25">
      <c r="A194" s="56">
        <v>45817</v>
      </c>
      <c r="B194" t="s">
        <v>4</v>
      </c>
      <c r="C194">
        <v>2</v>
      </c>
      <c r="D194" s="72" cm="1">
        <f t="array" ref="D19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194" s="72">
        <v>1250</v>
      </c>
      <c r="F19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2347.6</v>
      </c>
    </row>
    <row r="195" spans="1:6" x14ac:dyDescent="0.25">
      <c r="A195" s="56">
        <v>45818</v>
      </c>
      <c r="B195" t="s">
        <v>89</v>
      </c>
      <c r="C195">
        <v>0</v>
      </c>
      <c r="D195" s="72" cm="1">
        <f t="array" ref="D19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95" s="72">
        <v>0</v>
      </c>
      <c r="F19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</row>
    <row r="196" spans="1:6" x14ac:dyDescent="0.25">
      <c r="A196" s="56">
        <v>45819</v>
      </c>
      <c r="B196" t="s">
        <v>4</v>
      </c>
      <c r="C196">
        <v>1</v>
      </c>
      <c r="D196" s="72" cm="1">
        <f t="array" ref="D19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96" s="72">
        <v>1250</v>
      </c>
      <c r="F19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197" spans="1:6" x14ac:dyDescent="0.25">
      <c r="A197" s="56">
        <v>45824</v>
      </c>
      <c r="B197" t="s">
        <v>89</v>
      </c>
      <c r="C197">
        <v>0</v>
      </c>
      <c r="D197" s="72" cm="1">
        <f t="array" ref="D19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197" s="72">
        <v>0</v>
      </c>
      <c r="F19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</row>
    <row r="198" spans="1:6" x14ac:dyDescent="0.25">
      <c r="A198" s="56">
        <v>45825</v>
      </c>
      <c r="B198" t="s">
        <v>4</v>
      </c>
      <c r="C198">
        <v>1</v>
      </c>
      <c r="D198" s="72" cm="1">
        <f t="array" ref="D19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98" s="72">
        <v>1250</v>
      </c>
      <c r="F19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199" spans="1:6" x14ac:dyDescent="0.25">
      <c r="A199" s="56">
        <v>45826</v>
      </c>
      <c r="B199" t="s">
        <v>4</v>
      </c>
      <c r="C199">
        <v>1</v>
      </c>
      <c r="D199" s="72" cm="1">
        <f t="array" ref="D19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199" s="72">
        <v>1250</v>
      </c>
      <c r="F19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200" spans="1:6" x14ac:dyDescent="0.25">
      <c r="A200" s="56">
        <v>45827</v>
      </c>
      <c r="B200" t="s">
        <v>3</v>
      </c>
      <c r="C200">
        <v>2</v>
      </c>
      <c r="D200" s="72" cm="1">
        <f t="array" ref="D20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00" s="72">
        <v>720</v>
      </c>
      <c r="F20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01" spans="1:6" x14ac:dyDescent="0.25">
      <c r="A201" s="56">
        <v>45827</v>
      </c>
      <c r="B201" t="s">
        <v>4</v>
      </c>
      <c r="C201">
        <v>1</v>
      </c>
      <c r="D201" s="72" cm="1">
        <f t="array" ref="D20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01" s="72">
        <v>1250</v>
      </c>
      <c r="F20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202" spans="1:6" x14ac:dyDescent="0.25">
      <c r="A202" s="56">
        <v>45828</v>
      </c>
      <c r="B202" t="s">
        <v>4</v>
      </c>
      <c r="C202">
        <v>1</v>
      </c>
      <c r="D202" s="72" cm="1">
        <f t="array" ref="D20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02" s="72">
        <v>1250</v>
      </c>
      <c r="F20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203" spans="1:6" x14ac:dyDescent="0.25">
      <c r="A203" s="56">
        <v>45828</v>
      </c>
      <c r="B203" t="s">
        <v>3</v>
      </c>
      <c r="C203">
        <v>1</v>
      </c>
      <c r="D203" s="72" cm="1">
        <f t="array" ref="D20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03" s="72">
        <v>720</v>
      </c>
      <c r="F20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04" spans="1:6" x14ac:dyDescent="0.25">
      <c r="A204" s="56">
        <v>45828</v>
      </c>
      <c r="B204" t="s">
        <v>112</v>
      </c>
      <c r="C204">
        <v>1</v>
      </c>
      <c r="D204" s="72" cm="1">
        <f t="array" ref="D20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04" s="72">
        <v>1340</v>
      </c>
      <c r="F20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05" spans="1:6" x14ac:dyDescent="0.25">
      <c r="A205" s="56">
        <v>45831</v>
      </c>
      <c r="B205" t="s">
        <v>3</v>
      </c>
      <c r="C205">
        <v>2</v>
      </c>
      <c r="D205" s="72" cm="1">
        <f t="array" ref="D20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05" s="72">
        <v>720</v>
      </c>
      <c r="F20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06" spans="1:6" x14ac:dyDescent="0.25">
      <c r="A206" s="56">
        <v>45832</v>
      </c>
      <c r="B206" t="s">
        <v>4</v>
      </c>
      <c r="C206">
        <v>2</v>
      </c>
      <c r="D206" s="72" cm="1">
        <f t="array" ref="D20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206" s="72">
        <v>800</v>
      </c>
      <c r="F20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3247.6</v>
      </c>
    </row>
    <row r="207" spans="1:6" x14ac:dyDescent="0.25">
      <c r="A207" s="56">
        <v>45833</v>
      </c>
      <c r="B207" t="s">
        <v>3</v>
      </c>
      <c r="C207">
        <v>2</v>
      </c>
      <c r="D207" s="72" cm="1">
        <f t="array" ref="D20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07" s="72">
        <v>720</v>
      </c>
      <c r="F20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08" spans="1:6" x14ac:dyDescent="0.25">
      <c r="A208" s="56">
        <v>45834</v>
      </c>
      <c r="B208" t="s">
        <v>4</v>
      </c>
      <c r="C208">
        <v>3</v>
      </c>
      <c r="D208" s="72" cm="1">
        <f t="array" ref="D20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7500</v>
      </c>
      <c r="E208" s="72">
        <v>800</v>
      </c>
      <c r="F20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4871.3999999999996</v>
      </c>
    </row>
    <row r="209" spans="1:6" x14ac:dyDescent="0.25">
      <c r="A209" s="56">
        <v>45834</v>
      </c>
      <c r="B209" t="s">
        <v>112</v>
      </c>
      <c r="C209">
        <v>1</v>
      </c>
      <c r="D209" s="72" cm="1">
        <f t="array" ref="D20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09" s="72">
        <v>1340</v>
      </c>
      <c r="F20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10" spans="1:6" x14ac:dyDescent="0.25">
      <c r="A210" s="56">
        <v>45835</v>
      </c>
      <c r="B210" t="s">
        <v>3</v>
      </c>
      <c r="C210">
        <v>1</v>
      </c>
      <c r="D210" s="72" cm="1">
        <f t="array" ref="D21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10" s="72">
        <v>720</v>
      </c>
      <c r="F21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11" spans="1:6" x14ac:dyDescent="0.25">
      <c r="A211" s="56">
        <v>45835</v>
      </c>
      <c r="B211" t="s">
        <v>4</v>
      </c>
      <c r="C211">
        <v>2</v>
      </c>
      <c r="D211" s="72" cm="1">
        <f t="array" ref="D21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211" s="72">
        <v>800</v>
      </c>
      <c r="F21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3247.6</v>
      </c>
    </row>
    <row r="212" spans="1:6" x14ac:dyDescent="0.25">
      <c r="A212" s="56">
        <v>45838</v>
      </c>
      <c r="B212" t="s">
        <v>112</v>
      </c>
      <c r="C212">
        <v>1</v>
      </c>
      <c r="D212" s="72" cm="1">
        <f t="array" ref="D21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12" s="72">
        <v>1340</v>
      </c>
      <c r="F21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13" spans="1:6" x14ac:dyDescent="0.25">
      <c r="A213" s="56">
        <v>45838</v>
      </c>
      <c r="B213" t="s">
        <v>4</v>
      </c>
      <c r="C213">
        <v>2</v>
      </c>
      <c r="D213" s="72" cm="1">
        <f t="array" ref="D21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213" s="72">
        <v>800</v>
      </c>
      <c r="F21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3247.6</v>
      </c>
    </row>
    <row r="214" spans="1:6" x14ac:dyDescent="0.25">
      <c r="A214" s="56">
        <v>45838</v>
      </c>
      <c r="B214" t="s">
        <v>3</v>
      </c>
      <c r="C214">
        <v>3</v>
      </c>
      <c r="D214" s="72" cm="1">
        <f t="array" ref="D21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214" s="72">
        <v>720</v>
      </c>
      <c r="F21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</row>
    <row r="215" spans="1:6" x14ac:dyDescent="0.25">
      <c r="A215" s="56">
        <v>45839</v>
      </c>
      <c r="B215" t="s">
        <v>3</v>
      </c>
      <c r="C215">
        <v>4</v>
      </c>
      <c r="D215" s="72" cm="1">
        <f t="array" ref="D21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215" s="72">
        <v>720</v>
      </c>
      <c r="F21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216" spans="1:6" x14ac:dyDescent="0.25">
      <c r="A216" s="56">
        <v>45839</v>
      </c>
      <c r="B216" t="s">
        <v>4</v>
      </c>
      <c r="C216">
        <v>1</v>
      </c>
      <c r="D216" s="72" cm="1">
        <f t="array" ref="D21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16" s="72">
        <v>800</v>
      </c>
      <c r="F21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17" spans="1:6" x14ac:dyDescent="0.25">
      <c r="A217" s="56">
        <v>45840</v>
      </c>
      <c r="B217" t="s">
        <v>3</v>
      </c>
      <c r="C217">
        <v>3</v>
      </c>
      <c r="D217" s="72" cm="1">
        <f t="array" ref="D21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217" s="72">
        <v>720</v>
      </c>
      <c r="F21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</row>
    <row r="218" spans="1:6" x14ac:dyDescent="0.25">
      <c r="A218" s="56">
        <v>45840</v>
      </c>
      <c r="B218" t="s">
        <v>4</v>
      </c>
      <c r="C218">
        <v>1</v>
      </c>
      <c r="D218" s="72" cm="1">
        <f t="array" ref="D21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18" s="72">
        <v>800</v>
      </c>
      <c r="F21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19" spans="1:6" x14ac:dyDescent="0.25">
      <c r="A219" s="56">
        <v>45841</v>
      </c>
      <c r="B219" t="s">
        <v>3</v>
      </c>
      <c r="C219">
        <v>1</v>
      </c>
      <c r="D219" s="72" cm="1">
        <f t="array" ref="D21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19" s="72">
        <v>720</v>
      </c>
      <c r="F21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20" spans="1:6" x14ac:dyDescent="0.25">
      <c r="A220" s="56">
        <v>45842</v>
      </c>
      <c r="B220" t="s">
        <v>89</v>
      </c>
      <c r="C220">
        <v>0</v>
      </c>
      <c r="D220" s="72" cm="1">
        <f t="array" ref="D22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220" s="72">
        <v>0</v>
      </c>
      <c r="F22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</row>
    <row r="221" spans="1:6" x14ac:dyDescent="0.25">
      <c r="A221" s="56">
        <v>45845</v>
      </c>
      <c r="B221" t="s">
        <v>3</v>
      </c>
      <c r="C221">
        <v>4</v>
      </c>
      <c r="D221" s="72" cm="1">
        <f t="array" ref="D22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221" s="72">
        <v>720</v>
      </c>
      <c r="F22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222" spans="1:6" x14ac:dyDescent="0.25">
      <c r="A222" s="56">
        <v>45845</v>
      </c>
      <c r="B222" t="s">
        <v>4</v>
      </c>
      <c r="C222">
        <v>1</v>
      </c>
      <c r="D222" s="72" cm="1">
        <f t="array" ref="D22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22" s="72">
        <v>800</v>
      </c>
      <c r="F22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23" spans="1:6" x14ac:dyDescent="0.25">
      <c r="A223" s="56">
        <v>45846</v>
      </c>
      <c r="B223" t="s">
        <v>3</v>
      </c>
      <c r="C223">
        <v>2</v>
      </c>
      <c r="D223" s="72" cm="1">
        <f t="array" ref="D22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23" s="72">
        <v>720</v>
      </c>
      <c r="F22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24" spans="1:6" x14ac:dyDescent="0.25">
      <c r="A224" s="56">
        <v>45847</v>
      </c>
      <c r="B224" t="s">
        <v>3</v>
      </c>
      <c r="C224">
        <v>2</v>
      </c>
      <c r="D224" s="72" cm="1">
        <f t="array" ref="D22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24" s="72">
        <v>720</v>
      </c>
      <c r="F22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25" spans="1:6" x14ac:dyDescent="0.25">
      <c r="A225" s="56">
        <v>45847</v>
      </c>
      <c r="B225" t="s">
        <v>4</v>
      </c>
      <c r="C225">
        <v>1</v>
      </c>
      <c r="D225" s="72" cm="1">
        <f t="array" ref="D22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25" s="72">
        <v>800</v>
      </c>
      <c r="F22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26" spans="1:6" x14ac:dyDescent="0.25">
      <c r="A226" s="56">
        <v>45848</v>
      </c>
      <c r="B226" t="s">
        <v>89</v>
      </c>
      <c r="C226">
        <v>0</v>
      </c>
      <c r="D226" s="72" cm="1">
        <f t="array" ref="D22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226" s="72">
        <v>0</v>
      </c>
      <c r="F22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</row>
    <row r="227" spans="1:6" x14ac:dyDescent="0.25">
      <c r="A227" s="56">
        <v>45849</v>
      </c>
      <c r="B227" t="s">
        <v>89</v>
      </c>
      <c r="C227">
        <v>0</v>
      </c>
      <c r="D227" s="72" cm="1">
        <f t="array" ref="D22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227" s="72">
        <v>0</v>
      </c>
      <c r="F22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</row>
    <row r="228" spans="1:6" x14ac:dyDescent="0.25">
      <c r="A228" s="56">
        <v>45852</v>
      </c>
      <c r="B228" t="s">
        <v>3</v>
      </c>
      <c r="C228">
        <v>5</v>
      </c>
      <c r="D228" s="72" cm="1">
        <f t="array" ref="D22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228" s="72">
        <v>720</v>
      </c>
      <c r="F22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6086.5</v>
      </c>
    </row>
    <row r="229" spans="1:6" x14ac:dyDescent="0.25">
      <c r="A229" s="56">
        <v>45852</v>
      </c>
      <c r="B229" t="s">
        <v>112</v>
      </c>
      <c r="C229">
        <v>1</v>
      </c>
      <c r="D229" s="72" cm="1">
        <f t="array" ref="D22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29" s="72">
        <v>1340</v>
      </c>
      <c r="F22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30" spans="1:6" x14ac:dyDescent="0.25">
      <c r="A230" s="56">
        <v>45852</v>
      </c>
      <c r="B230" t="s">
        <v>4</v>
      </c>
      <c r="C230">
        <v>1</v>
      </c>
      <c r="D230" s="72" cm="1">
        <f t="array" ref="D23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30" s="72">
        <v>800</v>
      </c>
      <c r="F23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31" spans="1:6" x14ac:dyDescent="0.25">
      <c r="A231" s="56">
        <v>45853</v>
      </c>
      <c r="B231" t="s">
        <v>3</v>
      </c>
      <c r="C231">
        <v>2</v>
      </c>
      <c r="D231" s="72" cm="1">
        <f t="array" ref="D23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31" s="72">
        <v>720</v>
      </c>
      <c r="F23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32" spans="1:6" x14ac:dyDescent="0.25">
      <c r="A232" s="56">
        <v>45854</v>
      </c>
      <c r="B232" t="s">
        <v>4</v>
      </c>
      <c r="C232">
        <v>1</v>
      </c>
      <c r="D232" s="72" cm="1">
        <f t="array" ref="D23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32" s="72">
        <v>800</v>
      </c>
      <c r="F23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33" spans="1:6" x14ac:dyDescent="0.25">
      <c r="A233" s="56">
        <v>45854</v>
      </c>
      <c r="B233" t="s">
        <v>3</v>
      </c>
      <c r="C233">
        <v>1</v>
      </c>
      <c r="D233" s="72" cm="1">
        <f t="array" ref="D23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33" s="72">
        <v>720</v>
      </c>
      <c r="F23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34" spans="1:6" x14ac:dyDescent="0.25">
      <c r="A234" s="56">
        <v>45855</v>
      </c>
      <c r="B234" t="s">
        <v>4</v>
      </c>
      <c r="C234">
        <v>2</v>
      </c>
      <c r="D234" s="72" cm="1">
        <f t="array" ref="D23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234" s="72">
        <v>800</v>
      </c>
      <c r="F23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3247.6</v>
      </c>
    </row>
    <row r="235" spans="1:6" x14ac:dyDescent="0.25">
      <c r="A235" s="56">
        <v>45855</v>
      </c>
      <c r="B235" t="s">
        <v>3</v>
      </c>
      <c r="C235">
        <v>2</v>
      </c>
      <c r="D235" s="72" cm="1">
        <f t="array" ref="D23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35" s="72">
        <v>720</v>
      </c>
      <c r="F23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36" spans="1:6" x14ac:dyDescent="0.25">
      <c r="A236" s="56">
        <v>45856</v>
      </c>
      <c r="B236" t="s">
        <v>3</v>
      </c>
      <c r="C236">
        <v>3</v>
      </c>
      <c r="D236" s="72" cm="1">
        <f t="array" ref="D23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6000</v>
      </c>
      <c r="E236" s="72">
        <v>720</v>
      </c>
      <c r="F23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3651.9</v>
      </c>
    </row>
    <row r="237" spans="1:6" x14ac:dyDescent="0.25">
      <c r="A237" s="56">
        <v>45856</v>
      </c>
      <c r="B237" t="s">
        <v>4</v>
      </c>
      <c r="C237">
        <v>1</v>
      </c>
      <c r="D237" s="72" cm="1">
        <f t="array" ref="D23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37" s="72">
        <v>800</v>
      </c>
      <c r="F23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38" spans="1:6" x14ac:dyDescent="0.25">
      <c r="A238" s="56">
        <v>45859</v>
      </c>
      <c r="B238" t="s">
        <v>4</v>
      </c>
      <c r="C238">
        <v>3</v>
      </c>
      <c r="D238" s="72" cm="1">
        <f t="array" ref="D23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7500</v>
      </c>
      <c r="E238" s="72">
        <v>800</v>
      </c>
      <c r="F23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4871.3999999999996</v>
      </c>
    </row>
    <row r="239" spans="1:6" x14ac:dyDescent="0.25">
      <c r="A239" s="56">
        <v>45859</v>
      </c>
      <c r="B239" t="s">
        <v>3</v>
      </c>
      <c r="C239">
        <v>2</v>
      </c>
      <c r="D239" s="72" cm="1">
        <f t="array" ref="D23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39" s="72">
        <v>720</v>
      </c>
      <c r="F23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40" spans="1:6" x14ac:dyDescent="0.25">
      <c r="A240" s="56">
        <v>45860</v>
      </c>
      <c r="B240" t="s">
        <v>112</v>
      </c>
      <c r="C240">
        <v>1</v>
      </c>
      <c r="D240" s="72" cm="1">
        <f t="array" ref="D24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40" s="72">
        <v>1340</v>
      </c>
      <c r="F24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41" spans="1:6" x14ac:dyDescent="0.25">
      <c r="A241" s="56">
        <v>45860</v>
      </c>
      <c r="B241" t="s">
        <v>4</v>
      </c>
      <c r="C241">
        <v>3</v>
      </c>
      <c r="D241" s="72" cm="1">
        <f t="array" ref="D24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7500</v>
      </c>
      <c r="E241" s="72">
        <v>800</v>
      </c>
      <c r="F24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4871.3999999999996</v>
      </c>
    </row>
    <row r="242" spans="1:6" x14ac:dyDescent="0.25">
      <c r="A242" s="56">
        <v>45860</v>
      </c>
      <c r="B242" t="s">
        <v>3</v>
      </c>
      <c r="C242">
        <v>2</v>
      </c>
      <c r="D242" s="72" cm="1">
        <f t="array" ref="D24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42" s="72">
        <v>720</v>
      </c>
      <c r="F24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43" spans="1:6" x14ac:dyDescent="0.25">
      <c r="A243" s="56">
        <v>45861</v>
      </c>
      <c r="B243" t="s">
        <v>4</v>
      </c>
      <c r="C243">
        <v>4</v>
      </c>
      <c r="D243" s="72" cm="1">
        <f t="array" ref="D24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243" s="72">
        <v>800</v>
      </c>
      <c r="F24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6495.2</v>
      </c>
    </row>
    <row r="244" spans="1:6" x14ac:dyDescent="0.25">
      <c r="A244" s="56">
        <v>45861</v>
      </c>
      <c r="B244" t="s">
        <v>3</v>
      </c>
      <c r="C244">
        <v>1</v>
      </c>
      <c r="D244" s="72" cm="1">
        <f t="array" ref="D24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44" s="72">
        <v>720</v>
      </c>
      <c r="F24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45" spans="1:6" x14ac:dyDescent="0.25">
      <c r="A245" s="56">
        <v>45861</v>
      </c>
      <c r="B245" t="s">
        <v>112</v>
      </c>
      <c r="C245">
        <v>1</v>
      </c>
      <c r="D245" s="72" cm="1">
        <f t="array" ref="D24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45" s="72">
        <v>1340</v>
      </c>
      <c r="F24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46" spans="1:6" x14ac:dyDescent="0.25">
      <c r="A246" s="56">
        <v>45862</v>
      </c>
      <c r="B246" t="s">
        <v>3</v>
      </c>
      <c r="C246">
        <v>1</v>
      </c>
      <c r="D246" s="72" cm="1">
        <f t="array" ref="D24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46" s="72">
        <v>720</v>
      </c>
      <c r="F24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47" spans="1:6" x14ac:dyDescent="0.25">
      <c r="A247" s="56">
        <v>45862</v>
      </c>
      <c r="B247" t="s">
        <v>4</v>
      </c>
      <c r="C247">
        <v>2</v>
      </c>
      <c r="D247" s="72" cm="1">
        <f t="array" ref="D24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247" s="72">
        <v>800</v>
      </c>
      <c r="F24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3247.6</v>
      </c>
    </row>
    <row r="248" spans="1:6" x14ac:dyDescent="0.25">
      <c r="A248" s="56">
        <v>45863</v>
      </c>
      <c r="B248" t="s">
        <v>3</v>
      </c>
      <c r="C248">
        <v>1</v>
      </c>
      <c r="D248" s="72" cm="1">
        <f t="array" ref="D24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48" s="72">
        <v>720</v>
      </c>
      <c r="F24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49" spans="1:6" x14ac:dyDescent="0.25">
      <c r="A249" s="56">
        <v>45866</v>
      </c>
      <c r="B249" t="s">
        <v>3</v>
      </c>
      <c r="C249">
        <v>1</v>
      </c>
      <c r="D249" s="72" cm="1">
        <f t="array" ref="D24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49" s="72">
        <v>720</v>
      </c>
      <c r="F24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50" spans="1:6" x14ac:dyDescent="0.25">
      <c r="A250" s="56">
        <v>45866</v>
      </c>
      <c r="B250" t="s">
        <v>4</v>
      </c>
      <c r="C250">
        <v>1</v>
      </c>
      <c r="D250" s="72" cm="1">
        <f t="array" ref="D25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50" s="72">
        <v>800</v>
      </c>
      <c r="F25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1623.8</v>
      </c>
    </row>
    <row r="251" spans="1:6" x14ac:dyDescent="0.25">
      <c r="A251" s="56">
        <v>45867</v>
      </c>
      <c r="B251" t="s">
        <v>4</v>
      </c>
      <c r="C251">
        <v>4</v>
      </c>
      <c r="D251" s="72" cm="1">
        <f t="array" ref="D25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10000</v>
      </c>
      <c r="E251" s="72">
        <v>800</v>
      </c>
      <c r="F25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6495.2</v>
      </c>
    </row>
    <row r="252" spans="1:6" x14ac:dyDescent="0.25">
      <c r="A252" s="56">
        <v>45867</v>
      </c>
      <c r="B252" t="s">
        <v>3</v>
      </c>
      <c r="C252">
        <v>4</v>
      </c>
      <c r="D252" s="72" cm="1">
        <f t="array" ref="D25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8000</v>
      </c>
      <c r="E252" s="72">
        <v>720</v>
      </c>
      <c r="F25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4869.2</v>
      </c>
    </row>
    <row r="253" spans="1:6" x14ac:dyDescent="0.25">
      <c r="A253" s="56">
        <v>45868</v>
      </c>
      <c r="B253" t="s">
        <v>89</v>
      </c>
      <c r="C253">
        <v>0</v>
      </c>
      <c r="D253" s="72" cm="1">
        <f t="array" ref="D25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0</v>
      </c>
      <c r="E253" s="72">
        <v>0</v>
      </c>
      <c r="F25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0</v>
      </c>
    </row>
    <row r="254" spans="1:6" x14ac:dyDescent="0.25">
      <c r="A254" s="56">
        <v>45869</v>
      </c>
      <c r="B254" t="s">
        <v>112</v>
      </c>
      <c r="C254">
        <v>1</v>
      </c>
      <c r="D254" s="72" cm="1">
        <f t="array" ref="D25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54" s="72">
        <v>1340</v>
      </c>
      <c r="F25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55" spans="1:6" x14ac:dyDescent="0.25">
      <c r="A255" s="56">
        <v>45870</v>
      </c>
      <c r="B255" t="s">
        <v>4</v>
      </c>
      <c r="C255">
        <v>1</v>
      </c>
      <c r="D255" s="72" cm="1">
        <f t="array" ref="D255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55" s="72">
        <v>1250</v>
      </c>
      <c r="F255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256" spans="1:6" x14ac:dyDescent="0.25">
      <c r="A256" s="56">
        <v>45870</v>
      </c>
      <c r="B256" t="s">
        <v>3</v>
      </c>
      <c r="C256">
        <v>1</v>
      </c>
      <c r="D256" s="72" cm="1">
        <f t="array" ref="D256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56" s="72">
        <v>720</v>
      </c>
      <c r="F256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57" spans="1:6" x14ac:dyDescent="0.25">
      <c r="A257" s="56">
        <v>45873</v>
      </c>
      <c r="B257" t="s">
        <v>4</v>
      </c>
      <c r="C257">
        <v>2</v>
      </c>
      <c r="D257" s="72" cm="1">
        <f t="array" ref="D257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5000</v>
      </c>
      <c r="E257" s="72">
        <v>1250</v>
      </c>
      <c r="F257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2347.6</v>
      </c>
    </row>
    <row r="258" spans="1:6" x14ac:dyDescent="0.25">
      <c r="A258" s="56">
        <v>45873</v>
      </c>
      <c r="B258" t="s">
        <v>3</v>
      </c>
      <c r="C258">
        <v>1</v>
      </c>
      <c r="D258" s="72" cm="1">
        <f t="array" ref="D258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58" s="72">
        <v>720</v>
      </c>
      <c r="F258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  <row r="259" spans="1:6" x14ac:dyDescent="0.25">
      <c r="A259" s="56">
        <v>45873</v>
      </c>
      <c r="B259" t="s">
        <v>112</v>
      </c>
      <c r="C259">
        <v>1</v>
      </c>
      <c r="D259" s="72" cm="1">
        <f t="array" ref="D259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59" s="72">
        <v>1340</v>
      </c>
      <c r="F259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60" spans="1:6" x14ac:dyDescent="0.25">
      <c r="A260" s="56">
        <v>45874</v>
      </c>
      <c r="B260" t="s">
        <v>3</v>
      </c>
      <c r="C260">
        <v>2</v>
      </c>
      <c r="D260" s="72" cm="1">
        <f t="array" ref="D260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60" s="72">
        <v>720</v>
      </c>
      <c r="F260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61" spans="1:6" x14ac:dyDescent="0.25">
      <c r="A261" s="56">
        <v>45874</v>
      </c>
      <c r="B261" t="s">
        <v>112</v>
      </c>
      <c r="C261">
        <v>1</v>
      </c>
      <c r="D261" s="72" cm="1">
        <f t="array" ref="D261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2670</v>
      </c>
      <c r="E261" s="72">
        <v>1340</v>
      </c>
      <c r="F261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1249.2099999999998</v>
      </c>
    </row>
    <row r="262" spans="1:6" x14ac:dyDescent="0.25">
      <c r="A262" s="56">
        <v>45875</v>
      </c>
      <c r="B262" t="s">
        <v>3</v>
      </c>
      <c r="C262">
        <v>2</v>
      </c>
      <c r="D262" s="72" cm="1">
        <f t="array" ref="D262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4000</v>
      </c>
      <c r="E262" s="72">
        <v>720</v>
      </c>
      <c r="F262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2434.6</v>
      </c>
    </row>
    <row r="263" spans="1:6" x14ac:dyDescent="0.25">
      <c r="A263" s="56">
        <v>45876</v>
      </c>
      <c r="B263" t="s">
        <v>4</v>
      </c>
      <c r="C263">
        <v>1</v>
      </c>
      <c r="D263" s="72" cm="1">
        <f t="array" ref="D263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2500</v>
      </c>
      <c r="E263" s="72">
        <v>1250</v>
      </c>
      <c r="F263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1173.8</v>
      </c>
    </row>
    <row r="264" spans="1:6" x14ac:dyDescent="0.25">
      <c r="A264" s="56">
        <v>45877</v>
      </c>
      <c r="B264" t="s">
        <v>3</v>
      </c>
      <c r="C264">
        <v>1</v>
      </c>
      <c r="D264" s="72" cm="1">
        <f t="array" ref="D264">IFERROR(_xlfn.IFS(Продажи_Засек[[#This Row],[Товар]]=$E$2,Продажи_Засек[[#This Row],[Кол-во]]*2000,
          AND(Продажи_Засек[[#This Row],[Товар]]=$E$3,Продажи_Засек[[#This Row],[Дата]]&gt;=DATE(2025,5,16)),Продажи_Засек[[#This Row],[Кол-во]]*2500,
            AND(Продажи_Засек[[#This Row],[Товар]]=$E$3,Продажи_Засек[[#This Row],[Дата]]&lt;DATE(2025,5,16)),Продажи_Засек[[#This Row],[Кол-во]]*2300,
              Продажи_Засек[[#This Row],[Товар]]=$E$4,Продажи_Засек[[#This Row],[Кол-во]]*2670),0)</f>
        <v>2000</v>
      </c>
      <c r="E264" s="72">
        <v>720</v>
      </c>
      <c r="F264" s="72">
        <f>Продажи_Засек[[#This Row],[Выручка]]-Продажи_Засек[[#This Row],[Выручка]]*$Q$3-Продажи_Засек[[#This Row],[Закупка 1шт]]*Продажи_Засек[[#This Row],[Кол-во]]-Продажи_Засек[[#This Row],[Кол-во]]*8.7</f>
        <v>1217.3</v>
      </c>
    </row>
  </sheetData>
  <conditionalFormatting sqref="A30:F264">
    <cfRule type="expression" dxfId="15" priority="41">
      <formula>MONTH($A30)&lt;&gt;MONTH($A31)</formula>
    </cfRule>
  </conditionalFormatting>
  <conditionalFormatting sqref="B30:F264">
    <cfRule type="expression" dxfId="14" priority="9">
      <formula>$B30="Есмарт АРМ"</formula>
    </cfRule>
    <cfRule type="expression" dxfId="13" priority="20">
      <formula>$B30="Есмарт"</formula>
    </cfRule>
    <cfRule type="expression" dxfId="12" priority="21">
      <formula>$B30="Рутокен"</formula>
    </cfRule>
  </conditionalFormatting>
  <dataValidations count="1">
    <dataValidation type="list" allowBlank="1" showInputMessage="1" showErrorMessage="1" sqref="B30:B264" xr:uid="{D25970F3-45E3-4F34-9B8D-2CB2B0DDC540}">
      <formula1>"-,Есмарт,Рутокен,Есмарт АРМ"</formula1>
    </dataValidation>
  </dataValidations>
  <pageMargins left="0.7" right="0.7" top="0.75" bottom="0.75" header="0.3" footer="0.3"/>
  <pageSetup paperSize="9" orientation="portrait" r:id="rId1"/>
  <ignoredErrors>
    <ignoredError sqref="M47:M58 J47:J58" calculatedColumn="1"/>
  </ignoredErrors>
  <legacy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V305"/>
  <sheetViews>
    <sheetView zoomScale="90" zoomScaleNormal="90" workbookViewId="0">
      <selection activeCell="A27" sqref="A27:D27"/>
    </sheetView>
  </sheetViews>
  <sheetFormatPr defaultRowHeight="15" x14ac:dyDescent="0.25"/>
  <cols>
    <col min="1" max="1" width="19.7109375" customWidth="1"/>
    <col min="2" max="3" width="17.85546875" customWidth="1"/>
    <col min="4" max="4" width="13.85546875" customWidth="1"/>
    <col min="5" max="5" width="14.5703125" bestFit="1" customWidth="1"/>
    <col min="6" max="6" width="12.7109375" bestFit="1" customWidth="1"/>
    <col min="7" max="7" width="8.28515625" customWidth="1"/>
    <col min="8" max="8" width="11.5703125" bestFit="1" customWidth="1"/>
    <col min="9" max="9" width="10.140625" customWidth="1"/>
    <col min="10" max="10" width="18.28515625" customWidth="1"/>
    <col min="11" max="11" width="15" customWidth="1"/>
    <col min="12" max="12" width="13.85546875" bestFit="1" customWidth="1"/>
    <col min="13" max="13" width="11.7109375" customWidth="1"/>
    <col min="17" max="17" width="12" customWidth="1"/>
    <col min="18" max="18" width="11" bestFit="1" customWidth="1"/>
    <col min="21" max="21" width="10.28515625" bestFit="1" customWidth="1"/>
    <col min="22" max="22" width="12" bestFit="1" customWidth="1"/>
  </cols>
  <sheetData>
    <row r="1" spans="1:22" x14ac:dyDescent="0.25">
      <c r="A1" s="41" t="s">
        <v>37</v>
      </c>
      <c r="B1" s="41" t="s">
        <v>38</v>
      </c>
      <c r="C1" s="41" t="s">
        <v>39</v>
      </c>
      <c r="D1" s="41" t="s">
        <v>40</v>
      </c>
      <c r="E1" s="41" t="s">
        <v>41</v>
      </c>
      <c r="P1" s="9" t="s">
        <v>44</v>
      </c>
      <c r="Q1" t="s">
        <v>97</v>
      </c>
      <c r="S1" t="s">
        <v>98</v>
      </c>
    </row>
    <row r="2" spans="1:22" ht="15" customHeight="1" x14ac:dyDescent="0.25">
      <c r="A2" s="2">
        <f>SUMIF($C$7:$C$30,E2,$B$7:$B$30)</f>
        <v>494</v>
      </c>
      <c r="B2" s="2">
        <f>SUMIF(Продажи_Тол[Товар],E2,Продажи_Тол[Кол-во])</f>
        <v>401</v>
      </c>
      <c r="C2" s="2">
        <f>A2-B2</f>
        <v>93</v>
      </c>
      <c r="D2" s="240">
        <v>720</v>
      </c>
      <c r="E2" s="2" t="s">
        <v>3</v>
      </c>
      <c r="P2" s="24"/>
      <c r="Q2" s="27" t="s">
        <v>47</v>
      </c>
      <c r="R2" s="24" t="s">
        <v>48</v>
      </c>
      <c r="S2" s="24"/>
      <c r="T2" s="24" t="s">
        <v>49</v>
      </c>
      <c r="U2" s="24" t="s">
        <v>50</v>
      </c>
      <c r="V2" s="24" t="s">
        <v>51</v>
      </c>
    </row>
    <row r="3" spans="1:22" x14ac:dyDescent="0.25">
      <c r="A3" s="2">
        <f>SUMIF($C$7:$C$30,E3,$B$7:$B$30)</f>
        <v>266</v>
      </c>
      <c r="B3" s="2">
        <f>SUMIF(Продажи_Тол[Товар],E3,Продажи_Тол[Кол-во])</f>
        <v>261</v>
      </c>
      <c r="C3" s="2">
        <f>A3-B3</f>
        <v>5</v>
      </c>
      <c r="D3" s="240">
        <v>1250</v>
      </c>
      <c r="E3" s="2" t="s">
        <v>4</v>
      </c>
      <c r="J3" s="24" t="s">
        <v>53</v>
      </c>
      <c r="K3" s="24" t="s">
        <v>54</v>
      </c>
      <c r="L3" s="24" t="s">
        <v>55</v>
      </c>
      <c r="P3" s="61"/>
      <c r="Q3" s="75">
        <v>2.7E-2</v>
      </c>
      <c r="R3" s="61"/>
      <c r="S3" s="61"/>
      <c r="T3" s="61"/>
      <c r="U3" s="61"/>
      <c r="V3" s="67"/>
    </row>
    <row r="4" spans="1:22" ht="15.75" thickBot="1" x14ac:dyDescent="0.3">
      <c r="A4" s="2">
        <f>SUMIF($C$7:$C$30,E4,$B$7:$B$30)</f>
        <v>50</v>
      </c>
      <c r="B4" s="2">
        <f>SUMIF(Продажи_Тол[Товар],E4,Продажи_Тол[Кол-во])</f>
        <v>30</v>
      </c>
      <c r="C4" s="2">
        <f t="shared" ref="C4" si="0">A4-B4</f>
        <v>20</v>
      </c>
      <c r="D4" s="240">
        <v>1340</v>
      </c>
      <c r="E4" s="2" t="s">
        <v>112</v>
      </c>
      <c r="J4" s="2" t="s">
        <v>18</v>
      </c>
      <c r="K4" s="71" cm="1">
        <f t="array" ref="K4">SUMPRODUCT(1*ISNUMBER(SEARCH(J4,TEXT(Продажи_Тол[Дата],"ММММ"))),Продажи_Тол[Выручка])</f>
        <v>180000</v>
      </c>
      <c r="L4" s="61" cm="1">
        <f t="array" ref="L4">SUMPRODUCT(IFERROR(SEARCH($J4,TEXT(Продажи_Тол[Дата],"ММММ")),0),Продажи_Тол[Прибыль])-SUM(Q6:R6)</f>
        <v>105589.51</v>
      </c>
    </row>
    <row r="5" spans="1:22" ht="15.75" thickBot="1" x14ac:dyDescent="0.3">
      <c r="J5" s="2" t="s">
        <v>19</v>
      </c>
      <c r="K5" s="71" cm="1">
        <f t="array" ref="K5">SUMPRODUCT(1*ISNUMBER(SEARCH(J5,TEXT(Продажи_Тол[Дата],"ММММ"))),Продажи_Тол[Выручка])</f>
        <v>181200</v>
      </c>
      <c r="L5" s="61" cm="1">
        <f t="array" ref="L5">SUMPRODUCT(IFERROR(SEARCH($J5,TEXT(Продажи_Тол[Дата],"ММММ")),0),Продажи_Тол[Прибыль])-SUM(Q7:R7)</f>
        <v>90584.309999999983</v>
      </c>
      <c r="P5" s="14"/>
      <c r="Q5" s="6" t="s">
        <v>57</v>
      </c>
      <c r="R5" s="7"/>
    </row>
    <row r="6" spans="1:22" x14ac:dyDescent="0.25">
      <c r="A6" s="5" t="s">
        <v>69</v>
      </c>
      <c r="B6" s="5" t="s">
        <v>70</v>
      </c>
      <c r="C6" s="24" t="s">
        <v>41</v>
      </c>
      <c r="D6" s="24" t="s">
        <v>40</v>
      </c>
      <c r="E6" s="24" t="s">
        <v>71</v>
      </c>
      <c r="J6" s="2" t="s">
        <v>63</v>
      </c>
      <c r="K6" s="71" cm="1">
        <f t="array" ref="K6">SUMPRODUCT(1*ISNUMBER(SEARCH(J6,TEXT(Продажи_Тол[Дата],"ММММ"))),Продажи_Тол[Выручка])</f>
        <v>219580</v>
      </c>
      <c r="L6" s="61" cm="1">
        <f t="array" ref="L6">SUMPRODUCT(IFERROR(SEARCH($J6,TEXT(Продажи_Тол[Дата],"ММММ")),0),Продажи_Тол[Прибыль])-SUM(Q8:R8)</f>
        <v>112861.45000000001</v>
      </c>
      <c r="P6" s="12" t="s">
        <v>18</v>
      </c>
      <c r="Q6" s="61">
        <v>1192.49</v>
      </c>
      <c r="R6" s="66"/>
    </row>
    <row r="7" spans="1:22" x14ac:dyDescent="0.25">
      <c r="A7" s="23" t="s">
        <v>73</v>
      </c>
      <c r="B7" s="2">
        <v>37</v>
      </c>
      <c r="C7" s="2" t="s">
        <v>3</v>
      </c>
      <c r="D7" s="240">
        <v>795</v>
      </c>
      <c r="E7" s="2"/>
      <c r="J7" s="2" t="s">
        <v>64</v>
      </c>
      <c r="K7" s="71" cm="1">
        <f t="array" ref="K7">SUMPRODUCT(1*ISNUMBER(SEARCH(J7,TEXT(Продажи_Тол[Дата],"ММММ"))),Продажи_Тол[Выручка])</f>
        <v>301200</v>
      </c>
      <c r="L7" s="61" cm="1">
        <f t="array" ref="L7">SUMPRODUCT(IFERROR(SEARCH($J7,TEXT(Продажи_Тол[Дата],"ММММ")),0),Продажи_Тол[Прибыль])-SUM(Q9:R9)</f>
        <v>158835.81</v>
      </c>
      <c r="P7" s="12" t="s">
        <v>19</v>
      </c>
      <c r="Q7" s="61">
        <v>1192.49</v>
      </c>
      <c r="R7" s="66"/>
    </row>
    <row r="8" spans="1:22" x14ac:dyDescent="0.25">
      <c r="A8" s="4">
        <v>45672</v>
      </c>
      <c r="B8" s="2">
        <v>150</v>
      </c>
      <c r="C8" s="2" t="s">
        <v>3</v>
      </c>
      <c r="D8" s="240">
        <v>720</v>
      </c>
      <c r="E8" s="2"/>
      <c r="J8" s="2" t="s">
        <v>65</v>
      </c>
      <c r="K8" s="71" cm="1">
        <f t="array" ref="K8">SUMPRODUCT(1*ISNUMBER(SEARCH(J8,TEXT(Продажи_Тол[Дата],"ММММ"))),Продажи_Тол[Выручка])</f>
        <v>143940</v>
      </c>
      <c r="L8" s="61" cm="1">
        <f t="array" ref="L8">SUMPRODUCT(IFERROR(SEARCH($J8,TEXT(Продажи_Тол[Дата],"ММММ")),0),Продажи_Тол[Прибыль])-SUM(Q10:R10)</f>
        <v>76334.53</v>
      </c>
      <c r="P8" s="12" t="s">
        <v>63</v>
      </c>
      <c r="Q8" s="61">
        <v>1192.49</v>
      </c>
      <c r="R8" s="66"/>
    </row>
    <row r="9" spans="1:22" x14ac:dyDescent="0.25">
      <c r="A9" s="4">
        <v>45694</v>
      </c>
      <c r="B9" s="2">
        <v>50</v>
      </c>
      <c r="C9" s="2" t="s">
        <v>4</v>
      </c>
      <c r="D9" s="240">
        <v>1250</v>
      </c>
      <c r="E9" s="2"/>
      <c r="J9" s="2" t="s">
        <v>66</v>
      </c>
      <c r="K9" s="71" cm="1">
        <f t="array" ref="K9">SUMPRODUCT(1*ISNUMBER(SEARCH(J9,TEXT(Продажи_Тол[Дата],"ММММ"))),Продажи_Тол[Выручка])</f>
        <v>187620</v>
      </c>
      <c r="L9" s="61" cm="1">
        <f t="array" ref="L9">SUMPRODUCT(IFERROR(SEARCH($J9,TEXT(Продажи_Тол[Дата],"ММММ")),0),Продажи_Тол[Прибыль])-SUM(Q11:R11)</f>
        <v>98184.869999999981</v>
      </c>
      <c r="P9" s="12" t="s">
        <v>64</v>
      </c>
      <c r="Q9" s="61">
        <v>1192.49</v>
      </c>
      <c r="R9" s="66"/>
    </row>
    <row r="10" spans="1:22" x14ac:dyDescent="0.25">
      <c r="A10" s="4">
        <v>45713</v>
      </c>
      <c r="B10" s="2">
        <v>50</v>
      </c>
      <c r="C10" s="2" t="s">
        <v>4</v>
      </c>
      <c r="D10" s="240">
        <v>1250</v>
      </c>
      <c r="E10" s="2"/>
      <c r="J10" s="2" t="s">
        <v>67</v>
      </c>
      <c r="K10" s="71" cm="1">
        <f t="array" ref="K10">SUMPRODUCT(1*ISNUMBER(SEARCH(J10,TEXT(Продажи_Тол[Дата],"ММММ"))),Продажи_Тол[Выручка])</f>
        <v>216060</v>
      </c>
      <c r="L10" s="61" cm="1">
        <f t="array" ref="L10">SUMPRODUCT(IFERROR(SEARCH($J10,TEXT(Продажи_Тол[Дата],"ММММ")),0),Продажи_Тол[Прибыль])-SUM(Q12:R12)</f>
        <v>128291.29</v>
      </c>
      <c r="P10" s="12" t="s">
        <v>65</v>
      </c>
      <c r="Q10" s="61">
        <v>1192.49</v>
      </c>
      <c r="R10" s="66"/>
    </row>
    <row r="11" spans="1:22" x14ac:dyDescent="0.25">
      <c r="A11" s="4">
        <v>45723</v>
      </c>
      <c r="B11" s="2">
        <v>28</v>
      </c>
      <c r="C11" s="2" t="s">
        <v>112</v>
      </c>
      <c r="D11" s="240">
        <v>1340</v>
      </c>
      <c r="E11" s="2"/>
      <c r="J11" s="2" t="s">
        <v>68</v>
      </c>
      <c r="K11" s="71" cm="1">
        <f t="array" ref="K11">SUMPRODUCT(1*ISNUMBER(SEARCH(J11,TEXT(Продажи_Тол[Дата],"ММММ"))),Продажи_Тол[Выручка])</f>
        <v>52800</v>
      </c>
      <c r="L11" s="61" cm="1">
        <f t="array" ref="L11">SUMPRODUCT(IFERROR(SEARCH($J11,TEXT(Продажи_Тол[Дата],"ММММ")),0),Продажи_Тол[Прибыль])-SUM(Q13:R13)</f>
        <v>24213.109999999997</v>
      </c>
      <c r="P11" s="12" t="s">
        <v>66</v>
      </c>
      <c r="Q11" s="61">
        <v>1192.49</v>
      </c>
      <c r="R11" s="66"/>
    </row>
    <row r="12" spans="1:22" x14ac:dyDescent="0.25">
      <c r="A12" s="4">
        <v>45729</v>
      </c>
      <c r="B12" s="2">
        <v>50</v>
      </c>
      <c r="C12" s="2" t="s">
        <v>3</v>
      </c>
      <c r="D12" s="240">
        <v>720</v>
      </c>
      <c r="E12" s="2"/>
      <c r="J12" s="2" t="s">
        <v>72</v>
      </c>
      <c r="K12" s="71" cm="1">
        <f t="array" ref="K12">SUMPRODUCT(1*ISNUMBER(SEARCH(J12,TEXT(Продажи_Тол[Дата],"ММММ"))),Продажи_Тол[Выручка])</f>
        <v>0</v>
      </c>
      <c r="L12" s="61" cm="1">
        <f t="array" ref="L12">SUMPRODUCT(IFERROR(SEARCH($J12,TEXT(Продажи_Тол[Дата],"ММММ")),0),Продажи_Тол[Прибыль])-SUM(Q14:R14)</f>
        <v>-1192.49</v>
      </c>
      <c r="P12" s="12" t="s">
        <v>67</v>
      </c>
      <c r="Q12" s="61">
        <v>1192.49</v>
      </c>
      <c r="R12" s="66"/>
    </row>
    <row r="13" spans="1:22" x14ac:dyDescent="0.25">
      <c r="A13" s="4">
        <v>45747</v>
      </c>
      <c r="B13" s="2">
        <v>2</v>
      </c>
      <c r="C13" s="2" t="s">
        <v>112</v>
      </c>
      <c r="D13" s="240">
        <v>1340</v>
      </c>
      <c r="E13" s="2"/>
      <c r="J13" s="2" t="s">
        <v>74</v>
      </c>
      <c r="K13" s="71" cm="1">
        <f t="array" ref="K13">SUMPRODUCT(1*ISNUMBER(SEARCH(J13,TEXT(Продажи_Тол[Дата],"ММММ"))),Продажи_Тол[Выручка])</f>
        <v>0</v>
      </c>
      <c r="L13" s="61" cm="1">
        <f t="array" ref="L13">SUMPRODUCT(IFERROR(SEARCH($J13,TEXT(Продажи_Тол[Дата],"ММММ")),0),Продажи_Тол[Прибыль])-SUM(Q15:R15)</f>
        <v>0</v>
      </c>
      <c r="P13" s="12" t="s">
        <v>68</v>
      </c>
      <c r="Q13" s="61">
        <v>1192.49</v>
      </c>
      <c r="R13" s="66"/>
    </row>
    <row r="14" spans="1:22" x14ac:dyDescent="0.25">
      <c r="A14" s="4">
        <v>45747</v>
      </c>
      <c r="B14" s="2">
        <v>19</v>
      </c>
      <c r="C14" s="2" t="s">
        <v>3</v>
      </c>
      <c r="D14" s="240">
        <v>720</v>
      </c>
      <c r="E14" s="2"/>
      <c r="J14" s="2" t="s">
        <v>75</v>
      </c>
      <c r="K14" s="71" cm="1">
        <f t="array" ref="K14">SUMPRODUCT(1*ISNUMBER(SEARCH(J14,TEXT(Продажи_Тол[Дата],"ММММ"))),Продажи_Тол[Выручка])</f>
        <v>0</v>
      </c>
      <c r="L14" s="61" cm="1">
        <f t="array" ref="L14">SUMPRODUCT(IFERROR(SEARCH($J14,TEXT(Продажи_Тол[Дата],"ММММ")),0),Продажи_Тол[Прибыль])-SUM(Q16:R16)</f>
        <v>0</v>
      </c>
      <c r="P14" s="12" t="s">
        <v>72</v>
      </c>
      <c r="Q14" s="61">
        <v>1192.49</v>
      </c>
      <c r="R14" s="66"/>
    </row>
    <row r="15" spans="1:22" x14ac:dyDescent="0.25">
      <c r="A15" s="4">
        <v>45747</v>
      </c>
      <c r="B15" s="2">
        <v>30</v>
      </c>
      <c r="C15" s="2" t="s">
        <v>4</v>
      </c>
      <c r="D15" s="240">
        <v>1250</v>
      </c>
      <c r="E15" s="2"/>
      <c r="J15" s="2" t="s">
        <v>76</v>
      </c>
      <c r="K15" s="71" cm="1">
        <f t="array" ref="K15">SUMPRODUCT(1*ISNUMBER(SEARCH(J15,TEXT(Продажи_Тол[Дата],"ММММ"))),Продажи_Тол[Выручка])</f>
        <v>0</v>
      </c>
      <c r="L15" s="61" cm="1">
        <f t="array" ref="L15">SUMPRODUCT(IFERROR(SEARCH($J15,TEXT(Продажи_Тол[Дата],"ММММ")),0),Продажи_Тол[Прибыль])-SUM(Q17:R17)</f>
        <v>0</v>
      </c>
      <c r="P15" s="12" t="s">
        <v>74</v>
      </c>
      <c r="Q15" s="61"/>
      <c r="R15" s="66"/>
    </row>
    <row r="16" spans="1:22" x14ac:dyDescent="0.25">
      <c r="A16" s="4">
        <v>45763</v>
      </c>
      <c r="B16" s="2">
        <v>40</v>
      </c>
      <c r="C16" s="2" t="s">
        <v>4</v>
      </c>
      <c r="D16" s="240">
        <v>1100</v>
      </c>
      <c r="E16" s="2"/>
      <c r="J16" s="2" t="s">
        <v>77</v>
      </c>
      <c r="K16" s="71">
        <f>SUM(K4:K15)</f>
        <v>1482400</v>
      </c>
      <c r="L16" s="71">
        <f>SUM(L4:L15)</f>
        <v>793702.39</v>
      </c>
      <c r="P16" s="12" t="s">
        <v>75</v>
      </c>
      <c r="Q16" s="61"/>
      <c r="R16" s="66"/>
    </row>
    <row r="17" spans="1:18" ht="15.75" thickBot="1" x14ac:dyDescent="0.3">
      <c r="A17" s="4">
        <v>45763</v>
      </c>
      <c r="B17" s="2">
        <v>-1</v>
      </c>
      <c r="C17" s="2" t="s">
        <v>3</v>
      </c>
      <c r="D17" s="2"/>
      <c r="E17" s="2" t="s">
        <v>151</v>
      </c>
      <c r="P17" s="13" t="s">
        <v>76</v>
      </c>
      <c r="Q17" s="62"/>
      <c r="R17" s="63"/>
    </row>
    <row r="18" spans="1:18" x14ac:dyDescent="0.25">
      <c r="A18" s="4">
        <v>45769</v>
      </c>
      <c r="B18" s="2">
        <v>55</v>
      </c>
      <c r="C18" s="2" t="s">
        <v>3</v>
      </c>
      <c r="D18" s="240">
        <v>720</v>
      </c>
      <c r="E18" s="2"/>
    </row>
    <row r="19" spans="1:18" x14ac:dyDescent="0.25">
      <c r="A19" s="4">
        <v>45769</v>
      </c>
      <c r="B19" s="2">
        <v>-16</v>
      </c>
      <c r="C19" s="2" t="s">
        <v>4</v>
      </c>
      <c r="D19" s="73"/>
      <c r="E19" s="2" t="s">
        <v>171</v>
      </c>
    </row>
    <row r="20" spans="1:18" x14ac:dyDescent="0.25">
      <c r="A20" s="4">
        <v>45793</v>
      </c>
      <c r="B20" s="2">
        <v>40</v>
      </c>
      <c r="C20" s="2" t="s">
        <v>4</v>
      </c>
      <c r="D20" s="240">
        <v>1250</v>
      </c>
      <c r="E20" s="2"/>
    </row>
    <row r="21" spans="1:18" x14ac:dyDescent="0.25">
      <c r="A21" s="4">
        <v>45793</v>
      </c>
      <c r="B21" s="248">
        <v>20</v>
      </c>
      <c r="C21" s="248" t="s">
        <v>3</v>
      </c>
      <c r="D21" s="240">
        <v>720</v>
      </c>
      <c r="E21" s="2"/>
    </row>
    <row r="22" spans="1:18" x14ac:dyDescent="0.25">
      <c r="A22" s="4">
        <v>45826</v>
      </c>
      <c r="B22" s="248">
        <v>20</v>
      </c>
      <c r="C22" s="248" t="s">
        <v>3</v>
      </c>
      <c r="D22" s="240">
        <v>720</v>
      </c>
      <c r="E22" s="2"/>
    </row>
    <row r="23" spans="1:18" x14ac:dyDescent="0.25">
      <c r="A23" s="4">
        <v>45826</v>
      </c>
      <c r="B23" s="248">
        <v>50</v>
      </c>
      <c r="C23" s="248" t="s">
        <v>4</v>
      </c>
      <c r="D23" s="254">
        <v>800</v>
      </c>
      <c r="E23" s="2"/>
    </row>
    <row r="24" spans="1:18" x14ac:dyDescent="0.25">
      <c r="A24" s="4">
        <v>45833</v>
      </c>
      <c r="B24" s="248">
        <v>13</v>
      </c>
      <c r="C24" s="248" t="s">
        <v>3</v>
      </c>
      <c r="D24" s="254">
        <v>720</v>
      </c>
      <c r="E24" s="2"/>
    </row>
    <row r="25" spans="1:18" x14ac:dyDescent="0.25">
      <c r="A25" s="4">
        <v>45838</v>
      </c>
      <c r="B25" s="248">
        <v>20</v>
      </c>
      <c r="C25" s="248" t="s">
        <v>112</v>
      </c>
      <c r="D25" s="254">
        <v>1340</v>
      </c>
      <c r="E25" s="2"/>
    </row>
    <row r="26" spans="1:18" x14ac:dyDescent="0.25">
      <c r="A26" s="4">
        <v>45838</v>
      </c>
      <c r="B26" s="248">
        <v>50</v>
      </c>
      <c r="C26" s="248" t="s">
        <v>3</v>
      </c>
      <c r="D26" s="254">
        <v>720</v>
      </c>
      <c r="E26" s="2"/>
    </row>
    <row r="27" spans="1:18" x14ac:dyDescent="0.25">
      <c r="A27" s="4">
        <v>45866</v>
      </c>
      <c r="B27" s="248">
        <v>22</v>
      </c>
      <c r="C27" s="248" t="s">
        <v>4</v>
      </c>
      <c r="D27" s="254">
        <v>1250</v>
      </c>
      <c r="E27" s="2"/>
    </row>
    <row r="28" spans="1:18" x14ac:dyDescent="0.25">
      <c r="A28" s="4">
        <v>45866</v>
      </c>
      <c r="B28" s="248">
        <v>35</v>
      </c>
      <c r="C28" s="248" t="s">
        <v>3</v>
      </c>
      <c r="D28" s="254">
        <v>720</v>
      </c>
      <c r="E28" s="2"/>
    </row>
    <row r="29" spans="1:18" x14ac:dyDescent="0.25">
      <c r="A29" s="4">
        <v>45866</v>
      </c>
      <c r="B29" s="248">
        <v>-4</v>
      </c>
      <c r="C29" s="248" t="s">
        <v>3</v>
      </c>
      <c r="D29" s="254"/>
      <c r="E29" s="2" t="s">
        <v>195</v>
      </c>
    </row>
    <row r="30" spans="1:18" x14ac:dyDescent="0.25">
      <c r="A30" s="4">
        <v>45874</v>
      </c>
      <c r="B30" s="248">
        <v>50</v>
      </c>
      <c r="C30" s="248" t="s">
        <v>3</v>
      </c>
      <c r="D30" s="254">
        <v>720</v>
      </c>
      <c r="E30" s="2"/>
    </row>
    <row r="31" spans="1:18" x14ac:dyDescent="0.25">
      <c r="E31" s="256"/>
    </row>
    <row r="32" spans="1:18" x14ac:dyDescent="0.25">
      <c r="A32" s="249"/>
      <c r="B32" s="256"/>
      <c r="C32" s="256"/>
      <c r="D32" s="257"/>
      <c r="E32" s="256"/>
    </row>
    <row r="33" spans="1:13" x14ac:dyDescent="0.25">
      <c r="A33" s="249"/>
      <c r="B33" s="256"/>
      <c r="C33" s="256"/>
      <c r="D33" s="257"/>
      <c r="E33" s="256"/>
    </row>
    <row r="34" spans="1:13" x14ac:dyDescent="0.25">
      <c r="A34" s="25" t="s">
        <v>86</v>
      </c>
    </row>
    <row r="35" spans="1:13" ht="15.75" x14ac:dyDescent="0.25">
      <c r="I35" s="50" t="s">
        <v>70</v>
      </c>
    </row>
    <row r="36" spans="1:13" x14ac:dyDescent="0.25">
      <c r="A36" t="s">
        <v>79</v>
      </c>
      <c r="B36" t="s">
        <v>41</v>
      </c>
      <c r="C36" t="s">
        <v>70</v>
      </c>
      <c r="D36" t="s">
        <v>54</v>
      </c>
      <c r="E36" t="s">
        <v>87</v>
      </c>
      <c r="F36" t="s">
        <v>55</v>
      </c>
      <c r="I36" s="46" t="s">
        <v>53</v>
      </c>
      <c r="J36" s="47" t="s">
        <v>3</v>
      </c>
      <c r="K36" s="47" t="s">
        <v>4</v>
      </c>
      <c r="L36" s="47" t="s">
        <v>112</v>
      </c>
      <c r="M36" s="48" t="s">
        <v>88</v>
      </c>
    </row>
    <row r="37" spans="1:13" x14ac:dyDescent="0.25">
      <c r="A37" s="56">
        <v>45666</v>
      </c>
      <c r="B37" t="s">
        <v>3</v>
      </c>
      <c r="C37">
        <v>3</v>
      </c>
      <c r="D37" s="74" cm="1">
        <f t="array" ref="D3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37" s="78">
        <v>795</v>
      </c>
      <c r="F3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3426.9</v>
      </c>
      <c r="I37" s="45" t="s">
        <v>18</v>
      </c>
      <c r="J37" s="51" cm="1">
        <f t="array" ref="J37">SUMPRODUCT(IFERROR(SEARCH(КолТол[[#This Row],[Месяц]],TEXT(Продажи_Тол[Дата],"ММММ")),0),--(Продажи_Тол[Товар]=КолТол[[#Headers],[Есмарт]]),Продажи_Тол[Кол-во])</f>
        <v>90</v>
      </c>
      <c r="K37" s="51" cm="1">
        <f t="array" ref="K37">SUMPRODUCT(IFERROR(SEARCH(КолТол[[#This Row],[Месяц]],TEXT(Продажи_Тол[Дата],"ММММ")),0),--(Продажи_Тол[Товар]=КолТол[[#Headers],[Рутокен]]),Продажи_Тол[Кол-во])</f>
        <v>0</v>
      </c>
      <c r="L37" s="51" cm="1">
        <f t="array" ref="L37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37" s="52">
        <f>SUM(J37:L37)</f>
        <v>90</v>
      </c>
    </row>
    <row r="38" spans="1:13" x14ac:dyDescent="0.25">
      <c r="A38" s="56">
        <v>45667</v>
      </c>
      <c r="B38" t="s">
        <v>3</v>
      </c>
      <c r="C38">
        <v>9</v>
      </c>
      <c r="D38" s="74" cm="1">
        <f t="array" ref="D3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18000</v>
      </c>
      <c r="E38" s="78">
        <v>795</v>
      </c>
      <c r="F3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10280.700000000001</v>
      </c>
      <c r="I38" s="45" t="s">
        <v>19</v>
      </c>
      <c r="J38" s="51" cm="1">
        <f t="array" ref="J38">SUMPRODUCT(IFERROR(SEARCH(КолТол[[#This Row],[Месяц]],TEXT(Продажи_Тол[Дата],"ММММ")),0),--(Продажи_Тол[Товар]=КолТол[[#Headers],[Есмарт]]),Продажи_Тол[Кол-во])</f>
        <v>40</v>
      </c>
      <c r="K38" s="51" cm="1">
        <f t="array" ref="K38">SUMPRODUCT(IFERROR(SEARCH(КолТол[[#This Row],[Месяц]],TEXT(Продажи_Тол[Дата],"ММММ")),0),--(Продажи_Тол[Товар]=КолТол[[#Headers],[Рутокен]]),Продажи_Тол[Кол-во])</f>
        <v>44</v>
      </c>
      <c r="L38" s="51" cm="1">
        <f t="array" ref="L38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38" s="52">
        <f t="shared" ref="M38:M48" si="1">SUM(J38:L38)</f>
        <v>84</v>
      </c>
    </row>
    <row r="39" spans="1:13" x14ac:dyDescent="0.25">
      <c r="A39" s="56">
        <v>45670</v>
      </c>
      <c r="B39" t="s">
        <v>3</v>
      </c>
      <c r="C39">
        <v>1</v>
      </c>
      <c r="D39" s="74" cm="1">
        <f t="array" ref="D3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39" s="78">
        <v>795</v>
      </c>
      <c r="F3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1142.3</v>
      </c>
      <c r="I39" s="45" t="s">
        <v>63</v>
      </c>
      <c r="J39" s="51" cm="1">
        <f t="array" ref="J39">SUMPRODUCT(IFERROR(SEARCH(КолТол[[#This Row],[Месяц]],TEXT(Продажи_Тол[Дата],"ММММ")),0),--(Продажи_Тол[Товар]=КолТол[[#Headers],[Есмарт]]),Продажи_Тол[Кол-во])</f>
        <v>55</v>
      </c>
      <c r="K39" s="51" cm="1">
        <f t="array" ref="K39">SUMPRODUCT(IFERROR(SEARCH(КолТол[[#This Row],[Месяц]],TEXT(Продажи_Тол[Дата],"ММММ")),0),--(Продажи_Тол[Товар]=КолТол[[#Headers],[Рутокен]]),Продажи_Тол[Кол-во])</f>
        <v>43</v>
      </c>
      <c r="L39" s="51" cm="1">
        <f t="array" ref="L39">SUMPRODUCT(IFERROR(SEARCH(КолТол[[#This Row],[Месяц]],TEXT(Продажи_Тол[Дата],"ММММ")),0),--(Продажи_Тол[Товар]=КолТол[[#Headers],[Есмарт АРМ]]),Продажи_Тол[Кол-во])</f>
        <v>4</v>
      </c>
      <c r="M39" s="52">
        <f t="shared" si="1"/>
        <v>102</v>
      </c>
    </row>
    <row r="40" spans="1:13" x14ac:dyDescent="0.25">
      <c r="A40" s="56">
        <v>45671</v>
      </c>
      <c r="B40" t="s">
        <v>3</v>
      </c>
      <c r="C40">
        <v>9</v>
      </c>
      <c r="D40" s="74" cm="1">
        <f t="array" ref="D4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18000</v>
      </c>
      <c r="E40" s="78">
        <v>795</v>
      </c>
      <c r="F4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10280.700000000001</v>
      </c>
      <c r="I40" s="45" t="s">
        <v>64</v>
      </c>
      <c r="J40" s="51" cm="1">
        <f t="array" ref="J40">SUMPRODUCT(IFERROR(SEARCH(КолТол[[#This Row],[Месяц]],TEXT(Продажи_Тол[Дата],"ММММ")),0),--(Продажи_Тол[Товар]=КолТол[[#Headers],[Есмарт]]),Продажи_Тол[Кол-во])</f>
        <v>74</v>
      </c>
      <c r="K40" s="51" cm="1">
        <f t="array" ref="K40">SUMPRODUCT(IFERROR(SEARCH(КолТол[[#This Row],[Месяц]],TEXT(Продажи_Тол[Дата],"ММММ")),0),--(Продажи_Тол[Товар]=КолТол[[#Headers],[Рутокен]]),Продажи_Тол[Кол-во])</f>
        <v>55</v>
      </c>
      <c r="L40" s="51" cm="1">
        <f t="array" ref="L40">SUMPRODUCT(IFERROR(SEARCH(КолТол[[#This Row],[Месяц]],TEXT(Продажи_Тол[Дата],"ММММ")),0),--(Продажи_Тол[Товар]=КолТол[[#Headers],[Есмарт АРМ]]),Продажи_Тол[Кол-во])</f>
        <v>10</v>
      </c>
      <c r="M40" s="52">
        <f t="shared" si="1"/>
        <v>139</v>
      </c>
    </row>
    <row r="41" spans="1:13" x14ac:dyDescent="0.25">
      <c r="A41" s="56">
        <v>45672</v>
      </c>
      <c r="B41" t="s">
        <v>3</v>
      </c>
      <c r="C41">
        <v>7</v>
      </c>
      <c r="D41" s="74" cm="1">
        <f t="array" ref="D4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14000</v>
      </c>
      <c r="E41" s="78">
        <v>795</v>
      </c>
      <c r="F4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7996.1</v>
      </c>
      <c r="I41" s="45" t="s">
        <v>65</v>
      </c>
      <c r="J41" s="51" cm="1">
        <f t="array" ref="J41">SUMPRODUCT(IFERROR(SEARCH(КолТол[[#This Row],[Месяц]],TEXT(Продажи_Тол[Дата],"ММММ")),0),--(Продажи_Тол[Товар]=КолТол[[#Headers],[Есмарт]]),Продажи_Тол[Кол-во])</f>
        <v>44</v>
      </c>
      <c r="K41" s="51" cm="1">
        <f t="array" ref="K41">SUMPRODUCT(IFERROR(SEARCH(КолТол[[#This Row],[Месяц]],TEXT(Продажи_Тол[Дата],"ММММ")),0),--(Продажи_Тол[Товар]=КолТол[[#Headers],[Рутокен]]),Продажи_Тол[Кол-во])</f>
        <v>22</v>
      </c>
      <c r="L41" s="51" cm="1">
        <f t="array" ref="L41">SUMPRODUCT(IFERROR(SEARCH(КолТол[[#This Row],[Месяц]],TEXT(Продажи_Тол[Дата],"ММММ")),0),--(Продажи_Тол[Товар]=КолТол[[#Headers],[Есмарт АРМ]]),Продажи_Тол[Кол-во])</f>
        <v>2</v>
      </c>
      <c r="M41" s="52">
        <f t="shared" si="1"/>
        <v>68</v>
      </c>
    </row>
    <row r="42" spans="1:13" x14ac:dyDescent="0.25">
      <c r="A42" s="56">
        <v>45673</v>
      </c>
      <c r="B42" t="s">
        <v>3</v>
      </c>
      <c r="C42">
        <v>6</v>
      </c>
      <c r="D42" s="74" cm="1">
        <f t="array" ref="D4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42" s="78">
        <v>795</v>
      </c>
      <c r="F4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6853.8</v>
      </c>
      <c r="I42" s="45" t="s">
        <v>66</v>
      </c>
      <c r="J42" s="51" cm="1">
        <f t="array" ref="J42">SUMPRODUCT(IFERROR(SEARCH(КолТол[[#This Row],[Месяц]],TEXT(Продажи_Тол[Дата],"ММММ")),0),--(Продажи_Тол[Товар]=КолТол[[#Headers],[Есмарт]]),Продажи_Тол[Кол-во])</f>
        <v>49</v>
      </c>
      <c r="K42" s="51" cm="1">
        <f t="array" ref="K42">SUMPRODUCT(IFERROR(SEARCH(КолТол[[#This Row],[Месяц]],TEXT(Продажи_Тол[Дата],"ММММ")),0),--(Продажи_Тол[Товар]=КолТол[[#Headers],[Рутокен]]),Продажи_Тол[Кол-во])</f>
        <v>32</v>
      </c>
      <c r="L42" s="51" cm="1">
        <f t="array" ref="L42">SUMPRODUCT(IFERROR(SEARCH(КолТол[[#This Row],[Месяц]],TEXT(Продажи_Тол[Дата],"ММММ")),0),--(Продажи_Тол[Товар]=КолТол[[#Headers],[Есмарт АРМ]]),Продажи_Тол[Кол-во])</f>
        <v>6</v>
      </c>
      <c r="M42" s="52">
        <f t="shared" si="1"/>
        <v>87</v>
      </c>
    </row>
    <row r="43" spans="1:13" x14ac:dyDescent="0.25">
      <c r="A43" s="56">
        <v>45674</v>
      </c>
      <c r="B43" t="s">
        <v>3</v>
      </c>
      <c r="C43">
        <v>7</v>
      </c>
      <c r="D43" s="74" cm="1">
        <f t="array" ref="D4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14000</v>
      </c>
      <c r="E43" s="78">
        <f>((5*720)+(2*795))/Продажи_Тол[[#This Row],[Кол-во]]</f>
        <v>741.42857142857144</v>
      </c>
      <c r="F4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8371.1</v>
      </c>
      <c r="I43" s="45" t="s">
        <v>67</v>
      </c>
      <c r="J43" s="51" cm="1">
        <f t="array" ref="J43">SUMPRODUCT(IFERROR(SEARCH(КолТол[[#This Row],[Месяц]],TEXT(Продажи_Тол[Дата],"ММММ")),0),--(Продажи_Тол[Товар]=КолТол[[#Headers],[Есмарт]]),Продажи_Тол[Кол-во])</f>
        <v>41</v>
      </c>
      <c r="K43" s="51" cm="1">
        <f t="array" ref="K43">SUMPRODUCT(IFERROR(SEARCH(КолТол[[#This Row],[Месяц]],TEXT(Продажи_Тол[Дата],"ММММ")),0),--(Продажи_Тол[Товар]=КолТол[[#Headers],[Рутокен]]),Продажи_Тол[Кол-во])</f>
        <v>49</v>
      </c>
      <c r="L43" s="51" cm="1">
        <f t="array" ref="L43">SUMPRODUCT(IFERROR(SEARCH(КолТол[[#This Row],[Месяц]],TEXT(Продажи_Тол[Дата],"ММММ")),0),--(Продажи_Тол[Товар]=КолТол[[#Headers],[Есмарт АРМ]]),Продажи_Тол[Кол-во])</f>
        <v>8</v>
      </c>
      <c r="M43" s="52">
        <f t="shared" si="1"/>
        <v>98</v>
      </c>
    </row>
    <row r="44" spans="1:13" x14ac:dyDescent="0.25">
      <c r="A44" s="56">
        <v>45677</v>
      </c>
      <c r="B44" t="s">
        <v>3</v>
      </c>
      <c r="C44">
        <v>6</v>
      </c>
      <c r="D44" s="74" cm="1">
        <f t="array" ref="D4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44" s="74">
        <v>720</v>
      </c>
      <c r="F4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7303.8</v>
      </c>
      <c r="I44" s="45" t="s">
        <v>68</v>
      </c>
      <c r="J44" s="51" cm="1">
        <f t="array" ref="J44">SUMPRODUCT(IFERROR(SEARCH(КолТол[[#This Row],[Месяц]],TEXT(Продажи_Тол[Дата],"ММММ")),0),--(Продажи_Тол[Товар]=КолТол[[#Headers],[Есмарт]]),Продажи_Тол[Кол-во])</f>
        <v>8</v>
      </c>
      <c r="K44" s="51" cm="1">
        <f t="array" ref="K44">SUMPRODUCT(IFERROR(SEARCH(КолТол[[#This Row],[Месяц]],TEXT(Продажи_Тол[Дата],"ММММ")),0),--(Продажи_Тол[Товар]=КолТол[[#Headers],[Рутокен]]),Продажи_Тол[Кол-во])</f>
        <v>16</v>
      </c>
      <c r="L44" s="51" cm="1">
        <f t="array" ref="L44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44" s="52">
        <f t="shared" si="1"/>
        <v>24</v>
      </c>
    </row>
    <row r="45" spans="1:13" x14ac:dyDescent="0.25">
      <c r="A45" s="56">
        <v>45678</v>
      </c>
      <c r="B45" t="s">
        <v>3</v>
      </c>
      <c r="C45">
        <v>4</v>
      </c>
      <c r="D45" s="74" cm="1">
        <f t="array" ref="D4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45" s="74">
        <v>720</v>
      </c>
      <c r="F4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I45" s="45" t="s">
        <v>72</v>
      </c>
      <c r="J45" s="51" cm="1">
        <f t="array" ref="J45">SUMPRODUCT(IFERROR(SEARCH(КолТол[[#This Row],[Месяц]],TEXT(Продажи_Тол[Дата],"ММММ")),0),--(Продажи_Тол[Товар]=КолТол[[#Headers],[Есмарт]]),Продажи_Тол[Кол-во])</f>
        <v>0</v>
      </c>
      <c r="K45" s="51" cm="1">
        <f t="array" ref="K45">SUMPRODUCT(IFERROR(SEARCH(КолТол[[#This Row],[Месяц]],TEXT(Продажи_Тол[Дата],"ММММ")),0),--(Продажи_Тол[Товар]=КолТол[[#Headers],[Рутокен]]),Продажи_Тол[Кол-во])</f>
        <v>0</v>
      </c>
      <c r="L45" s="51" cm="1">
        <f t="array" ref="L45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45" s="52">
        <f t="shared" si="1"/>
        <v>0</v>
      </c>
    </row>
    <row r="46" spans="1:13" x14ac:dyDescent="0.25">
      <c r="A46" s="56">
        <v>45679</v>
      </c>
      <c r="B46" t="s">
        <v>3</v>
      </c>
      <c r="C46">
        <v>5</v>
      </c>
      <c r="D46" s="74" cm="1">
        <f t="array" ref="D4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46" s="74">
        <v>720</v>
      </c>
      <c r="F4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  <c r="I46" s="45" t="s">
        <v>74</v>
      </c>
      <c r="J46" s="51" cm="1">
        <f t="array" ref="J46">SUMPRODUCT(IFERROR(SEARCH(КолТол[[#This Row],[Месяц]],TEXT(Продажи_Тол[Дата],"ММММ")),0),--(Продажи_Тол[Товар]=КолТол[[#Headers],[Есмарт]]),Продажи_Тол[Кол-во])</f>
        <v>0</v>
      </c>
      <c r="K46" s="51" cm="1">
        <f t="array" ref="K46">SUMPRODUCT(IFERROR(SEARCH(КолТол[[#This Row],[Месяц]],TEXT(Продажи_Тол[Дата],"ММММ")),0),--(Продажи_Тол[Товар]=КолТол[[#Headers],[Рутокен]]),Продажи_Тол[Кол-во])</f>
        <v>0</v>
      </c>
      <c r="L46" s="51" cm="1">
        <f t="array" ref="L46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46" s="52">
        <f t="shared" si="1"/>
        <v>0</v>
      </c>
    </row>
    <row r="47" spans="1:13" x14ac:dyDescent="0.25">
      <c r="A47" s="56">
        <v>45680</v>
      </c>
      <c r="B47" t="s">
        <v>3</v>
      </c>
      <c r="C47">
        <v>4</v>
      </c>
      <c r="D47" s="74" cm="1">
        <f t="array" ref="D4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47" s="74">
        <v>720</v>
      </c>
      <c r="F4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I47" s="45" t="s">
        <v>75</v>
      </c>
      <c r="J47" s="51" cm="1">
        <f t="array" ref="J47">SUMPRODUCT(IFERROR(SEARCH(КолТол[[#This Row],[Месяц]],TEXT(Продажи_Тол[Дата],"ММММ")),0),--(Продажи_Тол[Товар]=КолТол[[#Headers],[Есмарт]]),Продажи_Тол[Кол-во])</f>
        <v>0</v>
      </c>
      <c r="K47" s="51" cm="1">
        <f t="array" ref="K47">SUMPRODUCT(IFERROR(SEARCH(КолТол[[#This Row],[Месяц]],TEXT(Продажи_Тол[Дата],"ММММ")),0),--(Продажи_Тол[Товар]=КолТол[[#Headers],[Рутокен]]),Продажи_Тол[Кол-во])</f>
        <v>0</v>
      </c>
      <c r="L47" s="51" cm="1">
        <f t="array" ref="L47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47" s="52">
        <f t="shared" si="1"/>
        <v>0</v>
      </c>
    </row>
    <row r="48" spans="1:13" x14ac:dyDescent="0.25">
      <c r="A48" s="56">
        <v>45681</v>
      </c>
      <c r="B48" t="s">
        <v>3</v>
      </c>
      <c r="C48">
        <v>6</v>
      </c>
      <c r="D48" s="74" cm="1">
        <f t="array" ref="D4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48" s="74">
        <v>720</v>
      </c>
      <c r="F4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7303.8</v>
      </c>
      <c r="I48" s="45" t="s">
        <v>76</v>
      </c>
      <c r="J48" s="51" cm="1">
        <f t="array" ref="J48">SUMPRODUCT(IFERROR(SEARCH(КолТол[[#This Row],[Месяц]],TEXT(Продажи_Тол[Дата],"ММММ")),0),--(Продажи_Тол[Товар]=КолТол[[#Headers],[Есмарт]]),Продажи_Тол[Кол-во])</f>
        <v>0</v>
      </c>
      <c r="K48" s="51" cm="1">
        <f t="array" ref="K48">SUMPRODUCT(IFERROR(SEARCH(КолТол[[#This Row],[Месяц]],TEXT(Продажи_Тол[Дата],"ММММ")),0),--(Продажи_Тол[Товар]=КолТол[[#Headers],[Рутокен]]),Продажи_Тол[Кол-во])</f>
        <v>0</v>
      </c>
      <c r="L48" s="51" cm="1">
        <f t="array" ref="L48">SUMPRODUCT(IFERROR(SEARCH(КолТол[[#This Row],[Месяц]],TEXT(Продажи_Тол[Дата],"ММММ")),0),--(Продажи_Тол[Товар]=КолТол[[#Headers],[Есмарт АРМ]]),Продажи_Тол[Кол-во])</f>
        <v>0</v>
      </c>
      <c r="M48" s="52">
        <f t="shared" si="1"/>
        <v>0</v>
      </c>
    </row>
    <row r="49" spans="1:13" x14ac:dyDescent="0.25">
      <c r="A49" s="56">
        <v>45684</v>
      </c>
      <c r="B49" t="s">
        <v>3</v>
      </c>
      <c r="C49">
        <v>5</v>
      </c>
      <c r="D49" s="74" cm="1">
        <f t="array" ref="D4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49" s="74">
        <v>720</v>
      </c>
      <c r="F4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  <c r="I49" s="49" t="s">
        <v>88</v>
      </c>
      <c r="J49" s="53">
        <f>SUM(J37:J48)</f>
        <v>401</v>
      </c>
      <c r="K49" s="53">
        <f t="shared" ref="K49:L49" si="2">SUM(K37:K48)</f>
        <v>261</v>
      </c>
      <c r="L49" s="53">
        <f t="shared" si="2"/>
        <v>30</v>
      </c>
      <c r="M49" s="54">
        <f>SUM(J49:L49)</f>
        <v>692</v>
      </c>
    </row>
    <row r="50" spans="1:13" x14ac:dyDescent="0.25">
      <c r="A50" s="56">
        <v>45685</v>
      </c>
      <c r="B50" t="s">
        <v>3</v>
      </c>
      <c r="C50">
        <v>9</v>
      </c>
      <c r="D50" s="74" cm="1">
        <f t="array" ref="D5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18000</v>
      </c>
      <c r="E50" s="74">
        <v>720</v>
      </c>
      <c r="F5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10955.7</v>
      </c>
    </row>
    <row r="51" spans="1:13" x14ac:dyDescent="0.25">
      <c r="A51" s="56">
        <v>45686</v>
      </c>
      <c r="B51" t="s">
        <v>3</v>
      </c>
      <c r="C51">
        <v>3</v>
      </c>
      <c r="D51" s="74" cm="1">
        <f t="array" ref="D5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51" s="74">
        <v>720</v>
      </c>
      <c r="F5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52" spans="1:13" ht="15.75" x14ac:dyDescent="0.25">
      <c r="A52" s="56">
        <v>45687</v>
      </c>
      <c r="B52" t="s">
        <v>3</v>
      </c>
      <c r="C52">
        <v>4</v>
      </c>
      <c r="D52" s="74" cm="1">
        <f t="array" ref="D5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52" s="74">
        <v>720</v>
      </c>
      <c r="F5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I52" s="50" t="s">
        <v>94</v>
      </c>
    </row>
    <row r="53" spans="1:13" x14ac:dyDescent="0.25">
      <c r="A53" s="56">
        <v>45688</v>
      </c>
      <c r="B53" t="s">
        <v>3</v>
      </c>
      <c r="C53">
        <v>2</v>
      </c>
      <c r="D53" s="74" cm="1">
        <f t="array" ref="D5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53" s="74">
        <v>720</v>
      </c>
      <c r="F5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  <c r="I53" s="46" t="s">
        <v>53</v>
      </c>
      <c r="J53" s="47" t="s">
        <v>3</v>
      </c>
      <c r="K53" s="47" t="s">
        <v>4</v>
      </c>
      <c r="L53" s="47" t="s">
        <v>112</v>
      </c>
      <c r="M53" s="48" t="s">
        <v>88</v>
      </c>
    </row>
    <row r="54" spans="1:13" x14ac:dyDescent="0.25">
      <c r="A54" s="56">
        <v>45691</v>
      </c>
      <c r="B54" t="s">
        <v>3</v>
      </c>
      <c r="C54">
        <v>1</v>
      </c>
      <c r="D54" s="74" cm="1">
        <f t="array" ref="D5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54" s="74">
        <v>720</v>
      </c>
      <c r="F5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  <c r="I54" s="45" t="s">
        <v>18</v>
      </c>
      <c r="J54" s="55" cm="1">
        <f t="array" ref="J54">IFERROR(J37/SUMPRODUCT(IF(TEXT(_xlfn.UNIQUE(Продажи_Тол[Дата]),"ММММ")=$I54,1,0)),"")</f>
        <v>5.2941176470588234</v>
      </c>
      <c r="K54" s="55" cm="1">
        <f t="array" ref="K54">IFERROR(K37/SUMPRODUCT(IF(TEXT(_xlfn.UNIQUE(Продажи_Тол[Дата]),"ММММ")=$I54,1,0)),"")</f>
        <v>0</v>
      </c>
      <c r="L54" s="55">
        <f>L37/COUNT(_xlfn.UNIQUE(Продажи_Тол[Дата]))</f>
        <v>0</v>
      </c>
      <c r="M54" s="59" cm="1">
        <f t="array" ref="M54">IFERROR(M37/SUMPRODUCT(IF(TEXT(_xlfn.UNIQUE(Продажи_Тол[Дата]),"ММММ")=$I54,1,0)),"")</f>
        <v>5.2941176470588234</v>
      </c>
    </row>
    <row r="55" spans="1:13" x14ac:dyDescent="0.25">
      <c r="A55" s="56">
        <v>45692</v>
      </c>
      <c r="B55" t="s">
        <v>3</v>
      </c>
      <c r="C55">
        <v>4</v>
      </c>
      <c r="D55" s="74" cm="1">
        <f t="array" ref="D5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55" s="74">
        <v>720</v>
      </c>
      <c r="F5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I55" s="45" t="s">
        <v>19</v>
      </c>
      <c r="J55" s="55" cm="1">
        <f t="array" ref="J55">IFERROR(J38/SUMPRODUCT(IF(TEXT(_xlfn.UNIQUE(Продажи_Тол[Дата]),"ММММ")=$I55,1,0)),"")</f>
        <v>2</v>
      </c>
      <c r="K55" s="55" cm="1">
        <f t="array" ref="K55">IFERROR(K38/SUMPRODUCT(IF(TEXT(_xlfn.UNIQUE(Продажи_Тол[Дата]),"ММММ")=$I55,1,0)),"")</f>
        <v>2.2000000000000002</v>
      </c>
      <c r="L55" s="55">
        <f>L38/COUNT(_xlfn.UNIQUE(Продажи_Тол[Дата]))</f>
        <v>0</v>
      </c>
      <c r="M55" s="59" cm="1">
        <f t="array" ref="M55">IFERROR(M38/SUMPRODUCT(IF(TEXT(_xlfn.UNIQUE(Продажи_Тол[Дата]),"ММММ")=$I55,1,0)),"")</f>
        <v>4.2</v>
      </c>
    </row>
    <row r="56" spans="1:13" x14ac:dyDescent="0.25">
      <c r="A56" s="56">
        <v>45693</v>
      </c>
      <c r="B56" t="s">
        <v>3</v>
      </c>
      <c r="C56">
        <v>6</v>
      </c>
      <c r="D56" s="74" cm="1">
        <f t="array" ref="D5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56" s="74">
        <v>720</v>
      </c>
      <c r="F5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7303.8</v>
      </c>
      <c r="I56" s="45" t="s">
        <v>63</v>
      </c>
      <c r="J56" s="55" cm="1">
        <f t="array" ref="J56">IFERROR(J39/SUMPRODUCT(IF(TEXT(_xlfn.UNIQUE(Продажи_Тол[Дата]),"ММММ")=$I56,1,0)),"")</f>
        <v>2.6190476190476191</v>
      </c>
      <c r="K56" s="55" cm="1">
        <f t="array" ref="K56">IFERROR(K39/SUMPRODUCT(IF(TEXT(_xlfn.UNIQUE(Продажи_Тол[Дата]),"ММММ")=$I56,1,0)),"")</f>
        <v>2.0476190476190474</v>
      </c>
      <c r="L56" s="55">
        <f>L39/COUNT(_xlfn.UNIQUE(Продажи_Тол[Дата]))</f>
        <v>2.7397260273972601E-2</v>
      </c>
      <c r="M56" s="59" cm="1">
        <f t="array" ref="M56">IFERROR(M39/SUMPRODUCT(IF(TEXT(_xlfn.UNIQUE(Продажи_Тол[Дата]),"ММММ")=$I56,1,0)),"")</f>
        <v>4.8571428571428568</v>
      </c>
    </row>
    <row r="57" spans="1:13" x14ac:dyDescent="0.25">
      <c r="A57" s="56">
        <v>45694</v>
      </c>
      <c r="B57" t="s">
        <v>3</v>
      </c>
      <c r="C57">
        <v>2</v>
      </c>
      <c r="D57" s="74" cm="1">
        <f t="array" ref="D5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57" s="74">
        <v>720</v>
      </c>
      <c r="F5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  <c r="I57" s="45" t="s">
        <v>64</v>
      </c>
      <c r="J57" s="55" cm="1">
        <f t="array" ref="J57">IFERROR(J40/SUMPRODUCT(IF(TEXT(_xlfn.UNIQUE(Продажи_Тол[Дата]),"ММММ")=$I57,1,0)),"")</f>
        <v>3.3636363636363638</v>
      </c>
      <c r="K57" s="55" cm="1">
        <f t="array" ref="K57">IFERROR(K40/SUMPRODUCT(IF(TEXT(_xlfn.UNIQUE(Продажи_Тол[Дата]),"ММММ")=$I57,1,0)),"")</f>
        <v>2.5</v>
      </c>
      <c r="L57" s="55">
        <f>L40/COUNT(_xlfn.UNIQUE(Продажи_Тол[Дата]))</f>
        <v>6.8493150684931503E-2</v>
      </c>
      <c r="M57" s="59" cm="1">
        <f t="array" ref="M57">IFERROR(M40/SUMPRODUCT(IF(TEXT(_xlfn.UNIQUE(Продажи_Тол[Дата]),"ММММ")=$I57,1,0)),"")</f>
        <v>6.3181818181818183</v>
      </c>
    </row>
    <row r="58" spans="1:13" x14ac:dyDescent="0.25">
      <c r="A58" s="56">
        <v>45694</v>
      </c>
      <c r="B58" t="s">
        <v>4</v>
      </c>
      <c r="C58">
        <v>1</v>
      </c>
      <c r="D58" s="74" cm="1">
        <f t="array" ref="D5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58" s="74">
        <v>1250</v>
      </c>
      <c r="F5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I58" s="45" t="s">
        <v>65</v>
      </c>
      <c r="J58" s="55" cm="1">
        <f t="array" ref="J58">IFERROR(J41/SUMPRODUCT(IF(TEXT(_xlfn.UNIQUE(Продажи_Тол[Дата]),"ММММ")=$I58,1,0)),"")</f>
        <v>2.4444444444444446</v>
      </c>
      <c r="K58" s="55" cm="1">
        <f t="array" ref="K58">IFERROR(K41/SUMPRODUCT(IF(TEXT(_xlfn.UNIQUE(Продажи_Тол[Дата]),"ММММ")=$I58,1,0)),"")</f>
        <v>1.2222222222222223</v>
      </c>
      <c r="L58" s="55">
        <f>L41/COUNT(_xlfn.UNIQUE(Продажи_Тол[Дата]))</f>
        <v>1.3698630136986301E-2</v>
      </c>
      <c r="M58" s="59" cm="1">
        <f t="array" ref="M58">IFERROR(M41/SUMPRODUCT(IF(TEXT(_xlfn.UNIQUE(Продажи_Тол[Дата]),"ММММ")=$I58,1,0)),"")</f>
        <v>3.7777777777777777</v>
      </c>
    </row>
    <row r="59" spans="1:13" x14ac:dyDescent="0.25">
      <c r="A59" s="56">
        <v>45695</v>
      </c>
      <c r="B59" t="s">
        <v>3</v>
      </c>
      <c r="C59">
        <v>1</v>
      </c>
      <c r="D59" s="74" cm="1">
        <f t="array" ref="D5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59" s="74">
        <v>720</v>
      </c>
      <c r="F5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  <c r="I59" s="45" t="s">
        <v>66</v>
      </c>
      <c r="J59" s="55" cm="1">
        <f t="array" ref="J59">IFERROR(J42/SUMPRODUCT(IF(TEXT(_xlfn.UNIQUE(Продажи_Тол[Дата]),"ММММ")=$I59,1,0)),"")</f>
        <v>2.5789473684210527</v>
      </c>
      <c r="K59" s="55" cm="1">
        <f t="array" ref="K59">IFERROR(K42/SUMPRODUCT(IF(TEXT(_xlfn.UNIQUE(Продажи_Тол[Дата]),"ММММ")=$I59,1,0)),"")</f>
        <v>1.6842105263157894</v>
      </c>
      <c r="L59" s="55">
        <f>L42/COUNT(_xlfn.UNIQUE(Продажи_Тол[Дата]))</f>
        <v>4.1095890410958902E-2</v>
      </c>
      <c r="M59" s="59" cm="1">
        <f t="array" ref="M59">IFERROR(M42/SUMPRODUCT(IF(TEXT(_xlfn.UNIQUE(Продажи_Тол[Дата]),"ММММ")=$I59,1,0)),"")</f>
        <v>4.5789473684210522</v>
      </c>
    </row>
    <row r="60" spans="1:13" x14ac:dyDescent="0.25">
      <c r="A60" s="56">
        <v>45698</v>
      </c>
      <c r="B60" t="s">
        <v>3</v>
      </c>
      <c r="C60">
        <v>4</v>
      </c>
      <c r="D60" s="74" cm="1">
        <f t="array" ref="D6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60" s="74">
        <v>720</v>
      </c>
      <c r="F6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I60" s="45" t="s">
        <v>67</v>
      </c>
      <c r="J60" s="55" cm="1">
        <f t="array" ref="J60">IFERROR(J43/SUMPRODUCT(IF(TEXT(_xlfn.UNIQUE(Продажи_Тол[Дата]),"ММММ")=$I60,1,0)),"")</f>
        <v>1.7826086956521738</v>
      </c>
      <c r="K60" s="55" cm="1">
        <f t="array" ref="K60">IFERROR(K43/SUMPRODUCT(IF(TEXT(_xlfn.UNIQUE(Продажи_Тол[Дата]),"ММММ")=$I60,1,0)),"")</f>
        <v>2.1304347826086958</v>
      </c>
      <c r="L60" s="55">
        <f>L43/COUNT(_xlfn.UNIQUE(Продажи_Тол[Дата]))</f>
        <v>5.4794520547945202E-2</v>
      </c>
      <c r="M60" s="59" cm="1">
        <f t="array" ref="M60">IFERROR(M43/SUMPRODUCT(IF(TEXT(_xlfn.UNIQUE(Продажи_Тол[Дата]),"ММММ")=$I60,1,0)),"")</f>
        <v>4.2608695652173916</v>
      </c>
    </row>
    <row r="61" spans="1:13" x14ac:dyDescent="0.25">
      <c r="A61" s="56">
        <v>45698</v>
      </c>
      <c r="B61" t="s">
        <v>4</v>
      </c>
      <c r="C61">
        <v>3</v>
      </c>
      <c r="D61" s="74" cm="1">
        <f t="array" ref="D6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61" s="74">
        <v>1250</v>
      </c>
      <c r="F6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  <c r="I61" s="45" t="s">
        <v>68</v>
      </c>
      <c r="J61" s="55" cm="1">
        <f t="array" ref="J61">IFERROR(J44/SUMPRODUCT(IF(TEXT(_xlfn.UNIQUE(Продажи_Тол[Дата]),"ММММ")=$I61,1,0)),"")</f>
        <v>1.3333333333333333</v>
      </c>
      <c r="K61" s="55" cm="1">
        <f t="array" ref="K61">IFERROR(K44/SUMPRODUCT(IF(TEXT(_xlfn.UNIQUE(Продажи_Тол[Дата]),"ММММ")=$I61,1,0)),"")</f>
        <v>2.6666666666666665</v>
      </c>
      <c r="L61" s="55">
        <f>L44/COUNT(_xlfn.UNIQUE(Продажи_Тол[Дата]))</f>
        <v>0</v>
      </c>
      <c r="M61" s="59" cm="1">
        <f t="array" ref="M61">IFERROR(M44/SUMPRODUCT(IF(TEXT(_xlfn.UNIQUE(Продажи_Тол[Дата]),"ММММ")=$I61,1,0)),"")</f>
        <v>4</v>
      </c>
    </row>
    <row r="62" spans="1:13" x14ac:dyDescent="0.25">
      <c r="A62" s="56">
        <v>45699</v>
      </c>
      <c r="B62" t="s">
        <v>3</v>
      </c>
      <c r="C62">
        <v>3</v>
      </c>
      <c r="D62" s="74" cm="1">
        <f t="array" ref="D6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62" s="74">
        <v>720</v>
      </c>
      <c r="F6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I62" s="45" t="s">
        <v>72</v>
      </c>
      <c r="J62" s="55" t="str" cm="1">
        <f t="array" ref="J62">IFERROR(J45/SUMPRODUCT(IF(TEXT(_xlfn.UNIQUE(Продажи_Тол[Дата]),"ММММ")=$I62,1,0)),"")</f>
        <v/>
      </c>
      <c r="K62" s="55" t="str" cm="1">
        <f t="array" ref="K62">IFERROR(K45/SUMPRODUCT(IF(TEXT(_xlfn.UNIQUE(Продажи_Тол[Дата]),"ММММ")=$I62,1,0)),"")</f>
        <v/>
      </c>
      <c r="L62" s="55">
        <f>L45/COUNT(_xlfn.UNIQUE(Продажи_Тол[Дата]))</f>
        <v>0</v>
      </c>
      <c r="M62" s="59" t="str" cm="1">
        <f t="array" ref="M62">IFERROR(M45/SUMPRODUCT(IF(TEXT(_xlfn.UNIQUE(Продажи_Тол[Дата]),"ММММ")=$I62,1,0)),"")</f>
        <v/>
      </c>
    </row>
    <row r="63" spans="1:13" x14ac:dyDescent="0.25">
      <c r="A63" s="56">
        <v>45699</v>
      </c>
      <c r="B63" t="s">
        <v>4</v>
      </c>
      <c r="C63">
        <v>4</v>
      </c>
      <c r="D63" s="74" cm="1">
        <f t="array" ref="D6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63" s="74">
        <v>1250</v>
      </c>
      <c r="F6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  <c r="I63" s="45" t="s">
        <v>74</v>
      </c>
      <c r="J63" s="55" t="str" cm="1">
        <f t="array" ref="J63">IFERROR(J46/SUMPRODUCT(IF(TEXT(_xlfn.UNIQUE(Продажи_Тол[Дата]),"ММММ")=$I63,1,0)),"")</f>
        <v/>
      </c>
      <c r="K63" s="55" t="str" cm="1">
        <f t="array" ref="K63">IFERROR(K46/SUMPRODUCT(IF(TEXT(_xlfn.UNIQUE(Продажи_Тол[Дата]),"ММММ")=$I63,1,0)),"")</f>
        <v/>
      </c>
      <c r="L63" s="55">
        <f>L46/COUNT(_xlfn.UNIQUE(Продажи_Тол[Дата]))</f>
        <v>0</v>
      </c>
      <c r="M63" s="59" t="str" cm="1">
        <f t="array" ref="M63">IFERROR(M46/SUMPRODUCT(IF(TEXT(_xlfn.UNIQUE(Продажи_Тол[Дата]),"ММММ")=$I63,1,0)),"")</f>
        <v/>
      </c>
    </row>
    <row r="64" spans="1:13" x14ac:dyDescent="0.25">
      <c r="A64" s="56">
        <v>45700</v>
      </c>
      <c r="B64" t="s">
        <v>3</v>
      </c>
      <c r="C64">
        <v>2</v>
      </c>
      <c r="D64" s="74" cm="1">
        <f t="array" ref="D6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64" s="74">
        <v>720</v>
      </c>
      <c r="F6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  <c r="I64" s="45" t="s">
        <v>75</v>
      </c>
      <c r="J64" s="55" t="str" cm="1">
        <f t="array" ref="J64">IFERROR(J47/SUMPRODUCT(IF(TEXT(_xlfn.UNIQUE(Продажи_Тол[Дата]),"ММММ")=$I64,1,0)),"")</f>
        <v/>
      </c>
      <c r="K64" s="55" t="str" cm="1">
        <f t="array" ref="K64">IFERROR(K47/SUMPRODUCT(IF(TEXT(_xlfn.UNIQUE(Продажи_Тол[Дата]),"ММММ")=$I64,1,0)),"")</f>
        <v/>
      </c>
      <c r="L64" s="55">
        <f>L47/COUNT(_xlfn.UNIQUE(Продажи_Тол[Дата]))</f>
        <v>0</v>
      </c>
      <c r="M64" s="59" t="str" cm="1">
        <f t="array" ref="M64">IFERROR(M47/SUMPRODUCT(IF(TEXT(_xlfn.UNIQUE(Продажи_Тол[Дата]),"ММММ")=$I64,1,0)),"")</f>
        <v/>
      </c>
    </row>
    <row r="65" spans="1:13" x14ac:dyDescent="0.25">
      <c r="A65" s="56">
        <v>45700</v>
      </c>
      <c r="B65" t="s">
        <v>4</v>
      </c>
      <c r="C65">
        <v>3</v>
      </c>
      <c r="D65" s="74" cm="1">
        <f t="array" ref="D6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65" s="74">
        <v>1250</v>
      </c>
      <c r="F6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  <c r="I65" s="45" t="s">
        <v>76</v>
      </c>
      <c r="J65" s="55" t="str" cm="1">
        <f t="array" ref="J65">IFERROR(J48/SUMPRODUCT(IF(TEXT(_xlfn.UNIQUE(Продажи_Тол[Дата]),"ММММ")=$I65,1,0)),"")</f>
        <v/>
      </c>
      <c r="K65" s="55" t="str" cm="1">
        <f t="array" ref="K65">IFERROR(K48/SUMPRODUCT(IF(TEXT(_xlfn.UNIQUE(Продажи_Тол[Дата]),"ММММ")=$I65,1,0)),"")</f>
        <v/>
      </c>
      <c r="L65" s="55">
        <f>L48/COUNT(_xlfn.UNIQUE(Продажи_Тол[Дата]))</f>
        <v>0</v>
      </c>
      <c r="M65" s="59" t="str" cm="1">
        <f t="array" ref="M65">IFERROR(M48/SUMPRODUCT(IF(TEXT(_xlfn.UNIQUE(Продажи_Тол[Дата]),"ММММ")=$I65,1,0)),"")</f>
        <v/>
      </c>
    </row>
    <row r="66" spans="1:13" x14ac:dyDescent="0.25">
      <c r="A66" s="56">
        <v>45701</v>
      </c>
      <c r="B66" t="s">
        <v>4</v>
      </c>
      <c r="C66">
        <v>8</v>
      </c>
      <c r="D66" s="74" cm="1">
        <f t="array" ref="D6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18400</v>
      </c>
      <c r="E66" s="74">
        <v>1250</v>
      </c>
      <c r="F6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7833.6</v>
      </c>
      <c r="I66" s="49" t="s">
        <v>88</v>
      </c>
      <c r="J66" s="57">
        <f>J49/COUNT(_xlfn.UNIQUE(Продажи_Тол[Дата]))</f>
        <v>2.7465753424657535</v>
      </c>
      <c r="K66" s="57">
        <f>K49/COUNT(_xlfn.UNIQUE(Продажи_Тол[Дата]))</f>
        <v>1.7876712328767124</v>
      </c>
      <c r="L66" s="57">
        <f>L49/COUNT(_xlfn.UNIQUE(Продажи_Тол[Дата]))</f>
        <v>0.20547945205479451</v>
      </c>
      <c r="M66" s="57">
        <f>M49/COUNT(_xlfn.UNIQUE(Продажи_Тол[Дата]))</f>
        <v>4.7397260273972606</v>
      </c>
    </row>
    <row r="67" spans="1:13" x14ac:dyDescent="0.25">
      <c r="A67" s="56">
        <v>45701</v>
      </c>
      <c r="B67" t="s">
        <v>3</v>
      </c>
      <c r="C67">
        <v>3</v>
      </c>
      <c r="D67" s="74" cm="1">
        <f t="array" ref="D6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67" s="74">
        <v>720</v>
      </c>
      <c r="F6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68" spans="1:13" x14ac:dyDescent="0.25">
      <c r="A68" s="56">
        <v>45702</v>
      </c>
      <c r="B68" t="s">
        <v>3</v>
      </c>
      <c r="C68">
        <v>3</v>
      </c>
      <c r="D68" s="74" cm="1">
        <f t="array" ref="D6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68" s="74">
        <v>720</v>
      </c>
      <c r="F6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69" spans="1:13" x14ac:dyDescent="0.25">
      <c r="A69" s="56">
        <v>45702</v>
      </c>
      <c r="B69" t="s">
        <v>4</v>
      </c>
      <c r="C69">
        <v>1</v>
      </c>
      <c r="D69" s="74" cm="1">
        <f t="array" ref="D6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69" s="74">
        <v>1250</v>
      </c>
      <c r="F6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70" spans="1:13" x14ac:dyDescent="0.25">
      <c r="A70" s="56">
        <v>45705</v>
      </c>
      <c r="B70" t="s">
        <v>3</v>
      </c>
      <c r="C70">
        <v>2</v>
      </c>
      <c r="D70" s="74" cm="1">
        <f t="array" ref="D7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70" s="74">
        <v>720</v>
      </c>
      <c r="F7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71" spans="1:13" x14ac:dyDescent="0.25">
      <c r="A71" s="56">
        <v>45706</v>
      </c>
      <c r="B71" t="s">
        <v>3</v>
      </c>
      <c r="C71">
        <v>3</v>
      </c>
      <c r="D71" s="74" cm="1">
        <f t="array" ref="D7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71" s="74">
        <v>720</v>
      </c>
      <c r="F7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72" spans="1:13" x14ac:dyDescent="0.25">
      <c r="A72" s="56">
        <v>45706</v>
      </c>
      <c r="B72" t="s">
        <v>4</v>
      </c>
      <c r="C72">
        <v>3</v>
      </c>
      <c r="D72" s="74" cm="1">
        <f t="array" ref="D7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72" s="74">
        <v>1250</v>
      </c>
      <c r="F7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73" spans="1:13" x14ac:dyDescent="0.25">
      <c r="A73" s="56">
        <v>45707</v>
      </c>
      <c r="B73" t="s">
        <v>4</v>
      </c>
      <c r="C73">
        <v>1</v>
      </c>
      <c r="D73" s="74" cm="1">
        <f t="array" ref="D7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73" s="74">
        <v>1250</v>
      </c>
      <c r="F7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74" spans="1:13" x14ac:dyDescent="0.25">
      <c r="A74" s="56">
        <v>45707</v>
      </c>
      <c r="B74" t="s">
        <v>3</v>
      </c>
      <c r="C74">
        <v>1</v>
      </c>
      <c r="D74" s="74" cm="1">
        <f t="array" ref="D7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74" s="74">
        <v>720</v>
      </c>
      <c r="F7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75" spans="1:13" x14ac:dyDescent="0.25">
      <c r="A75" s="56">
        <v>45708</v>
      </c>
      <c r="B75" t="s">
        <v>3</v>
      </c>
      <c r="C75">
        <v>2</v>
      </c>
      <c r="D75" s="74" cm="1">
        <f t="array" ref="D7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75" s="74">
        <v>720</v>
      </c>
      <c r="F7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76" spans="1:13" x14ac:dyDescent="0.25">
      <c r="A76" s="56">
        <v>45708</v>
      </c>
      <c r="B76" t="s">
        <v>4</v>
      </c>
      <c r="C76">
        <v>1</v>
      </c>
      <c r="D76" s="74" cm="1">
        <f t="array" ref="D7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76" s="74">
        <v>1250</v>
      </c>
      <c r="F7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77" spans="1:13" x14ac:dyDescent="0.25">
      <c r="A77" s="56">
        <v>45709</v>
      </c>
      <c r="B77" t="s">
        <v>4</v>
      </c>
      <c r="C77">
        <v>3</v>
      </c>
      <c r="D77" s="74" cm="1">
        <f t="array" ref="D7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77" s="74">
        <v>1250</v>
      </c>
      <c r="F7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78" spans="1:13" x14ac:dyDescent="0.25">
      <c r="A78" s="56">
        <v>45712</v>
      </c>
      <c r="B78" t="s">
        <v>4</v>
      </c>
      <c r="C78">
        <v>2</v>
      </c>
      <c r="D78" s="74" cm="1">
        <f t="array" ref="D7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78" s="74">
        <v>1250</v>
      </c>
      <c r="F7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79" spans="1:13" x14ac:dyDescent="0.25">
      <c r="A79" s="56">
        <v>45713</v>
      </c>
      <c r="B79" t="s">
        <v>4</v>
      </c>
      <c r="C79">
        <v>3</v>
      </c>
      <c r="D79" s="74" cm="1">
        <f t="array" ref="D7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79" s="74">
        <v>1250</v>
      </c>
      <c r="F7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80" spans="1:13" x14ac:dyDescent="0.25">
      <c r="A80" s="56">
        <v>45714</v>
      </c>
      <c r="B80" t="s">
        <v>4</v>
      </c>
      <c r="C80">
        <v>2</v>
      </c>
      <c r="D80" s="74" cm="1">
        <f t="array" ref="D8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80" s="74">
        <v>1250</v>
      </c>
      <c r="F8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81" spans="1:6" x14ac:dyDescent="0.25">
      <c r="A81" s="56">
        <v>45714</v>
      </c>
      <c r="B81" t="s">
        <v>3</v>
      </c>
      <c r="C81">
        <v>1</v>
      </c>
      <c r="D81" s="74" cm="1">
        <f t="array" ref="D8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81" s="74">
        <v>720</v>
      </c>
      <c r="F8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82" spans="1:6" x14ac:dyDescent="0.25">
      <c r="A82" s="56">
        <v>45715</v>
      </c>
      <c r="B82" t="s">
        <v>4</v>
      </c>
      <c r="C82">
        <v>2</v>
      </c>
      <c r="D82" s="74" cm="1">
        <f t="array" ref="D8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82" s="74">
        <v>1250</v>
      </c>
      <c r="F8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83" spans="1:6" x14ac:dyDescent="0.25">
      <c r="A83" s="56">
        <v>45716</v>
      </c>
      <c r="B83" t="s">
        <v>4</v>
      </c>
      <c r="C83">
        <v>7</v>
      </c>
      <c r="D83" s="74" cm="1">
        <f t="array" ref="D8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16100</v>
      </c>
      <c r="E83" s="74">
        <v>1250</v>
      </c>
      <c r="F8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6854.4</v>
      </c>
    </row>
    <row r="84" spans="1:6" x14ac:dyDescent="0.25">
      <c r="A84" s="56">
        <v>45716</v>
      </c>
      <c r="B84" t="s">
        <v>3</v>
      </c>
      <c r="C84">
        <v>2</v>
      </c>
      <c r="D84" s="74" cm="1">
        <f t="array" ref="D8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84" s="74">
        <v>720</v>
      </c>
      <c r="F8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85" spans="1:6" x14ac:dyDescent="0.25">
      <c r="A85" s="56">
        <v>45719</v>
      </c>
      <c r="B85" t="s">
        <v>3</v>
      </c>
      <c r="C85">
        <v>2</v>
      </c>
      <c r="D85" s="74" cm="1">
        <f t="array" ref="D8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85" s="74">
        <v>720</v>
      </c>
      <c r="F8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86" spans="1:6" x14ac:dyDescent="0.25">
      <c r="A86" s="56">
        <v>45719</v>
      </c>
      <c r="B86" t="s">
        <v>4</v>
      </c>
      <c r="C86">
        <v>1</v>
      </c>
      <c r="D86" s="74" cm="1">
        <f t="array" ref="D8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86" s="74">
        <v>1250</v>
      </c>
      <c r="F8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87" spans="1:6" x14ac:dyDescent="0.25">
      <c r="A87" s="56">
        <v>45720</v>
      </c>
      <c r="B87" t="s">
        <v>4</v>
      </c>
      <c r="C87">
        <v>2</v>
      </c>
      <c r="D87" s="74" cm="1">
        <f t="array" ref="D8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87" s="74">
        <v>1250</v>
      </c>
      <c r="F8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88" spans="1:6" x14ac:dyDescent="0.25">
      <c r="A88" s="56">
        <v>45720</v>
      </c>
      <c r="B88" t="s">
        <v>3</v>
      </c>
      <c r="C88">
        <v>4</v>
      </c>
      <c r="D88" s="74" cm="1">
        <f t="array" ref="D8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88" s="74">
        <v>720</v>
      </c>
      <c r="F8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89" spans="1:6" x14ac:dyDescent="0.25">
      <c r="A89" s="56">
        <v>45721</v>
      </c>
      <c r="B89" t="s">
        <v>3</v>
      </c>
      <c r="C89">
        <v>8</v>
      </c>
      <c r="D89" s="74" cm="1">
        <f t="array" ref="D8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16000</v>
      </c>
      <c r="E89" s="74">
        <v>720</v>
      </c>
      <c r="F8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9738.4</v>
      </c>
    </row>
    <row r="90" spans="1:6" x14ac:dyDescent="0.25">
      <c r="A90" s="56">
        <v>45721</v>
      </c>
      <c r="B90" t="s">
        <v>4</v>
      </c>
      <c r="C90">
        <v>2</v>
      </c>
      <c r="D90" s="74" cm="1">
        <f t="array" ref="D9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90" s="74">
        <v>1250</v>
      </c>
      <c r="F9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91" spans="1:6" x14ac:dyDescent="0.25">
      <c r="A91" s="56">
        <v>45722</v>
      </c>
      <c r="B91" t="s">
        <v>3</v>
      </c>
      <c r="C91">
        <v>3</v>
      </c>
      <c r="D91" s="74" cm="1">
        <f t="array" ref="D9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91" s="74">
        <v>720</v>
      </c>
      <c r="F9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92" spans="1:6" x14ac:dyDescent="0.25">
      <c r="A92" s="56">
        <v>45722</v>
      </c>
      <c r="B92" t="s">
        <v>4</v>
      </c>
      <c r="C92">
        <v>2</v>
      </c>
      <c r="D92" s="74" cm="1">
        <f t="array" ref="D9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92" s="74">
        <v>1250</v>
      </c>
      <c r="F9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93" spans="1:6" x14ac:dyDescent="0.25">
      <c r="A93" s="56">
        <v>45723</v>
      </c>
      <c r="B93" t="s">
        <v>4</v>
      </c>
      <c r="C93">
        <v>1</v>
      </c>
      <c r="D93" s="74" cm="1">
        <f t="array" ref="D9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93" s="74">
        <v>1250</v>
      </c>
      <c r="F9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94" spans="1:6" x14ac:dyDescent="0.25">
      <c r="A94" s="56">
        <v>45726</v>
      </c>
      <c r="B94" t="s">
        <v>3</v>
      </c>
      <c r="C94">
        <v>3</v>
      </c>
      <c r="D94" s="74" cm="1">
        <f t="array" ref="D9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94" s="74">
        <v>720</v>
      </c>
      <c r="F9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95" spans="1:6" x14ac:dyDescent="0.25">
      <c r="A95" s="56">
        <v>45726</v>
      </c>
      <c r="B95" t="s">
        <v>4</v>
      </c>
      <c r="C95">
        <v>2</v>
      </c>
      <c r="D95" s="74" cm="1">
        <f t="array" ref="D9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95" s="74">
        <v>1250</v>
      </c>
      <c r="F9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96" spans="1:6" x14ac:dyDescent="0.25">
      <c r="A96" s="56">
        <v>45727</v>
      </c>
      <c r="B96" t="s">
        <v>4</v>
      </c>
      <c r="C96">
        <v>2</v>
      </c>
      <c r="D96" s="74" cm="1">
        <f t="array" ref="D9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96" s="74">
        <v>1250</v>
      </c>
      <c r="F9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97" spans="1:6" x14ac:dyDescent="0.25">
      <c r="A97" s="56">
        <v>45727</v>
      </c>
      <c r="B97" t="s">
        <v>3</v>
      </c>
      <c r="C97">
        <v>2</v>
      </c>
      <c r="D97" s="74" cm="1">
        <f t="array" ref="D9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97" s="74">
        <v>720</v>
      </c>
      <c r="F9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98" spans="1:6" x14ac:dyDescent="0.25">
      <c r="A98" s="56">
        <v>45728</v>
      </c>
      <c r="B98" t="s">
        <v>3</v>
      </c>
      <c r="C98">
        <v>5</v>
      </c>
      <c r="D98" s="74" cm="1">
        <f t="array" ref="D9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98" s="74">
        <v>720</v>
      </c>
      <c r="F9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99" spans="1:6" x14ac:dyDescent="0.25">
      <c r="A99" s="56">
        <v>45728</v>
      </c>
      <c r="B99" t="s">
        <v>4</v>
      </c>
      <c r="C99">
        <v>2</v>
      </c>
      <c r="D99" s="74" cm="1">
        <f t="array" ref="D9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99" s="74">
        <v>1250</v>
      </c>
      <c r="F9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00" spans="1:6" x14ac:dyDescent="0.25">
      <c r="A100" s="56">
        <v>45729</v>
      </c>
      <c r="B100" t="s">
        <v>4</v>
      </c>
      <c r="C100">
        <v>2</v>
      </c>
      <c r="D100" s="74" cm="1">
        <f t="array" ref="D10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00" s="74">
        <v>1250</v>
      </c>
      <c r="F10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01" spans="1:6" x14ac:dyDescent="0.25">
      <c r="A101" s="56">
        <v>45729</v>
      </c>
      <c r="B101" t="s">
        <v>3</v>
      </c>
      <c r="C101">
        <v>1</v>
      </c>
      <c r="D101" s="74" cm="1">
        <f t="array" ref="D10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01" s="74">
        <v>720</v>
      </c>
      <c r="F10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02" spans="1:6" x14ac:dyDescent="0.25">
      <c r="A102" s="56">
        <v>45730</v>
      </c>
      <c r="B102" t="s">
        <v>3</v>
      </c>
      <c r="C102">
        <v>3</v>
      </c>
      <c r="D102" s="74" cm="1">
        <f t="array" ref="D10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02" s="74">
        <v>720</v>
      </c>
      <c r="F10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03" spans="1:6" x14ac:dyDescent="0.25">
      <c r="A103" s="56">
        <v>45730</v>
      </c>
      <c r="B103" t="s">
        <v>4</v>
      </c>
      <c r="C103">
        <v>5</v>
      </c>
      <c r="D103" s="74" cm="1">
        <f t="array" ref="D10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11500</v>
      </c>
      <c r="E103" s="74">
        <v>1250</v>
      </c>
      <c r="F10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4896</v>
      </c>
    </row>
    <row r="104" spans="1:6" x14ac:dyDescent="0.25">
      <c r="A104" s="56">
        <v>45730</v>
      </c>
      <c r="B104" s="2" t="s">
        <v>112</v>
      </c>
      <c r="C104">
        <v>1</v>
      </c>
      <c r="D104" s="74" cm="1">
        <f t="array" ref="D10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04" s="74">
        <v>1340</v>
      </c>
      <c r="F10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05" spans="1:6" x14ac:dyDescent="0.25">
      <c r="A105" s="56">
        <v>45733</v>
      </c>
      <c r="B105" t="s">
        <v>3</v>
      </c>
      <c r="C105">
        <v>3</v>
      </c>
      <c r="D105" s="74" cm="1">
        <f t="array" ref="D10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05" s="74">
        <v>720</v>
      </c>
      <c r="F10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06" spans="1:6" x14ac:dyDescent="0.25">
      <c r="A106" s="56">
        <v>45733</v>
      </c>
      <c r="B106" t="s">
        <v>4</v>
      </c>
      <c r="C106">
        <v>1</v>
      </c>
      <c r="D106" s="74" cm="1">
        <f t="array" ref="D10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06" s="74">
        <v>1250</v>
      </c>
      <c r="F10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107" spans="1:6" x14ac:dyDescent="0.25">
      <c r="A107" s="56">
        <v>45734</v>
      </c>
      <c r="B107" t="s">
        <v>4</v>
      </c>
      <c r="C107">
        <v>2</v>
      </c>
      <c r="D107" s="74" cm="1">
        <f t="array" ref="D10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07" s="74">
        <v>1250</v>
      </c>
      <c r="F10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08" spans="1:6" x14ac:dyDescent="0.25">
      <c r="A108" s="56">
        <v>45734</v>
      </c>
      <c r="B108" t="s">
        <v>112</v>
      </c>
      <c r="C108">
        <v>1</v>
      </c>
      <c r="D108" s="74" cm="1">
        <f t="array" ref="D10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08" s="74">
        <v>1340</v>
      </c>
      <c r="F10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09" spans="1:6" x14ac:dyDescent="0.25">
      <c r="A109" s="56">
        <v>45734</v>
      </c>
      <c r="B109" t="s">
        <v>3</v>
      </c>
      <c r="C109">
        <v>3</v>
      </c>
      <c r="D109" s="74" cm="1">
        <f t="array" ref="D10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09" s="74">
        <v>720</v>
      </c>
      <c r="F10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10" spans="1:6" x14ac:dyDescent="0.25">
      <c r="A110" s="56">
        <v>45735</v>
      </c>
      <c r="B110" t="s">
        <v>4</v>
      </c>
      <c r="C110">
        <v>1</v>
      </c>
      <c r="D110" s="74" cm="1">
        <f t="array" ref="D11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10" s="74">
        <v>1250</v>
      </c>
      <c r="F11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111" spans="1:6" x14ac:dyDescent="0.25">
      <c r="A111" s="56">
        <v>45735</v>
      </c>
      <c r="B111" t="s">
        <v>3</v>
      </c>
      <c r="C111">
        <v>2</v>
      </c>
      <c r="D111" s="74" cm="1">
        <f t="array" ref="D11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11" s="74">
        <v>720</v>
      </c>
      <c r="F11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112" spans="1:6" x14ac:dyDescent="0.25">
      <c r="A112" s="56">
        <v>45736</v>
      </c>
      <c r="B112" t="s">
        <v>3</v>
      </c>
      <c r="C112">
        <v>3</v>
      </c>
      <c r="D112" s="74" cm="1">
        <f t="array" ref="D11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12" s="74">
        <v>720</v>
      </c>
      <c r="F11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13" spans="1:6" x14ac:dyDescent="0.25">
      <c r="A113" s="56">
        <v>45736</v>
      </c>
      <c r="B113" t="s">
        <v>4</v>
      </c>
      <c r="C113">
        <v>1</v>
      </c>
      <c r="D113" s="74" cm="1">
        <f t="array" ref="D11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13" s="74">
        <v>1250</v>
      </c>
      <c r="F11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114" spans="1:6" x14ac:dyDescent="0.25">
      <c r="A114" s="56">
        <v>45736</v>
      </c>
      <c r="B114" t="s">
        <v>112</v>
      </c>
      <c r="C114">
        <v>1</v>
      </c>
      <c r="D114" s="74" cm="1">
        <f t="array" ref="D11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14" s="74">
        <v>1340</v>
      </c>
      <c r="F11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15" spans="1:6" x14ac:dyDescent="0.25">
      <c r="A115" s="56">
        <v>45737</v>
      </c>
      <c r="B115" t="s">
        <v>4</v>
      </c>
      <c r="C115">
        <v>4</v>
      </c>
      <c r="D115" s="74" cm="1">
        <f t="array" ref="D11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15" s="74">
        <v>1250</v>
      </c>
      <c r="F11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116" spans="1:6" x14ac:dyDescent="0.25">
      <c r="A116" s="56">
        <v>45737</v>
      </c>
      <c r="B116" t="s">
        <v>3</v>
      </c>
      <c r="C116">
        <v>2</v>
      </c>
      <c r="D116" s="74" cm="1">
        <f t="array" ref="D11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16" s="74">
        <v>720</v>
      </c>
      <c r="F11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117" spans="1:6" x14ac:dyDescent="0.25">
      <c r="A117" s="56">
        <v>45740</v>
      </c>
      <c r="B117" t="s">
        <v>112</v>
      </c>
      <c r="C117">
        <v>1</v>
      </c>
      <c r="D117" s="74" cm="1">
        <f t="array" ref="D11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17" s="74">
        <v>1340</v>
      </c>
      <c r="F11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18" spans="1:6" x14ac:dyDescent="0.25">
      <c r="A118" s="56">
        <v>45740</v>
      </c>
      <c r="B118" t="s">
        <v>4</v>
      </c>
      <c r="C118">
        <v>2</v>
      </c>
      <c r="D118" s="74" cm="1">
        <f t="array" ref="D11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18" s="74">
        <v>1250</v>
      </c>
      <c r="F11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19" spans="1:6" x14ac:dyDescent="0.25">
      <c r="A119" s="56">
        <v>45741</v>
      </c>
      <c r="B119" t="s">
        <v>4</v>
      </c>
      <c r="C119">
        <v>3</v>
      </c>
      <c r="D119" s="74" cm="1">
        <f t="array" ref="D11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19" s="74">
        <v>1250</v>
      </c>
      <c r="F11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120" spans="1:6" x14ac:dyDescent="0.25">
      <c r="A120" s="56">
        <v>45742</v>
      </c>
      <c r="B120" t="s">
        <v>4</v>
      </c>
      <c r="C120">
        <v>1</v>
      </c>
      <c r="D120" s="74" cm="1">
        <f t="array" ref="D12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20" s="74">
        <v>1250</v>
      </c>
      <c r="F12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121" spans="1:6" x14ac:dyDescent="0.25">
      <c r="A121" s="56">
        <v>45742</v>
      </c>
      <c r="B121" t="s">
        <v>3</v>
      </c>
      <c r="C121">
        <v>5</v>
      </c>
      <c r="D121" s="74" cm="1">
        <f t="array" ref="D12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121" s="74">
        <v>720</v>
      </c>
      <c r="F12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122" spans="1:6" x14ac:dyDescent="0.25">
      <c r="A122" s="56">
        <v>45743</v>
      </c>
      <c r="B122" t="s">
        <v>3</v>
      </c>
      <c r="C122">
        <v>4</v>
      </c>
      <c r="D122" s="74" cm="1">
        <f t="array" ref="D12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122" s="74">
        <v>720</v>
      </c>
      <c r="F12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123" spans="1:6" x14ac:dyDescent="0.25">
      <c r="A123" s="56">
        <v>45743</v>
      </c>
      <c r="B123" t="s">
        <v>4</v>
      </c>
      <c r="C123">
        <v>2</v>
      </c>
      <c r="D123" s="74" cm="1">
        <f t="array" ref="D12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23" s="74">
        <v>1250</v>
      </c>
      <c r="F12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24" spans="1:6" x14ac:dyDescent="0.25">
      <c r="A124" s="56">
        <v>45744</v>
      </c>
      <c r="B124" t="s">
        <v>4</v>
      </c>
      <c r="C124">
        <v>3</v>
      </c>
      <c r="D124" s="74" cm="1">
        <f t="array" ref="D12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24" s="74">
        <v>1250</v>
      </c>
      <c r="F12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125" spans="1:6" x14ac:dyDescent="0.25">
      <c r="A125" s="56">
        <v>45744</v>
      </c>
      <c r="B125" t="s">
        <v>3</v>
      </c>
      <c r="C125">
        <v>1</v>
      </c>
      <c r="D125" s="74" cm="1">
        <f t="array" ref="D12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25" s="74">
        <v>720</v>
      </c>
      <c r="F12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26" spans="1:6" x14ac:dyDescent="0.25">
      <c r="A126" s="56">
        <v>45747</v>
      </c>
      <c r="B126" t="s">
        <v>4</v>
      </c>
      <c r="C126">
        <v>2</v>
      </c>
      <c r="D126" s="74" cm="1">
        <f t="array" ref="D12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26" s="74">
        <v>1250</v>
      </c>
      <c r="F12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27" spans="1:6" x14ac:dyDescent="0.25">
      <c r="A127" s="56">
        <v>45747</v>
      </c>
      <c r="B127" t="s">
        <v>3</v>
      </c>
      <c r="C127">
        <v>1</v>
      </c>
      <c r="D127" s="74" cm="1">
        <f t="array" ref="D12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27" s="74">
        <v>720</v>
      </c>
      <c r="F12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28" spans="1:6" x14ac:dyDescent="0.25">
      <c r="A128" s="56">
        <v>45748</v>
      </c>
      <c r="B128" t="s">
        <v>3</v>
      </c>
      <c r="C128">
        <v>7</v>
      </c>
      <c r="D128" s="74" cm="1">
        <f t="array" ref="D12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14000</v>
      </c>
      <c r="E128" s="74">
        <v>720</v>
      </c>
      <c r="F12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8521.1</v>
      </c>
    </row>
    <row r="129" spans="1:6" x14ac:dyDescent="0.25">
      <c r="A129" s="56">
        <v>45748</v>
      </c>
      <c r="B129" t="s">
        <v>4</v>
      </c>
      <c r="C129">
        <v>2</v>
      </c>
      <c r="D129" s="74" cm="1">
        <f t="array" ref="D12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29" s="74">
        <v>1250</v>
      </c>
      <c r="F12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30" spans="1:6" x14ac:dyDescent="0.25">
      <c r="A130" s="56">
        <v>45749</v>
      </c>
      <c r="B130" t="s">
        <v>112</v>
      </c>
      <c r="C130">
        <v>1</v>
      </c>
      <c r="D130" s="74" cm="1">
        <f t="array" ref="D13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30" s="74">
        <v>1340</v>
      </c>
      <c r="F13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31" spans="1:6" x14ac:dyDescent="0.25">
      <c r="A131" s="56">
        <v>45749</v>
      </c>
      <c r="B131" t="s">
        <v>3</v>
      </c>
      <c r="C131">
        <v>3</v>
      </c>
      <c r="D131" s="74" cm="1">
        <f t="array" ref="D13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31" s="74">
        <v>720</v>
      </c>
      <c r="F13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32" spans="1:6" x14ac:dyDescent="0.25">
      <c r="A132" s="56">
        <v>45750</v>
      </c>
      <c r="B132" t="s">
        <v>4</v>
      </c>
      <c r="C132">
        <v>2</v>
      </c>
      <c r="D132" s="74" cm="1">
        <f t="array" ref="D13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32" s="74">
        <v>1250</v>
      </c>
      <c r="F13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133" spans="1:6" x14ac:dyDescent="0.25">
      <c r="A133" s="56">
        <v>45750</v>
      </c>
      <c r="B133" t="s">
        <v>3</v>
      </c>
      <c r="C133">
        <v>2</v>
      </c>
      <c r="D133" s="74" cm="1">
        <f t="array" ref="D13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33" s="74">
        <v>720</v>
      </c>
      <c r="F13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134" spans="1:6" x14ac:dyDescent="0.25">
      <c r="A134" s="56">
        <v>45751</v>
      </c>
      <c r="B134" t="s">
        <v>3</v>
      </c>
      <c r="C134">
        <v>2</v>
      </c>
      <c r="D134" s="74" cm="1">
        <f t="array" ref="D13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34" s="74">
        <v>720</v>
      </c>
      <c r="F13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135" spans="1:6" x14ac:dyDescent="0.25">
      <c r="A135" s="56">
        <v>45751</v>
      </c>
      <c r="B135" t="s">
        <v>4</v>
      </c>
      <c r="C135">
        <v>1</v>
      </c>
      <c r="D135" s="74" cm="1">
        <f t="array" ref="D13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35" s="74">
        <v>1250</v>
      </c>
      <c r="F13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136" spans="1:6" x14ac:dyDescent="0.25">
      <c r="A136" s="56">
        <v>45754</v>
      </c>
      <c r="B136" t="s">
        <v>4</v>
      </c>
      <c r="C136">
        <v>3</v>
      </c>
      <c r="D136" s="74" cm="1">
        <f t="array" ref="D13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36" s="74">
        <v>1250</v>
      </c>
      <c r="F13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137" spans="1:6" x14ac:dyDescent="0.25">
      <c r="A137" s="56">
        <v>45754</v>
      </c>
      <c r="B137" t="s">
        <v>112</v>
      </c>
      <c r="C137">
        <v>1</v>
      </c>
      <c r="D137" s="74" cm="1">
        <f t="array" ref="D13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37" s="74">
        <v>1340</v>
      </c>
      <c r="F13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38" spans="1:6" x14ac:dyDescent="0.25">
      <c r="A138" s="56">
        <v>45754</v>
      </c>
      <c r="B138" t="s">
        <v>3</v>
      </c>
      <c r="C138">
        <v>2</v>
      </c>
      <c r="D138" s="74" cm="1">
        <f t="array" ref="D13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38" s="74">
        <v>720</v>
      </c>
      <c r="F13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139" spans="1:6" x14ac:dyDescent="0.25">
      <c r="A139" s="56">
        <v>45755</v>
      </c>
      <c r="B139" t="s">
        <v>4</v>
      </c>
      <c r="C139">
        <v>1</v>
      </c>
      <c r="D139" s="74" cm="1">
        <f t="array" ref="D13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39" s="74">
        <v>1250</v>
      </c>
      <c r="F13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140" spans="1:6" x14ac:dyDescent="0.25">
      <c r="A140" s="56">
        <v>45755</v>
      </c>
      <c r="B140" t="s">
        <v>3</v>
      </c>
      <c r="C140">
        <v>3</v>
      </c>
      <c r="D140" s="74" cm="1">
        <f t="array" ref="D14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40" s="74">
        <v>720</v>
      </c>
      <c r="F14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41" spans="1:6" x14ac:dyDescent="0.25">
      <c r="A141" s="56">
        <v>45756</v>
      </c>
      <c r="B141" t="s">
        <v>4</v>
      </c>
      <c r="C141">
        <v>4</v>
      </c>
      <c r="D141" s="74" cm="1">
        <f t="array" ref="D14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41" s="74">
        <v>1250</v>
      </c>
      <c r="F14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142" spans="1:6" x14ac:dyDescent="0.25">
      <c r="A142" s="56">
        <v>45756</v>
      </c>
      <c r="B142" t="s">
        <v>112</v>
      </c>
      <c r="C142">
        <v>1</v>
      </c>
      <c r="D142" s="74" cm="1">
        <f t="array" ref="D14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42" s="74">
        <v>1340</v>
      </c>
      <c r="F14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43" spans="1:6" x14ac:dyDescent="0.25">
      <c r="A143" s="56">
        <v>45756</v>
      </c>
      <c r="B143" t="s">
        <v>3</v>
      </c>
      <c r="C143">
        <v>4</v>
      </c>
      <c r="D143" s="74" cm="1">
        <f t="array" ref="D14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143" s="74">
        <v>720</v>
      </c>
      <c r="F14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144" spans="1:6" x14ac:dyDescent="0.25">
      <c r="A144" s="56">
        <v>45757</v>
      </c>
      <c r="B144" t="s">
        <v>112</v>
      </c>
      <c r="C144">
        <v>1</v>
      </c>
      <c r="D144" s="74" cm="1">
        <f t="array" ref="D14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44" s="74">
        <v>1340</v>
      </c>
      <c r="F14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45" spans="1:6" x14ac:dyDescent="0.25">
      <c r="A145" s="56">
        <v>45757</v>
      </c>
      <c r="B145" t="s">
        <v>3</v>
      </c>
      <c r="C145">
        <v>9</v>
      </c>
      <c r="D145" s="74" cm="1">
        <f t="array" ref="D14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18000</v>
      </c>
      <c r="E145" s="74">
        <v>720</v>
      </c>
      <c r="F14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10955.7</v>
      </c>
    </row>
    <row r="146" spans="1:6" x14ac:dyDescent="0.25">
      <c r="A146" s="56">
        <v>45757</v>
      </c>
      <c r="B146" t="s">
        <v>4</v>
      </c>
      <c r="C146">
        <v>4</v>
      </c>
      <c r="D146" s="74" cm="1">
        <f t="array" ref="D14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46" s="74">
        <v>1250</v>
      </c>
      <c r="F14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147" spans="1:6" x14ac:dyDescent="0.25">
      <c r="A147" s="56">
        <v>45758</v>
      </c>
      <c r="B147" t="s">
        <v>4</v>
      </c>
      <c r="C147">
        <v>3</v>
      </c>
      <c r="D147" s="74" cm="1">
        <f t="array" ref="D14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47" s="74">
        <v>1250</v>
      </c>
      <c r="F14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148" spans="1:6" x14ac:dyDescent="0.25">
      <c r="A148" s="56">
        <v>45758</v>
      </c>
      <c r="B148" t="s">
        <v>3</v>
      </c>
      <c r="C148">
        <v>1</v>
      </c>
      <c r="D148" s="74" cm="1">
        <f t="array" ref="D14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48" s="74">
        <v>720</v>
      </c>
      <c r="F14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49" spans="1:6" x14ac:dyDescent="0.25">
      <c r="A149" s="56">
        <v>45758</v>
      </c>
      <c r="B149" t="s">
        <v>112</v>
      </c>
      <c r="C149">
        <v>1</v>
      </c>
      <c r="D149" s="74" cm="1">
        <f t="array" ref="D14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49" s="74">
        <v>1340</v>
      </c>
      <c r="F14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50" spans="1:6" x14ac:dyDescent="0.25">
      <c r="A150" s="56">
        <v>45761</v>
      </c>
      <c r="B150" t="s">
        <v>4</v>
      </c>
      <c r="C150">
        <v>3</v>
      </c>
      <c r="D150" s="74" cm="1">
        <f t="array" ref="D15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50" s="74">
        <v>1250</v>
      </c>
      <c r="F15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151" spans="1:6" x14ac:dyDescent="0.25">
      <c r="A151" s="56">
        <v>45761</v>
      </c>
      <c r="B151" t="s">
        <v>3</v>
      </c>
      <c r="C151">
        <v>1</v>
      </c>
      <c r="D151" s="74" cm="1">
        <f t="array" ref="D15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51" s="74">
        <v>720</v>
      </c>
      <c r="F15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52" spans="1:6" x14ac:dyDescent="0.25">
      <c r="A152" s="56">
        <v>45762</v>
      </c>
      <c r="B152" t="s">
        <v>3</v>
      </c>
      <c r="C152">
        <v>3</v>
      </c>
      <c r="D152" s="74" cm="1">
        <f t="array" ref="D15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52" s="74">
        <v>720</v>
      </c>
      <c r="F15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53" spans="1:6" x14ac:dyDescent="0.25">
      <c r="A153" s="56">
        <v>45762</v>
      </c>
      <c r="B153" t="s">
        <v>4</v>
      </c>
      <c r="C153">
        <v>4</v>
      </c>
      <c r="D153" s="74" cm="1">
        <f t="array" ref="D15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53" s="74">
        <v>1250</v>
      </c>
      <c r="F15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154" spans="1:6" x14ac:dyDescent="0.25">
      <c r="A154" s="56">
        <v>45763</v>
      </c>
      <c r="B154" t="s">
        <v>4</v>
      </c>
      <c r="C154">
        <v>4</v>
      </c>
      <c r="D154" s="74" cm="1">
        <f t="array" ref="D15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54" s="74">
        <v>1250</v>
      </c>
      <c r="F15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155" spans="1:6" x14ac:dyDescent="0.25">
      <c r="A155" s="56">
        <v>45763</v>
      </c>
      <c r="B155" t="s">
        <v>112</v>
      </c>
      <c r="C155">
        <v>1</v>
      </c>
      <c r="D155" s="74" cm="1">
        <f t="array" ref="D15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55" s="74">
        <v>1340</v>
      </c>
      <c r="F15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56" spans="1:6" x14ac:dyDescent="0.25">
      <c r="A156" s="56">
        <v>45763</v>
      </c>
      <c r="B156" t="s">
        <v>3</v>
      </c>
      <c r="C156">
        <v>3</v>
      </c>
      <c r="D156" s="74" cm="1">
        <f t="array" ref="D15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56" s="74">
        <v>720</v>
      </c>
      <c r="F15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57" spans="1:6" x14ac:dyDescent="0.25">
      <c r="A157" s="56">
        <v>45764</v>
      </c>
      <c r="B157" t="s">
        <v>3</v>
      </c>
      <c r="C157">
        <v>1</v>
      </c>
      <c r="D157" s="74" cm="1">
        <f t="array" ref="D15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57" s="74">
        <v>720</v>
      </c>
      <c r="F15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58" spans="1:6" x14ac:dyDescent="0.25">
      <c r="A158" s="56">
        <v>45764</v>
      </c>
      <c r="B158" t="s">
        <v>112</v>
      </c>
      <c r="C158">
        <v>1</v>
      </c>
      <c r="D158" s="74" cm="1">
        <f t="array" ref="D15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58" s="74">
        <v>1340</v>
      </c>
      <c r="F15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59" spans="1:6" x14ac:dyDescent="0.25">
      <c r="A159" s="56">
        <v>45764</v>
      </c>
      <c r="B159" t="s">
        <v>4</v>
      </c>
      <c r="C159">
        <v>2</v>
      </c>
      <c r="D159" s="74" cm="1">
        <f t="array" ref="D15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59" s="74">
        <v>1100</v>
      </c>
      <c r="F15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2258.4</v>
      </c>
    </row>
    <row r="160" spans="1:6" x14ac:dyDescent="0.25">
      <c r="A160" s="56">
        <v>45765</v>
      </c>
      <c r="B160" t="s">
        <v>4</v>
      </c>
      <c r="C160">
        <v>3</v>
      </c>
      <c r="D160" s="74" cm="1">
        <f t="array" ref="D16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60" s="74">
        <v>1100</v>
      </c>
      <c r="F16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3387.6</v>
      </c>
    </row>
    <row r="161" spans="1:6" x14ac:dyDescent="0.25">
      <c r="A161" s="56">
        <v>45765</v>
      </c>
      <c r="B161" t="s">
        <v>3</v>
      </c>
      <c r="C161">
        <v>4</v>
      </c>
      <c r="D161" s="74" cm="1">
        <f t="array" ref="D16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161" s="74">
        <v>720</v>
      </c>
      <c r="F16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162" spans="1:6" x14ac:dyDescent="0.25">
      <c r="A162" s="56">
        <v>45768</v>
      </c>
      <c r="B162" t="s">
        <v>3</v>
      </c>
      <c r="C162">
        <v>3</v>
      </c>
      <c r="D162" s="74" cm="1">
        <f t="array" ref="D16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62" s="74">
        <v>720</v>
      </c>
      <c r="F16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63" spans="1:6" x14ac:dyDescent="0.25">
      <c r="A163" s="56">
        <v>45768</v>
      </c>
      <c r="B163" t="s">
        <v>4</v>
      </c>
      <c r="C163">
        <v>1</v>
      </c>
      <c r="D163" s="74" cm="1">
        <f t="array" ref="D16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63" s="74">
        <v>1100</v>
      </c>
      <c r="F16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1129.2</v>
      </c>
    </row>
    <row r="164" spans="1:6" x14ac:dyDescent="0.25">
      <c r="A164" s="56">
        <v>45769</v>
      </c>
      <c r="B164" t="s">
        <v>4</v>
      </c>
      <c r="C164">
        <v>2</v>
      </c>
      <c r="D164" s="74" cm="1">
        <f t="array" ref="D16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64" s="74">
        <v>1100</v>
      </c>
      <c r="F16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2258.4</v>
      </c>
    </row>
    <row r="165" spans="1:6" x14ac:dyDescent="0.25">
      <c r="A165" s="56">
        <v>45769</v>
      </c>
      <c r="B165" t="s">
        <v>112</v>
      </c>
      <c r="C165">
        <v>1</v>
      </c>
      <c r="D165" s="74" cm="1">
        <f t="array" ref="D16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65" s="74">
        <v>1340</v>
      </c>
      <c r="F16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66" spans="1:6" x14ac:dyDescent="0.25">
      <c r="A166" s="56">
        <v>45769</v>
      </c>
      <c r="B166" t="s">
        <v>3</v>
      </c>
      <c r="C166">
        <v>3</v>
      </c>
      <c r="D166" s="74" cm="1">
        <f t="array" ref="D16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66" s="74">
        <v>720</v>
      </c>
      <c r="F16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167" spans="1:6" x14ac:dyDescent="0.25">
      <c r="A167" s="56">
        <v>45770</v>
      </c>
      <c r="B167" t="s">
        <v>3</v>
      </c>
      <c r="C167">
        <v>5</v>
      </c>
      <c r="D167" s="74" cm="1">
        <f t="array" ref="D16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167" s="74">
        <v>720</v>
      </c>
      <c r="F16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168" spans="1:6" x14ac:dyDescent="0.25">
      <c r="A168" s="56">
        <v>45770</v>
      </c>
      <c r="B168" t="s">
        <v>4</v>
      </c>
      <c r="C168">
        <v>2</v>
      </c>
      <c r="D168" s="74" cm="1">
        <f t="array" ref="D16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68" s="74">
        <v>1100</v>
      </c>
      <c r="F16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2258.4</v>
      </c>
    </row>
    <row r="169" spans="1:6" x14ac:dyDescent="0.25">
      <c r="A169" s="56">
        <v>45771</v>
      </c>
      <c r="B169" t="s">
        <v>3</v>
      </c>
      <c r="C169">
        <v>6</v>
      </c>
      <c r="D169" s="74" cm="1">
        <f t="array" ref="D16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169" s="74">
        <v>720</v>
      </c>
      <c r="F16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7303.8</v>
      </c>
    </row>
    <row r="170" spans="1:6" x14ac:dyDescent="0.25">
      <c r="A170" s="56">
        <v>45771</v>
      </c>
      <c r="B170" t="s">
        <v>4</v>
      </c>
      <c r="C170">
        <v>4</v>
      </c>
      <c r="D170" s="74" cm="1">
        <f t="array" ref="D17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70" s="74">
        <v>1100</v>
      </c>
      <c r="F17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4516.8</v>
      </c>
    </row>
    <row r="171" spans="1:6" x14ac:dyDescent="0.25">
      <c r="A171" s="56">
        <v>45772</v>
      </c>
      <c r="B171" t="s">
        <v>3</v>
      </c>
      <c r="C171">
        <v>4</v>
      </c>
      <c r="D171" s="74" cm="1">
        <f t="array" ref="D17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171" s="74">
        <v>720</v>
      </c>
      <c r="F17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172" spans="1:6" x14ac:dyDescent="0.25">
      <c r="A172" s="56">
        <v>45772</v>
      </c>
      <c r="B172" t="s">
        <v>4</v>
      </c>
      <c r="C172">
        <v>4</v>
      </c>
      <c r="D172" s="74" cm="1">
        <f t="array" ref="D17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172" s="74">
        <v>1100</v>
      </c>
      <c r="F17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4516.8</v>
      </c>
    </row>
    <row r="173" spans="1:6" x14ac:dyDescent="0.25">
      <c r="A173" s="56">
        <v>45772</v>
      </c>
      <c r="B173" t="s">
        <v>112</v>
      </c>
      <c r="C173">
        <v>1</v>
      </c>
      <c r="D173" s="74" cm="1">
        <f t="array" ref="D17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73" s="74">
        <v>1340</v>
      </c>
      <c r="F17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74" spans="1:6" x14ac:dyDescent="0.25">
      <c r="A174" s="56">
        <v>45775</v>
      </c>
      <c r="B174" t="s">
        <v>112</v>
      </c>
      <c r="C174">
        <v>1</v>
      </c>
      <c r="D174" s="74" cm="1">
        <f t="array" ref="D17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74" s="74">
        <v>1340</v>
      </c>
      <c r="F17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175" spans="1:6" x14ac:dyDescent="0.25">
      <c r="A175" s="56">
        <v>45775</v>
      </c>
      <c r="B175" t="s">
        <v>3</v>
      </c>
      <c r="C175">
        <v>1</v>
      </c>
      <c r="D175" s="74" cm="1">
        <f t="array" ref="D17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75" s="74">
        <v>720</v>
      </c>
      <c r="F17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176" spans="1:6" x14ac:dyDescent="0.25">
      <c r="A176" s="56">
        <v>45775</v>
      </c>
      <c r="B176" t="s">
        <v>4</v>
      </c>
      <c r="C176">
        <v>5</v>
      </c>
      <c r="D176" s="74" cm="1">
        <f t="array" ref="D17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11500</v>
      </c>
      <c r="E176" s="74">
        <v>1100</v>
      </c>
      <c r="F17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5646</v>
      </c>
    </row>
    <row r="177" spans="1:8" x14ac:dyDescent="0.25">
      <c r="A177" s="56">
        <v>45776</v>
      </c>
      <c r="B177" t="s">
        <v>4</v>
      </c>
      <c r="C177">
        <v>1</v>
      </c>
      <c r="D177" s="74" cm="1">
        <f t="array" ref="D17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77" s="74">
        <v>1100</v>
      </c>
      <c r="F17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1129.2</v>
      </c>
    </row>
    <row r="178" spans="1:8" x14ac:dyDescent="0.25">
      <c r="A178" s="56">
        <v>45776</v>
      </c>
      <c r="B178" t="s">
        <v>3</v>
      </c>
      <c r="C178">
        <v>5</v>
      </c>
      <c r="D178" s="74" cm="1">
        <f t="array" ref="D17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178" s="74">
        <v>720</v>
      </c>
      <c r="F17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179" spans="1:8" x14ac:dyDescent="0.25">
      <c r="A179" s="56">
        <v>45777</v>
      </c>
      <c r="B179" t="s">
        <v>3</v>
      </c>
      <c r="C179">
        <v>2</v>
      </c>
      <c r="D179" s="74" cm="1">
        <f t="array" ref="D17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79" s="74">
        <v>720</v>
      </c>
      <c r="F17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180" spans="1:8" x14ac:dyDescent="0.25">
      <c r="A180" s="56">
        <v>45782</v>
      </c>
      <c r="B180" t="s">
        <v>3</v>
      </c>
      <c r="C180">
        <v>2</v>
      </c>
      <c r="D180" s="74" cm="1">
        <f t="array" ref="D18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180" s="74">
        <v>720</v>
      </c>
      <c r="F18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  <c r="H180" s="252"/>
    </row>
    <row r="181" spans="1:8" x14ac:dyDescent="0.25">
      <c r="A181" s="56">
        <v>45783</v>
      </c>
      <c r="B181" t="s">
        <v>3</v>
      </c>
      <c r="C181">
        <v>3</v>
      </c>
      <c r="D181" s="74" cm="1">
        <f t="array" ref="D18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81" s="74">
        <v>720</v>
      </c>
      <c r="F18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H181" s="252"/>
    </row>
    <row r="182" spans="1:8" x14ac:dyDescent="0.25">
      <c r="A182" s="56">
        <v>45783</v>
      </c>
      <c r="B182" t="s">
        <v>4</v>
      </c>
      <c r="C182">
        <v>3</v>
      </c>
      <c r="D182" s="74" cm="1">
        <f t="array" ref="D18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82" s="74">
        <v>1250</v>
      </c>
      <c r="F18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  <c r="H182" s="252"/>
    </row>
    <row r="183" spans="1:8" x14ac:dyDescent="0.25">
      <c r="A183" s="56">
        <v>45784</v>
      </c>
      <c r="B183" t="s">
        <v>4</v>
      </c>
      <c r="C183">
        <v>2</v>
      </c>
      <c r="D183" s="74" cm="1">
        <f t="array" ref="D18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83" s="74">
        <v>1250</v>
      </c>
      <c r="F18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  <c r="H183" s="252"/>
    </row>
    <row r="184" spans="1:8" x14ac:dyDescent="0.25">
      <c r="A184" s="56">
        <v>45784</v>
      </c>
      <c r="B184" t="s">
        <v>3</v>
      </c>
      <c r="C184">
        <v>3</v>
      </c>
      <c r="D184" s="74" cm="1">
        <f t="array" ref="D18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84" s="74">
        <v>720</v>
      </c>
      <c r="F18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H184" s="252"/>
    </row>
    <row r="185" spans="1:8" x14ac:dyDescent="0.25">
      <c r="A185" s="56">
        <v>45789</v>
      </c>
      <c r="B185" t="s">
        <v>3</v>
      </c>
      <c r="C185">
        <v>1</v>
      </c>
      <c r="D185" s="74" cm="1">
        <f t="array" ref="D18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85" s="74">
        <v>720</v>
      </c>
      <c r="F18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  <c r="H185" s="252"/>
    </row>
    <row r="186" spans="1:8" x14ac:dyDescent="0.25">
      <c r="A186" s="56">
        <v>45789</v>
      </c>
      <c r="B186" t="s">
        <v>4</v>
      </c>
      <c r="C186">
        <v>3</v>
      </c>
      <c r="D186" s="74" cm="1">
        <f t="array" ref="D18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86" s="74">
        <v>1250</v>
      </c>
      <c r="F18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  <c r="H186" s="252"/>
    </row>
    <row r="187" spans="1:8" x14ac:dyDescent="0.25">
      <c r="A187" s="56">
        <v>45790</v>
      </c>
      <c r="B187" t="s">
        <v>4</v>
      </c>
      <c r="C187">
        <v>2</v>
      </c>
      <c r="D187" s="74" cm="1">
        <f t="array" ref="D18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187" s="74">
        <v>1250</v>
      </c>
      <c r="F18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  <c r="H187" s="252"/>
    </row>
    <row r="188" spans="1:8" x14ac:dyDescent="0.25">
      <c r="A188" s="56">
        <v>45790</v>
      </c>
      <c r="B188" t="s">
        <v>112</v>
      </c>
      <c r="C188">
        <v>1</v>
      </c>
      <c r="D188" s="74" cm="1">
        <f t="array" ref="D18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188" s="74">
        <v>1340</v>
      </c>
      <c r="F18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  <c r="H188" s="252"/>
    </row>
    <row r="189" spans="1:8" x14ac:dyDescent="0.25">
      <c r="A189" s="56">
        <v>45790</v>
      </c>
      <c r="B189" t="s">
        <v>3</v>
      </c>
      <c r="C189">
        <v>4</v>
      </c>
      <c r="D189" s="74" cm="1">
        <f t="array" ref="D18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189" s="74">
        <v>720</v>
      </c>
      <c r="F18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H189" s="252"/>
    </row>
    <row r="190" spans="1:8" x14ac:dyDescent="0.25">
      <c r="A190" s="56">
        <v>45791</v>
      </c>
      <c r="B190" t="s">
        <v>3</v>
      </c>
      <c r="C190">
        <v>6</v>
      </c>
      <c r="D190" s="74" cm="1">
        <f t="array" ref="D19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190" s="74">
        <v>720</v>
      </c>
      <c r="F19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7303.8</v>
      </c>
      <c r="H190" s="252"/>
    </row>
    <row r="191" spans="1:8" x14ac:dyDescent="0.25">
      <c r="A191" s="56">
        <v>45791</v>
      </c>
      <c r="B191" t="s">
        <v>4</v>
      </c>
      <c r="C191">
        <v>1</v>
      </c>
      <c r="D191" s="74" cm="1">
        <f t="array" ref="D19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91" s="74">
        <v>1250</v>
      </c>
      <c r="F19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191" s="252"/>
    </row>
    <row r="192" spans="1:8" x14ac:dyDescent="0.25">
      <c r="A192" s="56">
        <v>45792</v>
      </c>
      <c r="B192" t="s">
        <v>3</v>
      </c>
      <c r="C192">
        <v>5</v>
      </c>
      <c r="D192" s="74" cm="1">
        <f t="array" ref="D19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192" s="74">
        <v>720</v>
      </c>
      <c r="F19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  <c r="H192" s="252"/>
    </row>
    <row r="193" spans="1:8" x14ac:dyDescent="0.25">
      <c r="A193" s="56">
        <v>45793</v>
      </c>
      <c r="B193" t="s">
        <v>3</v>
      </c>
      <c r="C193">
        <v>1</v>
      </c>
      <c r="D193" s="74" cm="1">
        <f t="array" ref="D19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193" s="74">
        <v>720</v>
      </c>
      <c r="F19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  <c r="H193" s="252"/>
    </row>
    <row r="194" spans="1:8" x14ac:dyDescent="0.25">
      <c r="A194" s="56">
        <v>45796</v>
      </c>
      <c r="B194" t="s">
        <v>3</v>
      </c>
      <c r="C194">
        <v>3</v>
      </c>
      <c r="D194" s="74" cm="1">
        <f t="array" ref="D19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94" s="74">
        <v>720</v>
      </c>
      <c r="F19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H194" s="252"/>
    </row>
    <row r="195" spans="1:8" x14ac:dyDescent="0.25">
      <c r="A195" s="56">
        <v>45796</v>
      </c>
      <c r="B195" t="s">
        <v>4</v>
      </c>
      <c r="C195">
        <v>3</v>
      </c>
      <c r="D195" s="74" cm="1">
        <f t="array" ref="D19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195" s="74">
        <v>1250</v>
      </c>
      <c r="F19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  <c r="H195" s="252"/>
    </row>
    <row r="196" spans="1:8" x14ac:dyDescent="0.25">
      <c r="A196" s="56">
        <v>45797</v>
      </c>
      <c r="B196" t="s">
        <v>3</v>
      </c>
      <c r="C196">
        <v>3</v>
      </c>
      <c r="D196" s="74" cm="1">
        <f t="array" ref="D19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96" s="74">
        <v>720</v>
      </c>
      <c r="F19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H196" s="252"/>
    </row>
    <row r="197" spans="1:8" x14ac:dyDescent="0.25">
      <c r="A197" s="56">
        <v>45797</v>
      </c>
      <c r="B197" t="s">
        <v>4</v>
      </c>
      <c r="C197">
        <v>1</v>
      </c>
      <c r="D197" s="74" cm="1">
        <f t="array" ref="D19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97" s="74">
        <v>1250</v>
      </c>
      <c r="F19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197" s="252"/>
    </row>
    <row r="198" spans="1:8" x14ac:dyDescent="0.25">
      <c r="A198" s="56">
        <v>45798</v>
      </c>
      <c r="B198" t="s">
        <v>3</v>
      </c>
      <c r="C198">
        <v>3</v>
      </c>
      <c r="D198" s="74" cm="1">
        <f t="array" ref="D19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198" s="74">
        <v>720</v>
      </c>
      <c r="F19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H198" s="252"/>
    </row>
    <row r="199" spans="1:8" x14ac:dyDescent="0.25">
      <c r="A199" s="56">
        <v>45798</v>
      </c>
      <c r="B199" t="s">
        <v>4</v>
      </c>
      <c r="C199">
        <v>1</v>
      </c>
      <c r="D199" s="74" cm="1">
        <f t="array" ref="D19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199" s="74">
        <v>1250</v>
      </c>
      <c r="F19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199" s="252"/>
    </row>
    <row r="200" spans="1:8" x14ac:dyDescent="0.25">
      <c r="A200" s="56">
        <v>45799</v>
      </c>
      <c r="B200" t="s">
        <v>89</v>
      </c>
      <c r="C200">
        <v>0</v>
      </c>
      <c r="D200" s="74" cm="1">
        <f t="array" ref="D20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0</v>
      </c>
      <c r="E200" s="74">
        <v>0</v>
      </c>
      <c r="F20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0</v>
      </c>
      <c r="H200" s="252"/>
    </row>
    <row r="201" spans="1:8" x14ac:dyDescent="0.25">
      <c r="A201" s="56">
        <v>45800</v>
      </c>
      <c r="B201" t="s">
        <v>4</v>
      </c>
      <c r="C201">
        <v>2</v>
      </c>
      <c r="D201" s="74" cm="1">
        <f t="array" ref="D20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01" s="74">
        <v>1250</v>
      </c>
      <c r="F20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  <c r="H201" s="252"/>
    </row>
    <row r="202" spans="1:8" x14ac:dyDescent="0.25">
      <c r="A202" s="56">
        <v>45803</v>
      </c>
      <c r="B202" t="s">
        <v>3</v>
      </c>
      <c r="C202">
        <v>3</v>
      </c>
      <c r="D202" s="74" cm="1">
        <f t="array" ref="D20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202" s="74">
        <v>720</v>
      </c>
      <c r="F20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  <c r="H202" s="252"/>
    </row>
    <row r="203" spans="1:8" x14ac:dyDescent="0.25">
      <c r="A203" s="56">
        <v>45804</v>
      </c>
      <c r="B203" t="s">
        <v>3</v>
      </c>
      <c r="C203">
        <v>4</v>
      </c>
      <c r="D203" s="74" cm="1">
        <f t="array" ref="D20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03" s="74">
        <v>720</v>
      </c>
      <c r="F20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  <c r="H203" s="252"/>
    </row>
    <row r="204" spans="1:8" x14ac:dyDescent="0.25">
      <c r="A204" s="56">
        <v>45804</v>
      </c>
      <c r="B204" t="s">
        <v>4</v>
      </c>
      <c r="C204">
        <v>1</v>
      </c>
      <c r="D204" s="74" cm="1">
        <f t="array" ref="D20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04" s="74">
        <v>1250</v>
      </c>
      <c r="F20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204" s="252"/>
    </row>
    <row r="205" spans="1:8" x14ac:dyDescent="0.25">
      <c r="A205" s="56">
        <v>45805</v>
      </c>
      <c r="B205" t="s">
        <v>4</v>
      </c>
      <c r="C205">
        <v>1</v>
      </c>
      <c r="D205" s="74" cm="1">
        <f t="array" ref="D20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05" s="74">
        <v>1250</v>
      </c>
      <c r="F20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205" s="252"/>
    </row>
    <row r="206" spans="1:8" x14ac:dyDescent="0.25">
      <c r="A206" s="56">
        <v>45805</v>
      </c>
      <c r="B206" t="s">
        <v>3</v>
      </c>
      <c r="C206">
        <v>1</v>
      </c>
      <c r="D206" s="74" cm="1">
        <f t="array" ref="D20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06" s="74">
        <v>795</v>
      </c>
      <c r="F20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1142.3</v>
      </c>
      <c r="H206" s="252"/>
    </row>
    <row r="207" spans="1:8" x14ac:dyDescent="0.25">
      <c r="A207" s="56">
        <v>45806</v>
      </c>
      <c r="B207" t="s">
        <v>4</v>
      </c>
      <c r="C207">
        <v>1</v>
      </c>
      <c r="D207" s="74" cm="1">
        <f t="array" ref="D20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07" s="74">
        <v>1250</v>
      </c>
      <c r="F20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207" s="252"/>
    </row>
    <row r="208" spans="1:8" x14ac:dyDescent="0.25">
      <c r="A208" s="56">
        <v>45806</v>
      </c>
      <c r="B208" t="s">
        <v>112</v>
      </c>
      <c r="C208">
        <v>1</v>
      </c>
      <c r="D208" s="74" cm="1">
        <f t="array" ref="D20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08" s="74">
        <v>1340</v>
      </c>
      <c r="F20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  <c r="H208" s="252"/>
    </row>
    <row r="209" spans="1:8" x14ac:dyDescent="0.25">
      <c r="A209" s="56">
        <v>45806</v>
      </c>
      <c r="B209" t="s">
        <v>3</v>
      </c>
      <c r="C209">
        <v>2</v>
      </c>
      <c r="D209" s="74" cm="1">
        <f t="array" ref="D20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09" s="74">
        <v>720</v>
      </c>
      <c r="F20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  <c r="H209" s="252"/>
    </row>
    <row r="210" spans="1:8" x14ac:dyDescent="0.25">
      <c r="A210" s="56">
        <v>45807</v>
      </c>
      <c r="B210" t="s">
        <v>4</v>
      </c>
      <c r="C210">
        <v>1</v>
      </c>
      <c r="D210" s="74" cm="1">
        <f t="array" ref="D21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10" s="74">
        <v>1250</v>
      </c>
      <c r="F21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  <c r="H210" s="252"/>
    </row>
    <row r="211" spans="1:8" x14ac:dyDescent="0.25">
      <c r="A211" s="56">
        <v>45810</v>
      </c>
      <c r="B211" t="s">
        <v>4</v>
      </c>
      <c r="C211">
        <v>2</v>
      </c>
      <c r="D211" s="74" cm="1">
        <f t="array" ref="D21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11" s="74">
        <v>1250</v>
      </c>
      <c r="F21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  <c r="H211" s="252"/>
    </row>
    <row r="212" spans="1:8" x14ac:dyDescent="0.25">
      <c r="A212" s="56">
        <v>45811</v>
      </c>
      <c r="B212" t="s">
        <v>3</v>
      </c>
      <c r="C212">
        <v>3</v>
      </c>
      <c r="D212" s="74" cm="1">
        <f t="array" ref="D21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212" s="74">
        <v>720</v>
      </c>
      <c r="F21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213" spans="1:8" x14ac:dyDescent="0.25">
      <c r="A213" s="56">
        <v>45812</v>
      </c>
      <c r="B213" t="s">
        <v>3</v>
      </c>
      <c r="C213">
        <v>2</v>
      </c>
      <c r="D213" s="74" cm="1">
        <f t="array" ref="D21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13" s="74">
        <v>720</v>
      </c>
      <c r="F21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14" spans="1:8" x14ac:dyDescent="0.25">
      <c r="A214" s="56">
        <v>45812</v>
      </c>
      <c r="B214" t="s">
        <v>4</v>
      </c>
      <c r="C214">
        <v>1</v>
      </c>
      <c r="D214" s="74" cm="1">
        <f t="array" ref="D21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14" s="74">
        <v>1250</v>
      </c>
      <c r="F21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215" spans="1:8" x14ac:dyDescent="0.25">
      <c r="A215" s="56">
        <v>45812</v>
      </c>
      <c r="B215" t="s">
        <v>112</v>
      </c>
      <c r="C215">
        <v>1</v>
      </c>
      <c r="D215" s="74" cm="1">
        <f t="array" ref="D21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15" s="74">
        <v>1340</v>
      </c>
      <c r="F21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16" spans="1:8" x14ac:dyDescent="0.25">
      <c r="A216" s="56">
        <v>45813</v>
      </c>
      <c r="B216" t="s">
        <v>4</v>
      </c>
      <c r="C216">
        <v>4</v>
      </c>
      <c r="D216" s="74" cm="1">
        <f t="array" ref="D21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216" s="74">
        <v>1250</v>
      </c>
      <c r="F21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217" spans="1:8" x14ac:dyDescent="0.25">
      <c r="A217" s="56">
        <v>45813</v>
      </c>
      <c r="B217" t="s">
        <v>112</v>
      </c>
      <c r="C217">
        <v>1</v>
      </c>
      <c r="D217" s="74" cm="1">
        <f t="array" ref="D21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17" s="74">
        <v>1340</v>
      </c>
      <c r="F21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18" spans="1:8" x14ac:dyDescent="0.25">
      <c r="A218" s="56">
        <v>45813</v>
      </c>
      <c r="B218" t="s">
        <v>3</v>
      </c>
      <c r="C218">
        <v>4</v>
      </c>
      <c r="D218" s="74" cm="1">
        <f t="array" ref="D21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18" s="74">
        <v>720</v>
      </c>
      <c r="F21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19" spans="1:8" x14ac:dyDescent="0.25">
      <c r="A219" s="56">
        <v>45814</v>
      </c>
      <c r="B219" t="s">
        <v>3</v>
      </c>
      <c r="C219">
        <v>3</v>
      </c>
      <c r="D219" s="74" cm="1">
        <f t="array" ref="D21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219" s="74">
        <v>720</v>
      </c>
      <c r="F21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220" spans="1:8" x14ac:dyDescent="0.25">
      <c r="A220" s="56">
        <v>45814</v>
      </c>
      <c r="B220" t="s">
        <v>4</v>
      </c>
      <c r="C220">
        <v>2</v>
      </c>
      <c r="D220" s="74" cm="1">
        <f t="array" ref="D22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20" s="74">
        <v>1250</v>
      </c>
      <c r="F22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221" spans="1:8" x14ac:dyDescent="0.25">
      <c r="A221" s="56">
        <v>45817</v>
      </c>
      <c r="B221" t="s">
        <v>112</v>
      </c>
      <c r="C221">
        <v>1</v>
      </c>
      <c r="D221" s="74" cm="1">
        <f t="array" ref="D22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21" s="74">
        <v>1340</v>
      </c>
      <c r="F22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22" spans="1:8" x14ac:dyDescent="0.25">
      <c r="A222" s="56">
        <v>45817</v>
      </c>
      <c r="B222" t="s">
        <v>3</v>
      </c>
      <c r="C222">
        <v>4</v>
      </c>
      <c r="D222" s="74" cm="1">
        <f t="array" ref="D22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22" s="74">
        <v>720</v>
      </c>
      <c r="F22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23" spans="1:8" x14ac:dyDescent="0.25">
      <c r="A223" s="56">
        <v>45817</v>
      </c>
      <c r="B223" t="s">
        <v>4</v>
      </c>
      <c r="C223">
        <v>5</v>
      </c>
      <c r="D223" s="74" cm="1">
        <f t="array" ref="D22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11500</v>
      </c>
      <c r="E223" s="74">
        <v>1250</v>
      </c>
      <c r="F22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4896</v>
      </c>
    </row>
    <row r="224" spans="1:8" x14ac:dyDescent="0.25">
      <c r="A224" s="56">
        <v>45818</v>
      </c>
      <c r="B224" t="s">
        <v>4</v>
      </c>
      <c r="C224">
        <v>3</v>
      </c>
      <c r="D224" s="74" cm="1">
        <f t="array" ref="D22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224" s="74">
        <v>1250</v>
      </c>
      <c r="F22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225" spans="1:6" x14ac:dyDescent="0.25">
      <c r="A225" s="56">
        <v>45818</v>
      </c>
      <c r="B225" t="s">
        <v>3</v>
      </c>
      <c r="C225">
        <v>3</v>
      </c>
      <c r="D225" s="74" cm="1">
        <f t="array" ref="D22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225" s="74">
        <v>720</v>
      </c>
      <c r="F22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226" spans="1:6" x14ac:dyDescent="0.25">
      <c r="A226" s="56">
        <v>45819</v>
      </c>
      <c r="B226" t="s">
        <v>4</v>
      </c>
      <c r="C226">
        <v>3</v>
      </c>
      <c r="D226" s="74" cm="1">
        <f t="array" ref="D22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226" s="74">
        <v>1250</v>
      </c>
      <c r="F22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227" spans="1:6" x14ac:dyDescent="0.25">
      <c r="A227" s="56">
        <v>45824</v>
      </c>
      <c r="B227" t="s">
        <v>3</v>
      </c>
      <c r="C227">
        <v>2</v>
      </c>
      <c r="D227" s="74" cm="1">
        <f t="array" ref="D22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27" s="74">
        <v>720</v>
      </c>
      <c r="F22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28" spans="1:6" x14ac:dyDescent="0.25">
      <c r="A228" s="56">
        <v>45825</v>
      </c>
      <c r="B228" t="s">
        <v>3</v>
      </c>
      <c r="C228">
        <v>4</v>
      </c>
      <c r="D228" s="74" cm="1">
        <f t="array" ref="D22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28" s="74">
        <v>720</v>
      </c>
      <c r="F22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29" spans="1:6" x14ac:dyDescent="0.25">
      <c r="A229" s="56">
        <v>45826</v>
      </c>
      <c r="B229" t="s">
        <v>3</v>
      </c>
      <c r="C229">
        <v>2</v>
      </c>
      <c r="D229" s="74" cm="1">
        <f t="array" ref="D22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29" s="74">
        <v>720</v>
      </c>
      <c r="F22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30" spans="1:6" x14ac:dyDescent="0.25">
      <c r="A230" s="56">
        <v>45826</v>
      </c>
      <c r="B230" t="s">
        <v>4</v>
      </c>
      <c r="C230">
        <v>2</v>
      </c>
      <c r="D230" s="74" cm="1">
        <f t="array" ref="D23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30" s="74">
        <v>1250</v>
      </c>
      <c r="F23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231" spans="1:6" x14ac:dyDescent="0.25">
      <c r="A231" s="56">
        <v>45827</v>
      </c>
      <c r="B231" t="s">
        <v>3</v>
      </c>
      <c r="C231">
        <v>5</v>
      </c>
      <c r="D231" s="74" cm="1">
        <f t="array" ref="D23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231" s="74">
        <v>720</v>
      </c>
      <c r="F23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232" spans="1:6" x14ac:dyDescent="0.25">
      <c r="A232" s="56">
        <v>45827</v>
      </c>
      <c r="B232" t="s">
        <v>112</v>
      </c>
      <c r="C232">
        <v>2</v>
      </c>
      <c r="D232" s="74" cm="1">
        <f t="array" ref="D23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5340</v>
      </c>
      <c r="E232" s="74">
        <v>1340</v>
      </c>
      <c r="F23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2498.4199999999996</v>
      </c>
    </row>
    <row r="233" spans="1:6" x14ac:dyDescent="0.25">
      <c r="A233" s="56">
        <v>45827</v>
      </c>
      <c r="B233" t="s">
        <v>4</v>
      </c>
      <c r="C233">
        <v>2</v>
      </c>
      <c r="D233" s="74" cm="1">
        <f t="array" ref="D23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33" s="74">
        <v>1250</v>
      </c>
      <c r="F23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234" spans="1:6" x14ac:dyDescent="0.25">
      <c r="A234" s="56">
        <v>45828</v>
      </c>
      <c r="B234" t="s">
        <v>3</v>
      </c>
      <c r="C234">
        <v>6</v>
      </c>
      <c r="D234" s="74" cm="1">
        <f t="array" ref="D23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12000</v>
      </c>
      <c r="E234" s="74">
        <v>720</v>
      </c>
      <c r="F23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7303.8</v>
      </c>
    </row>
    <row r="235" spans="1:6" x14ac:dyDescent="0.25">
      <c r="A235" s="56">
        <v>45828</v>
      </c>
      <c r="B235" t="s">
        <v>4</v>
      </c>
      <c r="C235">
        <v>2</v>
      </c>
      <c r="D235" s="74" cm="1">
        <f t="array" ref="D23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35" s="74">
        <v>1250</v>
      </c>
      <c r="F23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236" spans="1:6" x14ac:dyDescent="0.25">
      <c r="A236" s="56">
        <v>45831</v>
      </c>
      <c r="B236" t="s">
        <v>3</v>
      </c>
      <c r="C236">
        <v>4</v>
      </c>
      <c r="D236" s="74" cm="1">
        <f t="array" ref="D23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36" s="74">
        <v>720</v>
      </c>
      <c r="F23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37" spans="1:6" x14ac:dyDescent="0.25">
      <c r="A237" s="56">
        <v>45832</v>
      </c>
      <c r="B237" t="s">
        <v>3</v>
      </c>
      <c r="C237">
        <v>1</v>
      </c>
      <c r="D237" s="74" cm="1">
        <f t="array" ref="D23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37" s="74">
        <v>720</v>
      </c>
      <c r="F23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38" spans="1:6" x14ac:dyDescent="0.25">
      <c r="A238" s="56">
        <v>45832</v>
      </c>
      <c r="B238" t="s">
        <v>112</v>
      </c>
      <c r="C238">
        <v>1</v>
      </c>
      <c r="D238" s="74" cm="1">
        <f t="array" ref="D23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38" s="74">
        <v>1340</v>
      </c>
      <c r="F23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39" spans="1:6" x14ac:dyDescent="0.25">
      <c r="A239" s="56">
        <v>45832</v>
      </c>
      <c r="B239" t="s">
        <v>4</v>
      </c>
      <c r="C239">
        <v>1</v>
      </c>
      <c r="D239" s="74" cm="1">
        <f t="array" ref="D23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39" s="74">
        <v>1250</v>
      </c>
      <c r="F23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240" spans="1:6" x14ac:dyDescent="0.25">
      <c r="A240" s="56">
        <v>45833</v>
      </c>
      <c r="B240" t="s">
        <v>3</v>
      </c>
      <c r="C240">
        <v>3</v>
      </c>
      <c r="D240" s="74" cm="1">
        <f t="array" ref="D24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240" s="74">
        <v>720</v>
      </c>
      <c r="F24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241" spans="1:6" x14ac:dyDescent="0.25">
      <c r="A241" s="56">
        <v>45833</v>
      </c>
      <c r="B241" t="s">
        <v>4</v>
      </c>
      <c r="C241">
        <v>1</v>
      </c>
      <c r="D241" s="74" cm="1">
        <f t="array" ref="D24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41" s="74">
        <v>1250</v>
      </c>
      <c r="F24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242" spans="1:6" x14ac:dyDescent="0.25">
      <c r="A242" s="56">
        <v>45834</v>
      </c>
      <c r="B242" t="s">
        <v>89</v>
      </c>
      <c r="C242">
        <v>0</v>
      </c>
      <c r="D242" s="74" cm="1">
        <f t="array" ref="D24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0</v>
      </c>
      <c r="E242" s="74">
        <v>0</v>
      </c>
      <c r="F24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0</v>
      </c>
    </row>
    <row r="243" spans="1:6" x14ac:dyDescent="0.25">
      <c r="A243" s="56">
        <v>45835</v>
      </c>
      <c r="B243" t="s">
        <v>3</v>
      </c>
      <c r="C243">
        <v>2</v>
      </c>
      <c r="D243" s="74" cm="1">
        <f t="array" ref="D24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43" s="74">
        <v>720</v>
      </c>
      <c r="F24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44" spans="1:6" x14ac:dyDescent="0.25">
      <c r="A244" s="56">
        <v>45835</v>
      </c>
      <c r="B244" t="s">
        <v>4</v>
      </c>
      <c r="C244">
        <v>2</v>
      </c>
      <c r="D244" s="74" cm="1">
        <f t="array" ref="D24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44" s="74">
        <v>1250</v>
      </c>
      <c r="F24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245" spans="1:6" x14ac:dyDescent="0.25">
      <c r="A245" s="56">
        <v>45838</v>
      </c>
      <c r="B245" t="s">
        <v>4</v>
      </c>
      <c r="C245">
        <v>2</v>
      </c>
      <c r="D245" s="74" cm="1">
        <f t="array" ref="D24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45" s="74">
        <v>800</v>
      </c>
      <c r="F24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46" spans="1:6" x14ac:dyDescent="0.25">
      <c r="A246" s="56">
        <v>45838</v>
      </c>
      <c r="B246" t="s">
        <v>3</v>
      </c>
      <c r="C246">
        <v>1</v>
      </c>
      <c r="D246" s="74" cm="1">
        <f t="array" ref="D24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46" s="74">
        <v>720</v>
      </c>
      <c r="F24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47" spans="1:6" x14ac:dyDescent="0.25">
      <c r="A247" s="56">
        <v>45839</v>
      </c>
      <c r="B247" t="s">
        <v>4</v>
      </c>
      <c r="C247">
        <v>3</v>
      </c>
      <c r="D247" s="74" cm="1">
        <f t="array" ref="D24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247" s="74">
        <v>800</v>
      </c>
      <c r="F24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4287.5999999999995</v>
      </c>
    </row>
    <row r="248" spans="1:6" x14ac:dyDescent="0.25">
      <c r="A248" s="56">
        <v>45839</v>
      </c>
      <c r="B248" t="s">
        <v>3</v>
      </c>
      <c r="C248">
        <v>1</v>
      </c>
      <c r="D248" s="74" cm="1">
        <f t="array" ref="D24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48" s="74">
        <v>720</v>
      </c>
      <c r="F24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49" spans="1:6" x14ac:dyDescent="0.25">
      <c r="A249" s="56">
        <v>45840</v>
      </c>
      <c r="B249" t="s">
        <v>112</v>
      </c>
      <c r="C249">
        <v>2</v>
      </c>
      <c r="D249" s="74" cm="1">
        <f t="array" ref="D24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5340</v>
      </c>
      <c r="E249" s="74">
        <v>1340</v>
      </c>
      <c r="F24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2498.4199999999996</v>
      </c>
    </row>
    <row r="250" spans="1:6" x14ac:dyDescent="0.25">
      <c r="A250" s="56">
        <v>45840</v>
      </c>
      <c r="B250" t="s">
        <v>4</v>
      </c>
      <c r="C250">
        <v>2</v>
      </c>
      <c r="D250" s="74" cm="1">
        <f t="array" ref="D25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50" s="74">
        <v>800</v>
      </c>
      <c r="F25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51" spans="1:6" x14ac:dyDescent="0.25">
      <c r="A251" s="56">
        <v>45841</v>
      </c>
      <c r="B251" t="s">
        <v>4</v>
      </c>
      <c r="C251">
        <v>3</v>
      </c>
      <c r="D251" s="74" cm="1">
        <f t="array" ref="D25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251" s="74">
        <v>800</v>
      </c>
      <c r="F25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4287.5999999999995</v>
      </c>
    </row>
    <row r="252" spans="1:6" x14ac:dyDescent="0.25">
      <c r="A252" s="56">
        <v>45841</v>
      </c>
      <c r="B252" t="s">
        <v>3</v>
      </c>
      <c r="C252">
        <v>1</v>
      </c>
      <c r="D252" s="74" cm="1">
        <f t="array" ref="D25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52" s="74">
        <v>720</v>
      </c>
      <c r="F25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53" spans="1:6" x14ac:dyDescent="0.25">
      <c r="A253" s="56">
        <v>45842</v>
      </c>
      <c r="B253" t="s">
        <v>112</v>
      </c>
      <c r="C253">
        <v>1</v>
      </c>
      <c r="D253" s="74" cm="1">
        <f t="array" ref="D25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53" s="74">
        <v>1340</v>
      </c>
      <c r="F25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54" spans="1:6" x14ac:dyDescent="0.25">
      <c r="A254" s="56">
        <v>45842</v>
      </c>
      <c r="B254" t="s">
        <v>4</v>
      </c>
      <c r="C254">
        <v>1</v>
      </c>
      <c r="D254" s="74" cm="1">
        <f t="array" ref="D25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54" s="74">
        <v>800</v>
      </c>
      <c r="F25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55" spans="1:6" x14ac:dyDescent="0.25">
      <c r="A255" s="56">
        <v>45842</v>
      </c>
      <c r="B255" t="s">
        <v>3</v>
      </c>
      <c r="C255">
        <v>1</v>
      </c>
      <c r="D255" s="74" cm="1">
        <f t="array" ref="D25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55" s="74">
        <v>720</v>
      </c>
      <c r="F25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56" spans="1:6" x14ac:dyDescent="0.25">
      <c r="A256" s="56">
        <v>45845</v>
      </c>
      <c r="B256" t="s">
        <v>3</v>
      </c>
      <c r="C256">
        <v>4</v>
      </c>
      <c r="D256" s="74" cm="1">
        <f t="array" ref="D25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56" s="74">
        <v>720</v>
      </c>
      <c r="F25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57" spans="1:6" x14ac:dyDescent="0.25">
      <c r="A257" s="56">
        <v>45845</v>
      </c>
      <c r="B257" t="s">
        <v>4</v>
      </c>
      <c r="C257">
        <v>1</v>
      </c>
      <c r="D257" s="74" cm="1">
        <f t="array" ref="D25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57" s="74">
        <v>800</v>
      </c>
      <c r="F25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58" spans="1:6" x14ac:dyDescent="0.25">
      <c r="A258" s="56">
        <v>45846</v>
      </c>
      <c r="B258" t="s">
        <v>3</v>
      </c>
      <c r="C258">
        <v>2</v>
      </c>
      <c r="D258" s="74" cm="1">
        <f t="array" ref="D25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58" s="74">
        <v>720</v>
      </c>
      <c r="F25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59" spans="1:6" x14ac:dyDescent="0.25">
      <c r="A259" s="56">
        <v>45846</v>
      </c>
      <c r="B259" t="s">
        <v>4</v>
      </c>
      <c r="C259">
        <v>2</v>
      </c>
      <c r="D259" s="74" cm="1">
        <f t="array" ref="D25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59" s="74">
        <v>800</v>
      </c>
      <c r="F25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60" spans="1:6" x14ac:dyDescent="0.25">
      <c r="A260" s="56">
        <v>45847</v>
      </c>
      <c r="B260" t="s">
        <v>4</v>
      </c>
      <c r="C260">
        <v>5</v>
      </c>
      <c r="D260" s="74" cm="1">
        <f t="array" ref="D26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11500</v>
      </c>
      <c r="E260" s="74">
        <v>800</v>
      </c>
      <c r="F26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7146</v>
      </c>
    </row>
    <row r="261" spans="1:6" x14ac:dyDescent="0.25">
      <c r="A261" s="56">
        <v>45847</v>
      </c>
      <c r="B261" t="s">
        <v>3</v>
      </c>
      <c r="C261">
        <v>2</v>
      </c>
      <c r="D261" s="74" cm="1">
        <f t="array" ref="D26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61" s="74">
        <v>720</v>
      </c>
      <c r="F26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62" spans="1:6" x14ac:dyDescent="0.25">
      <c r="A262" s="56">
        <v>45848</v>
      </c>
      <c r="B262" t="s">
        <v>4</v>
      </c>
      <c r="C262">
        <v>4</v>
      </c>
      <c r="D262" s="74" cm="1">
        <f t="array" ref="D26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262" s="74">
        <v>800</v>
      </c>
      <c r="F26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5716.8</v>
      </c>
    </row>
    <row r="263" spans="1:6" x14ac:dyDescent="0.25">
      <c r="A263" s="56">
        <v>45848</v>
      </c>
      <c r="B263" t="s">
        <v>3</v>
      </c>
      <c r="C263">
        <v>1</v>
      </c>
      <c r="D263" s="74" cm="1">
        <f t="array" ref="D26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63" s="74">
        <v>720</v>
      </c>
      <c r="F26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64" spans="1:6" x14ac:dyDescent="0.25">
      <c r="A264" s="56">
        <v>45849</v>
      </c>
      <c r="B264" t="s">
        <v>4</v>
      </c>
      <c r="C264">
        <v>2</v>
      </c>
      <c r="D264" s="74" cm="1">
        <f t="array" ref="D26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64" s="74">
        <v>800</v>
      </c>
      <c r="F26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65" spans="1:6" x14ac:dyDescent="0.25">
      <c r="A265" s="56">
        <v>45849</v>
      </c>
      <c r="B265" t="s">
        <v>3</v>
      </c>
      <c r="C265">
        <v>2</v>
      </c>
      <c r="D265" s="74" cm="1">
        <f t="array" ref="D26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65" s="74">
        <v>720</v>
      </c>
      <c r="F26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66" spans="1:6" x14ac:dyDescent="0.25">
      <c r="A266" s="56">
        <v>45852</v>
      </c>
      <c r="B266" t="s">
        <v>3</v>
      </c>
      <c r="C266">
        <v>2</v>
      </c>
      <c r="D266" s="74" cm="1">
        <f t="array" ref="D26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66" s="74">
        <v>720</v>
      </c>
      <c r="F26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67" spans="1:6" x14ac:dyDescent="0.25">
      <c r="A267" s="56">
        <v>45852</v>
      </c>
      <c r="B267" t="s">
        <v>112</v>
      </c>
      <c r="C267">
        <v>1</v>
      </c>
      <c r="D267" s="74" cm="1">
        <f t="array" ref="D26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67" s="74">
        <v>1340</v>
      </c>
      <c r="F26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68" spans="1:6" x14ac:dyDescent="0.25">
      <c r="A268" s="56">
        <v>45852</v>
      </c>
      <c r="B268" t="s">
        <v>4</v>
      </c>
      <c r="C268">
        <v>1</v>
      </c>
      <c r="D268" s="74" cm="1">
        <f t="array" ref="D26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68" s="74">
        <v>800</v>
      </c>
      <c r="F26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69" spans="1:6" x14ac:dyDescent="0.25">
      <c r="A269" s="56">
        <v>45853</v>
      </c>
      <c r="B269" t="s">
        <v>3</v>
      </c>
      <c r="C269">
        <v>1</v>
      </c>
      <c r="D269" s="74" cm="1">
        <f t="array" ref="D26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69" s="74">
        <v>720</v>
      </c>
      <c r="F26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70" spans="1:6" x14ac:dyDescent="0.25">
      <c r="A270" s="56">
        <v>45853</v>
      </c>
      <c r="B270" t="s">
        <v>4</v>
      </c>
      <c r="C270">
        <v>1</v>
      </c>
      <c r="D270" s="74" cm="1">
        <f t="array" ref="D27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70" s="74">
        <v>800</v>
      </c>
      <c r="F27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71" spans="1:6" x14ac:dyDescent="0.25">
      <c r="A271" s="56">
        <v>45854</v>
      </c>
      <c r="B271" t="s">
        <v>4</v>
      </c>
      <c r="C271">
        <v>5</v>
      </c>
      <c r="D271" s="74" cm="1">
        <f t="array" ref="D27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11500</v>
      </c>
      <c r="E271" s="74">
        <v>800</v>
      </c>
      <c r="F27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7146</v>
      </c>
    </row>
    <row r="272" spans="1:6" x14ac:dyDescent="0.25">
      <c r="A272" s="56">
        <v>45855</v>
      </c>
      <c r="B272" t="s">
        <v>4</v>
      </c>
      <c r="C272">
        <v>2</v>
      </c>
      <c r="D272" s="74" cm="1">
        <f t="array" ref="D27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72" s="74">
        <v>800</v>
      </c>
      <c r="F27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73" spans="1:6" x14ac:dyDescent="0.25">
      <c r="A273" s="56">
        <v>45855</v>
      </c>
      <c r="B273" t="s">
        <v>3</v>
      </c>
      <c r="C273">
        <v>4</v>
      </c>
      <c r="D273" s="74" cm="1">
        <f t="array" ref="D27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73" s="74">
        <v>720</v>
      </c>
      <c r="F27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74" spans="1:6" x14ac:dyDescent="0.25">
      <c r="A274" s="56">
        <v>45856</v>
      </c>
      <c r="B274" t="s">
        <v>3</v>
      </c>
      <c r="C274">
        <v>5</v>
      </c>
      <c r="D274" s="74" cm="1">
        <f t="array" ref="D27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274" s="74">
        <v>720</v>
      </c>
      <c r="F27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275" spans="1:6" x14ac:dyDescent="0.25">
      <c r="A275" s="56">
        <v>45856</v>
      </c>
      <c r="B275" t="s">
        <v>4</v>
      </c>
      <c r="C275">
        <v>2</v>
      </c>
      <c r="D275" s="74" cm="1">
        <f t="array" ref="D27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75" s="74">
        <v>800</v>
      </c>
      <c r="F27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76" spans="1:6" x14ac:dyDescent="0.25">
      <c r="A276" s="56">
        <v>45856</v>
      </c>
      <c r="B276" t="s">
        <v>112</v>
      </c>
      <c r="C276">
        <v>2</v>
      </c>
      <c r="D276" s="74" cm="1">
        <f t="array" ref="D27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5340</v>
      </c>
      <c r="E276" s="74">
        <v>1340</v>
      </c>
      <c r="F27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2498.4199999999996</v>
      </c>
    </row>
    <row r="277" spans="1:6" x14ac:dyDescent="0.25">
      <c r="A277" s="56">
        <v>45859</v>
      </c>
      <c r="B277" t="s">
        <v>4</v>
      </c>
      <c r="C277">
        <v>3</v>
      </c>
      <c r="D277" s="74" cm="1">
        <f t="array" ref="D27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277" s="74">
        <v>800</v>
      </c>
      <c r="F27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4287.5999999999995</v>
      </c>
    </row>
    <row r="278" spans="1:6" x14ac:dyDescent="0.25">
      <c r="A278" s="56">
        <v>45859</v>
      </c>
      <c r="B278" t="s">
        <v>3</v>
      </c>
      <c r="C278">
        <v>5</v>
      </c>
      <c r="D278" s="74" cm="1">
        <f t="array" ref="D27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10000</v>
      </c>
      <c r="E278" s="74">
        <v>720</v>
      </c>
      <c r="F27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6086.5</v>
      </c>
    </row>
    <row r="279" spans="1:6" x14ac:dyDescent="0.25">
      <c r="A279" s="56">
        <v>45860</v>
      </c>
      <c r="B279" t="s">
        <v>3</v>
      </c>
      <c r="C279">
        <v>4</v>
      </c>
      <c r="D279" s="74" cm="1">
        <f t="array" ref="D27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8000</v>
      </c>
      <c r="E279" s="74">
        <v>720</v>
      </c>
      <c r="F27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4869.2</v>
      </c>
    </row>
    <row r="280" spans="1:6" x14ac:dyDescent="0.25">
      <c r="A280" s="56">
        <v>45860</v>
      </c>
      <c r="B280" t="s">
        <v>4</v>
      </c>
      <c r="C280">
        <v>2</v>
      </c>
      <c r="D280" s="74" cm="1">
        <f t="array" ref="D28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80" s="74">
        <v>800</v>
      </c>
      <c r="F28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81" spans="1:6" x14ac:dyDescent="0.25">
      <c r="A281" s="56">
        <v>45861</v>
      </c>
      <c r="B281" t="s">
        <v>4</v>
      </c>
      <c r="C281">
        <v>4</v>
      </c>
      <c r="D281" s="74" cm="1">
        <f t="array" ref="D28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281" s="74">
        <v>800</v>
      </c>
      <c r="F28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5716.8</v>
      </c>
    </row>
    <row r="282" spans="1:6" x14ac:dyDescent="0.25">
      <c r="A282" s="56">
        <v>45861</v>
      </c>
      <c r="B282" t="s">
        <v>3</v>
      </c>
      <c r="C282">
        <v>1</v>
      </c>
      <c r="D282" s="74" cm="1">
        <f t="array" ref="D28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82" s="74">
        <v>720</v>
      </c>
      <c r="F28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83" spans="1:6" x14ac:dyDescent="0.25">
      <c r="A283" s="56">
        <v>45862</v>
      </c>
      <c r="B283" t="s">
        <v>3</v>
      </c>
      <c r="C283">
        <v>1</v>
      </c>
      <c r="D283" s="74" cm="1">
        <f t="array" ref="D28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83" s="74">
        <v>720</v>
      </c>
      <c r="F28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84" spans="1:6" x14ac:dyDescent="0.25">
      <c r="A284" s="56">
        <v>45862</v>
      </c>
      <c r="B284" t="s">
        <v>112</v>
      </c>
      <c r="C284">
        <v>1</v>
      </c>
      <c r="D284" s="74" cm="1">
        <f t="array" ref="D28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84" s="74">
        <v>1340</v>
      </c>
      <c r="F28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85" spans="1:6" x14ac:dyDescent="0.25">
      <c r="A285" s="56">
        <v>45862</v>
      </c>
      <c r="B285" t="s">
        <v>4</v>
      </c>
      <c r="C285">
        <v>1</v>
      </c>
      <c r="D285" s="74" cm="1">
        <f t="array" ref="D28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85" s="74">
        <v>800</v>
      </c>
      <c r="F28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86" spans="1:6" x14ac:dyDescent="0.25">
      <c r="A286" s="56">
        <v>45863</v>
      </c>
      <c r="B286" t="s">
        <v>4</v>
      </c>
      <c r="C286">
        <v>2</v>
      </c>
      <c r="D286" s="74" cm="1">
        <f t="array" ref="D28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286" s="74">
        <v>800</v>
      </c>
      <c r="F28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2858.4</v>
      </c>
    </row>
    <row r="287" spans="1:6" x14ac:dyDescent="0.25">
      <c r="A287" s="56">
        <v>45863</v>
      </c>
      <c r="B287" t="s">
        <v>3</v>
      </c>
      <c r="C287">
        <v>1</v>
      </c>
      <c r="D287" s="74" cm="1">
        <f t="array" ref="D28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87" s="74">
        <v>720</v>
      </c>
      <c r="F28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88" spans="1:6" x14ac:dyDescent="0.25">
      <c r="A288" s="56">
        <v>45866</v>
      </c>
      <c r="B288" t="s">
        <v>112</v>
      </c>
      <c r="C288">
        <v>1</v>
      </c>
      <c r="D288" s="74" cm="1">
        <f t="array" ref="D28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2670</v>
      </c>
      <c r="E288" s="74">
        <v>1340</v>
      </c>
      <c r="F28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1249.2099999999998</v>
      </c>
    </row>
    <row r="289" spans="1:6" x14ac:dyDescent="0.25">
      <c r="A289" s="56">
        <v>45866</v>
      </c>
      <c r="B289" t="s">
        <v>3</v>
      </c>
      <c r="C289">
        <v>2</v>
      </c>
      <c r="D289" s="74" cm="1">
        <f t="array" ref="D28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289" s="74">
        <v>720</v>
      </c>
      <c r="F28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290" spans="1:6" x14ac:dyDescent="0.25">
      <c r="A290" s="56">
        <v>45866</v>
      </c>
      <c r="B290" t="s">
        <v>4</v>
      </c>
      <c r="C290">
        <v>1</v>
      </c>
      <c r="D290" s="74" cm="1">
        <f t="array" ref="D29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90" s="74">
        <v>800</v>
      </c>
      <c r="F29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91" spans="1:6" x14ac:dyDescent="0.25">
      <c r="A291" s="56">
        <v>45867</v>
      </c>
      <c r="B291" t="s">
        <v>4</v>
      </c>
      <c r="C291">
        <v>1</v>
      </c>
      <c r="D291" s="74" cm="1">
        <f t="array" ref="D29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91" s="74">
        <v>800</v>
      </c>
      <c r="F29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1429.2</v>
      </c>
    </row>
    <row r="292" spans="1:6" x14ac:dyDescent="0.25">
      <c r="A292" s="56">
        <v>45868</v>
      </c>
      <c r="B292" t="s">
        <v>4</v>
      </c>
      <c r="C292">
        <v>1</v>
      </c>
      <c r="D292" s="74" cm="1">
        <f t="array" ref="D29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92" s="74">
        <v>1250</v>
      </c>
      <c r="F29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293" spans="1:6" x14ac:dyDescent="0.25">
      <c r="A293" s="56">
        <v>45868</v>
      </c>
      <c r="B293" t="s">
        <v>3</v>
      </c>
      <c r="C293">
        <v>1</v>
      </c>
      <c r="D293" s="74" cm="1">
        <f t="array" ref="D29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93" s="74">
        <v>720</v>
      </c>
      <c r="F29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94" spans="1:6" x14ac:dyDescent="0.25">
      <c r="A294" s="56">
        <v>45869</v>
      </c>
      <c r="B294" t="s">
        <v>89</v>
      </c>
      <c r="C294">
        <v>0</v>
      </c>
      <c r="D294" s="74" cm="1">
        <f t="array" ref="D29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0</v>
      </c>
      <c r="E294" s="74">
        <v>0</v>
      </c>
      <c r="F29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0</v>
      </c>
    </row>
    <row r="295" spans="1:6" x14ac:dyDescent="0.25">
      <c r="A295" s="56">
        <v>45870</v>
      </c>
      <c r="B295" t="s">
        <v>4</v>
      </c>
      <c r="C295">
        <v>4</v>
      </c>
      <c r="D295" s="74" cm="1">
        <f t="array" ref="D29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9200</v>
      </c>
      <c r="E295" s="74">
        <v>1250</v>
      </c>
      <c r="F29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3916.8</v>
      </c>
    </row>
    <row r="296" spans="1:6" x14ac:dyDescent="0.25">
      <c r="A296" s="56">
        <v>45873</v>
      </c>
      <c r="B296" t="s">
        <v>4</v>
      </c>
      <c r="C296">
        <v>1</v>
      </c>
      <c r="D296" s="74" cm="1">
        <f t="array" ref="D296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296" s="74">
        <v>1250</v>
      </c>
      <c r="F296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297" spans="1:6" x14ac:dyDescent="0.25">
      <c r="A297" s="56">
        <v>45873</v>
      </c>
      <c r="B297" t="s">
        <v>3</v>
      </c>
      <c r="C297">
        <v>3</v>
      </c>
      <c r="D297" s="74" cm="1">
        <f t="array" ref="D297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6000</v>
      </c>
      <c r="E297" s="74">
        <v>720</v>
      </c>
      <c r="F297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3651.9</v>
      </c>
    </row>
    <row r="298" spans="1:6" x14ac:dyDescent="0.25">
      <c r="A298" s="56">
        <v>45874</v>
      </c>
      <c r="B298" t="s">
        <v>3</v>
      </c>
      <c r="C298">
        <v>1</v>
      </c>
      <c r="D298" s="74" cm="1">
        <f t="array" ref="D298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298" s="74">
        <v>720</v>
      </c>
      <c r="F298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299" spans="1:6" x14ac:dyDescent="0.25">
      <c r="A299" s="56">
        <v>45874</v>
      </c>
      <c r="B299" t="s">
        <v>4</v>
      </c>
      <c r="C299">
        <v>3</v>
      </c>
      <c r="D299" s="74" cm="1">
        <f t="array" ref="D299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6900</v>
      </c>
      <c r="E299" s="74">
        <v>1250</v>
      </c>
      <c r="F299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2937.6</v>
      </c>
    </row>
    <row r="300" spans="1:6" x14ac:dyDescent="0.25">
      <c r="A300" s="56">
        <v>45875</v>
      </c>
      <c r="B300" t="s">
        <v>4</v>
      </c>
      <c r="C300">
        <v>1</v>
      </c>
      <c r="D300" s="74" cm="1">
        <f t="array" ref="D300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2300</v>
      </c>
      <c r="E300" s="74">
        <v>1250</v>
      </c>
      <c r="F300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979.2</v>
      </c>
    </row>
    <row r="301" spans="1:6" x14ac:dyDescent="0.25">
      <c r="A301" s="56">
        <v>45875</v>
      </c>
      <c r="B301" t="s">
        <v>3</v>
      </c>
      <c r="C301">
        <v>1</v>
      </c>
      <c r="D301" s="74" cm="1">
        <f t="array" ref="D301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301" s="74">
        <v>720</v>
      </c>
      <c r="F301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  <row r="302" spans="1:6" x14ac:dyDescent="0.25">
      <c r="A302" s="56">
        <v>45876</v>
      </c>
      <c r="B302" t="s">
        <v>3</v>
      </c>
      <c r="C302">
        <v>2</v>
      </c>
      <c r="D302" s="74" cm="1">
        <f t="array" ref="D302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4000</v>
      </c>
      <c r="E302" s="74">
        <v>720</v>
      </c>
      <c r="F302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2434.6</v>
      </c>
    </row>
    <row r="303" spans="1:6" x14ac:dyDescent="0.25">
      <c r="A303" s="56">
        <v>45876</v>
      </c>
      <c r="B303" t="s">
        <v>4</v>
      </c>
      <c r="C303">
        <v>2</v>
      </c>
      <c r="D303" s="74" cm="1">
        <f t="array" ref="D303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4600</v>
      </c>
      <c r="E303" s="74">
        <v>1250</v>
      </c>
      <c r="F303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1958.4</v>
      </c>
    </row>
    <row r="304" spans="1:6" x14ac:dyDescent="0.25">
      <c r="A304" s="56">
        <v>45877</v>
      </c>
      <c r="B304" t="s">
        <v>4</v>
      </c>
      <c r="C304">
        <v>5</v>
      </c>
      <c r="D304" s="74" cm="1">
        <f t="array" ref="D304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11500</v>
      </c>
      <c r="E304" s="74">
        <v>1250</v>
      </c>
      <c r="F304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4896</v>
      </c>
    </row>
    <row r="305" spans="1:6" x14ac:dyDescent="0.25">
      <c r="A305" s="56">
        <v>45877</v>
      </c>
      <c r="B305" t="s">
        <v>3</v>
      </c>
      <c r="C305">
        <v>1</v>
      </c>
      <c r="D305" s="74" cm="1">
        <f t="array" ref="D305">IFERROR(_xlfn.IFS(Продажи_Тол[[#This Row],[Товар]]=$E$2,Продажи_Тол[[#This Row],[Кол-во]]*2000,Продажи_Тол[[#This Row],[Товар]]=$E$3,Продажи_Тол[[#This Row],[Кол-во]]*2300,Продажи_Тол[[#This Row],[Товар]]=$E$4,Продажи_Тол[[#This Row],[Кол-во]]*2670),0)</f>
        <v>2000</v>
      </c>
      <c r="E305" s="74">
        <v>720</v>
      </c>
      <c r="F305" s="74">
        <f>Продажи_Тол[[#This Row],[Выручка]]-Продажи_Тол[[#This Row],[Выручка]]*$Q$3-Продажи_Тол[[#This Row],[Закупка 1шт]]*Продажи_Тол[[#This Row],[Кол-во]]-Продажи_Тол[[#This Row],[Кол-во]]*8.7</f>
        <v>1217.3</v>
      </c>
    </row>
  </sheetData>
  <conditionalFormatting sqref="A37:F305">
    <cfRule type="expression" dxfId="11" priority="23">
      <formula>MONTH($A37)&lt;&gt;MONTH($A38)</formula>
    </cfRule>
  </conditionalFormatting>
  <conditionalFormatting sqref="B37:F305">
    <cfRule type="expression" dxfId="10" priority="10">
      <formula>$B37="Есмарт АРМ"</formula>
    </cfRule>
    <cfRule type="expression" dxfId="9" priority="12">
      <formula>$B37="Есмарт"</formula>
    </cfRule>
    <cfRule type="expression" dxfId="8" priority="13">
      <formula>$B37="Рутокен"</formula>
    </cfRule>
  </conditionalFormatting>
  <dataValidations count="1">
    <dataValidation type="list" allowBlank="1" showInputMessage="1" showErrorMessage="1" sqref="B37:B305" xr:uid="{3F6C5442-28E8-4483-A35B-C10C5489D183}">
      <formula1>"-,Есмарт,Рутокен,Есмарт АРМ"</formula1>
    </dataValidation>
  </dataValidations>
  <pageMargins left="0.7" right="0.7" top="0.75" bottom="0.75" header="0.3" footer="0.3"/>
  <pageSetup paperSize="9" orientation="portrait" r:id="rId1"/>
  <ignoredErrors>
    <ignoredError sqref="J54:J65 M54:M65" calculatedColumn="1"/>
  </ignoredErrors>
  <legacy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7"/>
  <dimension ref="A1:V287"/>
  <sheetViews>
    <sheetView zoomScale="90" zoomScaleNormal="90" workbookViewId="0">
      <selection activeCell="C34" sqref="C34"/>
    </sheetView>
  </sheetViews>
  <sheetFormatPr defaultRowHeight="15" x14ac:dyDescent="0.25"/>
  <cols>
    <col min="1" max="1" width="19.7109375" customWidth="1"/>
    <col min="2" max="3" width="17.85546875" customWidth="1"/>
    <col min="4" max="4" width="13.85546875" customWidth="1"/>
    <col min="5" max="5" width="15" bestFit="1" customWidth="1"/>
    <col min="6" max="6" width="12.7109375" bestFit="1" customWidth="1"/>
    <col min="7" max="7" width="8.28515625" customWidth="1"/>
    <col min="9" max="9" width="12.5703125" customWidth="1"/>
    <col min="10" max="10" width="18.28515625" customWidth="1"/>
    <col min="11" max="11" width="15.28515625" customWidth="1"/>
    <col min="12" max="12" width="13.85546875" bestFit="1" customWidth="1"/>
    <col min="13" max="13" width="11.7109375" customWidth="1"/>
    <col min="17" max="17" width="11.85546875" customWidth="1"/>
    <col min="18" max="18" width="10" bestFit="1" customWidth="1"/>
    <col min="21" max="21" width="10.28515625" bestFit="1" customWidth="1"/>
    <col min="22" max="22" width="12" bestFit="1" customWidth="1"/>
  </cols>
  <sheetData>
    <row r="1" spans="1:22" x14ac:dyDescent="0.25">
      <c r="A1" s="41" t="s">
        <v>37</v>
      </c>
      <c r="B1" s="41" t="s">
        <v>38</v>
      </c>
      <c r="C1" s="41" t="s">
        <v>39</v>
      </c>
      <c r="D1" s="41" t="s">
        <v>40</v>
      </c>
      <c r="E1" s="41" t="s">
        <v>41</v>
      </c>
      <c r="P1" s="9" t="s">
        <v>44</v>
      </c>
      <c r="Q1" t="s">
        <v>99</v>
      </c>
      <c r="S1" t="s">
        <v>100</v>
      </c>
    </row>
    <row r="2" spans="1:22" ht="14.25" customHeight="1" x14ac:dyDescent="0.25">
      <c r="A2" s="2">
        <f>SUMIF($C$7:$C$35,E2,$B$7:$B$35)</f>
        <v>338</v>
      </c>
      <c r="B2" s="2">
        <f>SUMIF(Продажи_Мичу[Товар],E2,Продажи_Мичу[Кол-во])</f>
        <v>294</v>
      </c>
      <c r="C2" s="2">
        <f>A2-B2</f>
        <v>44</v>
      </c>
      <c r="D2" s="240">
        <v>720</v>
      </c>
      <c r="E2" s="2" t="s">
        <v>3</v>
      </c>
      <c r="P2" s="24"/>
      <c r="Q2" s="27" t="s">
        <v>47</v>
      </c>
      <c r="R2" s="24" t="s">
        <v>48</v>
      </c>
      <c r="S2" s="24"/>
      <c r="T2" s="24" t="s">
        <v>49</v>
      </c>
      <c r="U2" s="24" t="s">
        <v>50</v>
      </c>
      <c r="V2" s="24" t="s">
        <v>51</v>
      </c>
    </row>
    <row r="3" spans="1:22" x14ac:dyDescent="0.25">
      <c r="A3" s="2">
        <f t="shared" ref="A3:A4" si="0">SUMIF($C$7:$C$35,E3,$B$7:$B$35)</f>
        <v>382</v>
      </c>
      <c r="B3" s="2">
        <f>SUMIF(Продажи_Мичу[Товар],E3,Продажи_Мичу[Кол-во])</f>
        <v>382</v>
      </c>
      <c r="C3" s="2">
        <f>A3-B3</f>
        <v>0</v>
      </c>
      <c r="D3" s="240">
        <v>1250</v>
      </c>
      <c r="E3" s="2" t="s">
        <v>4</v>
      </c>
      <c r="J3" s="24" t="s">
        <v>53</v>
      </c>
      <c r="K3" s="24" t="s">
        <v>54</v>
      </c>
      <c r="L3" s="24" t="s">
        <v>55</v>
      </c>
      <c r="P3" s="61"/>
      <c r="Q3" s="75">
        <v>2.7E-2</v>
      </c>
      <c r="R3" s="61"/>
      <c r="S3" s="61"/>
      <c r="T3" s="61"/>
      <c r="U3" s="61"/>
      <c r="V3" s="67"/>
    </row>
    <row r="4" spans="1:22" ht="15.75" thickBot="1" x14ac:dyDescent="0.3">
      <c r="A4" s="2">
        <f t="shared" si="0"/>
        <v>56</v>
      </c>
      <c r="B4" s="2">
        <f>SUMIF(Продажи_Мичу[Товар],E4,Продажи_Мичу[Кол-во])</f>
        <v>43</v>
      </c>
      <c r="C4" s="2">
        <f t="shared" ref="C4" si="1">A4-B4</f>
        <v>13</v>
      </c>
      <c r="D4" s="240">
        <v>1340</v>
      </c>
      <c r="E4" s="2" t="s">
        <v>112</v>
      </c>
      <c r="J4" s="2" t="s">
        <v>18</v>
      </c>
      <c r="K4" s="71" cm="1">
        <f t="array" ref="K4">SUMPRODUCT(1*ISNUMBER(SEARCH(J4,TEXT(Продажи_Мичу[Дата],"ММММ"))),Продажи_Мичу[Выручка])</f>
        <v>226000</v>
      </c>
      <c r="L4" s="61" cm="1">
        <f t="array" ref="L4">SUMPRODUCT(IFERROR(SEARCH($J4,TEXT(Продажи_Мичу[Дата],"ММММ")),0),Продажи_Мичу[Прибыль])-SUM(Q6:R6)</f>
        <v>133423.34000000003</v>
      </c>
    </row>
    <row r="5" spans="1:22" ht="15.75" thickBot="1" x14ac:dyDescent="0.3">
      <c r="J5" s="2" t="s">
        <v>19</v>
      </c>
      <c r="K5" s="71" cm="1">
        <f t="array" ref="K5">SUMPRODUCT(1*ISNUMBER(SEARCH(J5,TEXT(Продажи_Мичу[Дата],"ММММ"))),Продажи_Мичу[Выручка])</f>
        <v>197700</v>
      </c>
      <c r="L5" s="61" cm="1">
        <f t="array" ref="L5">SUMPRODUCT(IFERROR(SEARCH($J5,TEXT(Продажи_Мичу[Дата],"ММММ")),0),Продажи_Мичу[Прибыль])-SUM(Q7:R7)</f>
        <v>102041.44000000002</v>
      </c>
      <c r="P5" s="14"/>
      <c r="Q5" s="6" t="s">
        <v>57</v>
      </c>
      <c r="R5" s="7"/>
    </row>
    <row r="6" spans="1:22" x14ac:dyDescent="0.25">
      <c r="A6" s="5" t="s">
        <v>69</v>
      </c>
      <c r="B6" s="5" t="s">
        <v>70</v>
      </c>
      <c r="C6" s="24" t="s">
        <v>41</v>
      </c>
      <c r="D6" s="24" t="s">
        <v>40</v>
      </c>
      <c r="E6" s="24" t="s">
        <v>71</v>
      </c>
      <c r="J6" s="2" t="s">
        <v>63</v>
      </c>
      <c r="K6" s="71" cm="1">
        <f t="array" ref="K6">SUMPRODUCT(1*ISNUMBER(SEARCH(J6,TEXT(Продажи_Мичу[Дата],"ММММ"))),Продажи_Мичу[Выручка])</f>
        <v>216420</v>
      </c>
      <c r="L6" s="61" cm="1">
        <f t="array" ref="L6">SUMPRODUCT(IFERROR(SEARCH($J6,TEXT(Продажи_Мичу[Дата],"ММММ")),0),Продажи_Мичу[Прибыль])-SUM(Q8:R8)</f>
        <v>107393.80000000002</v>
      </c>
      <c r="P6" s="12" t="s">
        <v>18</v>
      </c>
      <c r="Q6" s="61">
        <v>1881.56</v>
      </c>
      <c r="R6" s="66"/>
    </row>
    <row r="7" spans="1:22" x14ac:dyDescent="0.25">
      <c r="A7" s="23" t="s">
        <v>73</v>
      </c>
      <c r="B7" s="2">
        <v>30</v>
      </c>
      <c r="C7" s="2" t="s">
        <v>3</v>
      </c>
      <c r="D7" s="240">
        <v>795</v>
      </c>
      <c r="E7" s="2"/>
      <c r="J7" s="2" t="s">
        <v>64</v>
      </c>
      <c r="K7" s="71" cm="1">
        <f t="array" ref="K7">SUMPRODUCT(1*ISNUMBER(SEARCH(J7,TEXT(Продажи_Мичу[Дата],"ММММ"))),Продажи_Мичу[Выручка])</f>
        <v>315790</v>
      </c>
      <c r="L7" s="61" cm="1">
        <f t="array" ref="L7">SUMPRODUCT(IFERROR(SEARCH($J7,TEXT(Продажи_Мичу[Дата],"ММММ")),0),Продажи_Мичу[Прибыль])-SUM(Q9:R9)</f>
        <v>155782.81000000008</v>
      </c>
      <c r="P7" s="12" t="s">
        <v>19</v>
      </c>
      <c r="Q7" s="61">
        <v>1881.56</v>
      </c>
      <c r="R7" s="66"/>
    </row>
    <row r="8" spans="1:22" x14ac:dyDescent="0.25">
      <c r="A8" s="4">
        <v>45672</v>
      </c>
      <c r="B8" s="2">
        <v>-1</v>
      </c>
      <c r="C8" s="2" t="s">
        <v>3</v>
      </c>
      <c r="D8" s="240"/>
      <c r="E8" s="2"/>
      <c r="J8" s="2" t="s">
        <v>65</v>
      </c>
      <c r="K8" s="71" cm="1">
        <f t="array" ref="K8">SUMPRODUCT(1*ISNUMBER(SEARCH(J8,TEXT(Продажи_Мичу[Дата],"ММММ"))),Продажи_Мичу[Выручка])</f>
        <v>197220</v>
      </c>
      <c r="L8" s="61" cm="1">
        <f t="array" ref="L8">SUMPRODUCT(IFERROR(SEARCH($J8,TEXT(Продажи_Мичу[Дата],"ММММ")),0),Продажи_Мичу[Прибыль])-SUM(Q10:R10)</f>
        <v>99553.700000000026</v>
      </c>
      <c r="P8" s="12" t="s">
        <v>63</v>
      </c>
      <c r="Q8" s="61">
        <v>1881.56</v>
      </c>
      <c r="R8" s="66"/>
    </row>
    <row r="9" spans="1:22" x14ac:dyDescent="0.25">
      <c r="A9" s="4">
        <v>45672</v>
      </c>
      <c r="B9" s="2">
        <v>150</v>
      </c>
      <c r="C9" s="2" t="s">
        <v>3</v>
      </c>
      <c r="D9" s="240">
        <v>720</v>
      </c>
      <c r="E9" s="2"/>
      <c r="J9" s="2" t="s">
        <v>66</v>
      </c>
      <c r="K9" s="71" cm="1">
        <f t="array" ref="K9">SUMPRODUCT(1*ISNUMBER(SEARCH(J9,TEXT(Продажи_Мичу[Дата],"ММММ"))),Продажи_Мичу[Выручка])</f>
        <v>200180</v>
      </c>
      <c r="L9" s="61" cm="1">
        <f t="array" ref="L9">SUMPRODUCT(IFERROR(SEARCH($J9,TEXT(Продажи_Мичу[Дата],"ММММ")),0),Продажи_Мичу[Прибыль])-SUM(Q11:R11)</f>
        <v>114091.48000000003</v>
      </c>
      <c r="P9" s="12" t="s">
        <v>64</v>
      </c>
      <c r="Q9" s="61">
        <v>1881.56</v>
      </c>
      <c r="R9" s="66"/>
    </row>
    <row r="10" spans="1:22" x14ac:dyDescent="0.25">
      <c r="A10" s="4">
        <v>45693</v>
      </c>
      <c r="B10" s="2">
        <v>50</v>
      </c>
      <c r="C10" s="2" t="s">
        <v>4</v>
      </c>
      <c r="D10" s="240">
        <v>1250</v>
      </c>
      <c r="E10" s="2"/>
      <c r="J10" s="2" t="s">
        <v>67</v>
      </c>
      <c r="K10" s="71" cm="1">
        <f t="array" ref="K10">SUMPRODUCT(1*ISNUMBER(SEARCH(J10,TEXT(Продажи_Мичу[Дата],"ММММ"))),Продажи_Мичу[Выручка])</f>
        <v>201530</v>
      </c>
      <c r="L10" s="61" cm="1">
        <f t="array" ref="L10">SUMPRODUCT(IFERROR(SEARCH($J10,TEXT(Продажи_Мичу[Дата],"ММММ")),0),Продажи_Мичу[Прибыль])-SUM(Q12:R12)</f>
        <v>115201.13</v>
      </c>
      <c r="P10" s="12" t="s">
        <v>65</v>
      </c>
      <c r="Q10" s="61">
        <v>1881.56</v>
      </c>
      <c r="R10" s="66"/>
    </row>
    <row r="11" spans="1:22" x14ac:dyDescent="0.25">
      <c r="A11" s="4">
        <v>45713</v>
      </c>
      <c r="B11" s="2">
        <v>50</v>
      </c>
      <c r="C11" s="2" t="s">
        <v>4</v>
      </c>
      <c r="D11" s="240">
        <v>1250</v>
      </c>
      <c r="E11" s="2"/>
      <c r="J11" s="2" t="s">
        <v>68</v>
      </c>
      <c r="K11" s="71" cm="1">
        <f t="array" ref="K11">SUMPRODUCT(1*ISNUMBER(SEARCH(J11,TEXT(Продажи_Мичу[Дата],"ММММ"))),Продажи_Мичу[Выручка])</f>
        <v>67170</v>
      </c>
      <c r="L11" s="61" cm="1">
        <f t="array" ref="L11">SUMPRODUCT(IFERROR(SEARCH($J11,TEXT(Продажи_Мичу[Дата],"ММММ")),0),Продажи_Мичу[Прибыль])-SUM(Q13:R13)</f>
        <v>31321.249999999996</v>
      </c>
      <c r="P11" s="12" t="s">
        <v>66</v>
      </c>
      <c r="Q11" s="61">
        <v>1881.56</v>
      </c>
      <c r="R11" s="66"/>
    </row>
    <row r="12" spans="1:22" x14ac:dyDescent="0.25">
      <c r="A12" s="4">
        <v>45713</v>
      </c>
      <c r="B12" s="2">
        <v>23</v>
      </c>
      <c r="C12" s="2" t="s">
        <v>3</v>
      </c>
      <c r="D12" s="240">
        <v>720</v>
      </c>
      <c r="E12" s="2"/>
      <c r="J12" s="2" t="s">
        <v>72</v>
      </c>
      <c r="K12" s="71" cm="1">
        <f t="array" ref="K12">SUMPRODUCT(1*ISNUMBER(SEARCH(J12,TEXT(Продажи_Мичу[Дата],"ММММ"))),Продажи_Мичу[Выручка])</f>
        <v>0</v>
      </c>
      <c r="L12" s="61" cm="1">
        <f t="array" ref="L12">SUMPRODUCT(IFERROR(SEARCH($J12,TEXT(Продажи_Мичу[Дата],"ММММ")),0),Продажи_Мичу[Прибыль])-SUM(Q14:R14)</f>
        <v>-1881.56</v>
      </c>
      <c r="P12" s="12" t="s">
        <v>67</v>
      </c>
      <c r="Q12" s="61">
        <v>1881.56</v>
      </c>
      <c r="R12" s="66"/>
    </row>
    <row r="13" spans="1:22" x14ac:dyDescent="0.25">
      <c r="A13" s="4">
        <v>45727</v>
      </c>
      <c r="B13" s="2">
        <v>49</v>
      </c>
      <c r="C13" s="2" t="s">
        <v>3</v>
      </c>
      <c r="D13" s="240">
        <v>720</v>
      </c>
      <c r="E13" s="2"/>
      <c r="J13" s="2" t="s">
        <v>74</v>
      </c>
      <c r="K13" s="71" cm="1">
        <f t="array" ref="K13">SUMPRODUCT(1*ISNUMBER(SEARCH(J13,TEXT(Продажи_Мичу[Дата],"ММММ"))),Продажи_Мичу[Выручка])</f>
        <v>0</v>
      </c>
      <c r="L13" s="61" cm="1">
        <f t="array" ref="L13">SUMPRODUCT(IFERROR(SEARCH($J13,TEXT(Продажи_Мичу[Дата],"ММММ")),0),Продажи_Мичу[Прибыль])-SUM(Q15:R15)</f>
        <v>0</v>
      </c>
      <c r="P13" s="12" t="s">
        <v>68</v>
      </c>
      <c r="Q13" s="61">
        <v>1881.56</v>
      </c>
      <c r="R13" s="66"/>
    </row>
    <row r="14" spans="1:22" x14ac:dyDescent="0.25">
      <c r="A14" s="4">
        <v>45727</v>
      </c>
      <c r="B14" s="248">
        <v>28</v>
      </c>
      <c r="C14" s="2" t="s">
        <v>112</v>
      </c>
      <c r="D14" s="254">
        <v>1340</v>
      </c>
      <c r="E14" s="2"/>
      <c r="J14" s="2" t="s">
        <v>75</v>
      </c>
      <c r="K14" s="71" cm="1">
        <f t="array" ref="K14">SUMPRODUCT(1*ISNUMBER(SEARCH(J14,TEXT(Продажи_Мичу[Дата],"ММММ"))),Продажи_Мичу[Выручка])</f>
        <v>0</v>
      </c>
      <c r="L14" s="61" cm="1">
        <f t="array" ref="L14">SUMPRODUCT(IFERROR(SEARCH($J14,TEXT(Продажи_Мичу[Дата],"ММММ")),0),Продажи_Мичу[Прибыль])-SUM(Q16:R16)</f>
        <v>0</v>
      </c>
      <c r="P14" s="12" t="s">
        <v>72</v>
      </c>
      <c r="Q14" s="61">
        <v>1881.56</v>
      </c>
      <c r="R14" s="66"/>
    </row>
    <row r="15" spans="1:22" x14ac:dyDescent="0.25">
      <c r="A15" s="4">
        <v>45734</v>
      </c>
      <c r="B15" s="2">
        <v>30</v>
      </c>
      <c r="C15" s="2" t="s">
        <v>4</v>
      </c>
      <c r="D15" s="240">
        <v>1250</v>
      </c>
      <c r="E15" s="2"/>
      <c r="J15" s="2" t="s">
        <v>76</v>
      </c>
      <c r="K15" s="71" cm="1">
        <f t="array" ref="K15">SUMPRODUCT(1*ISNUMBER(SEARCH(J15,TEXT(Продажи_Мичу[Дата],"ММММ"))),Продажи_Мичу[Выручка])</f>
        <v>0</v>
      </c>
      <c r="L15" s="61" cm="1">
        <f t="array" ref="L15">SUMPRODUCT(IFERROR(SEARCH($J15,TEXT(Продажи_Мичу[Дата],"ММММ")),0),Продажи_Мичу[Прибыль])-SUM(Q17:R17)</f>
        <v>0</v>
      </c>
      <c r="P15" s="12" t="s">
        <v>74</v>
      </c>
      <c r="Q15" s="61"/>
      <c r="R15" s="66"/>
    </row>
    <row r="16" spans="1:22" x14ac:dyDescent="0.25">
      <c r="A16" s="4">
        <v>45734</v>
      </c>
      <c r="B16" s="2">
        <v>20</v>
      </c>
      <c r="C16" s="2" t="s">
        <v>3</v>
      </c>
      <c r="D16" s="240">
        <v>720</v>
      </c>
      <c r="E16" s="2"/>
      <c r="J16" s="2" t="s">
        <v>77</v>
      </c>
      <c r="K16" s="71">
        <f>SUM(K4:K15)</f>
        <v>1622010</v>
      </c>
      <c r="L16" s="71">
        <f>SUM(L4:L15)</f>
        <v>856927.39000000013</v>
      </c>
      <c r="P16" s="12" t="s">
        <v>75</v>
      </c>
      <c r="Q16" s="61"/>
      <c r="R16" s="66"/>
    </row>
    <row r="17" spans="1:18" ht="15.75" thickBot="1" x14ac:dyDescent="0.3">
      <c r="A17" s="4">
        <v>45761</v>
      </c>
      <c r="B17" s="2">
        <v>40</v>
      </c>
      <c r="C17" s="2" t="s">
        <v>148</v>
      </c>
      <c r="D17" s="240">
        <v>1100</v>
      </c>
      <c r="E17" s="2"/>
      <c r="P17" s="13" t="s">
        <v>76</v>
      </c>
      <c r="Q17" s="62"/>
      <c r="R17" s="63"/>
    </row>
    <row r="18" spans="1:18" x14ac:dyDescent="0.25">
      <c r="A18" s="4">
        <v>45761</v>
      </c>
      <c r="B18" s="2">
        <v>-1</v>
      </c>
      <c r="C18" s="2" t="s">
        <v>3</v>
      </c>
      <c r="D18" s="73"/>
      <c r="E18" s="248" t="s">
        <v>179</v>
      </c>
    </row>
    <row r="19" spans="1:18" x14ac:dyDescent="0.25">
      <c r="A19" s="4">
        <v>45765</v>
      </c>
      <c r="B19" s="2">
        <v>50</v>
      </c>
      <c r="C19" s="2" t="s">
        <v>3</v>
      </c>
      <c r="D19" s="73"/>
      <c r="E19" s="2"/>
    </row>
    <row r="20" spans="1:18" x14ac:dyDescent="0.25">
      <c r="A20" s="4">
        <v>45771</v>
      </c>
      <c r="B20" s="2">
        <v>16</v>
      </c>
      <c r="C20" s="2" t="s">
        <v>4</v>
      </c>
      <c r="D20" s="240">
        <v>1100</v>
      </c>
      <c r="E20" s="2"/>
    </row>
    <row r="21" spans="1:18" x14ac:dyDescent="0.25">
      <c r="A21" s="4">
        <v>45782</v>
      </c>
      <c r="B21" s="2">
        <v>40</v>
      </c>
      <c r="C21" s="2" t="s">
        <v>4</v>
      </c>
      <c r="D21" s="240">
        <v>1250</v>
      </c>
      <c r="E21" s="2"/>
    </row>
    <row r="22" spans="1:18" x14ac:dyDescent="0.25">
      <c r="A22" s="4">
        <v>45782</v>
      </c>
      <c r="B22" s="2">
        <v>1</v>
      </c>
      <c r="C22" s="2" t="s">
        <v>3</v>
      </c>
      <c r="D22" s="240">
        <v>720</v>
      </c>
      <c r="E22" s="2"/>
    </row>
    <row r="23" spans="1:18" x14ac:dyDescent="0.25">
      <c r="A23" s="4">
        <v>45799</v>
      </c>
      <c r="B23" s="248">
        <v>28</v>
      </c>
      <c r="C23" s="248" t="s">
        <v>112</v>
      </c>
      <c r="D23" s="254">
        <v>1340</v>
      </c>
      <c r="E23" s="2"/>
    </row>
    <row r="24" spans="1:18" x14ac:dyDescent="0.25">
      <c r="A24" s="4">
        <v>45806</v>
      </c>
      <c r="B24" s="248">
        <v>20</v>
      </c>
      <c r="C24" s="248" t="s">
        <v>4</v>
      </c>
      <c r="D24" s="254">
        <v>1250</v>
      </c>
      <c r="E24" s="2"/>
    </row>
    <row r="25" spans="1:18" x14ac:dyDescent="0.25">
      <c r="A25" s="4">
        <v>45814</v>
      </c>
      <c r="B25" s="248">
        <v>5</v>
      </c>
      <c r="C25" s="248" t="s">
        <v>4</v>
      </c>
      <c r="D25" s="254">
        <v>1250</v>
      </c>
      <c r="E25" s="2"/>
    </row>
    <row r="26" spans="1:18" x14ac:dyDescent="0.25">
      <c r="A26" s="4">
        <v>45814</v>
      </c>
      <c r="B26" s="248">
        <v>-20</v>
      </c>
      <c r="C26" s="248" t="s">
        <v>3</v>
      </c>
      <c r="D26" s="2"/>
      <c r="E26" s="2" t="s">
        <v>172</v>
      </c>
    </row>
    <row r="27" spans="1:18" x14ac:dyDescent="0.25">
      <c r="A27" s="4">
        <v>45814</v>
      </c>
      <c r="B27" s="248">
        <v>-1</v>
      </c>
      <c r="C27" s="248" t="s">
        <v>3</v>
      </c>
      <c r="D27" s="2"/>
      <c r="E27" s="248" t="s">
        <v>179</v>
      </c>
    </row>
    <row r="28" spans="1:18" x14ac:dyDescent="0.25">
      <c r="A28" s="4">
        <v>45817</v>
      </c>
      <c r="B28" s="248">
        <v>13</v>
      </c>
      <c r="C28" s="248" t="s">
        <v>4</v>
      </c>
      <c r="D28" s="61">
        <v>800</v>
      </c>
      <c r="E28" s="2"/>
    </row>
    <row r="29" spans="1:18" x14ac:dyDescent="0.25">
      <c r="A29" s="4">
        <v>45825</v>
      </c>
      <c r="B29" s="248">
        <v>70</v>
      </c>
      <c r="C29" s="248" t="s">
        <v>4</v>
      </c>
      <c r="D29" s="255">
        <v>800</v>
      </c>
      <c r="E29" s="2"/>
    </row>
    <row r="30" spans="1:18" x14ac:dyDescent="0.25">
      <c r="A30" s="4">
        <v>45825</v>
      </c>
      <c r="B30" s="248">
        <v>-9</v>
      </c>
      <c r="C30" s="248" t="s">
        <v>3</v>
      </c>
      <c r="D30" s="2"/>
      <c r="E30" s="2" t="s">
        <v>178</v>
      </c>
    </row>
    <row r="31" spans="1:18" x14ac:dyDescent="0.25">
      <c r="A31" s="4">
        <v>45735</v>
      </c>
      <c r="B31" s="248">
        <v>-3</v>
      </c>
      <c r="C31" s="248" t="s">
        <v>3</v>
      </c>
      <c r="D31" s="2"/>
      <c r="E31" s="248" t="s">
        <v>179</v>
      </c>
    </row>
    <row r="32" spans="1:18" x14ac:dyDescent="0.25">
      <c r="A32" s="4">
        <v>45859</v>
      </c>
      <c r="B32" s="248">
        <v>15</v>
      </c>
      <c r="C32" s="248" t="s">
        <v>4</v>
      </c>
      <c r="D32" s="61">
        <v>1100</v>
      </c>
      <c r="E32" s="248"/>
    </row>
    <row r="33" spans="1:13" x14ac:dyDescent="0.25">
      <c r="A33" s="4">
        <v>45861</v>
      </c>
      <c r="B33" s="248">
        <v>18</v>
      </c>
      <c r="C33" s="248" t="s">
        <v>4</v>
      </c>
      <c r="D33" s="255">
        <v>1250</v>
      </c>
      <c r="E33" s="2"/>
    </row>
    <row r="34" spans="1:13" x14ac:dyDescent="0.25">
      <c r="A34" s="4">
        <v>45868</v>
      </c>
      <c r="B34" s="248">
        <v>15</v>
      </c>
      <c r="C34" s="248" t="s">
        <v>4</v>
      </c>
      <c r="D34" s="255">
        <v>1250</v>
      </c>
      <c r="E34" s="2"/>
    </row>
    <row r="35" spans="1:13" x14ac:dyDescent="0.25">
      <c r="A35" s="4">
        <v>45875</v>
      </c>
      <c r="B35" s="248">
        <v>50</v>
      </c>
      <c r="C35" s="248" t="s">
        <v>3</v>
      </c>
      <c r="D35" s="255">
        <v>720</v>
      </c>
      <c r="E35" s="2"/>
    </row>
    <row r="36" spans="1:13" x14ac:dyDescent="0.25">
      <c r="A36" s="249"/>
      <c r="B36" s="256"/>
      <c r="C36" s="256"/>
      <c r="D36" s="260"/>
      <c r="E36" s="96"/>
    </row>
    <row r="37" spans="1:13" x14ac:dyDescent="0.25">
      <c r="A37" s="26" t="s">
        <v>86</v>
      </c>
    </row>
    <row r="38" spans="1:13" ht="15.75" x14ac:dyDescent="0.25">
      <c r="I38" s="50" t="s">
        <v>70</v>
      </c>
    </row>
    <row r="39" spans="1:13" x14ac:dyDescent="0.25">
      <c r="A39" t="s">
        <v>79</v>
      </c>
      <c r="B39" t="s">
        <v>41</v>
      </c>
      <c r="C39" t="s">
        <v>70</v>
      </c>
      <c r="D39" t="s">
        <v>54</v>
      </c>
      <c r="E39" t="s">
        <v>87</v>
      </c>
      <c r="F39" t="s">
        <v>55</v>
      </c>
      <c r="I39" s="46" t="s">
        <v>53</v>
      </c>
      <c r="J39" s="47" t="s">
        <v>3</v>
      </c>
      <c r="K39" s="47" t="s">
        <v>4</v>
      </c>
      <c r="L39" s="47" t="s">
        <v>112</v>
      </c>
      <c r="M39" s="48" t="s">
        <v>88</v>
      </c>
    </row>
    <row r="40" spans="1:13" x14ac:dyDescent="0.25">
      <c r="A40" s="56">
        <v>45666</v>
      </c>
      <c r="B40" t="s">
        <v>3</v>
      </c>
      <c r="C40">
        <v>4</v>
      </c>
      <c r="D40" s="246" cm="1">
        <f t="array" ref="D4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40" s="247">
        <v>795</v>
      </c>
      <c r="F4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4569.2</v>
      </c>
      <c r="I40" s="45" t="s">
        <v>18</v>
      </c>
      <c r="J40" s="51" cm="1">
        <f t="array" ref="J40">SUMPRODUCT(IFERROR(SEARCH(КолМичу[[#This Row],[Месяц]],TEXT(Продажи_Мичу[Дата],"ММММ")),0),--(Продажи_Мичу[Товар]=КолМичу[[#Headers],[Есмарт]]),Продажи_Мичу[Кол-во])</f>
        <v>113</v>
      </c>
      <c r="K40" s="51" cm="1">
        <f t="array" ref="K40">SUMPRODUCT(IFERROR(SEARCH(КолМичу[[#This Row],[Месяц]],TEXT(Продажи_Мичу[Дата],"ММММ")),0),--(Продажи_Мичу[Товар]=КолМичу[[#Headers],[Рутокен]]),Продажи_Мичу[Кол-во])</f>
        <v>0</v>
      </c>
      <c r="L40" s="51" cm="1">
        <f t="array" ref="L40">SUMPRODUCT(IFERROR(SEARCH(КолМичу[[#This Row],[Месяц]],TEXT(Продажи_Мичу[Дата],"ММММ")),0),--(Продажи_Мичу[Товар]=КолМичу[[#Headers],[Есмарт АРМ]]),Продажи_Мичу[Кол-во])</f>
        <v>0</v>
      </c>
      <c r="M40" s="52">
        <f>SUM(J40:L40)</f>
        <v>113</v>
      </c>
    </row>
    <row r="41" spans="1:13" x14ac:dyDescent="0.25">
      <c r="A41" s="56">
        <v>45667</v>
      </c>
      <c r="B41" t="s">
        <v>3</v>
      </c>
      <c r="C41">
        <v>2</v>
      </c>
      <c r="D41" s="246" cm="1">
        <f t="array" ref="D4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41" s="247">
        <v>795</v>
      </c>
      <c r="F4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2284.6</v>
      </c>
      <c r="I41" s="45" t="s">
        <v>19</v>
      </c>
      <c r="J41" s="51" cm="1">
        <f t="array" ref="J41">SUMPRODUCT(IFERROR(SEARCH(КолМичу[[#This Row],[Месяц]],TEXT(Продажи_Мичу[Дата],"ММММ")),0),--(Продажи_Мичу[Товар]=КолМичу[[#Headers],[Есмарт]]),Продажи_Мичу[Кол-во])</f>
        <v>54</v>
      </c>
      <c r="K41" s="51" cm="1">
        <f t="array" ref="K41">SUMPRODUCT(IFERROR(SEARCH(КолМичу[[#This Row],[Месяц]],TEXT(Продажи_Мичу[Дата],"ММММ")),0),--(Продажи_Мичу[Товар]=КолМичу[[#Headers],[Рутокен]]),Продажи_Мичу[Кол-во])</f>
        <v>39</v>
      </c>
      <c r="L41" s="51" cm="1">
        <f t="array" ref="L41">SUMPRODUCT(IFERROR(SEARCH(КолМичу[[#This Row],[Месяц]],TEXT(Продажи_Мичу[Дата],"ММММ")),0),--(Продажи_Мичу[Товар]=КолМичу[[#Headers],[Есмарт АРМ]]),Продажи_Мичу[Кол-во])</f>
        <v>0</v>
      </c>
      <c r="M41" s="52">
        <f t="shared" ref="M41:M51" si="2">SUM(J41:L41)</f>
        <v>93</v>
      </c>
    </row>
    <row r="42" spans="1:13" x14ac:dyDescent="0.25">
      <c r="A42" s="56">
        <v>45670</v>
      </c>
      <c r="B42" t="s">
        <v>3</v>
      </c>
      <c r="C42">
        <v>5</v>
      </c>
      <c r="D42" s="246" cm="1">
        <f t="array" ref="D4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42" s="247">
        <v>795</v>
      </c>
      <c r="F4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5711.5</v>
      </c>
      <c r="I42" s="45" t="s">
        <v>63</v>
      </c>
      <c r="J42" s="51" cm="1">
        <f t="array" ref="J42">SUMPRODUCT(IFERROR(SEARCH(КолМичу[[#This Row],[Месяц]],TEXT(Продажи_Мичу[Дата],"ММММ")),0),--(Продажи_Мичу[Товар]=КолМичу[[#Headers],[Есмарт]]),Продажи_Мичу[Кол-во])</f>
        <v>45</v>
      </c>
      <c r="K42" s="51" cm="1">
        <f t="array" ref="K42">SUMPRODUCT(IFERROR(SEARCH(КолМичу[[#This Row],[Месяц]],TEXT(Продажи_Мичу[Дата],"ММММ")),0),--(Продажи_Мичу[Товар]=КолМичу[[#Headers],[Рутокен]]),Продажи_Мичу[Кол-во])</f>
        <v>48</v>
      </c>
      <c r="L42" s="51" cm="1">
        <f t="array" ref="L42">SUMPRODUCT(IFERROR(SEARCH(КолМичу[[#This Row],[Месяц]],TEXT(Продажи_Мичу[Дата],"ММММ")),0),--(Продажи_Мичу[Товар]=КолМичу[[#Headers],[Есмарт АРМ]]),Продажи_Мичу[Кол-во])</f>
        <v>6</v>
      </c>
      <c r="M42" s="52">
        <f t="shared" si="2"/>
        <v>99</v>
      </c>
    </row>
    <row r="43" spans="1:13" x14ac:dyDescent="0.25">
      <c r="A43" s="56">
        <v>45671</v>
      </c>
      <c r="B43" t="s">
        <v>3</v>
      </c>
      <c r="C43">
        <v>6</v>
      </c>
      <c r="D43" s="246" cm="1">
        <f t="array" ref="D4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12000</v>
      </c>
      <c r="E43" s="247">
        <v>795</v>
      </c>
      <c r="F4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6853.8</v>
      </c>
      <c r="I43" s="45" t="s">
        <v>64</v>
      </c>
      <c r="J43" s="51" cm="1">
        <f t="array" ref="J43">SUMPRODUCT(IFERROR(SEARCH(КолМичу[[#This Row],[Месяц]],TEXT(Продажи_Мичу[Дата],"ММММ")),0),--(Продажи_Мичу[Товар]=КолМичу[[#Headers],[Есмарт]]),Продажи_Мичу[Кол-во])</f>
        <v>34</v>
      </c>
      <c r="K43" s="51" cm="1">
        <f t="array" ref="K43">SUMPRODUCT(IFERROR(SEARCH(КолМичу[[#This Row],[Месяц]],TEXT(Продажи_Мичу[Дата],"ММММ")),0),--(Продажи_Мичу[Товар]=КолМичу[[#Headers],[Рутокен]]),Продажи_Мичу[Кол-во])</f>
        <v>88</v>
      </c>
      <c r="L43" s="51" cm="1">
        <f t="array" ref="L43">SUMPRODUCT(IFERROR(SEARCH(КолМичу[[#This Row],[Месяц]],TEXT(Продажи_Мичу[Дата],"ММММ")),0),--(Продажи_Мичу[Товар]=КолМичу[[#Headers],[Есмарт АРМ]]),Продажи_Мичу[Кол-во])</f>
        <v>17</v>
      </c>
      <c r="M43" s="52">
        <f t="shared" si="2"/>
        <v>139</v>
      </c>
    </row>
    <row r="44" spans="1:13" x14ac:dyDescent="0.25">
      <c r="A44" s="56">
        <v>45672</v>
      </c>
      <c r="B44" t="s">
        <v>3</v>
      </c>
      <c r="C44">
        <v>11</v>
      </c>
      <c r="D44" s="246" cm="1">
        <f t="array" ref="D4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22000</v>
      </c>
      <c r="E44" s="247">
        <v>795</v>
      </c>
      <c r="F4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12565.3</v>
      </c>
      <c r="I44" s="45" t="s">
        <v>65</v>
      </c>
      <c r="J44" s="51" cm="1">
        <f t="array" ref="J44">SUMPRODUCT(IFERROR(SEARCH(КолМичу[[#This Row],[Месяц]],TEXT(Продажи_Мичу[Дата],"ММММ")),0),--(Продажи_Мичу[Товар]=КолМичу[[#Headers],[Есмарт]]),Продажи_Мичу[Кол-во])</f>
        <v>26</v>
      </c>
      <c r="K44" s="51" cm="1">
        <f t="array" ref="K44">SUMPRODUCT(IFERROR(SEARCH(КолМичу[[#This Row],[Месяц]],TEXT(Продажи_Мичу[Дата],"ММММ")),0),--(Продажи_Мичу[Товар]=КолМичу[[#Headers],[Рутокен]]),Продажи_Мичу[Кол-во])</f>
        <v>52</v>
      </c>
      <c r="L44" s="51" cm="1">
        <f t="array" ref="L44">SUMPRODUCT(IFERROR(SEARCH(КолМичу[[#This Row],[Месяц]],TEXT(Продажи_Мичу[Дата],"ММММ")),0),--(Продажи_Мичу[Товар]=КолМичу[[#Headers],[Есмарт АРМ]]),Продажи_Мичу[Кол-во])</f>
        <v>6</v>
      </c>
      <c r="M44" s="52">
        <f t="shared" si="2"/>
        <v>84</v>
      </c>
    </row>
    <row r="45" spans="1:13" x14ac:dyDescent="0.25">
      <c r="A45" s="56">
        <v>45673</v>
      </c>
      <c r="B45" t="s">
        <v>3</v>
      </c>
      <c r="C45">
        <v>9</v>
      </c>
      <c r="D45" s="246" cm="1">
        <f t="array" ref="D4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18000</v>
      </c>
      <c r="E45" s="247">
        <f>((7*720)+(2*795))/Продажи_Мичу[[#This Row],[Кол-во]]</f>
        <v>736.66666666666663</v>
      </c>
      <c r="F4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10805.7</v>
      </c>
      <c r="I45" s="45" t="s">
        <v>66</v>
      </c>
      <c r="J45" s="51" cm="1">
        <f t="array" ref="J45">SUMPRODUCT(IFERROR(SEARCH(КолМичу[[#This Row],[Месяц]],TEXT(Продажи_Мичу[Дата],"ММММ")),0),--(Продажи_Мичу[Товар]=КолМичу[[#Headers],[Есмарт]]),Продажи_Мичу[Кол-во])</f>
        <v>16</v>
      </c>
      <c r="K45" s="51" cm="1">
        <f t="array" ref="K45">SUMPRODUCT(IFERROR(SEARCH(КолМичу[[#This Row],[Месяц]],TEXT(Продажи_Мичу[Дата],"ММММ")),0),--(Продажи_Мичу[Товар]=КолМичу[[#Headers],[Рутокен]]),Продажи_Мичу[Кол-во])</f>
        <v>63</v>
      </c>
      <c r="L45" s="51" cm="1">
        <f t="array" ref="L45">SUMPRODUCT(IFERROR(SEARCH(КолМичу[[#This Row],[Месяц]],TEXT(Продажи_Мичу[Дата],"ММММ")),0),--(Продажи_Мичу[Товар]=КолМичу[[#Headers],[Есмарт АРМ]]),Продажи_Мичу[Кол-во])</f>
        <v>4</v>
      </c>
      <c r="M45" s="52">
        <f t="shared" si="2"/>
        <v>83</v>
      </c>
    </row>
    <row r="46" spans="1:13" x14ac:dyDescent="0.25">
      <c r="A46" s="56">
        <v>45674</v>
      </c>
      <c r="B46" t="s">
        <v>3</v>
      </c>
      <c r="C46">
        <v>10</v>
      </c>
      <c r="D46" s="246" cm="1">
        <f t="array" ref="D4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20000</v>
      </c>
      <c r="E46" s="246">
        <v>720</v>
      </c>
      <c r="F4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12173</v>
      </c>
      <c r="I46" s="45" t="s">
        <v>67</v>
      </c>
      <c r="J46" s="51" cm="1">
        <f t="array" ref="J46">SUMPRODUCT(IFERROR(SEARCH(КолМичу[[#This Row],[Месяц]],TEXT(Продажи_Мичу[Дата],"ММММ")),0),--(Продажи_Мичу[Товар]=КолМичу[[#Headers],[Есмарт]]),Продажи_Мичу[Кол-во])</f>
        <v>0</v>
      </c>
      <c r="K46" s="51" cm="1">
        <f t="array" ref="K46">SUMPRODUCT(IFERROR(SEARCH(КолМичу[[#This Row],[Месяц]],TEXT(Продажи_Мичу[Дата],"ММММ")),0),--(Продажи_Мичу[Товар]=КолМичу[[#Headers],[Рутокен]]),Продажи_Мичу[Кол-во])</f>
        <v>71</v>
      </c>
      <c r="L46" s="51" cm="1">
        <f t="array" ref="L46">SUMPRODUCT(IFERROR(SEARCH(КолМичу[[#This Row],[Месяц]],TEXT(Продажи_Мичу[Дата],"ММММ")),0),--(Продажи_Мичу[Товар]=КолМичу[[#Headers],[Есмарт АРМ]]),Продажи_Мичу[Кол-во])</f>
        <v>9</v>
      </c>
      <c r="M46" s="52">
        <f t="shared" si="2"/>
        <v>80</v>
      </c>
    </row>
    <row r="47" spans="1:13" x14ac:dyDescent="0.25">
      <c r="A47" s="56">
        <v>45677</v>
      </c>
      <c r="B47" t="s">
        <v>3</v>
      </c>
      <c r="C47">
        <v>8</v>
      </c>
      <c r="D47" s="246" cm="1">
        <f t="array" ref="D4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16000</v>
      </c>
      <c r="E47" s="246">
        <v>720</v>
      </c>
      <c r="F4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9738.4</v>
      </c>
      <c r="I47" s="45" t="s">
        <v>68</v>
      </c>
      <c r="J47" s="51" cm="1">
        <f t="array" ref="J47">SUMPRODUCT(IFERROR(SEARCH(КолМичу[[#This Row],[Месяц]],TEXT(Продажи_Мичу[Дата],"ММММ")),0),--(Продажи_Мичу[Товар]=КолМичу[[#Headers],[Есмарт]]),Продажи_Мичу[Кол-во])</f>
        <v>6</v>
      </c>
      <c r="K47" s="51" cm="1">
        <f t="array" ref="K47">SUMPRODUCT(IFERROR(SEARCH(КолМичу[[#This Row],[Месяц]],TEXT(Продажи_Мичу[Дата],"ММММ")),0),--(Продажи_Мичу[Товар]=КолМичу[[#Headers],[Рутокен]]),Продажи_Мичу[Кол-во])</f>
        <v>21</v>
      </c>
      <c r="L47" s="51" cm="1">
        <f t="array" ref="L47">SUMPRODUCT(IFERROR(SEARCH(КолМичу[[#This Row],[Месяц]],TEXT(Продажи_Мичу[Дата],"ММММ")),0),--(Продажи_Мичу[Товар]=КолМичу[[#Headers],[Есмарт АРМ]]),Продажи_Мичу[Кол-во])</f>
        <v>1</v>
      </c>
      <c r="M47" s="52">
        <f t="shared" si="2"/>
        <v>28</v>
      </c>
    </row>
    <row r="48" spans="1:13" x14ac:dyDescent="0.25">
      <c r="A48" s="56">
        <v>45678</v>
      </c>
      <c r="B48" t="s">
        <v>3</v>
      </c>
      <c r="C48">
        <v>6</v>
      </c>
      <c r="D48" s="246" cm="1">
        <f t="array" ref="D4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12000</v>
      </c>
      <c r="E48" s="246">
        <v>720</v>
      </c>
      <c r="F4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7303.8</v>
      </c>
      <c r="I48" s="45" t="s">
        <v>72</v>
      </c>
      <c r="J48" s="51" cm="1">
        <f t="array" ref="J48">SUMPRODUCT(IFERROR(SEARCH(КолМичу[[#This Row],[Месяц]],TEXT(Продажи_Мичу[Дата],"ММММ")),0),--(Продажи_Мичу[Товар]=КолМичу[[#Headers],[Есмарт]]),Продажи_Мичу[Кол-во])</f>
        <v>0</v>
      </c>
      <c r="K48" s="51" cm="1">
        <f t="array" ref="K48">SUMPRODUCT(IFERROR(SEARCH(КолМичу[[#This Row],[Месяц]],TEXT(Продажи_Мичу[Дата],"ММММ")),0),--(Продажи_Мичу[Товар]=КолМичу[[#Headers],[Рутокен]]),Продажи_Мичу[Кол-во])</f>
        <v>0</v>
      </c>
      <c r="L48" s="51" cm="1">
        <f t="array" ref="L48">SUMPRODUCT(IFERROR(SEARCH(КолМичу[[#This Row],[Месяц]],TEXT(Продажи_Мичу[Дата],"ММММ")),0),--(Продажи_Мичу[Товар]=КолМичу[[#Headers],[Есмарт АРМ]]),Продажи_Мичу[Кол-во])</f>
        <v>0</v>
      </c>
      <c r="M48" s="52">
        <f t="shared" si="2"/>
        <v>0</v>
      </c>
    </row>
    <row r="49" spans="1:13" x14ac:dyDescent="0.25">
      <c r="A49" s="56">
        <v>45679</v>
      </c>
      <c r="B49" t="s">
        <v>3</v>
      </c>
      <c r="C49">
        <v>6</v>
      </c>
      <c r="D49" s="246" cm="1">
        <f t="array" ref="D4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12000</v>
      </c>
      <c r="E49" s="246">
        <v>720</v>
      </c>
      <c r="F4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7303.8</v>
      </c>
      <c r="I49" s="45" t="s">
        <v>74</v>
      </c>
      <c r="J49" s="51" cm="1">
        <f t="array" ref="J49">SUMPRODUCT(IFERROR(SEARCH(КолМичу[[#This Row],[Месяц]],TEXT(Продажи_Мичу[Дата],"ММММ")),0),--(Продажи_Мичу[Товар]=КолМичу[[#Headers],[Есмарт]]),Продажи_Мичу[Кол-во])</f>
        <v>0</v>
      </c>
      <c r="K49" s="51" cm="1">
        <f t="array" ref="K49">SUMPRODUCT(IFERROR(SEARCH(КолМичу[[#This Row],[Месяц]],TEXT(Продажи_Мичу[Дата],"ММММ")),0),--(Продажи_Мичу[Товар]=КолМичу[[#Headers],[Рутокен]]),Продажи_Мичу[Кол-во])</f>
        <v>0</v>
      </c>
      <c r="L49" s="51" cm="1">
        <f t="array" ref="L49">SUMPRODUCT(IFERROR(SEARCH(КолМичу[[#This Row],[Месяц]],TEXT(Продажи_Мичу[Дата],"ММММ")),0),--(Продажи_Мичу[Товар]=КолМичу[[#Headers],[Есмарт АРМ]]),Продажи_Мичу[Кол-во])</f>
        <v>0</v>
      </c>
      <c r="M49" s="52">
        <f t="shared" si="2"/>
        <v>0</v>
      </c>
    </row>
    <row r="50" spans="1:13" x14ac:dyDescent="0.25">
      <c r="A50" s="56">
        <v>45680</v>
      </c>
      <c r="B50" t="s">
        <v>3</v>
      </c>
      <c r="C50">
        <v>5</v>
      </c>
      <c r="D50" s="246" cm="1">
        <f t="array" ref="D5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50" s="246">
        <v>720</v>
      </c>
      <c r="F5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6086.5</v>
      </c>
      <c r="I50" s="45" t="s">
        <v>75</v>
      </c>
      <c r="J50" s="51" cm="1">
        <f t="array" ref="J50">SUMPRODUCT(IFERROR(SEARCH(КолМичу[[#This Row],[Месяц]],TEXT(Продажи_Мичу[Дата],"ММММ")),0),--(Продажи_Мичу[Товар]=КолМичу[[#Headers],[Есмарт]]),Продажи_Мичу[Кол-во])</f>
        <v>0</v>
      </c>
      <c r="K50" s="51" cm="1">
        <f t="array" ref="K50">SUMPRODUCT(IFERROR(SEARCH(КолМичу[[#This Row],[Месяц]],TEXT(Продажи_Мичу[Дата],"ММММ")),0),--(Продажи_Мичу[Товар]=КолМичу[[#Headers],[Рутокен]]),Продажи_Мичу[Кол-во])</f>
        <v>0</v>
      </c>
      <c r="L50" s="51" cm="1">
        <f t="array" ref="L50">SUMPRODUCT(IFERROR(SEARCH(КолМичу[[#This Row],[Месяц]],TEXT(Продажи_Мичу[Дата],"ММММ")),0),--(Продажи_Мичу[Товар]=КолМичу[[#Headers],[Есмарт АРМ]]),Продажи_Мичу[Кол-во])</f>
        <v>0</v>
      </c>
      <c r="M50" s="52">
        <f t="shared" si="2"/>
        <v>0</v>
      </c>
    </row>
    <row r="51" spans="1:13" x14ac:dyDescent="0.25">
      <c r="A51" s="56">
        <v>45681</v>
      </c>
      <c r="B51" t="s">
        <v>3</v>
      </c>
      <c r="C51">
        <v>9</v>
      </c>
      <c r="D51" s="246" cm="1">
        <f t="array" ref="D5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18000</v>
      </c>
      <c r="E51" s="246">
        <v>720</v>
      </c>
      <c r="F5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10955.7</v>
      </c>
      <c r="I51" s="45" t="s">
        <v>76</v>
      </c>
      <c r="J51" s="51" cm="1">
        <f t="array" ref="J51">SUMPRODUCT(IFERROR(SEARCH(КолМичу[[#This Row],[Месяц]],TEXT(Продажи_Мичу[Дата],"ММММ")),0),--(Продажи_Мичу[Товар]=КолМичу[[#Headers],[Есмарт]]),Продажи_Мичу[Кол-во])</f>
        <v>0</v>
      </c>
      <c r="K51" s="51" cm="1">
        <f t="array" ref="K51">SUMPRODUCT(IFERROR(SEARCH(КолМичу[[#This Row],[Месяц]],TEXT(Продажи_Мичу[Дата],"ММММ")),0),--(Продажи_Мичу[Товар]=КолМичу[[#Headers],[Рутокен]]),Продажи_Мичу[Кол-во])</f>
        <v>0</v>
      </c>
      <c r="L51" s="51" cm="1">
        <f t="array" ref="L51">SUMPRODUCT(IFERROR(SEARCH(КолМичу[[#This Row],[Месяц]],TEXT(Продажи_Мичу[Дата],"ММММ")),0),--(Продажи_Мичу[Товар]=КолМичу[[#Headers],[Есмарт АРМ]]),Продажи_Мичу[Кол-во])</f>
        <v>0</v>
      </c>
      <c r="M51" s="52">
        <f t="shared" si="2"/>
        <v>0</v>
      </c>
    </row>
    <row r="52" spans="1:13" x14ac:dyDescent="0.25">
      <c r="A52" s="56">
        <v>45684</v>
      </c>
      <c r="B52" t="s">
        <v>3</v>
      </c>
      <c r="C52">
        <v>14</v>
      </c>
      <c r="D52" s="246" cm="1">
        <f t="array" ref="D5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28000</v>
      </c>
      <c r="E52" s="246">
        <v>720</v>
      </c>
      <c r="F5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17042.2</v>
      </c>
      <c r="I52" s="49" t="s">
        <v>88</v>
      </c>
      <c r="J52" s="53">
        <f>SUM(J40:J51)</f>
        <v>294</v>
      </c>
      <c r="K52" s="53">
        <f t="shared" ref="K52:L52" si="3">SUM(K40:K51)</f>
        <v>382</v>
      </c>
      <c r="L52" s="53">
        <f t="shared" si="3"/>
        <v>43</v>
      </c>
      <c r="M52" s="54">
        <f>SUM(J52:L52)</f>
        <v>719</v>
      </c>
    </row>
    <row r="53" spans="1:13" x14ac:dyDescent="0.25">
      <c r="A53" s="56">
        <v>45685</v>
      </c>
      <c r="B53" t="s">
        <v>3</v>
      </c>
      <c r="C53">
        <v>4</v>
      </c>
      <c r="D53" s="246" cm="1">
        <f t="array" ref="D5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53" s="246">
        <v>720</v>
      </c>
      <c r="F5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54" spans="1:13" x14ac:dyDescent="0.25">
      <c r="A54" s="56">
        <v>45686</v>
      </c>
      <c r="B54" t="s">
        <v>3</v>
      </c>
      <c r="C54">
        <v>7</v>
      </c>
      <c r="D54" s="246" cm="1">
        <f t="array" ref="D5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14000</v>
      </c>
      <c r="E54" s="246">
        <v>720</v>
      </c>
      <c r="F5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8521.1</v>
      </c>
    </row>
    <row r="55" spans="1:13" ht="15.75" x14ac:dyDescent="0.25">
      <c r="A55" s="56">
        <v>45687</v>
      </c>
      <c r="B55" t="s">
        <v>3</v>
      </c>
      <c r="C55">
        <v>2</v>
      </c>
      <c r="D55" s="246" cm="1">
        <f t="array" ref="D5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55" s="246">
        <v>720</v>
      </c>
      <c r="F5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I55" s="50" t="s">
        <v>94</v>
      </c>
    </row>
    <row r="56" spans="1:13" x14ac:dyDescent="0.25">
      <c r="A56" s="56">
        <v>45688</v>
      </c>
      <c r="B56" t="s">
        <v>3</v>
      </c>
      <c r="C56">
        <v>5</v>
      </c>
      <c r="D56" s="246" cm="1">
        <f t="array" ref="D5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56" s="246">
        <v>720</v>
      </c>
      <c r="F5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6086.5</v>
      </c>
      <c r="I56" s="46" t="s">
        <v>53</v>
      </c>
      <c r="J56" s="47" t="s">
        <v>3</v>
      </c>
      <c r="K56" s="47" t="s">
        <v>4</v>
      </c>
      <c r="L56" s="47" t="s">
        <v>112</v>
      </c>
      <c r="M56" s="48" t="s">
        <v>88</v>
      </c>
    </row>
    <row r="57" spans="1:13" x14ac:dyDescent="0.25">
      <c r="A57" s="56">
        <v>45691</v>
      </c>
      <c r="B57" t="s">
        <v>3</v>
      </c>
      <c r="C57">
        <v>7</v>
      </c>
      <c r="D57" s="246" cm="1">
        <f t="array" ref="D5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14000</v>
      </c>
      <c r="E57" s="246">
        <v>720</v>
      </c>
      <c r="F5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8521.1</v>
      </c>
      <c r="I57" s="45" t="s">
        <v>18</v>
      </c>
      <c r="J57" s="55" cm="1">
        <f t="array" ref="J57">IFERROR(J40/SUMPRODUCT(IF(TEXT(_xlfn.UNIQUE(Продажи_Мичу[Дата]),"ММММ")=$I57,1,0)),"")</f>
        <v>6.6470588235294121</v>
      </c>
      <c r="K57" s="55" cm="1">
        <f t="array" ref="K57">IFERROR(K40/SUMPRODUCT(IF(TEXT(_xlfn.UNIQUE(Продажи_Мичу[Дата]),"ММММ")=$I57,1,0)),"")</f>
        <v>0</v>
      </c>
      <c r="L57" s="55">
        <f>L40/COUNT(_xlfn.UNIQUE(Продажи_Мичу[Дата]))</f>
        <v>0</v>
      </c>
      <c r="M57" s="59" cm="1">
        <f t="array" ref="M57">IFERROR(M40/SUMPRODUCT(IF(TEXT(_xlfn.UNIQUE(Продажи_Мичу[Дата]),"ММММ")=$I57,1,0)),"")</f>
        <v>6.6470588235294121</v>
      </c>
    </row>
    <row r="58" spans="1:13" x14ac:dyDescent="0.25">
      <c r="A58" s="56">
        <v>45692</v>
      </c>
      <c r="B58" t="s">
        <v>3</v>
      </c>
      <c r="C58">
        <v>6</v>
      </c>
      <c r="D58" s="246" cm="1">
        <f t="array" ref="D5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12000</v>
      </c>
      <c r="E58" s="246">
        <v>720</v>
      </c>
      <c r="F5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7303.8</v>
      </c>
      <c r="I58" s="45" t="s">
        <v>19</v>
      </c>
      <c r="J58" s="55" cm="1">
        <f t="array" ref="J58">IFERROR(J41/SUMPRODUCT(IF(TEXT(_xlfn.UNIQUE(Продажи_Мичу[Дата]),"ММММ")=$I58,1,0)),"")</f>
        <v>2.7</v>
      </c>
      <c r="K58" s="55" cm="1">
        <f t="array" ref="K58">IFERROR(K41/SUMPRODUCT(IF(TEXT(_xlfn.UNIQUE(Продажи_Мичу[Дата]),"ММММ")=$I58,1,0)),"")</f>
        <v>1.95</v>
      </c>
      <c r="L58" s="55">
        <f>L41/COUNT(_xlfn.UNIQUE(Продажи_Мичу[Дата]))</f>
        <v>0</v>
      </c>
      <c r="M58" s="59" cm="1">
        <f t="array" ref="M58">IFERROR(M41/SUMPRODUCT(IF(TEXT(_xlfn.UNIQUE(Продажи_Мичу[Дата]),"ММММ")=$I58,1,0)),"")</f>
        <v>4.6500000000000004</v>
      </c>
    </row>
    <row r="59" spans="1:13" x14ac:dyDescent="0.25">
      <c r="A59" s="56">
        <v>45693</v>
      </c>
      <c r="B59" t="s">
        <v>3</v>
      </c>
      <c r="C59">
        <v>3</v>
      </c>
      <c r="D59" s="246" cm="1">
        <f t="array" ref="D5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59" s="246">
        <v>720</v>
      </c>
      <c r="F5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  <c r="I59" s="45" t="s">
        <v>63</v>
      </c>
      <c r="J59" s="55" cm="1">
        <f t="array" ref="J59">IFERROR(J42/SUMPRODUCT(IF(TEXT(_xlfn.UNIQUE(Продажи_Мичу[Дата]),"ММММ")=$I59,1,0)),"")</f>
        <v>2.1428571428571428</v>
      </c>
      <c r="K59" s="55" cm="1">
        <f t="array" ref="K59">IFERROR(K42/SUMPRODUCT(IF(TEXT(_xlfn.UNIQUE(Продажи_Мичу[Дата]),"ММММ")=$I59,1,0)),"")</f>
        <v>2.2857142857142856</v>
      </c>
      <c r="L59" s="55">
        <f>L42/COUNT(_xlfn.UNIQUE(Продажи_Мичу[Дата]))</f>
        <v>4.1095890410958902E-2</v>
      </c>
      <c r="M59" s="59" cm="1">
        <f t="array" ref="M59">IFERROR(M42/SUMPRODUCT(IF(TEXT(_xlfn.UNIQUE(Продажи_Мичу[Дата]),"ММММ")=$I59,1,0)),"")</f>
        <v>4.7142857142857144</v>
      </c>
    </row>
    <row r="60" spans="1:13" x14ac:dyDescent="0.25">
      <c r="A60" s="56">
        <v>45694</v>
      </c>
      <c r="B60" t="s">
        <v>3</v>
      </c>
      <c r="C60">
        <v>3</v>
      </c>
      <c r="D60" s="246" cm="1">
        <f t="array" ref="D6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60" s="246">
        <v>720</v>
      </c>
      <c r="F6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  <c r="I60" s="45" t="s">
        <v>64</v>
      </c>
      <c r="J60" s="55" cm="1">
        <f t="array" ref="J60">IFERROR(J43/SUMPRODUCT(IF(TEXT(_xlfn.UNIQUE(Продажи_Мичу[Дата]),"ММММ")=$I60,1,0)),"")</f>
        <v>1.5454545454545454</v>
      </c>
      <c r="K60" s="55" cm="1">
        <f t="array" ref="K60">IFERROR(K43/SUMPRODUCT(IF(TEXT(_xlfn.UNIQUE(Продажи_Мичу[Дата]),"ММММ")=$I60,1,0)),"")</f>
        <v>4</v>
      </c>
      <c r="L60" s="55">
        <f>L43/COUNT(_xlfn.UNIQUE(Продажи_Мичу[Дата]))</f>
        <v>0.11643835616438356</v>
      </c>
      <c r="M60" s="59" cm="1">
        <f t="array" ref="M60">IFERROR(M43/SUMPRODUCT(IF(TEXT(_xlfn.UNIQUE(Продажи_Мичу[Дата]),"ММММ")=$I60,1,0)),"")</f>
        <v>6.3181818181818183</v>
      </c>
    </row>
    <row r="61" spans="1:13" x14ac:dyDescent="0.25">
      <c r="A61" s="56">
        <v>45694</v>
      </c>
      <c r="B61" t="s">
        <v>4</v>
      </c>
      <c r="C61">
        <v>1</v>
      </c>
      <c r="D61" s="246" cm="1">
        <f t="array" ref="D6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61" s="246">
        <v>1250</v>
      </c>
      <c r="F6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  <c r="I61" s="45" t="s">
        <v>65</v>
      </c>
      <c r="J61" s="55" cm="1">
        <f t="array" ref="J61">IFERROR(J44/SUMPRODUCT(IF(TEXT(_xlfn.UNIQUE(Продажи_Мичу[Дата]),"ММММ")=$I61,1,0)),"")</f>
        <v>1.4444444444444444</v>
      </c>
      <c r="K61" s="55" cm="1">
        <f t="array" ref="K61">IFERROR(K44/SUMPRODUCT(IF(TEXT(_xlfn.UNIQUE(Продажи_Мичу[Дата]),"ММММ")=$I61,1,0)),"")</f>
        <v>2.8888888888888888</v>
      </c>
      <c r="L61" s="55">
        <f>L44/COUNT(_xlfn.UNIQUE(Продажи_Мичу[Дата]))</f>
        <v>4.1095890410958902E-2</v>
      </c>
      <c r="M61" s="59" cm="1">
        <f t="array" ref="M61">IFERROR(M44/SUMPRODUCT(IF(TEXT(_xlfn.UNIQUE(Продажи_Мичу[Дата]),"ММММ")=$I61,1,0)),"")</f>
        <v>4.666666666666667</v>
      </c>
    </row>
    <row r="62" spans="1:13" x14ac:dyDescent="0.25">
      <c r="A62" s="56">
        <v>45695</v>
      </c>
      <c r="B62" t="s">
        <v>4</v>
      </c>
      <c r="C62">
        <v>2</v>
      </c>
      <c r="D62" s="246" cm="1">
        <f t="array" ref="D6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62" s="246">
        <v>1250</v>
      </c>
      <c r="F6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  <c r="I62" s="45" t="s">
        <v>66</v>
      </c>
      <c r="J62" s="55" cm="1">
        <f t="array" ref="J62">IFERROR(J45/SUMPRODUCT(IF(TEXT(_xlfn.UNIQUE(Продажи_Мичу[Дата]),"ММММ")=$I62,1,0)),"")</f>
        <v>0.84210526315789469</v>
      </c>
      <c r="K62" s="55" cm="1">
        <f t="array" ref="K62">IFERROR(K45/SUMPRODUCT(IF(TEXT(_xlfn.UNIQUE(Продажи_Мичу[Дата]),"ММММ")=$I62,1,0)),"")</f>
        <v>3.3157894736842106</v>
      </c>
      <c r="L62" s="55">
        <f>L45/COUNT(_xlfn.UNIQUE(Продажи_Мичу[Дата]))</f>
        <v>2.7397260273972601E-2</v>
      </c>
      <c r="M62" s="59" cm="1">
        <f t="array" ref="M62">IFERROR(M45/SUMPRODUCT(IF(TEXT(_xlfn.UNIQUE(Продажи_Мичу[Дата]),"ММММ")=$I62,1,0)),"")</f>
        <v>4.3684210526315788</v>
      </c>
    </row>
    <row r="63" spans="1:13" x14ac:dyDescent="0.25">
      <c r="A63" s="56">
        <v>45695</v>
      </c>
      <c r="B63" t="s">
        <v>3</v>
      </c>
      <c r="C63">
        <v>1</v>
      </c>
      <c r="D63" s="246" cm="1">
        <f t="array" ref="D6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63" s="246">
        <v>720</v>
      </c>
      <c r="F6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  <c r="I63" s="45" t="s">
        <v>67</v>
      </c>
      <c r="J63" s="55" cm="1">
        <f t="array" ref="J63">IFERROR(J46/SUMPRODUCT(IF(TEXT(_xlfn.UNIQUE(Продажи_Мичу[Дата]),"ММММ")=$I63,1,0)),"")</f>
        <v>0</v>
      </c>
      <c r="K63" s="55" cm="1">
        <f t="array" ref="K63">IFERROR(K46/SUMPRODUCT(IF(TEXT(_xlfn.UNIQUE(Продажи_Мичу[Дата]),"ММММ")=$I63,1,0)),"")</f>
        <v>3.0869565217391304</v>
      </c>
      <c r="L63" s="55">
        <f>L46/COUNT(_xlfn.UNIQUE(Продажи_Мичу[Дата]))</f>
        <v>6.1643835616438353E-2</v>
      </c>
      <c r="M63" s="59" cm="1">
        <f t="array" ref="M63">IFERROR(M46/SUMPRODUCT(IF(TEXT(_xlfn.UNIQUE(Продажи_Мичу[Дата]),"ММММ")=$I63,1,0)),"")</f>
        <v>3.4782608695652173</v>
      </c>
    </row>
    <row r="64" spans="1:13" x14ac:dyDescent="0.25">
      <c r="A64" s="56">
        <v>45698</v>
      </c>
      <c r="B64" t="s">
        <v>3</v>
      </c>
      <c r="C64">
        <v>4</v>
      </c>
      <c r="D64" s="246" cm="1">
        <f t="array" ref="D6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64" s="246">
        <v>720</v>
      </c>
      <c r="F6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  <c r="I64" s="45" t="s">
        <v>68</v>
      </c>
      <c r="J64" s="55" cm="1">
        <f t="array" ref="J64">IFERROR(J47/SUMPRODUCT(IF(TEXT(_xlfn.UNIQUE(Продажи_Мичу[Дата]),"ММММ")=$I64,1,0)),"")</f>
        <v>1</v>
      </c>
      <c r="K64" s="55" cm="1">
        <f t="array" ref="K64">IFERROR(K47/SUMPRODUCT(IF(TEXT(_xlfn.UNIQUE(Продажи_Мичу[Дата]),"ММММ")=$I64,1,0)),"")</f>
        <v>3.5</v>
      </c>
      <c r="L64" s="55">
        <f>L47/COUNT(_xlfn.UNIQUE(Продажи_Мичу[Дата]))</f>
        <v>6.8493150684931503E-3</v>
      </c>
      <c r="M64" s="59" cm="1">
        <f t="array" ref="M64">IFERROR(M47/SUMPRODUCT(IF(TEXT(_xlfn.UNIQUE(Продажи_Мичу[Дата]),"ММММ")=$I64,1,0)),"")</f>
        <v>4.666666666666667</v>
      </c>
    </row>
    <row r="65" spans="1:13" x14ac:dyDescent="0.25">
      <c r="A65" s="56">
        <v>45698</v>
      </c>
      <c r="B65" t="s">
        <v>4</v>
      </c>
      <c r="C65">
        <v>1</v>
      </c>
      <c r="D65" s="246" cm="1">
        <f t="array" ref="D6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65" s="246">
        <v>1250</v>
      </c>
      <c r="F6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  <c r="I65" s="45" t="s">
        <v>72</v>
      </c>
      <c r="J65" s="55" t="str" cm="1">
        <f t="array" ref="J65">IFERROR(J48/SUMPRODUCT(IF(TEXT(_xlfn.UNIQUE(Продажи_Мичу[Дата]),"ММММ")=$I65,1,0)),"")</f>
        <v/>
      </c>
      <c r="K65" s="55" t="str" cm="1">
        <f t="array" ref="K65">IFERROR(K48/SUMPRODUCT(IF(TEXT(_xlfn.UNIQUE(Продажи_Мичу[Дата]),"ММММ")=$I65,1,0)),"")</f>
        <v/>
      </c>
      <c r="L65" s="55">
        <f>L48/COUNT(_xlfn.UNIQUE(Продажи_Мичу[Дата]))</f>
        <v>0</v>
      </c>
      <c r="M65" s="59" t="str" cm="1">
        <f t="array" ref="M65">IFERROR(M48/SUMPRODUCT(IF(TEXT(_xlfn.UNIQUE(Продажи_Мичу[Дата]),"ММММ")=$I65,1,0)),"")</f>
        <v/>
      </c>
    </row>
    <row r="66" spans="1:13" x14ac:dyDescent="0.25">
      <c r="A66" s="56">
        <v>45699</v>
      </c>
      <c r="B66" t="s">
        <v>3</v>
      </c>
      <c r="C66">
        <v>6</v>
      </c>
      <c r="D66" s="246" cm="1">
        <f t="array" ref="D6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12000</v>
      </c>
      <c r="E66" s="246">
        <v>720</v>
      </c>
      <c r="F6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7303.8</v>
      </c>
      <c r="I66" s="45" t="s">
        <v>74</v>
      </c>
      <c r="J66" s="55" t="str" cm="1">
        <f t="array" ref="J66">IFERROR(J49/SUMPRODUCT(IF(TEXT(_xlfn.UNIQUE(Продажи_Мичу[Дата]),"ММММ")=$I66,1,0)),"")</f>
        <v/>
      </c>
      <c r="K66" s="55" t="str" cm="1">
        <f t="array" ref="K66">IFERROR(K49/SUMPRODUCT(IF(TEXT(_xlfn.UNIQUE(Продажи_Мичу[Дата]),"ММММ")=$I66,1,0)),"")</f>
        <v/>
      </c>
      <c r="L66" s="55">
        <f>L49/COUNT(_xlfn.UNIQUE(Продажи_Мичу[Дата]))</f>
        <v>0</v>
      </c>
      <c r="M66" s="59" t="str" cm="1">
        <f t="array" ref="M66">IFERROR(M49/SUMPRODUCT(IF(TEXT(_xlfn.UNIQUE(Продажи_Мичу[Дата]),"ММММ")=$I66,1,0)),"")</f>
        <v/>
      </c>
    </row>
    <row r="67" spans="1:13" x14ac:dyDescent="0.25">
      <c r="A67" s="56">
        <v>45699</v>
      </c>
      <c r="B67" t="s">
        <v>4</v>
      </c>
      <c r="C67">
        <v>1</v>
      </c>
      <c r="D67" s="246" cm="1">
        <f t="array" ref="D6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67" s="246">
        <v>1250</v>
      </c>
      <c r="F6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  <c r="I67" s="45" t="s">
        <v>75</v>
      </c>
      <c r="J67" s="55" t="str" cm="1">
        <f t="array" ref="J67">IFERROR(J50/SUMPRODUCT(IF(TEXT(_xlfn.UNIQUE(Продажи_Мичу[Дата]),"ММММ")=$I67,1,0)),"")</f>
        <v/>
      </c>
      <c r="K67" s="55" t="str" cm="1">
        <f t="array" ref="K67">IFERROR(K50/SUMPRODUCT(IF(TEXT(_xlfn.UNIQUE(Продажи_Мичу[Дата]),"ММММ")=$I67,1,0)),"")</f>
        <v/>
      </c>
      <c r="L67" s="55">
        <f>L50/COUNT(_xlfn.UNIQUE(Продажи_Мичу[Дата]))</f>
        <v>0</v>
      </c>
      <c r="M67" s="59" t="str" cm="1">
        <f t="array" ref="M67">IFERROR(M50/SUMPRODUCT(IF(TEXT(_xlfn.UNIQUE(Продажи_Мичу[Дата]),"ММММ")=$I67,1,0)),"")</f>
        <v/>
      </c>
    </row>
    <row r="68" spans="1:13" x14ac:dyDescent="0.25">
      <c r="A68" s="56">
        <v>45700</v>
      </c>
      <c r="B68" t="s">
        <v>4</v>
      </c>
      <c r="C68">
        <v>2</v>
      </c>
      <c r="D68" s="246" cm="1">
        <f t="array" ref="D6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68" s="246">
        <v>1250</v>
      </c>
      <c r="F6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  <c r="I68" s="45" t="s">
        <v>76</v>
      </c>
      <c r="J68" s="55" t="str" cm="1">
        <f t="array" ref="J68">IFERROR(J51/SUMPRODUCT(IF(TEXT(_xlfn.UNIQUE(Продажи_Мичу[Дата]),"ММММ")=$I68,1,0)),"")</f>
        <v/>
      </c>
      <c r="K68" s="55" t="str" cm="1">
        <f t="array" ref="K68">IFERROR(K51/SUMPRODUCT(IF(TEXT(_xlfn.UNIQUE(Продажи_Мичу[Дата]),"ММММ")=$I68,1,0)),"")</f>
        <v/>
      </c>
      <c r="L68" s="55">
        <f>L51/COUNT(_xlfn.UNIQUE(Продажи_Мичу[Дата]))</f>
        <v>0</v>
      </c>
      <c r="M68" s="59" t="str" cm="1">
        <f t="array" ref="M68">IFERROR(M51/SUMPRODUCT(IF(TEXT(_xlfn.UNIQUE(Продажи_Мичу[Дата]),"ММММ")=$I68,1,0)),"")</f>
        <v/>
      </c>
    </row>
    <row r="69" spans="1:13" x14ac:dyDescent="0.25">
      <c r="A69" s="56">
        <v>45700</v>
      </c>
      <c r="B69" t="s">
        <v>3</v>
      </c>
      <c r="C69">
        <v>2</v>
      </c>
      <c r="D69" s="246" cm="1">
        <f t="array" ref="D6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69" s="246">
        <v>720</v>
      </c>
      <c r="F6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I69" s="49" t="s">
        <v>88</v>
      </c>
      <c r="J69" s="57">
        <f>J52/COUNT(_xlfn.UNIQUE(Продажи_Мичу[Дата]))</f>
        <v>2.0136986301369864</v>
      </c>
      <c r="K69" s="57">
        <f>K52/COUNT(_xlfn.UNIQUE(Продажи_Мичу[Дата]))</f>
        <v>2.6164383561643834</v>
      </c>
      <c r="L69" s="57">
        <f>L52/COUNT(_xlfn.UNIQUE(Продажи_Мичу[Дата]))</f>
        <v>0.29452054794520549</v>
      </c>
      <c r="M69" s="57">
        <f>M52/COUNT(_xlfn.UNIQUE(Продажи_Мичу[Дата]))</f>
        <v>4.9246575342465757</v>
      </c>
    </row>
    <row r="70" spans="1:13" x14ac:dyDescent="0.25">
      <c r="A70" s="56">
        <v>45701</v>
      </c>
      <c r="B70" t="s">
        <v>3</v>
      </c>
      <c r="C70">
        <v>5</v>
      </c>
      <c r="D70" s="246" cm="1">
        <f t="array" ref="D7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70" s="246">
        <v>720</v>
      </c>
      <c r="F7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6086.5</v>
      </c>
    </row>
    <row r="71" spans="1:13" x14ac:dyDescent="0.25">
      <c r="A71" s="56">
        <v>45702</v>
      </c>
      <c r="B71" t="s">
        <v>3</v>
      </c>
      <c r="C71">
        <v>4</v>
      </c>
      <c r="D71" s="246" cm="1">
        <f t="array" ref="D7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71" s="246">
        <v>720</v>
      </c>
      <c r="F7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72" spans="1:13" x14ac:dyDescent="0.25">
      <c r="A72" s="56">
        <v>45702</v>
      </c>
      <c r="B72" t="s">
        <v>4</v>
      </c>
      <c r="C72">
        <v>4</v>
      </c>
      <c r="D72" s="246" cm="1">
        <f t="array" ref="D7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72" s="246">
        <v>1250</v>
      </c>
      <c r="F7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73" spans="1:13" x14ac:dyDescent="0.25">
      <c r="A73" s="56">
        <v>45705</v>
      </c>
      <c r="B73" t="s">
        <v>4</v>
      </c>
      <c r="C73">
        <v>2</v>
      </c>
      <c r="D73" s="246" cm="1">
        <f t="array" ref="D7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73" s="246">
        <v>1250</v>
      </c>
      <c r="F7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74" spans="1:13" x14ac:dyDescent="0.25">
      <c r="A74" s="56">
        <v>45705</v>
      </c>
      <c r="B74" t="s">
        <v>3</v>
      </c>
      <c r="C74">
        <v>2</v>
      </c>
      <c r="D74" s="246" cm="1">
        <f t="array" ref="D7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74" s="246">
        <v>720</v>
      </c>
      <c r="F7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75" spans="1:13" x14ac:dyDescent="0.25">
      <c r="A75" s="56">
        <v>45706</v>
      </c>
      <c r="B75" t="s">
        <v>4</v>
      </c>
      <c r="C75">
        <v>3</v>
      </c>
      <c r="D75" s="246" cm="1">
        <f t="array" ref="D7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75" s="246">
        <v>1250</v>
      </c>
      <c r="F7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76" spans="1:13" x14ac:dyDescent="0.25">
      <c r="A76" s="56">
        <v>45707</v>
      </c>
      <c r="B76" t="s">
        <v>4</v>
      </c>
      <c r="C76">
        <v>2</v>
      </c>
      <c r="D76" s="246" cm="1">
        <f t="array" ref="D7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76" s="246">
        <v>1250</v>
      </c>
      <c r="F7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77" spans="1:13" x14ac:dyDescent="0.25">
      <c r="A77" s="56">
        <v>45707</v>
      </c>
      <c r="B77" t="s">
        <v>3</v>
      </c>
      <c r="C77">
        <v>4</v>
      </c>
      <c r="D77" s="246" cm="1">
        <f t="array" ref="D7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77" s="246">
        <v>720</v>
      </c>
      <c r="F7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78" spans="1:13" x14ac:dyDescent="0.25">
      <c r="A78" s="56">
        <v>45708</v>
      </c>
      <c r="B78" t="s">
        <v>4</v>
      </c>
      <c r="C78">
        <v>4</v>
      </c>
      <c r="D78" s="246" cm="1">
        <f t="array" ref="D7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78" s="246">
        <v>1250</v>
      </c>
      <c r="F7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79" spans="1:13" x14ac:dyDescent="0.25">
      <c r="A79" s="56">
        <v>45709</v>
      </c>
      <c r="B79" t="s">
        <v>4</v>
      </c>
      <c r="C79">
        <v>3</v>
      </c>
      <c r="D79" s="246" cm="1">
        <f t="array" ref="D7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79" s="246">
        <v>1250</v>
      </c>
      <c r="F7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80" spans="1:13" x14ac:dyDescent="0.25">
      <c r="A80" s="56">
        <v>45709</v>
      </c>
      <c r="B80" t="s">
        <v>3</v>
      </c>
      <c r="C80">
        <v>2</v>
      </c>
      <c r="D80" s="246" cm="1">
        <f t="array" ref="D8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80" s="246">
        <v>720</v>
      </c>
      <c r="F8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81" spans="1:6" x14ac:dyDescent="0.25">
      <c r="A81" s="56">
        <v>45712</v>
      </c>
      <c r="B81" t="s">
        <v>4</v>
      </c>
      <c r="C81">
        <v>6</v>
      </c>
      <c r="D81" s="246" cm="1">
        <f t="array" ref="D8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13800</v>
      </c>
      <c r="E81" s="246">
        <v>1250</v>
      </c>
      <c r="F8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5875.2</v>
      </c>
    </row>
    <row r="82" spans="1:6" x14ac:dyDescent="0.25">
      <c r="A82" s="56">
        <v>45712</v>
      </c>
      <c r="B82" t="s">
        <v>3</v>
      </c>
      <c r="C82">
        <v>1</v>
      </c>
      <c r="D82" s="246" cm="1">
        <f t="array" ref="D8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82" s="246">
        <v>720</v>
      </c>
      <c r="F8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83" spans="1:6" x14ac:dyDescent="0.25">
      <c r="A83" s="56">
        <v>45713</v>
      </c>
      <c r="B83" t="s">
        <v>3</v>
      </c>
      <c r="C83">
        <v>1</v>
      </c>
      <c r="D83" s="246" cm="1">
        <f t="array" ref="D8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83" s="246">
        <v>720</v>
      </c>
      <c r="F8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84" spans="1:6" x14ac:dyDescent="0.25">
      <c r="A84" s="56">
        <v>45713</v>
      </c>
      <c r="B84" t="s">
        <v>4</v>
      </c>
      <c r="C84">
        <v>1</v>
      </c>
      <c r="D84" s="246" cm="1">
        <f t="array" ref="D8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84" s="246">
        <v>1250</v>
      </c>
      <c r="F8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</row>
    <row r="85" spans="1:6" x14ac:dyDescent="0.25">
      <c r="A85" s="56">
        <v>45714</v>
      </c>
      <c r="B85" t="s">
        <v>4</v>
      </c>
      <c r="C85">
        <v>1</v>
      </c>
      <c r="D85" s="246" cm="1">
        <f t="array" ref="D8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85" s="246">
        <v>1250</v>
      </c>
      <c r="F8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</row>
    <row r="86" spans="1:6" x14ac:dyDescent="0.25">
      <c r="A86" s="56">
        <v>45715</v>
      </c>
      <c r="B86" t="s">
        <v>4</v>
      </c>
      <c r="C86">
        <v>3</v>
      </c>
      <c r="D86" s="246" cm="1">
        <f t="array" ref="D8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86" s="246">
        <v>1250</v>
      </c>
      <c r="F8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87" spans="1:6" x14ac:dyDescent="0.25">
      <c r="A87" s="56">
        <v>45715</v>
      </c>
      <c r="B87" t="s">
        <v>3</v>
      </c>
      <c r="C87">
        <v>3</v>
      </c>
      <c r="D87" s="246" cm="1">
        <f t="array" ref="D8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87" s="246">
        <v>720</v>
      </c>
      <c r="F8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88" spans="1:6" x14ac:dyDescent="0.25">
      <c r="A88" s="56">
        <v>45716</v>
      </c>
      <c r="B88" t="s">
        <v>4</v>
      </c>
      <c r="C88">
        <v>3</v>
      </c>
      <c r="D88" s="246" cm="1">
        <f t="array" ref="D8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88" s="246">
        <v>1250</v>
      </c>
      <c r="F8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89" spans="1:6" x14ac:dyDescent="0.25">
      <c r="A89" s="56">
        <v>45719</v>
      </c>
      <c r="B89" t="s">
        <v>4</v>
      </c>
      <c r="C89">
        <v>4</v>
      </c>
      <c r="D89" s="246" cm="1">
        <f t="array" ref="D8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89" s="246">
        <v>1250</v>
      </c>
      <c r="F8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90" spans="1:6" x14ac:dyDescent="0.25">
      <c r="A90" s="56">
        <v>45719</v>
      </c>
      <c r="B90" t="s">
        <v>3</v>
      </c>
      <c r="C90">
        <v>1</v>
      </c>
      <c r="D90" s="246" cm="1">
        <f t="array" ref="D9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90" s="246">
        <v>720</v>
      </c>
      <c r="F9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91" spans="1:6" x14ac:dyDescent="0.25">
      <c r="A91" s="56">
        <v>45720</v>
      </c>
      <c r="B91" t="s">
        <v>3</v>
      </c>
      <c r="C91">
        <v>4</v>
      </c>
      <c r="D91" s="246" cm="1">
        <f t="array" ref="D9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91" s="246">
        <v>720</v>
      </c>
      <c r="F9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92" spans="1:6" x14ac:dyDescent="0.25">
      <c r="A92" s="56">
        <v>45720</v>
      </c>
      <c r="B92" t="s">
        <v>4</v>
      </c>
      <c r="C92">
        <v>3</v>
      </c>
      <c r="D92" s="246" cm="1">
        <f t="array" ref="D9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92" s="246">
        <v>1250</v>
      </c>
      <c r="F9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93" spans="1:6" x14ac:dyDescent="0.25">
      <c r="A93" s="56">
        <v>45721</v>
      </c>
      <c r="B93" t="s">
        <v>4</v>
      </c>
      <c r="C93">
        <v>5</v>
      </c>
      <c r="D93" s="246" cm="1">
        <f t="array" ref="D9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11500</v>
      </c>
      <c r="E93" s="246">
        <v>1250</v>
      </c>
      <c r="F9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4896</v>
      </c>
    </row>
    <row r="94" spans="1:6" x14ac:dyDescent="0.25">
      <c r="A94" s="56">
        <v>45721</v>
      </c>
      <c r="B94" t="s">
        <v>3</v>
      </c>
      <c r="C94">
        <v>2</v>
      </c>
      <c r="D94" s="246" cm="1">
        <f t="array" ref="D9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94" s="246">
        <v>720</v>
      </c>
      <c r="F9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95" spans="1:6" x14ac:dyDescent="0.25">
      <c r="A95" s="56">
        <v>45722</v>
      </c>
      <c r="B95" t="s">
        <v>3</v>
      </c>
      <c r="C95">
        <v>2</v>
      </c>
      <c r="D95" s="246" cm="1">
        <f t="array" ref="D9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95" s="246">
        <v>720</v>
      </c>
      <c r="F9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96" spans="1:6" x14ac:dyDescent="0.25">
      <c r="A96" s="56">
        <v>45722</v>
      </c>
      <c r="B96" t="s">
        <v>4</v>
      </c>
      <c r="C96">
        <v>1</v>
      </c>
      <c r="D96" s="246" cm="1">
        <f t="array" ref="D9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96" s="246">
        <v>1250</v>
      </c>
      <c r="F9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</row>
    <row r="97" spans="1:6" x14ac:dyDescent="0.25">
      <c r="A97" s="56">
        <v>45723</v>
      </c>
      <c r="B97" t="s">
        <v>4</v>
      </c>
      <c r="C97">
        <v>1</v>
      </c>
      <c r="D97" s="246" cm="1">
        <f t="array" ref="D9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97" s="246">
        <v>1250</v>
      </c>
      <c r="F9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</row>
    <row r="98" spans="1:6" x14ac:dyDescent="0.25">
      <c r="A98" s="56">
        <v>45726</v>
      </c>
      <c r="B98" t="s">
        <v>4</v>
      </c>
      <c r="C98">
        <v>6</v>
      </c>
      <c r="D98" s="246" cm="1">
        <f t="array" ref="D9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13800</v>
      </c>
      <c r="E98" s="246">
        <v>1250</v>
      </c>
      <c r="F9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5875.2</v>
      </c>
    </row>
    <row r="99" spans="1:6" x14ac:dyDescent="0.25">
      <c r="A99" s="56">
        <v>45727</v>
      </c>
      <c r="B99" t="s">
        <v>4</v>
      </c>
      <c r="C99">
        <v>4</v>
      </c>
      <c r="D99" s="246" cm="1">
        <f t="array" ref="D9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99" s="246">
        <v>1250</v>
      </c>
      <c r="F9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100" spans="1:6" x14ac:dyDescent="0.25">
      <c r="A100" s="56">
        <v>45727</v>
      </c>
      <c r="B100" t="s">
        <v>3</v>
      </c>
      <c r="C100">
        <v>1</v>
      </c>
      <c r="D100" s="246" cm="1">
        <f t="array" ref="D10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00" s="246">
        <v>720</v>
      </c>
      <c r="F10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01" spans="1:6" x14ac:dyDescent="0.25">
      <c r="A101" s="56">
        <v>45728</v>
      </c>
      <c r="B101" t="s">
        <v>3</v>
      </c>
      <c r="C101">
        <v>1</v>
      </c>
      <c r="D101" s="246" cm="1">
        <f t="array" ref="D10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01" s="246">
        <v>720</v>
      </c>
      <c r="F10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02" spans="1:6" x14ac:dyDescent="0.25">
      <c r="A102" s="56">
        <v>45728</v>
      </c>
      <c r="B102" t="s">
        <v>4</v>
      </c>
      <c r="C102">
        <v>3</v>
      </c>
      <c r="D102" s="246" cm="1">
        <f t="array" ref="D10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02" s="246">
        <v>1250</v>
      </c>
      <c r="F10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03" spans="1:6" x14ac:dyDescent="0.25">
      <c r="A103" s="56">
        <v>45729</v>
      </c>
      <c r="B103" t="s">
        <v>4</v>
      </c>
      <c r="C103">
        <v>3</v>
      </c>
      <c r="D103" s="246" cm="1">
        <f t="array" ref="D10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03" s="246">
        <v>1250</v>
      </c>
      <c r="F10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04" spans="1:6" x14ac:dyDescent="0.25">
      <c r="A104" s="56">
        <v>45729</v>
      </c>
      <c r="B104" t="s">
        <v>3</v>
      </c>
      <c r="C104">
        <v>3</v>
      </c>
      <c r="D104" s="246" cm="1">
        <f t="array" ref="D10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04" s="246">
        <v>720</v>
      </c>
      <c r="F10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105" spans="1:6" x14ac:dyDescent="0.25">
      <c r="A105" s="56">
        <v>45729</v>
      </c>
      <c r="B105" s="2" t="s">
        <v>112</v>
      </c>
      <c r="C105">
        <v>1</v>
      </c>
      <c r="D105" s="246" cm="1">
        <f t="array" ref="D10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05" s="246">
        <v>1340</v>
      </c>
      <c r="F10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06" spans="1:6" x14ac:dyDescent="0.25">
      <c r="A106" s="56">
        <v>45730</v>
      </c>
      <c r="B106" t="s">
        <v>3</v>
      </c>
      <c r="C106">
        <v>1</v>
      </c>
      <c r="D106" s="246" cm="1">
        <f t="array" ref="D10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06" s="246">
        <v>720</v>
      </c>
      <c r="F10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07" spans="1:6" x14ac:dyDescent="0.25">
      <c r="A107" s="56">
        <v>45733</v>
      </c>
      <c r="B107" t="s">
        <v>3</v>
      </c>
      <c r="C107">
        <v>2</v>
      </c>
      <c r="D107" s="246" cm="1">
        <f t="array" ref="D10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07" s="246">
        <v>720</v>
      </c>
      <c r="F10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08" spans="1:6" x14ac:dyDescent="0.25">
      <c r="A108" s="56">
        <v>45734</v>
      </c>
      <c r="B108" t="s">
        <v>4</v>
      </c>
      <c r="C108">
        <v>3</v>
      </c>
      <c r="D108" s="246" cm="1">
        <f t="array" ref="D10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08" s="246">
        <v>1250</v>
      </c>
      <c r="F10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09" spans="1:6" x14ac:dyDescent="0.25">
      <c r="A109" s="56">
        <v>45734</v>
      </c>
      <c r="B109" t="s">
        <v>3</v>
      </c>
      <c r="C109">
        <v>2</v>
      </c>
      <c r="D109" s="246" cm="1">
        <f t="array" ref="D10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09" s="246">
        <v>720</v>
      </c>
      <c r="F10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10" spans="1:6" x14ac:dyDescent="0.25">
      <c r="A110" s="56">
        <v>45735</v>
      </c>
      <c r="B110" t="s">
        <v>112</v>
      </c>
      <c r="C110">
        <v>1</v>
      </c>
      <c r="D110" s="246" cm="1">
        <f t="array" ref="D11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10" s="246">
        <v>1340</v>
      </c>
      <c r="F11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11" spans="1:6" x14ac:dyDescent="0.25">
      <c r="A111" s="56">
        <v>45735</v>
      </c>
      <c r="B111" t="s">
        <v>3</v>
      </c>
      <c r="C111">
        <v>4</v>
      </c>
      <c r="D111" s="246" cm="1">
        <f t="array" ref="D11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111" s="246">
        <v>720</v>
      </c>
      <c r="F11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112" spans="1:6" x14ac:dyDescent="0.25">
      <c r="A112" s="56">
        <v>45735</v>
      </c>
      <c r="B112" t="s">
        <v>4</v>
      </c>
      <c r="C112">
        <v>2</v>
      </c>
      <c r="D112" s="246" cm="1">
        <f t="array" ref="D11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12" s="246">
        <v>1250</v>
      </c>
      <c r="F11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113" spans="1:6" x14ac:dyDescent="0.25">
      <c r="A113" s="56">
        <v>45736</v>
      </c>
      <c r="B113" t="s">
        <v>4</v>
      </c>
      <c r="C113">
        <v>2</v>
      </c>
      <c r="D113" s="246" cm="1">
        <f t="array" ref="D11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13" s="246">
        <v>1250</v>
      </c>
      <c r="F11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114" spans="1:6" x14ac:dyDescent="0.25">
      <c r="A114" s="56">
        <v>45736</v>
      </c>
      <c r="B114" t="s">
        <v>3</v>
      </c>
      <c r="C114">
        <v>1</v>
      </c>
      <c r="D114" s="246" cm="1">
        <f t="array" ref="D11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14" s="246">
        <v>720</v>
      </c>
      <c r="F11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15" spans="1:6" x14ac:dyDescent="0.25">
      <c r="A115" s="56">
        <v>45736</v>
      </c>
      <c r="B115" t="s">
        <v>112</v>
      </c>
      <c r="C115">
        <v>1</v>
      </c>
      <c r="D115" s="246" cm="1">
        <f t="array" ref="D11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15" s="246">
        <v>1340</v>
      </c>
      <c r="F11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16" spans="1:6" x14ac:dyDescent="0.25">
      <c r="A116" s="56">
        <v>45737</v>
      </c>
      <c r="B116" t="s">
        <v>3</v>
      </c>
      <c r="C116">
        <v>1</v>
      </c>
      <c r="D116" s="246" cm="1">
        <f t="array" ref="D11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16" s="246">
        <v>720</v>
      </c>
      <c r="F11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17" spans="1:6" x14ac:dyDescent="0.25">
      <c r="A117" s="56">
        <v>45740</v>
      </c>
      <c r="B117" t="s">
        <v>3</v>
      </c>
      <c r="C117">
        <v>7</v>
      </c>
      <c r="D117" s="246" cm="1">
        <f t="array" ref="D11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14000</v>
      </c>
      <c r="E117" s="246">
        <v>720</v>
      </c>
      <c r="F11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8521.1</v>
      </c>
    </row>
    <row r="118" spans="1:6" x14ac:dyDescent="0.25">
      <c r="A118" s="56">
        <v>45740</v>
      </c>
      <c r="B118" t="s">
        <v>4</v>
      </c>
      <c r="C118">
        <v>3</v>
      </c>
      <c r="D118" s="246" cm="1">
        <f t="array" ref="D11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18" s="246">
        <v>1250</v>
      </c>
      <c r="F11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19" spans="1:6" x14ac:dyDescent="0.25">
      <c r="A119" s="56">
        <v>45741</v>
      </c>
      <c r="B119" t="s">
        <v>4</v>
      </c>
      <c r="C119">
        <v>3</v>
      </c>
      <c r="D119" s="246" cm="1">
        <f t="array" ref="D11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19" s="246">
        <v>1250</v>
      </c>
      <c r="F11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20" spans="1:6" x14ac:dyDescent="0.25">
      <c r="A120" s="56">
        <v>45741</v>
      </c>
      <c r="B120" t="s">
        <v>112</v>
      </c>
      <c r="C120">
        <v>1</v>
      </c>
      <c r="D120" s="246" cm="1">
        <f t="array" ref="D12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20" s="246">
        <v>1340</v>
      </c>
      <c r="F12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21" spans="1:6" x14ac:dyDescent="0.25">
      <c r="A121" s="56">
        <v>45742</v>
      </c>
      <c r="B121" t="s">
        <v>112</v>
      </c>
      <c r="C121">
        <v>1</v>
      </c>
      <c r="D121" s="246" cm="1">
        <f t="array" ref="D12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21" s="246">
        <v>1340</v>
      </c>
      <c r="F12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22" spans="1:6" x14ac:dyDescent="0.25">
      <c r="A122" s="56">
        <v>45742</v>
      </c>
      <c r="B122" t="s">
        <v>3</v>
      </c>
      <c r="C122">
        <v>3</v>
      </c>
      <c r="D122" s="246" cm="1">
        <f t="array" ref="D12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22" s="246">
        <v>720</v>
      </c>
      <c r="F12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123" spans="1:6" x14ac:dyDescent="0.25">
      <c r="A123" s="56">
        <v>45742</v>
      </c>
      <c r="B123" t="s">
        <v>4</v>
      </c>
      <c r="C123">
        <v>1</v>
      </c>
      <c r="D123" s="246" cm="1">
        <f t="array" ref="D12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123" s="246">
        <v>1250</v>
      </c>
      <c r="F12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</row>
    <row r="124" spans="1:6" x14ac:dyDescent="0.25">
      <c r="A124" s="56">
        <v>45743</v>
      </c>
      <c r="B124" t="s">
        <v>4</v>
      </c>
      <c r="C124">
        <v>2</v>
      </c>
      <c r="D124" s="246" cm="1">
        <f t="array" ref="D12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24" s="246">
        <v>1250</v>
      </c>
      <c r="F12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125" spans="1:6" x14ac:dyDescent="0.25">
      <c r="A125" s="56">
        <v>45743</v>
      </c>
      <c r="B125" t="s">
        <v>3</v>
      </c>
      <c r="C125">
        <v>4</v>
      </c>
      <c r="D125" s="246" cm="1">
        <f t="array" ref="D12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125" s="246">
        <v>720</v>
      </c>
      <c r="F12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126" spans="1:6" x14ac:dyDescent="0.25">
      <c r="A126" s="56">
        <v>45744</v>
      </c>
      <c r="B126" t="s">
        <v>112</v>
      </c>
      <c r="C126">
        <v>1</v>
      </c>
      <c r="D126" s="246" cm="1">
        <f t="array" ref="D12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26" s="246">
        <v>1340</v>
      </c>
      <c r="F12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27" spans="1:6" x14ac:dyDescent="0.25">
      <c r="A127" s="56">
        <v>45744</v>
      </c>
      <c r="B127" t="s">
        <v>3</v>
      </c>
      <c r="C127">
        <v>3</v>
      </c>
      <c r="D127" s="246" cm="1">
        <f t="array" ref="D12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27" s="246">
        <v>720</v>
      </c>
      <c r="F12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128" spans="1:6" x14ac:dyDescent="0.25">
      <c r="A128" s="56">
        <v>45747</v>
      </c>
      <c r="B128" t="s">
        <v>4</v>
      </c>
      <c r="C128">
        <v>2</v>
      </c>
      <c r="D128" s="246" cm="1">
        <f t="array" ref="D12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28" s="246">
        <v>1250</v>
      </c>
      <c r="F12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129" spans="1:6" x14ac:dyDescent="0.25">
      <c r="A129" s="56">
        <v>45747</v>
      </c>
      <c r="B129" t="s">
        <v>3</v>
      </c>
      <c r="C129">
        <v>3</v>
      </c>
      <c r="D129" s="246" cm="1">
        <f t="array" ref="D12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29" s="246">
        <v>720</v>
      </c>
      <c r="F12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130" spans="1:6" x14ac:dyDescent="0.25">
      <c r="A130" s="56">
        <v>45748</v>
      </c>
      <c r="B130" t="s">
        <v>4</v>
      </c>
      <c r="C130">
        <v>3</v>
      </c>
      <c r="D130" s="246" cm="1">
        <f t="array" ref="D13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30" s="246">
        <v>1250</v>
      </c>
      <c r="F13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31" spans="1:6" x14ac:dyDescent="0.25">
      <c r="A131" s="56">
        <v>45748</v>
      </c>
      <c r="B131" t="s">
        <v>3</v>
      </c>
      <c r="C131">
        <v>2</v>
      </c>
      <c r="D131" s="246" cm="1">
        <f t="array" ref="D13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31" s="246">
        <v>720</v>
      </c>
      <c r="F13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32" spans="1:6" x14ac:dyDescent="0.25">
      <c r="A132" s="56">
        <v>45749</v>
      </c>
      <c r="B132" t="s">
        <v>3</v>
      </c>
      <c r="C132">
        <v>1</v>
      </c>
      <c r="D132" s="246" cm="1">
        <f t="array" ref="D13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32" s="246">
        <v>720</v>
      </c>
      <c r="F13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33" spans="1:6" x14ac:dyDescent="0.25">
      <c r="A133" s="56">
        <v>45749</v>
      </c>
      <c r="B133" t="s">
        <v>112</v>
      </c>
      <c r="C133">
        <v>2</v>
      </c>
      <c r="D133" s="246" cm="1">
        <f t="array" ref="D13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5340</v>
      </c>
      <c r="E133" s="246">
        <v>1340</v>
      </c>
      <c r="F13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2498.4199999999996</v>
      </c>
    </row>
    <row r="134" spans="1:6" x14ac:dyDescent="0.25">
      <c r="A134" s="56">
        <v>45749</v>
      </c>
      <c r="B134" t="s">
        <v>4</v>
      </c>
      <c r="C134">
        <v>4</v>
      </c>
      <c r="D134" s="246" cm="1">
        <f t="array" ref="D13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34" s="246">
        <v>1250</v>
      </c>
      <c r="F13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135" spans="1:6" x14ac:dyDescent="0.25">
      <c r="A135" s="56">
        <v>45750</v>
      </c>
      <c r="B135" t="s">
        <v>3</v>
      </c>
      <c r="C135">
        <v>5</v>
      </c>
      <c r="D135" s="246" cm="1">
        <f t="array" ref="D13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135" s="246">
        <v>720</v>
      </c>
      <c r="F13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6086.5</v>
      </c>
    </row>
    <row r="136" spans="1:6" x14ac:dyDescent="0.25">
      <c r="A136" s="56">
        <v>45750</v>
      </c>
      <c r="B136" t="s">
        <v>4</v>
      </c>
      <c r="C136">
        <v>4</v>
      </c>
      <c r="D136" s="246" cm="1">
        <f t="array" ref="D13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36" s="246">
        <v>1250</v>
      </c>
      <c r="F13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137" spans="1:6" x14ac:dyDescent="0.25">
      <c r="A137" s="56">
        <v>45751</v>
      </c>
      <c r="B137" t="s">
        <v>4</v>
      </c>
      <c r="C137">
        <v>2</v>
      </c>
      <c r="D137" s="246" cm="1">
        <f t="array" ref="D13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37" s="246">
        <v>1250</v>
      </c>
      <c r="F13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1958.4</v>
      </c>
    </row>
    <row r="138" spans="1:6" x14ac:dyDescent="0.25">
      <c r="A138" s="56">
        <v>45751</v>
      </c>
      <c r="B138" t="s">
        <v>112</v>
      </c>
      <c r="C138">
        <v>1</v>
      </c>
      <c r="D138" s="246" cm="1">
        <f t="array" ref="D13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38" s="246">
        <v>1340</v>
      </c>
      <c r="F13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39" spans="1:6" x14ac:dyDescent="0.25">
      <c r="A139" s="56">
        <v>45754</v>
      </c>
      <c r="B139" t="s">
        <v>112</v>
      </c>
      <c r="C139">
        <v>1</v>
      </c>
      <c r="D139" s="246" cm="1">
        <f t="array" ref="D13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39" s="246">
        <v>1340</v>
      </c>
      <c r="F13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40" spans="1:6" x14ac:dyDescent="0.25">
      <c r="A140" s="56">
        <v>45754</v>
      </c>
      <c r="B140" t="s">
        <v>4</v>
      </c>
      <c r="C140">
        <v>1</v>
      </c>
      <c r="D140" s="246" cm="1">
        <f t="array" ref="D14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140" s="246">
        <v>1250</v>
      </c>
      <c r="F14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979.2</v>
      </c>
    </row>
    <row r="141" spans="1:6" x14ac:dyDescent="0.25">
      <c r="A141" s="56">
        <v>45754</v>
      </c>
      <c r="B141" t="s">
        <v>3</v>
      </c>
      <c r="C141">
        <v>1</v>
      </c>
      <c r="D141" s="246" cm="1">
        <f t="array" ref="D14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41" s="246">
        <v>720</v>
      </c>
      <c r="F14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42" spans="1:6" x14ac:dyDescent="0.25">
      <c r="A142" s="56">
        <v>45755</v>
      </c>
      <c r="B142" t="s">
        <v>3</v>
      </c>
      <c r="C142">
        <v>1</v>
      </c>
      <c r="D142" s="246" cm="1">
        <f t="array" ref="D14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42" s="246">
        <v>720</v>
      </c>
      <c r="F14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43" spans="1:6" x14ac:dyDescent="0.25">
      <c r="A143" s="56">
        <v>45755</v>
      </c>
      <c r="B143" t="s">
        <v>4</v>
      </c>
      <c r="C143">
        <v>3</v>
      </c>
      <c r="D143" s="246" cm="1">
        <f t="array" ref="D14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43" s="246">
        <v>1250</v>
      </c>
      <c r="F14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2937.6</v>
      </c>
    </row>
    <row r="144" spans="1:6" x14ac:dyDescent="0.25">
      <c r="A144" s="56">
        <v>45755</v>
      </c>
      <c r="B144" t="s">
        <v>112</v>
      </c>
      <c r="C144">
        <v>2</v>
      </c>
      <c r="D144" s="246" cm="1">
        <f t="array" ref="D14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5340</v>
      </c>
      <c r="E144" s="246">
        <v>1340</v>
      </c>
      <c r="F14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2498.4199999999996</v>
      </c>
    </row>
    <row r="145" spans="1:6" x14ac:dyDescent="0.25">
      <c r="A145" s="56">
        <v>45756</v>
      </c>
      <c r="B145" t="s">
        <v>4</v>
      </c>
      <c r="C145">
        <v>4</v>
      </c>
      <c r="D145" s="246" cm="1">
        <f t="array" ref="D14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45" s="246">
        <v>1250</v>
      </c>
      <c r="F14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3916.8</v>
      </c>
    </row>
    <row r="146" spans="1:6" x14ac:dyDescent="0.25">
      <c r="A146" s="56">
        <v>45756</v>
      </c>
      <c r="B146" t="s">
        <v>3</v>
      </c>
      <c r="C146">
        <v>1</v>
      </c>
      <c r="D146" s="246" cm="1">
        <f t="array" ref="D14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46" s="246">
        <v>720</v>
      </c>
      <c r="F14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47" spans="1:6" x14ac:dyDescent="0.25">
      <c r="A147" s="56">
        <v>45757</v>
      </c>
      <c r="B147" t="s">
        <v>4</v>
      </c>
      <c r="C147">
        <v>4</v>
      </c>
      <c r="D147" s="246" cm="1">
        <f t="array" ref="D14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47" s="246">
        <v>720</v>
      </c>
      <c r="F14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6036.8</v>
      </c>
    </row>
    <row r="148" spans="1:6" x14ac:dyDescent="0.25">
      <c r="A148" s="56">
        <v>45758</v>
      </c>
      <c r="B148" t="s">
        <v>4</v>
      </c>
      <c r="C148">
        <v>7</v>
      </c>
      <c r="D148" s="246" cm="1">
        <f t="array" ref="D14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16100</v>
      </c>
      <c r="E148" s="246">
        <v>1250</v>
      </c>
      <c r="F14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6854.4</v>
      </c>
    </row>
    <row r="149" spans="1:6" x14ac:dyDescent="0.25">
      <c r="A149" s="56">
        <v>45758</v>
      </c>
      <c r="B149" t="s">
        <v>3</v>
      </c>
      <c r="C149">
        <v>2</v>
      </c>
      <c r="D149" s="246" cm="1">
        <f t="array" ref="D14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49" s="246">
        <v>720</v>
      </c>
      <c r="F14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50" spans="1:6" x14ac:dyDescent="0.25">
      <c r="A150" s="56">
        <v>45761</v>
      </c>
      <c r="B150" t="s">
        <v>3</v>
      </c>
      <c r="C150">
        <v>3</v>
      </c>
      <c r="D150" s="246" cm="1">
        <f t="array" ref="D15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50" s="246">
        <v>720</v>
      </c>
      <c r="F15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151" spans="1:6" x14ac:dyDescent="0.25">
      <c r="A151" s="56">
        <v>45761</v>
      </c>
      <c r="B151" t="s">
        <v>4</v>
      </c>
      <c r="C151">
        <v>11</v>
      </c>
      <c r="D151" s="246" cm="1">
        <f t="array" ref="D15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25300</v>
      </c>
      <c r="E151" s="246">
        <v>1250</v>
      </c>
      <c r="F15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10771.2</v>
      </c>
    </row>
    <row r="152" spans="1:6" x14ac:dyDescent="0.25">
      <c r="A152" s="56">
        <v>45762</v>
      </c>
      <c r="B152" t="s">
        <v>4</v>
      </c>
      <c r="C152">
        <v>3</v>
      </c>
      <c r="D152" s="246" cm="1">
        <f t="array" ref="D15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52" s="246">
        <v>1100</v>
      </c>
      <c r="F15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3387.6</v>
      </c>
    </row>
    <row r="153" spans="1:6" x14ac:dyDescent="0.25">
      <c r="A153" s="56">
        <v>45762</v>
      </c>
      <c r="B153" t="s">
        <v>3</v>
      </c>
      <c r="C153">
        <v>2</v>
      </c>
      <c r="D153" s="246" cm="1">
        <f t="array" ref="D15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53" s="246">
        <v>720</v>
      </c>
      <c r="F15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54" spans="1:6" x14ac:dyDescent="0.25">
      <c r="A154" s="56">
        <v>45763</v>
      </c>
      <c r="B154" t="s">
        <v>3</v>
      </c>
      <c r="C154">
        <v>1</v>
      </c>
      <c r="D154" s="246" cm="1">
        <f t="array" ref="D15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54" s="246">
        <v>720</v>
      </c>
      <c r="F15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55" spans="1:6" x14ac:dyDescent="0.25">
      <c r="A155" s="56">
        <v>45763</v>
      </c>
      <c r="B155" t="s">
        <v>112</v>
      </c>
      <c r="C155">
        <v>1</v>
      </c>
      <c r="D155" s="246" cm="1">
        <f t="array" ref="D15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55" s="246">
        <v>1340</v>
      </c>
      <c r="F15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56" spans="1:6" x14ac:dyDescent="0.25">
      <c r="A156" s="56">
        <v>45763</v>
      </c>
      <c r="B156" t="s">
        <v>4</v>
      </c>
      <c r="C156">
        <v>2</v>
      </c>
      <c r="D156" s="246" cm="1">
        <f t="array" ref="D15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56" s="246">
        <v>1100</v>
      </c>
      <c r="F15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2258.4</v>
      </c>
    </row>
    <row r="157" spans="1:6" x14ac:dyDescent="0.25">
      <c r="A157" s="56">
        <v>45764</v>
      </c>
      <c r="B157" t="s">
        <v>4</v>
      </c>
      <c r="C157">
        <v>7</v>
      </c>
      <c r="D157" s="246" cm="1">
        <f t="array" ref="D15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16100</v>
      </c>
      <c r="E157" s="246">
        <v>1100</v>
      </c>
      <c r="F15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7904.4</v>
      </c>
    </row>
    <row r="158" spans="1:6" x14ac:dyDescent="0.25">
      <c r="A158" s="56">
        <v>45764</v>
      </c>
      <c r="B158" t="s">
        <v>3</v>
      </c>
      <c r="C158">
        <v>1</v>
      </c>
      <c r="D158" s="246" cm="1">
        <f t="array" ref="D15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58" s="246">
        <v>720</v>
      </c>
      <c r="F15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59" spans="1:6" x14ac:dyDescent="0.25">
      <c r="A159" s="56">
        <v>45765</v>
      </c>
      <c r="B159" t="s">
        <v>3</v>
      </c>
      <c r="C159">
        <v>1</v>
      </c>
      <c r="D159" s="246" cm="1">
        <f t="array" ref="D15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59" s="246">
        <v>720</v>
      </c>
      <c r="F15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60" spans="1:6" x14ac:dyDescent="0.25">
      <c r="A160" s="56">
        <v>45765</v>
      </c>
      <c r="B160" t="s">
        <v>4</v>
      </c>
      <c r="C160">
        <v>4</v>
      </c>
      <c r="D160" s="246" cm="1">
        <f t="array" ref="D16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60" s="246">
        <v>1100</v>
      </c>
      <c r="F16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4516.8</v>
      </c>
    </row>
    <row r="161" spans="1:6" x14ac:dyDescent="0.25">
      <c r="A161" s="56">
        <v>45765</v>
      </c>
      <c r="B161" t="s">
        <v>112</v>
      </c>
      <c r="C161">
        <v>1</v>
      </c>
      <c r="D161" s="246" cm="1">
        <f t="array" ref="D16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61" s="246">
        <v>1340</v>
      </c>
      <c r="F16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62" spans="1:6" x14ac:dyDescent="0.25">
      <c r="A162" s="56">
        <v>45768</v>
      </c>
      <c r="B162" t="s">
        <v>4</v>
      </c>
      <c r="C162">
        <v>3</v>
      </c>
      <c r="D162" s="246" cm="1">
        <f t="array" ref="D16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6900</v>
      </c>
      <c r="E162" s="246">
        <v>1100</v>
      </c>
      <c r="F16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3387.6</v>
      </c>
    </row>
    <row r="163" spans="1:6" x14ac:dyDescent="0.25">
      <c r="A163" s="56">
        <v>45768</v>
      </c>
      <c r="B163" t="s">
        <v>112</v>
      </c>
      <c r="C163">
        <v>2</v>
      </c>
      <c r="D163" s="246" cm="1">
        <f t="array" ref="D16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5340</v>
      </c>
      <c r="E163" s="246">
        <v>1340</v>
      </c>
      <c r="F16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2498.4199999999996</v>
      </c>
    </row>
    <row r="164" spans="1:6" x14ac:dyDescent="0.25">
      <c r="A164" s="56">
        <v>45768</v>
      </c>
      <c r="B164" t="s">
        <v>3</v>
      </c>
      <c r="C164">
        <v>2</v>
      </c>
      <c r="D164" s="246" cm="1">
        <f t="array" ref="D16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64" s="246">
        <v>720</v>
      </c>
      <c r="F16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65" spans="1:6" x14ac:dyDescent="0.25">
      <c r="A165" s="56">
        <v>45769</v>
      </c>
      <c r="B165" t="s">
        <v>3</v>
      </c>
      <c r="C165">
        <v>2</v>
      </c>
      <c r="D165" s="246" cm="1">
        <f t="array" ref="D16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65" s="246">
        <v>720</v>
      </c>
      <c r="F16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66" spans="1:6" x14ac:dyDescent="0.25">
      <c r="A166" s="56">
        <v>45769</v>
      </c>
      <c r="B166" t="s">
        <v>4</v>
      </c>
      <c r="C166">
        <v>4</v>
      </c>
      <c r="D166" s="246" cm="1">
        <f t="array" ref="D16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66" s="246">
        <v>1100</v>
      </c>
      <c r="F16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4516.8</v>
      </c>
    </row>
    <row r="167" spans="1:6" x14ac:dyDescent="0.25">
      <c r="A167" s="56">
        <v>45770</v>
      </c>
      <c r="B167" t="s">
        <v>4</v>
      </c>
      <c r="C167">
        <v>5</v>
      </c>
      <c r="D167" s="246" cm="1">
        <f t="array" ref="D16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11500</v>
      </c>
      <c r="E167" s="246">
        <v>1100</v>
      </c>
      <c r="F16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5646</v>
      </c>
    </row>
    <row r="168" spans="1:6" x14ac:dyDescent="0.25">
      <c r="A168" s="56">
        <v>45770</v>
      </c>
      <c r="B168" t="s">
        <v>112</v>
      </c>
      <c r="C168">
        <v>1</v>
      </c>
      <c r="D168" s="246" cm="1">
        <f t="array" ref="D16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68" s="246">
        <v>1340</v>
      </c>
      <c r="F16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69" spans="1:6" x14ac:dyDescent="0.25">
      <c r="A169" s="56">
        <v>45771</v>
      </c>
      <c r="B169" t="s">
        <v>112</v>
      </c>
      <c r="C169">
        <v>1</v>
      </c>
      <c r="D169" s="246" cm="1">
        <f t="array" ref="D16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69" s="246">
        <v>1340</v>
      </c>
      <c r="F16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170" spans="1:6" x14ac:dyDescent="0.25">
      <c r="A170" s="56">
        <v>45771</v>
      </c>
      <c r="B170" t="s">
        <v>4</v>
      </c>
      <c r="C170">
        <v>2</v>
      </c>
      <c r="D170" s="246" cm="1">
        <f t="array" ref="D17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4600</v>
      </c>
      <c r="E170" s="246">
        <v>1100</v>
      </c>
      <c r="F17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2258.4</v>
      </c>
    </row>
    <row r="171" spans="1:6" x14ac:dyDescent="0.25">
      <c r="A171" s="56">
        <v>45771</v>
      </c>
      <c r="B171" t="s">
        <v>3</v>
      </c>
      <c r="C171">
        <v>1</v>
      </c>
      <c r="D171" s="246" cm="1">
        <f t="array" ref="D17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71" s="246">
        <v>720</v>
      </c>
      <c r="F17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72" spans="1:6" x14ac:dyDescent="0.25">
      <c r="A172" s="56">
        <v>45772</v>
      </c>
      <c r="B172" t="s">
        <v>3</v>
      </c>
      <c r="C172">
        <v>1</v>
      </c>
      <c r="D172" s="246" cm="1">
        <f t="array" ref="D17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72" s="246">
        <v>720</v>
      </c>
      <c r="F17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173" spans="1:6" x14ac:dyDescent="0.25">
      <c r="A173" s="56">
        <v>45772</v>
      </c>
      <c r="B173" t="s">
        <v>4</v>
      </c>
      <c r="C173">
        <v>6</v>
      </c>
      <c r="D173" s="246" cm="1">
        <f t="array" ref="D17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13800</v>
      </c>
      <c r="E173" s="246">
        <v>1100</v>
      </c>
      <c r="F17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6775.2</v>
      </c>
    </row>
    <row r="174" spans="1:6" x14ac:dyDescent="0.25">
      <c r="A174" s="56">
        <v>45772</v>
      </c>
      <c r="B174" t="s">
        <v>112</v>
      </c>
      <c r="C174">
        <v>3</v>
      </c>
      <c r="D174" s="246" cm="1">
        <f t="array" ref="D17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8010</v>
      </c>
      <c r="E174" s="246">
        <v>1340</v>
      </c>
      <c r="F17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3747.6299999999997</v>
      </c>
    </row>
    <row r="175" spans="1:6" x14ac:dyDescent="0.25">
      <c r="A175" s="56">
        <v>45775</v>
      </c>
      <c r="B175" t="s">
        <v>4</v>
      </c>
      <c r="C175">
        <v>1</v>
      </c>
      <c r="D175" s="246" cm="1">
        <f t="array" ref="D17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2300</v>
      </c>
      <c r="E175" s="246">
        <v>1100</v>
      </c>
      <c r="F17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1129.2</v>
      </c>
    </row>
    <row r="176" spans="1:6" x14ac:dyDescent="0.25">
      <c r="A176" s="56">
        <v>45775</v>
      </c>
      <c r="B176" t="s">
        <v>3</v>
      </c>
      <c r="C176">
        <v>3</v>
      </c>
      <c r="D176" s="246" cm="1">
        <f t="array" ref="D17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76" s="246">
        <v>720</v>
      </c>
      <c r="F17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177" spans="1:9" x14ac:dyDescent="0.25">
      <c r="A177" s="56">
        <v>45776</v>
      </c>
      <c r="B177" t="s">
        <v>112</v>
      </c>
      <c r="C177">
        <v>2</v>
      </c>
      <c r="D177" s="246" cm="1">
        <f t="array" ref="D17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5340</v>
      </c>
      <c r="E177" s="246">
        <v>1340</v>
      </c>
      <c r="F17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2498.4199999999996</v>
      </c>
    </row>
    <row r="178" spans="1:9" x14ac:dyDescent="0.25">
      <c r="A178" s="56">
        <v>45776</v>
      </c>
      <c r="B178" t="s">
        <v>3</v>
      </c>
      <c r="C178">
        <v>2</v>
      </c>
      <c r="D178" s="246" cm="1">
        <f t="array" ref="D17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78" s="246">
        <v>720</v>
      </c>
      <c r="F17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79" spans="1:9" x14ac:dyDescent="0.25">
      <c r="A179" s="56">
        <v>45776</v>
      </c>
      <c r="B179" t="s">
        <v>4</v>
      </c>
      <c r="C179">
        <v>4</v>
      </c>
      <c r="D179" s="246" cm="1">
        <f t="array" ref="D17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79" s="246">
        <v>1100</v>
      </c>
      <c r="F17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4516.8</v>
      </c>
    </row>
    <row r="180" spans="1:9" x14ac:dyDescent="0.25">
      <c r="A180" s="56">
        <v>45777</v>
      </c>
      <c r="B180" t="s">
        <v>4</v>
      </c>
      <c r="C180">
        <v>4</v>
      </c>
      <c r="D180" s="246" cm="1">
        <f t="array" ref="D18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80" s="246">
        <v>1100</v>
      </c>
      <c r="F18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4516.8</v>
      </c>
    </row>
    <row r="181" spans="1:9" x14ac:dyDescent="0.25">
      <c r="A181" s="56">
        <v>45777</v>
      </c>
      <c r="B181" t="s">
        <v>3</v>
      </c>
      <c r="C181">
        <v>2</v>
      </c>
      <c r="D181" s="246" cm="1">
        <f t="array" ref="D18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81" s="246">
        <v>720</v>
      </c>
      <c r="F18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182" spans="1:9" x14ac:dyDescent="0.25">
      <c r="A182" s="56">
        <v>45782</v>
      </c>
      <c r="B182" t="s">
        <v>4</v>
      </c>
      <c r="C182">
        <v>4</v>
      </c>
      <c r="D182" s="246" cm="1">
        <f t="array" ref="D18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9200</v>
      </c>
      <c r="E182" s="246">
        <v>1100</v>
      </c>
      <c r="F18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4516.8</v>
      </c>
      <c r="H182" s="253"/>
    </row>
    <row r="183" spans="1:9" x14ac:dyDescent="0.25">
      <c r="A183" s="56">
        <v>45783</v>
      </c>
      <c r="B183" t="s">
        <v>112</v>
      </c>
      <c r="C183">
        <v>2</v>
      </c>
      <c r="D183" s="246" cm="1">
        <f t="array" ref="D18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5340</v>
      </c>
      <c r="E183" s="246">
        <v>1340</v>
      </c>
      <c r="F18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2498.4199999999996</v>
      </c>
      <c r="H183" s="253"/>
    </row>
    <row r="184" spans="1:9" x14ac:dyDescent="0.25">
      <c r="A184" s="56">
        <v>45783</v>
      </c>
      <c r="B184" t="s">
        <v>3</v>
      </c>
      <c r="C184">
        <v>1</v>
      </c>
      <c r="D184" s="246" cm="1">
        <f t="array" ref="D18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84" s="246">
        <v>720</v>
      </c>
      <c r="F18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  <c r="H184" s="253"/>
    </row>
    <row r="185" spans="1:9" x14ac:dyDescent="0.25">
      <c r="A185" s="56">
        <v>45783</v>
      </c>
      <c r="B185" s="16" t="s">
        <v>4</v>
      </c>
      <c r="C185">
        <v>2</v>
      </c>
      <c r="D185" s="246" cm="1">
        <f t="array" ref="D18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185" s="246">
        <v>1100</v>
      </c>
      <c r="F18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2647.6</v>
      </c>
      <c r="H185" s="253"/>
      <c r="I185" s="244"/>
    </row>
    <row r="186" spans="1:9" x14ac:dyDescent="0.25">
      <c r="A186" s="56">
        <v>45784</v>
      </c>
      <c r="B186" t="s">
        <v>4</v>
      </c>
      <c r="C186">
        <v>3</v>
      </c>
      <c r="D186" s="246" cm="1">
        <f t="array" ref="D18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186" s="246">
        <v>1100</v>
      </c>
      <c r="F18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3971.4</v>
      </c>
      <c r="H186" s="253"/>
    </row>
    <row r="187" spans="1:9" x14ac:dyDescent="0.25">
      <c r="A187" s="56">
        <v>45789</v>
      </c>
      <c r="B187" t="s">
        <v>4</v>
      </c>
      <c r="C187">
        <v>7</v>
      </c>
      <c r="D187" s="246" cm="1">
        <f t="array" ref="D18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17500</v>
      </c>
      <c r="E187" s="246">
        <v>1142</v>
      </c>
      <c r="F18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8972.6</v>
      </c>
      <c r="H187" s="253"/>
    </row>
    <row r="188" spans="1:9" x14ac:dyDescent="0.25">
      <c r="A188" s="56">
        <v>45789</v>
      </c>
      <c r="B188" t="s">
        <v>3</v>
      </c>
      <c r="C188">
        <v>1</v>
      </c>
      <c r="D188" s="246" cm="1">
        <f t="array" ref="D18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88" s="246">
        <v>720</v>
      </c>
      <c r="F18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  <c r="H188" s="253"/>
    </row>
    <row r="189" spans="1:9" x14ac:dyDescent="0.25">
      <c r="A189" s="56">
        <v>45789</v>
      </c>
      <c r="B189" t="s">
        <v>112</v>
      </c>
      <c r="C189">
        <v>1</v>
      </c>
      <c r="D189" s="246" cm="1">
        <f t="array" ref="D18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189" s="246">
        <v>1340</v>
      </c>
      <c r="F18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  <c r="H189" s="253"/>
    </row>
    <row r="190" spans="1:9" x14ac:dyDescent="0.25">
      <c r="A190" s="56">
        <v>45790</v>
      </c>
      <c r="B190" t="s">
        <v>3</v>
      </c>
      <c r="C190">
        <v>3</v>
      </c>
      <c r="D190" s="246" cm="1">
        <f t="array" ref="D19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190" s="246">
        <v>720</v>
      </c>
      <c r="F19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  <c r="H190" s="253"/>
    </row>
    <row r="191" spans="1:9" x14ac:dyDescent="0.25">
      <c r="A191" s="56">
        <v>45790</v>
      </c>
      <c r="B191" t="s">
        <v>4</v>
      </c>
      <c r="C191">
        <v>4</v>
      </c>
      <c r="D191" s="246" cm="1">
        <f t="array" ref="D19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191" s="246">
        <v>1250</v>
      </c>
      <c r="F19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  <c r="H191" s="253"/>
    </row>
    <row r="192" spans="1:9" x14ac:dyDescent="0.25">
      <c r="A192" s="56">
        <v>45791</v>
      </c>
      <c r="B192" t="s">
        <v>4</v>
      </c>
      <c r="C192">
        <v>4</v>
      </c>
      <c r="D192" s="246" cm="1">
        <f t="array" ref="D19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192" s="246">
        <v>1250</v>
      </c>
      <c r="F19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  <c r="H192" s="253"/>
    </row>
    <row r="193" spans="1:8" x14ac:dyDescent="0.25">
      <c r="A193" s="56">
        <v>45791</v>
      </c>
      <c r="B193" t="s">
        <v>3</v>
      </c>
      <c r="C193">
        <v>1</v>
      </c>
      <c r="D193" s="246" cm="1">
        <f t="array" ref="D19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193" s="246">
        <v>720</v>
      </c>
      <c r="F19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  <c r="H193" s="253"/>
    </row>
    <row r="194" spans="1:8" x14ac:dyDescent="0.25">
      <c r="A194" s="56">
        <v>45792</v>
      </c>
      <c r="B194" t="s">
        <v>3</v>
      </c>
      <c r="C194">
        <v>2</v>
      </c>
      <c r="D194" s="246" cm="1">
        <f t="array" ref="D19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94" s="246">
        <v>720</v>
      </c>
      <c r="F19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H194" s="253"/>
    </row>
    <row r="195" spans="1:8" x14ac:dyDescent="0.25">
      <c r="A195" s="56">
        <v>45792</v>
      </c>
      <c r="B195" t="s">
        <v>4</v>
      </c>
      <c r="C195">
        <v>1</v>
      </c>
      <c r="D195" s="246" cm="1">
        <f t="array" ref="D19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195" s="246">
        <v>1250</v>
      </c>
      <c r="F19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1173.8</v>
      </c>
      <c r="H195" s="253"/>
    </row>
    <row r="196" spans="1:8" x14ac:dyDescent="0.25">
      <c r="A196" s="56">
        <v>45793</v>
      </c>
      <c r="B196" t="s">
        <v>89</v>
      </c>
      <c r="C196">
        <v>0</v>
      </c>
      <c r="D196" s="246" cm="1">
        <f t="array" ref="D19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0</v>
      </c>
      <c r="E196" s="246">
        <v>0</v>
      </c>
      <c r="F19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0</v>
      </c>
      <c r="H196" s="253"/>
    </row>
    <row r="197" spans="1:8" x14ac:dyDescent="0.25">
      <c r="A197" s="56">
        <v>45796</v>
      </c>
      <c r="B197" t="s">
        <v>4</v>
      </c>
      <c r="C197">
        <v>2</v>
      </c>
      <c r="D197" s="246" cm="1">
        <f t="array" ref="D19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197" s="246">
        <v>1250</v>
      </c>
      <c r="F19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2347.6</v>
      </c>
      <c r="H197" s="253"/>
    </row>
    <row r="198" spans="1:8" x14ac:dyDescent="0.25">
      <c r="A198" s="56">
        <v>45796</v>
      </c>
      <c r="B198" t="s">
        <v>3</v>
      </c>
      <c r="C198">
        <v>2</v>
      </c>
      <c r="D198" s="246" cm="1">
        <f t="array" ref="D19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98" s="246">
        <v>720</v>
      </c>
      <c r="F19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H198" s="253"/>
    </row>
    <row r="199" spans="1:8" x14ac:dyDescent="0.25">
      <c r="A199" s="56">
        <v>45797</v>
      </c>
      <c r="B199" t="s">
        <v>3</v>
      </c>
      <c r="C199">
        <v>2</v>
      </c>
      <c r="D199" s="246" cm="1">
        <f t="array" ref="D19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199" s="246">
        <v>720</v>
      </c>
      <c r="F19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H199" s="253"/>
    </row>
    <row r="200" spans="1:8" x14ac:dyDescent="0.25">
      <c r="A200" s="56">
        <v>45797</v>
      </c>
      <c r="B200" t="s">
        <v>4</v>
      </c>
      <c r="C200">
        <v>1</v>
      </c>
      <c r="D200" s="246" cm="1">
        <f t="array" ref="D20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00" s="246">
        <v>1250</v>
      </c>
      <c r="F20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1173.8</v>
      </c>
      <c r="H200" s="253"/>
    </row>
    <row r="201" spans="1:8" x14ac:dyDescent="0.25">
      <c r="A201" s="56">
        <v>45797</v>
      </c>
      <c r="B201" t="s">
        <v>112</v>
      </c>
      <c r="C201">
        <v>1</v>
      </c>
      <c r="D201" s="246" cm="1">
        <f t="array" ref="D20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01" s="246">
        <v>1340</v>
      </c>
      <c r="F20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  <c r="H201" s="253"/>
    </row>
    <row r="202" spans="1:8" x14ac:dyDescent="0.25">
      <c r="A202" s="56">
        <v>45798</v>
      </c>
      <c r="B202" t="s">
        <v>112</v>
      </c>
      <c r="C202">
        <v>1</v>
      </c>
      <c r="D202" s="246" cm="1">
        <f t="array" ref="D20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02" s="246">
        <v>1340</v>
      </c>
      <c r="F20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  <c r="H202" s="253"/>
    </row>
    <row r="203" spans="1:8" x14ac:dyDescent="0.25">
      <c r="A203" s="56">
        <v>45798</v>
      </c>
      <c r="B203" t="s">
        <v>3</v>
      </c>
      <c r="C203">
        <v>3</v>
      </c>
      <c r="D203" s="246" cm="1">
        <f t="array" ref="D20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203" s="246">
        <v>720</v>
      </c>
      <c r="F20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  <c r="H203" s="253"/>
    </row>
    <row r="204" spans="1:8" x14ac:dyDescent="0.25">
      <c r="A204" s="56">
        <v>45798</v>
      </c>
      <c r="B204" t="s">
        <v>4</v>
      </c>
      <c r="C204">
        <v>3</v>
      </c>
      <c r="D204" s="246" cm="1">
        <f t="array" ref="D20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04" s="246">
        <v>1250</v>
      </c>
      <c r="F20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3521.4</v>
      </c>
      <c r="H204" s="253"/>
    </row>
    <row r="205" spans="1:8" x14ac:dyDescent="0.25">
      <c r="A205" s="56">
        <v>45799</v>
      </c>
      <c r="B205" t="s">
        <v>4</v>
      </c>
      <c r="C205">
        <v>4</v>
      </c>
      <c r="D205" s="246" cm="1">
        <f t="array" ref="D20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05" s="246">
        <v>1250</v>
      </c>
      <c r="F20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  <c r="H205" s="253"/>
    </row>
    <row r="206" spans="1:8" x14ac:dyDescent="0.25">
      <c r="A206" s="56">
        <v>45799</v>
      </c>
      <c r="B206" t="s">
        <v>3</v>
      </c>
      <c r="C206">
        <v>2</v>
      </c>
      <c r="D206" s="246" cm="1">
        <f t="array" ref="D20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06" s="246">
        <v>720</v>
      </c>
      <c r="F20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H206" s="253"/>
    </row>
    <row r="207" spans="1:8" x14ac:dyDescent="0.25">
      <c r="A207" s="56">
        <v>45800</v>
      </c>
      <c r="B207" t="s">
        <v>3</v>
      </c>
      <c r="C207">
        <v>1</v>
      </c>
      <c r="D207" s="246" cm="1">
        <f t="array" ref="D20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207" s="246">
        <v>795</v>
      </c>
      <c r="F20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1142.3</v>
      </c>
      <c r="H207" s="253"/>
    </row>
    <row r="208" spans="1:8" x14ac:dyDescent="0.25">
      <c r="A208" s="56">
        <v>45800</v>
      </c>
      <c r="B208" t="s">
        <v>4</v>
      </c>
      <c r="C208">
        <v>4</v>
      </c>
      <c r="D208" s="246" cm="1">
        <f t="array" ref="D20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08" s="246">
        <v>1250</v>
      </c>
      <c r="F20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  <c r="H208" s="253"/>
    </row>
    <row r="209" spans="1:8" x14ac:dyDescent="0.25">
      <c r="A209" s="56">
        <v>45803</v>
      </c>
      <c r="B209" t="s">
        <v>4</v>
      </c>
      <c r="C209">
        <v>2</v>
      </c>
      <c r="D209" s="246" cm="1">
        <f t="array" ref="D20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09" s="246">
        <v>1250</v>
      </c>
      <c r="F20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2347.6</v>
      </c>
      <c r="H209" s="253"/>
    </row>
    <row r="210" spans="1:8" x14ac:dyDescent="0.25">
      <c r="A210" s="56">
        <v>45803</v>
      </c>
      <c r="B210" t="s">
        <v>3</v>
      </c>
      <c r="C210">
        <v>3</v>
      </c>
      <c r="D210" s="246" cm="1">
        <f t="array" ref="D21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210" s="246">
        <v>720</v>
      </c>
      <c r="F21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  <c r="H210" s="253"/>
    </row>
    <row r="211" spans="1:8" x14ac:dyDescent="0.25">
      <c r="A211" s="56">
        <v>45804</v>
      </c>
      <c r="B211" t="s">
        <v>4</v>
      </c>
      <c r="C211">
        <v>3</v>
      </c>
      <c r="D211" s="246" cm="1">
        <f t="array" ref="D21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11" s="246">
        <v>1250</v>
      </c>
      <c r="F21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3521.4</v>
      </c>
      <c r="H211" s="253"/>
    </row>
    <row r="212" spans="1:8" x14ac:dyDescent="0.25">
      <c r="A212" s="56">
        <v>45804</v>
      </c>
      <c r="B212" t="s">
        <v>3</v>
      </c>
      <c r="C212">
        <v>2</v>
      </c>
      <c r="D212" s="246" cm="1">
        <f t="array" ref="D21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12" s="246">
        <v>720</v>
      </c>
      <c r="F21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H212" s="253"/>
    </row>
    <row r="213" spans="1:8" x14ac:dyDescent="0.25">
      <c r="A213" s="56">
        <v>45805</v>
      </c>
      <c r="B213" t="s">
        <v>4</v>
      </c>
      <c r="C213">
        <v>4</v>
      </c>
      <c r="D213" s="246" cm="1">
        <f t="array" ref="D21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13" s="246">
        <v>1250</v>
      </c>
      <c r="F21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  <c r="H213" s="253"/>
    </row>
    <row r="214" spans="1:8" x14ac:dyDescent="0.25">
      <c r="A214" s="56">
        <v>45805</v>
      </c>
      <c r="B214" t="s">
        <v>112</v>
      </c>
      <c r="C214">
        <v>1</v>
      </c>
      <c r="D214" s="246" cm="1">
        <f t="array" ref="D21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14" s="246">
        <v>1340</v>
      </c>
      <c r="F21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  <c r="H214" s="253"/>
    </row>
    <row r="215" spans="1:8" x14ac:dyDescent="0.25">
      <c r="A215" s="56">
        <v>45805</v>
      </c>
      <c r="B215" t="s">
        <v>3</v>
      </c>
      <c r="C215">
        <v>2</v>
      </c>
      <c r="D215" s="246" cm="1">
        <f t="array" ref="D21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15" s="246">
        <v>720</v>
      </c>
      <c r="F21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  <c r="H215" s="253"/>
    </row>
    <row r="216" spans="1:8" x14ac:dyDescent="0.25">
      <c r="A216" s="56">
        <v>45806</v>
      </c>
      <c r="B216" t="s">
        <v>4</v>
      </c>
      <c r="C216">
        <v>2</v>
      </c>
      <c r="D216" s="246" cm="1">
        <f t="array" ref="D21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16" s="246">
        <v>1250</v>
      </c>
      <c r="F21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2347.6</v>
      </c>
      <c r="H216" s="253"/>
    </row>
    <row r="217" spans="1:8" x14ac:dyDescent="0.25">
      <c r="A217" s="56">
        <v>45806</v>
      </c>
      <c r="B217" t="s">
        <v>3</v>
      </c>
      <c r="C217">
        <v>1</v>
      </c>
      <c r="D217" s="246" cm="1">
        <f t="array" ref="D21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217" s="246">
        <v>720</v>
      </c>
      <c r="F21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  <c r="H217" s="253"/>
    </row>
    <row r="218" spans="1:8" x14ac:dyDescent="0.25">
      <c r="A218" s="56">
        <v>45807</v>
      </c>
      <c r="B218" t="s">
        <v>4</v>
      </c>
      <c r="C218">
        <v>2</v>
      </c>
      <c r="D218" s="246" cm="1">
        <f t="array" ref="D21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18" s="246">
        <v>1250</v>
      </c>
      <c r="F21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2347.6</v>
      </c>
      <c r="H218" s="253"/>
    </row>
    <row r="219" spans="1:8" x14ac:dyDescent="0.25">
      <c r="A219" s="56">
        <v>45810</v>
      </c>
      <c r="B219" t="s">
        <v>4</v>
      </c>
      <c r="C219">
        <v>5</v>
      </c>
      <c r="D219" s="246" cm="1">
        <f t="array" ref="D21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12500</v>
      </c>
      <c r="E219" s="246">
        <v>1250</v>
      </c>
      <c r="F21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5869</v>
      </c>
      <c r="H219" s="253"/>
    </row>
    <row r="220" spans="1:8" x14ac:dyDescent="0.25">
      <c r="A220" s="56">
        <v>45810</v>
      </c>
      <c r="B220" t="s">
        <v>3</v>
      </c>
      <c r="C220">
        <v>2</v>
      </c>
      <c r="D220" s="246" cm="1">
        <f t="array" ref="D22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20" s="246">
        <v>720</v>
      </c>
      <c r="F22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221" spans="1:8" x14ac:dyDescent="0.25">
      <c r="A221" s="56">
        <v>45811</v>
      </c>
      <c r="B221" t="s">
        <v>3</v>
      </c>
      <c r="C221">
        <v>3</v>
      </c>
      <c r="D221" s="246" cm="1">
        <f t="array" ref="D22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221" s="246">
        <v>720</v>
      </c>
      <c r="F22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222" spans="1:8" x14ac:dyDescent="0.25">
      <c r="A222" s="56">
        <v>45811</v>
      </c>
      <c r="B222" t="s">
        <v>4</v>
      </c>
      <c r="C222">
        <v>1</v>
      </c>
      <c r="D222" s="246" cm="1">
        <f t="array" ref="D22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22" s="246">
        <v>1250</v>
      </c>
      <c r="F22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1173.8</v>
      </c>
    </row>
    <row r="223" spans="1:8" x14ac:dyDescent="0.25">
      <c r="A223" s="56">
        <v>45812</v>
      </c>
      <c r="B223" t="s">
        <v>4</v>
      </c>
      <c r="C223">
        <v>6</v>
      </c>
      <c r="D223" s="246" cm="1">
        <f t="array" ref="D22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15000</v>
      </c>
      <c r="E223" s="246">
        <v>1250</v>
      </c>
      <c r="F22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7042.8</v>
      </c>
    </row>
    <row r="224" spans="1:8" x14ac:dyDescent="0.25">
      <c r="A224" s="56">
        <v>45813</v>
      </c>
      <c r="B224" t="s">
        <v>4</v>
      </c>
      <c r="C224">
        <v>4</v>
      </c>
      <c r="D224" s="246" cm="1">
        <f t="array" ref="D22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24" s="246">
        <v>1250</v>
      </c>
      <c r="F22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</row>
    <row r="225" spans="1:6" x14ac:dyDescent="0.25">
      <c r="A225" s="56">
        <v>45813</v>
      </c>
      <c r="B225" t="s">
        <v>3</v>
      </c>
      <c r="C225">
        <v>2</v>
      </c>
      <c r="D225" s="246" cm="1">
        <f t="array" ref="D22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25" s="246">
        <v>720</v>
      </c>
      <c r="F22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226" spans="1:6" x14ac:dyDescent="0.25">
      <c r="A226" s="56">
        <v>45814</v>
      </c>
      <c r="B226" t="s">
        <v>4</v>
      </c>
      <c r="C226">
        <v>2</v>
      </c>
      <c r="D226" s="246" cm="1">
        <f t="array" ref="D22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26" s="246">
        <v>1250</v>
      </c>
      <c r="F22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2347.6</v>
      </c>
    </row>
    <row r="227" spans="1:6" x14ac:dyDescent="0.25">
      <c r="A227" s="56">
        <v>45814</v>
      </c>
      <c r="B227" t="s">
        <v>3</v>
      </c>
      <c r="C227">
        <v>3</v>
      </c>
      <c r="D227" s="246" cm="1">
        <f t="array" ref="D22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227" s="246">
        <v>720</v>
      </c>
      <c r="F22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228" spans="1:6" x14ac:dyDescent="0.25">
      <c r="A228" s="56">
        <v>45817</v>
      </c>
      <c r="B228" t="s">
        <v>4</v>
      </c>
      <c r="C228">
        <v>4</v>
      </c>
      <c r="D228" s="246" cm="1">
        <f t="array" ref="D22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28" s="246">
        <v>1250</v>
      </c>
      <c r="F22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</row>
    <row r="229" spans="1:6" x14ac:dyDescent="0.25">
      <c r="A229" s="56">
        <v>45818</v>
      </c>
      <c r="B229" t="s">
        <v>4</v>
      </c>
      <c r="C229">
        <v>5</v>
      </c>
      <c r="D229" s="246" cm="1">
        <f t="array" ref="D22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12500</v>
      </c>
      <c r="E229" s="246">
        <f>((2*1250)+(3*800))/Продажи_Мичу[[#This Row],[Кол-во]]</f>
        <v>980</v>
      </c>
      <c r="F22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7219</v>
      </c>
    </row>
    <row r="230" spans="1:6" x14ac:dyDescent="0.25">
      <c r="A230" s="56">
        <v>45819</v>
      </c>
      <c r="B230" t="s">
        <v>4</v>
      </c>
      <c r="C230">
        <v>4</v>
      </c>
      <c r="D230" s="246" cm="1">
        <f t="array" ref="D23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30" s="246">
        <v>800</v>
      </c>
      <c r="F23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6495.2</v>
      </c>
    </row>
    <row r="231" spans="1:6" x14ac:dyDescent="0.25">
      <c r="A231" s="56">
        <v>45824</v>
      </c>
      <c r="B231" t="s">
        <v>4</v>
      </c>
      <c r="C231">
        <v>2</v>
      </c>
      <c r="D231" s="246" cm="1">
        <f t="array" ref="D23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31" s="246">
        <v>800</v>
      </c>
      <c r="F23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3247.6</v>
      </c>
    </row>
    <row r="232" spans="1:6" x14ac:dyDescent="0.25">
      <c r="A232" s="56">
        <v>45825</v>
      </c>
      <c r="B232" t="s">
        <v>4</v>
      </c>
      <c r="C232">
        <v>3</v>
      </c>
      <c r="D232" s="246" cm="1">
        <f t="array" ref="D23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32" s="246">
        <v>800</v>
      </c>
      <c r="F23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33" spans="1:6" x14ac:dyDescent="0.25">
      <c r="A233" s="56">
        <v>45825</v>
      </c>
      <c r="B233" t="s">
        <v>3</v>
      </c>
      <c r="C233">
        <v>3</v>
      </c>
      <c r="D233" s="246" cm="1">
        <f t="array" ref="D23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6000</v>
      </c>
      <c r="E233" s="246">
        <v>720</v>
      </c>
      <c r="F23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3651.9</v>
      </c>
    </row>
    <row r="234" spans="1:6" x14ac:dyDescent="0.25">
      <c r="A234" s="56">
        <v>45826</v>
      </c>
      <c r="B234" t="s">
        <v>4</v>
      </c>
      <c r="C234">
        <v>3</v>
      </c>
      <c r="D234" s="246" cm="1">
        <f t="array" ref="D23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34" s="246">
        <v>800</v>
      </c>
      <c r="F23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35" spans="1:6" x14ac:dyDescent="0.25">
      <c r="A235" s="56">
        <v>45826</v>
      </c>
      <c r="B235" t="s">
        <v>3</v>
      </c>
      <c r="C235">
        <v>1</v>
      </c>
      <c r="D235" s="246" cm="1">
        <f t="array" ref="D23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2000</v>
      </c>
      <c r="E235" s="246">
        <v>720</v>
      </c>
      <c r="F23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1217.3</v>
      </c>
    </row>
    <row r="236" spans="1:6" x14ac:dyDescent="0.25">
      <c r="A236" s="56">
        <v>45827</v>
      </c>
      <c r="B236" t="s">
        <v>3</v>
      </c>
      <c r="C236">
        <v>2</v>
      </c>
      <c r="D236" s="246" cm="1">
        <f t="array" ref="D23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36" s="246">
        <v>720</v>
      </c>
      <c r="F23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  <row r="237" spans="1:6" x14ac:dyDescent="0.25">
      <c r="A237" s="56">
        <v>45827</v>
      </c>
      <c r="B237" t="s">
        <v>112</v>
      </c>
      <c r="C237">
        <v>1</v>
      </c>
      <c r="D237" s="246" cm="1">
        <f t="array" ref="D23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37" s="246">
        <v>1340</v>
      </c>
      <c r="F23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38" spans="1:6" x14ac:dyDescent="0.25">
      <c r="A238" s="56">
        <v>45827</v>
      </c>
      <c r="B238" t="s">
        <v>4</v>
      </c>
      <c r="C238">
        <v>5</v>
      </c>
      <c r="D238" s="246" cm="1">
        <f t="array" ref="D23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12500</v>
      </c>
      <c r="E238" s="246">
        <v>800</v>
      </c>
      <c r="F23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8119</v>
      </c>
    </row>
    <row r="239" spans="1:6" x14ac:dyDescent="0.25">
      <c r="A239" s="56">
        <v>45828</v>
      </c>
      <c r="B239" t="s">
        <v>4</v>
      </c>
      <c r="C239">
        <v>2</v>
      </c>
      <c r="D239" s="246" cm="1">
        <f t="array" ref="D23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39" s="246">
        <v>800</v>
      </c>
      <c r="F23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3247.6</v>
      </c>
    </row>
    <row r="240" spans="1:6" x14ac:dyDescent="0.25">
      <c r="A240" s="56">
        <v>45831</v>
      </c>
      <c r="B240" t="s">
        <v>4</v>
      </c>
      <c r="C240">
        <v>2</v>
      </c>
      <c r="D240" s="246" cm="1">
        <f t="array" ref="D24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40" s="246">
        <v>800</v>
      </c>
      <c r="F24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3247.6</v>
      </c>
    </row>
    <row r="241" spans="1:6" x14ac:dyDescent="0.25">
      <c r="A241" s="56">
        <v>45832</v>
      </c>
      <c r="B241" t="s">
        <v>4</v>
      </c>
      <c r="C241">
        <v>1</v>
      </c>
      <c r="D241" s="246" cm="1">
        <f t="array" ref="D24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41" s="246">
        <v>800</v>
      </c>
      <c r="F24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1623.8</v>
      </c>
    </row>
    <row r="242" spans="1:6" x14ac:dyDescent="0.25">
      <c r="A242" s="56">
        <v>45833</v>
      </c>
      <c r="B242" t="s">
        <v>4</v>
      </c>
      <c r="C242">
        <v>3</v>
      </c>
      <c r="D242" s="246" cm="1">
        <f t="array" ref="D24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42" s="246">
        <v>800</v>
      </c>
      <c r="F24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43" spans="1:6" x14ac:dyDescent="0.25">
      <c r="A243" s="56">
        <v>45833</v>
      </c>
      <c r="B243" t="s">
        <v>112</v>
      </c>
      <c r="C243">
        <v>1</v>
      </c>
      <c r="D243" s="246" cm="1">
        <f t="array" ref="D24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43" s="246">
        <v>1340</v>
      </c>
      <c r="F24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44" spans="1:6" x14ac:dyDescent="0.25">
      <c r="A244" s="56">
        <v>45834</v>
      </c>
      <c r="B244" t="s">
        <v>4</v>
      </c>
      <c r="C244">
        <v>4</v>
      </c>
      <c r="D244" s="246" cm="1">
        <f t="array" ref="D24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44" s="246">
        <v>800</v>
      </c>
      <c r="F24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6495.2</v>
      </c>
    </row>
    <row r="245" spans="1:6" x14ac:dyDescent="0.25">
      <c r="A245" s="56">
        <v>45835</v>
      </c>
      <c r="B245" t="s">
        <v>4</v>
      </c>
      <c r="C245">
        <v>3</v>
      </c>
      <c r="D245" s="246" cm="1">
        <f t="array" ref="D24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45" s="246">
        <v>800</v>
      </c>
      <c r="F24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46" spans="1:6" x14ac:dyDescent="0.25">
      <c r="A246" s="56">
        <v>45835</v>
      </c>
      <c r="B246" t="s">
        <v>112</v>
      </c>
      <c r="C246">
        <v>1</v>
      </c>
      <c r="D246" s="246" cm="1">
        <f t="array" ref="D24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46" s="246">
        <v>1340</v>
      </c>
      <c r="F24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47" spans="1:6" x14ac:dyDescent="0.25">
      <c r="A247" s="56">
        <v>45838</v>
      </c>
      <c r="B247" t="s">
        <v>4</v>
      </c>
      <c r="C247">
        <v>4</v>
      </c>
      <c r="D247" s="246" cm="1">
        <f t="array" ref="D24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47" s="246">
        <v>800</v>
      </c>
      <c r="F24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6495.2</v>
      </c>
    </row>
    <row r="248" spans="1:6" x14ac:dyDescent="0.25">
      <c r="A248" s="56">
        <v>45838</v>
      </c>
      <c r="B248" t="s">
        <v>112</v>
      </c>
      <c r="C248">
        <v>1</v>
      </c>
      <c r="D248" s="246" cm="1">
        <f t="array" ref="D24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48" s="246">
        <v>1340</v>
      </c>
      <c r="F24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49" spans="1:6" x14ac:dyDescent="0.25">
      <c r="A249" s="56">
        <v>45839</v>
      </c>
      <c r="B249" t="s">
        <v>112</v>
      </c>
      <c r="C249">
        <v>1</v>
      </c>
      <c r="D249" s="246" cm="1">
        <f t="array" ref="D24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49" s="246">
        <v>1340</v>
      </c>
      <c r="F24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50" spans="1:6" x14ac:dyDescent="0.25">
      <c r="A250" s="56">
        <v>45839</v>
      </c>
      <c r="B250" t="s">
        <v>4</v>
      </c>
      <c r="C250">
        <v>1</v>
      </c>
      <c r="D250" s="246" cm="1">
        <f t="array" ref="D25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50" s="246">
        <v>800</v>
      </c>
      <c r="F25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1623.8</v>
      </c>
    </row>
    <row r="251" spans="1:6" x14ac:dyDescent="0.25">
      <c r="A251" s="56">
        <v>45840</v>
      </c>
      <c r="B251" t="s">
        <v>4</v>
      </c>
      <c r="C251">
        <v>3</v>
      </c>
      <c r="D251" s="246" cm="1">
        <f t="array" ref="D25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51" s="246">
        <v>800</v>
      </c>
      <c r="F25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52" spans="1:6" x14ac:dyDescent="0.25">
      <c r="A252" s="56">
        <v>45841</v>
      </c>
      <c r="B252" t="s">
        <v>4</v>
      </c>
      <c r="C252">
        <v>2</v>
      </c>
      <c r="D252" s="246" cm="1">
        <f t="array" ref="D25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52" s="246">
        <v>800</v>
      </c>
      <c r="F25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3247.6</v>
      </c>
    </row>
    <row r="253" spans="1:6" x14ac:dyDescent="0.25">
      <c r="A253" s="56">
        <v>45842</v>
      </c>
      <c r="B253" t="s">
        <v>89</v>
      </c>
      <c r="C253">
        <v>0</v>
      </c>
      <c r="D253" s="246" cm="1">
        <f t="array" ref="D25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0</v>
      </c>
      <c r="E253" s="246">
        <v>0</v>
      </c>
      <c r="F25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0</v>
      </c>
    </row>
    <row r="254" spans="1:6" x14ac:dyDescent="0.25">
      <c r="A254" s="56">
        <v>45845</v>
      </c>
      <c r="B254" t="s">
        <v>4</v>
      </c>
      <c r="C254">
        <v>4</v>
      </c>
      <c r="D254" s="246" cm="1">
        <f t="array" ref="D25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54" s="246">
        <v>800</v>
      </c>
      <c r="F25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6495.2</v>
      </c>
    </row>
    <row r="255" spans="1:6" x14ac:dyDescent="0.25">
      <c r="A255" s="56">
        <v>45846</v>
      </c>
      <c r="B255" t="s">
        <v>4</v>
      </c>
      <c r="C255">
        <v>6</v>
      </c>
      <c r="D255" s="246" cm="1">
        <f t="array" ref="D25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15000</v>
      </c>
      <c r="E255" s="246">
        <v>800</v>
      </c>
      <c r="F25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9742.7999999999993</v>
      </c>
    </row>
    <row r="256" spans="1:6" x14ac:dyDescent="0.25">
      <c r="A256" s="56">
        <v>45846</v>
      </c>
      <c r="B256" t="s">
        <v>112</v>
      </c>
      <c r="C256">
        <v>1</v>
      </c>
      <c r="D256" s="246" cm="1">
        <f t="array" ref="D25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56" s="246">
        <v>1340</v>
      </c>
      <c r="F25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57" spans="1:6" x14ac:dyDescent="0.25">
      <c r="A257" s="56">
        <v>45847</v>
      </c>
      <c r="B257" t="s">
        <v>112</v>
      </c>
      <c r="C257">
        <v>1</v>
      </c>
      <c r="D257" s="246" cm="1">
        <f t="array" ref="D25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57" s="246">
        <v>1340</v>
      </c>
      <c r="F25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58" spans="1:6" x14ac:dyDescent="0.25">
      <c r="A258" s="56">
        <v>45848</v>
      </c>
      <c r="B258" t="s">
        <v>4</v>
      </c>
      <c r="C258">
        <v>7</v>
      </c>
      <c r="D258" s="246" cm="1">
        <f t="array" ref="D25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17500</v>
      </c>
      <c r="E258" s="246">
        <v>800</v>
      </c>
      <c r="F25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11366.6</v>
      </c>
    </row>
    <row r="259" spans="1:6" x14ac:dyDescent="0.25">
      <c r="A259" s="56">
        <v>45849</v>
      </c>
      <c r="B259" t="s">
        <v>4</v>
      </c>
      <c r="C259">
        <v>5</v>
      </c>
      <c r="D259" s="246" cm="1">
        <f t="array" ref="D25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12500</v>
      </c>
      <c r="E259" s="246">
        <v>800</v>
      </c>
      <c r="F25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8119</v>
      </c>
    </row>
    <row r="260" spans="1:6" x14ac:dyDescent="0.25">
      <c r="A260" s="56">
        <v>45852</v>
      </c>
      <c r="B260" t="s">
        <v>4</v>
      </c>
      <c r="C260">
        <v>2</v>
      </c>
      <c r="D260" s="246" cm="1">
        <f t="array" ref="D26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60" s="246">
        <v>800</v>
      </c>
      <c r="F26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3247.6</v>
      </c>
    </row>
    <row r="261" spans="1:6" x14ac:dyDescent="0.25">
      <c r="A261" s="56">
        <v>45852</v>
      </c>
      <c r="B261" t="s">
        <v>112</v>
      </c>
      <c r="C261">
        <v>1</v>
      </c>
      <c r="D261" s="246" cm="1">
        <f t="array" ref="D26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61" s="246">
        <v>1340</v>
      </c>
      <c r="F26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62" spans="1:6" x14ac:dyDescent="0.25">
      <c r="A262" s="56">
        <v>45853</v>
      </c>
      <c r="B262" t="s">
        <v>4</v>
      </c>
      <c r="C262">
        <v>3</v>
      </c>
      <c r="D262" s="246" cm="1">
        <f t="array" ref="D26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62" s="246">
        <v>800</v>
      </c>
      <c r="F26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63" spans="1:6" x14ac:dyDescent="0.25">
      <c r="A263" s="56">
        <v>45854</v>
      </c>
      <c r="B263" t="s">
        <v>4</v>
      </c>
      <c r="C263">
        <v>2</v>
      </c>
      <c r="D263" s="246" cm="1">
        <f t="array" ref="D26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63" s="246">
        <v>800</v>
      </c>
      <c r="F26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3247.6</v>
      </c>
    </row>
    <row r="264" spans="1:6" x14ac:dyDescent="0.25">
      <c r="A264" s="56">
        <v>45855</v>
      </c>
      <c r="B264" t="s">
        <v>4</v>
      </c>
      <c r="C264">
        <v>3</v>
      </c>
      <c r="D264" s="246" cm="1">
        <f t="array" ref="D26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64" s="246">
        <v>800</v>
      </c>
      <c r="F26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65" spans="1:6" x14ac:dyDescent="0.25">
      <c r="A265" s="56">
        <v>45856</v>
      </c>
      <c r="B265" t="s">
        <v>4</v>
      </c>
      <c r="C265">
        <v>3</v>
      </c>
      <c r="D265" s="246" cm="1">
        <f t="array" ref="D26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65" s="246">
        <v>800</v>
      </c>
      <c r="F26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4871.3999999999996</v>
      </c>
    </row>
    <row r="266" spans="1:6" x14ac:dyDescent="0.25">
      <c r="A266" s="56">
        <v>45856</v>
      </c>
      <c r="B266" t="s">
        <v>112</v>
      </c>
      <c r="C266">
        <v>1</v>
      </c>
      <c r="D266" s="246" cm="1">
        <f t="array" ref="D26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66" s="246">
        <v>1340</v>
      </c>
      <c r="F26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67" spans="1:6" x14ac:dyDescent="0.25">
      <c r="A267" s="56">
        <v>45859</v>
      </c>
      <c r="B267" t="s">
        <v>4</v>
      </c>
      <c r="C267">
        <v>1</v>
      </c>
      <c r="D267" s="246" cm="1">
        <f t="array" ref="D26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67" s="246">
        <v>800</v>
      </c>
      <c r="F26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1623.8</v>
      </c>
    </row>
    <row r="268" spans="1:6" x14ac:dyDescent="0.25">
      <c r="A268" s="56">
        <v>45860</v>
      </c>
      <c r="B268" t="s">
        <v>4</v>
      </c>
      <c r="C268">
        <v>4</v>
      </c>
      <c r="D268" s="246" cm="1">
        <f t="array" ref="D26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68" s="246">
        <v>950</v>
      </c>
      <c r="F26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5895.2</v>
      </c>
    </row>
    <row r="269" spans="1:6" x14ac:dyDescent="0.25">
      <c r="A269" s="56">
        <v>45860</v>
      </c>
      <c r="B269" t="s">
        <v>112</v>
      </c>
      <c r="C269">
        <v>2</v>
      </c>
      <c r="D269" s="246" cm="1">
        <f t="array" ref="D26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5340</v>
      </c>
      <c r="E269" s="246">
        <v>1340</v>
      </c>
      <c r="F26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2498.4199999999996</v>
      </c>
    </row>
    <row r="270" spans="1:6" x14ac:dyDescent="0.25">
      <c r="A270" s="56">
        <v>45861</v>
      </c>
      <c r="B270" t="s">
        <v>4</v>
      </c>
      <c r="C270">
        <v>5</v>
      </c>
      <c r="D270" s="246" cm="1">
        <f t="array" ref="D27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12500</v>
      </c>
      <c r="E270" s="246">
        <v>1100</v>
      </c>
      <c r="F27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6619</v>
      </c>
    </row>
    <row r="271" spans="1:6" x14ac:dyDescent="0.25">
      <c r="A271" s="56">
        <v>45862</v>
      </c>
      <c r="B271" t="s">
        <v>4</v>
      </c>
      <c r="C271">
        <v>7</v>
      </c>
      <c r="D271" s="246" cm="1">
        <f t="array" ref="D27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17500</v>
      </c>
      <c r="E271" s="246">
        <v>1100</v>
      </c>
      <c r="F27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9266.6</v>
      </c>
    </row>
    <row r="272" spans="1:6" x14ac:dyDescent="0.25">
      <c r="A272" s="56">
        <v>45862</v>
      </c>
      <c r="B272" t="s">
        <v>112</v>
      </c>
      <c r="C272">
        <v>1</v>
      </c>
      <c r="D272" s="246" cm="1">
        <f t="array" ref="D27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72" s="246">
        <v>1340</v>
      </c>
      <c r="F27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73" spans="1:6" x14ac:dyDescent="0.25">
      <c r="A273" s="56">
        <v>45863</v>
      </c>
      <c r="B273" t="s">
        <v>89</v>
      </c>
      <c r="C273">
        <v>0</v>
      </c>
      <c r="D273" s="246" cm="1">
        <f t="array" ref="D27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0</v>
      </c>
      <c r="E273" s="246">
        <v>0</v>
      </c>
      <c r="F27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0</v>
      </c>
    </row>
    <row r="274" spans="1:6" x14ac:dyDescent="0.25">
      <c r="A274" s="56">
        <v>45866</v>
      </c>
      <c r="B274" t="s">
        <v>4</v>
      </c>
      <c r="C274">
        <v>4</v>
      </c>
      <c r="D274" s="246" cm="1">
        <f t="array" ref="D27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74" s="246">
        <v>1100</v>
      </c>
      <c r="F27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5295.2</v>
      </c>
    </row>
    <row r="275" spans="1:6" x14ac:dyDescent="0.25">
      <c r="A275" s="56">
        <v>45867</v>
      </c>
      <c r="B275" t="s">
        <v>4</v>
      </c>
      <c r="C275">
        <v>2</v>
      </c>
      <c r="D275" s="246" cm="1">
        <f t="array" ref="D27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5000</v>
      </c>
      <c r="E275" s="246">
        <v>1250</v>
      </c>
      <c r="F27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2347.6</v>
      </c>
    </row>
    <row r="276" spans="1:6" x14ac:dyDescent="0.25">
      <c r="A276" s="56">
        <v>45868</v>
      </c>
      <c r="B276" t="s">
        <v>4</v>
      </c>
      <c r="C276">
        <v>3</v>
      </c>
      <c r="D276" s="246" cm="1">
        <f t="array" ref="D27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76" s="246">
        <v>1250</v>
      </c>
      <c r="F27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3521.4</v>
      </c>
    </row>
    <row r="277" spans="1:6" x14ac:dyDescent="0.25">
      <c r="A277" s="56">
        <v>45868</v>
      </c>
      <c r="B277" t="s">
        <v>112</v>
      </c>
      <c r="C277">
        <v>1</v>
      </c>
      <c r="D277" s="246" cm="1">
        <f t="array" ref="D27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77" s="246">
        <v>1340</v>
      </c>
      <c r="F27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78" spans="1:6" x14ac:dyDescent="0.25">
      <c r="A278" s="56">
        <v>45869</v>
      </c>
      <c r="B278" t="s">
        <v>4</v>
      </c>
      <c r="C278">
        <v>4</v>
      </c>
      <c r="D278" s="246" cm="1">
        <f t="array" ref="D278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78" s="246">
        <v>1250</v>
      </c>
      <c r="F278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</row>
    <row r="279" spans="1:6" x14ac:dyDescent="0.25">
      <c r="A279" s="56">
        <v>45870</v>
      </c>
      <c r="B279" t="s">
        <v>4</v>
      </c>
      <c r="C279">
        <v>1</v>
      </c>
      <c r="D279" s="246" cm="1">
        <f t="array" ref="D279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79" s="246">
        <v>1250</v>
      </c>
      <c r="F279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1173.8</v>
      </c>
    </row>
    <row r="280" spans="1:6" x14ac:dyDescent="0.25">
      <c r="A280" s="56">
        <v>45873</v>
      </c>
      <c r="B280" t="s">
        <v>4</v>
      </c>
      <c r="C280">
        <v>7</v>
      </c>
      <c r="D280" s="246" cm="1">
        <f t="array" ref="D280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17500</v>
      </c>
      <c r="E280" s="246">
        <v>1250</v>
      </c>
      <c r="F280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8216.6</v>
      </c>
    </row>
    <row r="281" spans="1:6" x14ac:dyDescent="0.25">
      <c r="A281" s="56">
        <v>45874</v>
      </c>
      <c r="B281" t="s">
        <v>4</v>
      </c>
      <c r="C281">
        <v>5</v>
      </c>
      <c r="D281" s="246" cm="1">
        <f t="array" ref="D281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12500</v>
      </c>
      <c r="E281" s="246">
        <v>1250</v>
      </c>
      <c r="F281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5869</v>
      </c>
    </row>
    <row r="282" spans="1:6" x14ac:dyDescent="0.25">
      <c r="A282" s="56">
        <v>45875</v>
      </c>
      <c r="B282" t="s">
        <v>4</v>
      </c>
      <c r="C282">
        <v>4</v>
      </c>
      <c r="D282" s="246" cm="1">
        <f t="array" ref="D282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10000</v>
      </c>
      <c r="E282" s="246">
        <v>1250</v>
      </c>
      <c r="F282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4695.2</v>
      </c>
    </row>
    <row r="283" spans="1:6" x14ac:dyDescent="0.25">
      <c r="A283" s="56">
        <v>45876</v>
      </c>
      <c r="B283" t="s">
        <v>3</v>
      </c>
      <c r="C283">
        <v>4</v>
      </c>
      <c r="D283" s="246" cm="1">
        <f t="array" ref="D283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8000</v>
      </c>
      <c r="E283" s="246">
        <v>720</v>
      </c>
      <c r="F283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4869.2</v>
      </c>
    </row>
    <row r="284" spans="1:6" x14ac:dyDescent="0.25">
      <c r="A284" s="56">
        <v>45876</v>
      </c>
      <c r="B284" t="s">
        <v>4</v>
      </c>
      <c r="C284">
        <v>3</v>
      </c>
      <c r="D284" s="246" cm="1">
        <f t="array" ref="D284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7500</v>
      </c>
      <c r="E284" s="246">
        <v>1250</v>
      </c>
      <c r="F284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3521.4</v>
      </c>
    </row>
    <row r="285" spans="1:6" x14ac:dyDescent="0.25">
      <c r="A285" s="56">
        <v>45877</v>
      </c>
      <c r="B285" t="s">
        <v>4</v>
      </c>
      <c r="C285">
        <v>1</v>
      </c>
      <c r="D285" s="246" cm="1">
        <f t="array" ref="D285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2500</v>
      </c>
      <c r="E285" s="246">
        <v>1250</v>
      </c>
      <c r="F285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1173.8</v>
      </c>
    </row>
    <row r="286" spans="1:6" x14ac:dyDescent="0.25">
      <c r="A286" s="56">
        <v>45877</v>
      </c>
      <c r="B286" t="s">
        <v>112</v>
      </c>
      <c r="C286">
        <v>1</v>
      </c>
      <c r="D286" s="246" cm="1">
        <f t="array" ref="D286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2670</v>
      </c>
      <c r="E286" s="246">
        <v>1340</v>
      </c>
      <c r="F286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1249.2099999999998</v>
      </c>
    </row>
    <row r="287" spans="1:6" x14ac:dyDescent="0.25">
      <c r="A287" s="56">
        <v>45877</v>
      </c>
      <c r="B287" t="s">
        <v>3</v>
      </c>
      <c r="C287">
        <v>2</v>
      </c>
      <c r="D287" s="246" cm="1">
        <f t="array" ref="D287">IFERROR(_xlfn.IFS(Продажи_Мичу[[#This Row],[Товар]]=$E$2,Продажи_Мичу[[#This Row],[Кол-во]]*2000,
          AND(Продажи_Мичу[[#This Row],[Товар]]=$E$3,Продажи_Мичу[[#This Row],[Дата]]&gt;=DATE(2025,5,6)),Продажи_Мичу[[#This Row],[Кол-во]]*2500,
            AND(Продажи_Мичу[[#This Row],[Товар]]=$E$3,Продажи_Мичу[[#This Row],[Дата]]&lt;DATE(2025,5,6)),Продажи_Мичу[[#This Row],[Кол-во]]*2300,
              Продажи_Мичу[[#This Row],[Товар]]=$E$4,Продажи_Мичу[[#This Row],[Кол-во]]*2670),0)</f>
        <v>4000</v>
      </c>
      <c r="E287" s="246">
        <v>720</v>
      </c>
      <c r="F287" s="245">
        <f>Продажи_Мичу[[#This Row],[Выручка]]-Продажи_Мичу[[#This Row],[Выручка]]*$Q$3-Продажи_Мичу[[#This Row],[Закупка 1шт]]*Продажи_Мичу[[#This Row],[Кол-во]]-Продажи_Мичу[[#This Row],[Кол-во]]*8.7</f>
        <v>2434.6</v>
      </c>
    </row>
  </sheetData>
  <conditionalFormatting sqref="A40:F287">
    <cfRule type="expression" dxfId="7" priority="38">
      <formula>MONTH($A40)&lt;&gt;MONTH($A41)</formula>
    </cfRule>
  </conditionalFormatting>
  <conditionalFormatting sqref="B40:F287">
    <cfRule type="expression" dxfId="6" priority="9">
      <formula>$B40="Есмарт АРМ"</formula>
    </cfRule>
    <cfRule type="expression" dxfId="5" priority="36">
      <formula>$B40="Есмарт"</formula>
    </cfRule>
    <cfRule type="expression" dxfId="4" priority="37">
      <formula>$B40="Рутокен"</formula>
    </cfRule>
  </conditionalFormatting>
  <dataValidations count="1">
    <dataValidation type="list" allowBlank="1" showInputMessage="1" showErrorMessage="1" sqref="B40:B287" xr:uid="{671592AC-332C-421E-82A0-BA96D871DE08}">
      <formula1>"-,Есмарт,Рутокен,Есмарт АРМ"</formula1>
    </dataValidation>
  </dataValidations>
  <pageMargins left="0.7" right="0.7" top="0.75" bottom="0.75" header="0.3" footer="0.3"/>
  <pageSetup paperSize="9" orientation="portrait" verticalDpi="0" r:id="rId1"/>
  <legacy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8"/>
  <dimension ref="A1:V207"/>
  <sheetViews>
    <sheetView zoomScale="90" zoomScaleNormal="90" workbookViewId="0">
      <selection activeCell="E24" sqref="E24"/>
    </sheetView>
  </sheetViews>
  <sheetFormatPr defaultRowHeight="15" x14ac:dyDescent="0.25"/>
  <cols>
    <col min="1" max="1" width="19.7109375" customWidth="1"/>
    <col min="2" max="3" width="17.85546875" customWidth="1"/>
    <col min="4" max="4" width="13.85546875" customWidth="1"/>
    <col min="5" max="5" width="14.5703125" bestFit="1" customWidth="1"/>
    <col min="6" max="6" width="12.7109375" bestFit="1" customWidth="1"/>
    <col min="7" max="7" width="8.28515625" customWidth="1"/>
    <col min="8" max="9" width="11.5703125" bestFit="1" customWidth="1"/>
    <col min="10" max="10" width="18.28515625" customWidth="1"/>
    <col min="11" max="11" width="14" customWidth="1"/>
    <col min="12" max="12" width="13.85546875" bestFit="1" customWidth="1"/>
    <col min="13" max="13" width="11.7109375" customWidth="1"/>
    <col min="17" max="17" width="11.5703125" bestFit="1" customWidth="1"/>
    <col min="18" max="18" width="10.28515625" customWidth="1"/>
    <col min="21" max="21" width="10.28515625" bestFit="1" customWidth="1"/>
    <col min="22" max="22" width="12" bestFit="1" customWidth="1"/>
  </cols>
  <sheetData>
    <row r="1" spans="1:22" x14ac:dyDescent="0.25">
      <c r="A1" s="41" t="s">
        <v>37</v>
      </c>
      <c r="B1" s="41" t="s">
        <v>38</v>
      </c>
      <c r="C1" s="41" t="s">
        <v>39</v>
      </c>
      <c r="D1" s="41" t="s">
        <v>40</v>
      </c>
      <c r="E1" s="41" t="s">
        <v>41</v>
      </c>
      <c r="P1" s="9" t="s">
        <v>44</v>
      </c>
      <c r="Q1" t="s">
        <v>101</v>
      </c>
      <c r="S1" t="s">
        <v>102</v>
      </c>
    </row>
    <row r="2" spans="1:22" ht="13.5" customHeight="1" x14ac:dyDescent="0.25">
      <c r="A2" s="2">
        <f>SUMIF($C$7:$C$18,E2,$B$7:$B$18)</f>
        <v>171</v>
      </c>
      <c r="B2" s="2">
        <f>SUMIF(Продажи_Сызр[Товар],E2,Продажи_Сызр[Кол-во])</f>
        <v>159</v>
      </c>
      <c r="C2" s="2">
        <f>A2-B2</f>
        <v>12</v>
      </c>
      <c r="D2" s="240">
        <v>720</v>
      </c>
      <c r="E2" s="2" t="s">
        <v>3</v>
      </c>
      <c r="P2" s="24"/>
      <c r="Q2" s="27" t="s">
        <v>47</v>
      </c>
      <c r="R2" s="24" t="s">
        <v>48</v>
      </c>
      <c r="S2" s="24"/>
      <c r="T2" s="24" t="s">
        <v>49</v>
      </c>
      <c r="U2" s="24" t="s">
        <v>50</v>
      </c>
      <c r="V2" s="24" t="s">
        <v>51</v>
      </c>
    </row>
    <row r="3" spans="1:22" x14ac:dyDescent="0.25">
      <c r="A3" s="2">
        <f>SUMIF($C$7:$C$18,E3,$B$7:$B$18)</f>
        <v>60</v>
      </c>
      <c r="B3" s="2">
        <f>SUMIF(Продажи_Сызр[Товар],E3,Продажи_Сызр[Кол-во])</f>
        <v>55</v>
      </c>
      <c r="C3" s="2">
        <f t="shared" ref="C3:C4" si="0">A3-B3</f>
        <v>5</v>
      </c>
      <c r="D3" s="240">
        <v>1250</v>
      </c>
      <c r="E3" s="2" t="s">
        <v>4</v>
      </c>
      <c r="J3" s="24" t="s">
        <v>53</v>
      </c>
      <c r="K3" s="24" t="s">
        <v>54</v>
      </c>
      <c r="L3" s="24" t="s">
        <v>55</v>
      </c>
      <c r="P3" s="61"/>
      <c r="Q3" s="75">
        <v>2.7E-2</v>
      </c>
      <c r="R3" s="61"/>
      <c r="S3" s="61"/>
      <c r="T3" s="61"/>
      <c r="U3" s="61"/>
      <c r="V3" s="67"/>
    </row>
    <row r="4" spans="1:22" ht="15.75" thickBot="1" x14ac:dyDescent="0.3">
      <c r="A4" s="2">
        <f>SUMIF($C$7:$C$18,E4,$B$7:$B$18)</f>
        <v>14</v>
      </c>
      <c r="B4" s="2">
        <f>SUMIF(Продажи_Сызр[Товар],E4,Продажи_Сызр[Кол-во])</f>
        <v>7</v>
      </c>
      <c r="C4" s="2">
        <f t="shared" si="0"/>
        <v>7</v>
      </c>
      <c r="D4" s="240">
        <v>1340</v>
      </c>
      <c r="E4" s="2" t="s">
        <v>112</v>
      </c>
      <c r="J4" s="2" t="s">
        <v>18</v>
      </c>
      <c r="K4" s="71" cm="1">
        <f t="array" ref="K4">SUMPRODUCT(1*ISNUMBER(SEARCH(J4,TEXT(Продажи_Сызр[Дата],"ММММ"))),Продажи_Сызр[Выручка])</f>
        <v>53400</v>
      </c>
      <c r="L4" s="61" cm="1">
        <f t="array" ref="L4">SUMPRODUCT(IFERROR(SEARCH($J4,TEXT(Продажи_Сызр[Дата],"ММММ")),0),Продажи_Сызр[Прибыль])-SUM(Q6:R6)</f>
        <v>29192.48</v>
      </c>
    </row>
    <row r="5" spans="1:22" ht="15.75" thickBot="1" x14ac:dyDescent="0.3">
      <c r="J5" s="2" t="s">
        <v>19</v>
      </c>
      <c r="K5" s="71" cm="1">
        <f t="array" ref="K5">SUMPRODUCT(1*ISNUMBER(SEARCH(J5,TEXT(Продажи_Сызр[Дата],"ММММ"))),Продажи_Сызр[Выручка])</f>
        <v>81000</v>
      </c>
      <c r="L5" s="61" cm="1">
        <f t="array" ref="L5">SUMPRODUCT(IFERROR(SEARCH($J5,TEXT(Продажи_Сызр[Дата],"ММММ")),0),Продажи_Сызр[Прибыль])-SUM(Q7:R7)</f>
        <v>43427.880000000005</v>
      </c>
      <c r="P5" s="14"/>
      <c r="Q5" s="6" t="s">
        <v>57</v>
      </c>
      <c r="R5" s="7"/>
    </row>
    <row r="6" spans="1:22" x14ac:dyDescent="0.25">
      <c r="A6" s="5" t="s">
        <v>69</v>
      </c>
      <c r="B6" s="5" t="s">
        <v>70</v>
      </c>
      <c r="C6" s="24" t="s">
        <v>41</v>
      </c>
      <c r="D6" s="24" t="s">
        <v>40</v>
      </c>
      <c r="E6" s="24" t="s">
        <v>71</v>
      </c>
      <c r="J6" s="2" t="s">
        <v>63</v>
      </c>
      <c r="K6" s="71" cm="1">
        <f t="array" ref="K6">SUMPRODUCT(1*ISNUMBER(SEARCH(J6,TEXT(Продажи_Сызр[Дата],"ММММ"))),Продажи_Сызр[Выручка])</f>
        <v>96570</v>
      </c>
      <c r="L6" s="61" cm="1">
        <f t="array" ref="L6">SUMPRODUCT(IFERROR(SEARCH($J6,TEXT(Продажи_Сызр[Дата],"ММММ")),0),Продажи_Сызр[Прибыль])-SUM(Q8:R8)</f>
        <v>51866.590000000004</v>
      </c>
      <c r="P6" s="12" t="s">
        <v>18</v>
      </c>
      <c r="Q6" s="61">
        <v>1065.82</v>
      </c>
      <c r="R6" s="66"/>
    </row>
    <row r="7" spans="1:22" x14ac:dyDescent="0.25">
      <c r="A7" s="23" t="s">
        <v>73</v>
      </c>
      <c r="B7" s="2">
        <v>35</v>
      </c>
      <c r="C7" s="2" t="s">
        <v>3</v>
      </c>
      <c r="D7" s="240">
        <v>795</v>
      </c>
      <c r="E7" s="2"/>
      <c r="J7" s="2" t="s">
        <v>64</v>
      </c>
      <c r="K7" s="71" cm="1">
        <f t="array" ref="K7">SUMPRODUCT(1*ISNUMBER(SEARCH(J7,TEXT(Продажи_Сызр[Дата],"ММММ"))),Продажи_Сызр[Выручка])</f>
        <v>80570</v>
      </c>
      <c r="L7" s="61" cm="1">
        <f t="array" ref="L7">SUMPRODUCT(IFERROR(SEARCH($J7,TEXT(Продажи_Сызр[Дата],"ММММ")),0),Продажи_Сызр[Прибыль])-SUM(Q9:R9)</f>
        <v>42728.189999999995</v>
      </c>
      <c r="P7" s="12" t="s">
        <v>19</v>
      </c>
      <c r="Q7" s="61">
        <v>1065.82</v>
      </c>
      <c r="R7" s="66"/>
    </row>
    <row r="8" spans="1:22" x14ac:dyDescent="0.25">
      <c r="A8" s="4">
        <v>45672</v>
      </c>
      <c r="B8" s="2">
        <v>-2</v>
      </c>
      <c r="C8" s="2" t="s">
        <v>3</v>
      </c>
      <c r="D8" s="240"/>
      <c r="E8" s="2"/>
      <c r="J8" s="2" t="s">
        <v>65</v>
      </c>
      <c r="K8" s="71" cm="1">
        <f t="array" ref="K8">SUMPRODUCT(1*ISNUMBER(SEARCH(J8,TEXT(Продажи_Сызр[Дата],"ММММ"))),Продажи_Сызр[Выручка])</f>
        <v>36170</v>
      </c>
      <c r="L8" s="61" cm="1">
        <f t="array" ref="L8">SUMPRODUCT(IFERROR(SEARCH($J8,TEXT(Продажи_Сызр[Дата],"ММММ")),0),Продажи_Сызр[Прибыль])-SUM(Q10:R10)</f>
        <v>19219.689999999999</v>
      </c>
      <c r="P8" s="12" t="s">
        <v>63</v>
      </c>
      <c r="Q8" s="61">
        <v>1065.82</v>
      </c>
      <c r="R8" s="66"/>
    </row>
    <row r="9" spans="1:22" x14ac:dyDescent="0.25">
      <c r="A9" s="4">
        <v>45672</v>
      </c>
      <c r="B9" s="2">
        <v>50</v>
      </c>
      <c r="C9" s="2" t="s">
        <v>3</v>
      </c>
      <c r="D9" s="240">
        <v>720</v>
      </c>
      <c r="E9" s="2"/>
      <c r="J9" s="2" t="s">
        <v>66</v>
      </c>
      <c r="K9" s="71" cm="1">
        <f t="array" ref="K9">SUMPRODUCT(1*ISNUMBER(SEARCH(J9,TEXT(Продажи_Сызр[Дата],"ММММ"))),Продажи_Сызр[Выручка])</f>
        <v>38040</v>
      </c>
      <c r="L9" s="61" cm="1">
        <f t="array" ref="L9">SUMPRODUCT(IFERROR(SEARCH($J9,TEXT(Продажи_Сызр[Дата],"ММММ")),0),Продажи_Сызр[Прибыль])-SUM(Q11:R11)</f>
        <v>17699.199999999997</v>
      </c>
      <c r="P9" s="12" t="s">
        <v>64</v>
      </c>
      <c r="Q9" s="61">
        <v>1065.82</v>
      </c>
      <c r="R9" s="66"/>
    </row>
    <row r="10" spans="1:22" x14ac:dyDescent="0.25">
      <c r="A10" s="4">
        <v>45694</v>
      </c>
      <c r="B10" s="2">
        <v>50</v>
      </c>
      <c r="C10" s="2" t="s">
        <v>4</v>
      </c>
      <c r="D10" s="240">
        <v>1250</v>
      </c>
      <c r="E10" s="2"/>
      <c r="J10" s="2" t="s">
        <v>67</v>
      </c>
      <c r="K10" s="71" cm="1">
        <f t="array" ref="K10">SUMPRODUCT(1*ISNUMBER(SEARCH(J10,TEXT(Продажи_Сызр[Дата],"ММММ"))),Продажи_Сызр[Выручка])</f>
        <v>62840</v>
      </c>
      <c r="L10" s="61" cm="1">
        <f t="array" ref="L10">SUMPRODUCT(IFERROR(SEARCH($J10,TEXT(Продажи_Сызр[Дата],"ММММ")),0),Продажи_Сызр[Прибыль])-SUM(Q12:R12)</f>
        <v>35226.499999999993</v>
      </c>
      <c r="P10" s="12" t="s">
        <v>65</v>
      </c>
      <c r="Q10" s="61">
        <v>1065.82</v>
      </c>
      <c r="R10" s="66"/>
    </row>
    <row r="11" spans="1:22" x14ac:dyDescent="0.25">
      <c r="A11" s="4">
        <v>45723</v>
      </c>
      <c r="B11" s="2">
        <v>14</v>
      </c>
      <c r="C11" s="2" t="s">
        <v>112</v>
      </c>
      <c r="D11" s="240">
        <v>1340</v>
      </c>
      <c r="E11" s="2"/>
      <c r="J11" s="2" t="s">
        <v>68</v>
      </c>
      <c r="K11" s="71" cm="1">
        <f t="array" ref="K11">SUMPRODUCT(1*ISNUMBER(SEARCH(J11,TEXT(Продажи_Сызр[Дата],"ММММ"))),Продажи_Сызр[Выручка])</f>
        <v>14000</v>
      </c>
      <c r="L11" s="61" cm="1">
        <f t="array" ref="L11">SUMPRODUCT(IFERROR(SEARCH($J11,TEXT(Продажи_Сызр[Дата],"ММММ")),0),Продажи_Сызр[Прибыль])-SUM(Q13:R13)</f>
        <v>7455.2800000000007</v>
      </c>
      <c r="P11" s="12" t="s">
        <v>66</v>
      </c>
      <c r="Q11" s="61">
        <v>1065.82</v>
      </c>
      <c r="R11" s="66"/>
    </row>
    <row r="12" spans="1:22" x14ac:dyDescent="0.25">
      <c r="A12" s="4">
        <v>45723</v>
      </c>
      <c r="B12" s="2">
        <v>28</v>
      </c>
      <c r="C12" s="2" t="s">
        <v>3</v>
      </c>
      <c r="D12" s="240">
        <v>720</v>
      </c>
      <c r="E12" s="2"/>
      <c r="J12" s="2" t="s">
        <v>72</v>
      </c>
      <c r="K12" s="71" cm="1">
        <f t="array" ref="K12">SUMPRODUCT(1*ISNUMBER(SEARCH(J12,TEXT(Продажи_Сызр[Дата],"ММММ"))),Продажи_Сызр[Выручка])</f>
        <v>0</v>
      </c>
      <c r="L12" s="61" cm="1">
        <f t="array" ref="L12">SUMPRODUCT(IFERROR(SEARCH($J12,TEXT(Продажи_Сызр[Дата],"ММММ")),0),Продажи_Сызр[Прибыль])-SUM(Q14:R14)</f>
        <v>-1065.82</v>
      </c>
      <c r="P12" s="12" t="s">
        <v>67</v>
      </c>
      <c r="Q12" s="61">
        <v>1065.82</v>
      </c>
      <c r="R12" s="66"/>
    </row>
    <row r="13" spans="1:22" x14ac:dyDescent="0.25">
      <c r="A13" s="4">
        <v>45771</v>
      </c>
      <c r="B13" s="2">
        <v>10</v>
      </c>
      <c r="C13" s="2" t="s">
        <v>4</v>
      </c>
      <c r="D13" s="243">
        <v>1100</v>
      </c>
      <c r="E13" s="2"/>
      <c r="J13" s="2" t="s">
        <v>74</v>
      </c>
      <c r="K13" s="71" cm="1">
        <f t="array" ref="K13">SUMPRODUCT(1*ISNUMBER(SEARCH(J13,TEXT(Продажи_Сызр[Дата],"ММММ"))),Продажи_Сызр[Выручка])</f>
        <v>0</v>
      </c>
      <c r="L13" s="61" cm="1">
        <f t="array" ref="L13">SUMPRODUCT(IFERROR(SEARCH($J13,TEXT(Продажи_Сызр[Дата],"ММММ")),0),Продажи_Сызр[Прибыль])-SUM(Q15:R15)</f>
        <v>0</v>
      </c>
      <c r="P13" s="12" t="s">
        <v>68</v>
      </c>
      <c r="Q13" s="61">
        <v>1065.82</v>
      </c>
      <c r="R13" s="66"/>
    </row>
    <row r="14" spans="1:22" x14ac:dyDescent="0.25">
      <c r="A14" s="4">
        <v>45771</v>
      </c>
      <c r="B14" s="2">
        <v>35</v>
      </c>
      <c r="C14" s="2" t="s">
        <v>3</v>
      </c>
      <c r="D14" s="240">
        <v>720</v>
      </c>
      <c r="E14" s="2"/>
      <c r="J14" s="2" t="s">
        <v>75</v>
      </c>
      <c r="K14" s="71" cm="1">
        <f t="array" ref="K14">SUMPRODUCT(1*ISNUMBER(SEARCH(J14,TEXT(Продажи_Сызр[Дата],"ММММ"))),Продажи_Сызр[Выручка])</f>
        <v>0</v>
      </c>
      <c r="L14" s="61" cm="1">
        <f t="array" ref="L14">SUMPRODUCT(IFERROR(SEARCH($J14,TEXT(Продажи_Сызр[Дата],"ММММ")),0),Продажи_Сызр[Прибыль])-SUM(Q16:R16)</f>
        <v>0</v>
      </c>
      <c r="P14" s="12" t="s">
        <v>72</v>
      </c>
      <c r="Q14" s="61">
        <v>1065.82</v>
      </c>
      <c r="R14" s="66"/>
    </row>
    <row r="15" spans="1:22" x14ac:dyDescent="0.25">
      <c r="A15" s="4">
        <v>45838</v>
      </c>
      <c r="B15" s="248">
        <v>5</v>
      </c>
      <c r="C15" s="2" t="s">
        <v>3</v>
      </c>
      <c r="D15" s="254">
        <v>720</v>
      </c>
      <c r="E15" s="2"/>
      <c r="J15" s="2" t="s">
        <v>76</v>
      </c>
      <c r="K15" s="71" cm="1">
        <f t="array" ref="K15">SUMPRODUCT(1*ISNUMBER(SEARCH(J15,TEXT(Продажи_Сызр[Дата],"ММММ"))),Продажи_Сызр[Выручка])</f>
        <v>0</v>
      </c>
      <c r="L15" s="61" cm="1">
        <f t="array" ref="L15">SUMPRODUCT(IFERROR(SEARCH($J15,TEXT(Продажи_Сызр[Дата],"ММММ")),0),Продажи_Сызр[Прибыль])-SUM(Q17:R17)</f>
        <v>0</v>
      </c>
      <c r="P15" s="12" t="s">
        <v>74</v>
      </c>
      <c r="Q15" s="61"/>
      <c r="R15" s="66"/>
    </row>
    <row r="16" spans="1:22" x14ac:dyDescent="0.25">
      <c r="A16" s="4">
        <v>45838</v>
      </c>
      <c r="B16" s="248">
        <v>15</v>
      </c>
      <c r="C16" s="2" t="s">
        <v>4</v>
      </c>
      <c r="D16" s="254">
        <v>800</v>
      </c>
      <c r="E16" s="2"/>
      <c r="J16" s="2" t="s">
        <v>77</v>
      </c>
      <c r="K16" s="71">
        <f>SUM(K4:K15)</f>
        <v>462590</v>
      </c>
      <c r="L16" s="71">
        <f>SUM(L4:L15)</f>
        <v>245749.99000000002</v>
      </c>
      <c r="P16" s="12" t="s">
        <v>75</v>
      </c>
      <c r="Q16" s="61"/>
      <c r="R16" s="66"/>
    </row>
    <row r="17" spans="1:18" ht="15.75" thickBot="1" x14ac:dyDescent="0.3">
      <c r="A17" s="4">
        <v>45866</v>
      </c>
      <c r="B17" s="248">
        <v>20</v>
      </c>
      <c r="C17" s="2" t="s">
        <v>3</v>
      </c>
      <c r="D17" s="254">
        <v>720</v>
      </c>
      <c r="E17" s="2"/>
      <c r="P17" s="13" t="s">
        <v>76</v>
      </c>
      <c r="Q17" s="62"/>
      <c r="R17" s="63"/>
    </row>
    <row r="18" spans="1:18" x14ac:dyDescent="0.25">
      <c r="A18" s="4">
        <v>45866</v>
      </c>
      <c r="B18" s="248">
        <v>-15</v>
      </c>
      <c r="C18" s="248" t="s">
        <v>4</v>
      </c>
      <c r="D18" s="2"/>
      <c r="E18" s="2" t="s">
        <v>196</v>
      </c>
    </row>
    <row r="21" spans="1:18" x14ac:dyDescent="0.25">
      <c r="A21" s="25"/>
    </row>
    <row r="22" spans="1:18" x14ac:dyDescent="0.25">
      <c r="A22" s="25"/>
    </row>
    <row r="24" spans="1:18" x14ac:dyDescent="0.25">
      <c r="A24" s="25" t="s">
        <v>86</v>
      </c>
    </row>
    <row r="28" spans="1:18" ht="15.75" x14ac:dyDescent="0.25">
      <c r="I28" s="50" t="s">
        <v>70</v>
      </c>
    </row>
    <row r="29" spans="1:18" x14ac:dyDescent="0.25">
      <c r="A29" s="76" t="s">
        <v>79</v>
      </c>
      <c r="B29" s="76" t="s">
        <v>41</v>
      </c>
      <c r="C29" s="76" t="s">
        <v>70</v>
      </c>
      <c r="D29" s="76" t="s">
        <v>54</v>
      </c>
      <c r="E29" s="76" t="s">
        <v>87</v>
      </c>
      <c r="F29" s="76" t="s">
        <v>55</v>
      </c>
      <c r="I29" s="46" t="s">
        <v>53</v>
      </c>
      <c r="J29" s="47" t="s">
        <v>3</v>
      </c>
      <c r="K29" s="47" t="s">
        <v>4</v>
      </c>
      <c r="L29" s="47" t="s">
        <v>112</v>
      </c>
      <c r="M29" s="48" t="s">
        <v>88</v>
      </c>
    </row>
    <row r="30" spans="1:18" x14ac:dyDescent="0.25">
      <c r="A30" s="56">
        <v>45666</v>
      </c>
      <c r="B30" t="s">
        <v>3</v>
      </c>
      <c r="C30">
        <v>2</v>
      </c>
      <c r="D30" s="74">
        <v>3600</v>
      </c>
      <c r="E30" s="74">
        <v>795</v>
      </c>
      <c r="F3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1895.4</v>
      </c>
      <c r="I30" s="45" t="s">
        <v>18</v>
      </c>
      <c r="J30" s="51" cm="1">
        <f t="array" ref="J30">SUMPRODUCT(IFERROR(SEARCH(КолСызр[[#This Row],[Месяц]],TEXT(Продажи_Сызр[Дата],"ММММ")),0),--(Продажи_Сызр[Товар]=КолСызр[[#Headers],[Есмарт]]),Продажи_Сызр[Кол-во])</f>
        <v>27</v>
      </c>
      <c r="K30" s="51" cm="1">
        <f t="array" ref="K30">SUMPRODUCT(IFERROR(SEARCH(КолСызр[[#This Row],[Месяц]],TEXT(Продажи_Сызр[Дата],"ММММ")),0),--(Продажи_Сызр[Товар]=КолСызр[[#Headers],[Рутокен]]),Продажи_Сызр[Кол-во])</f>
        <v>0</v>
      </c>
      <c r="L30" s="51" cm="1">
        <f t="array" ref="L30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30" s="52">
        <f>SUM(J30:L30)</f>
        <v>27</v>
      </c>
    </row>
    <row r="31" spans="1:18" x14ac:dyDescent="0.25">
      <c r="A31" s="56">
        <v>45667</v>
      </c>
      <c r="B31" t="s">
        <v>89</v>
      </c>
      <c r="C31">
        <v>0</v>
      </c>
      <c r="D31" s="74" cm="1">
        <f t="array" ref="D31">IFERROR(_xlfn.IFS(Продажи_Сызр[[#This Row],[Товар]]="Есмарт",Продажи_Сызр[[#This Row],[Кол-во]]*2000,Продажи_Сызр[[#This Row],[Товар]]="Рутокен",Продажи_Сызр[[#This Row],[Кол-во]]*2300,Продажи_Сызр[[#This Row],[Товар]]="Есмарт Гост",Продажи_Сызр[[#This Row],[Кол-во]]*2500),0)</f>
        <v>0</v>
      </c>
      <c r="E31" s="74">
        <v>0</v>
      </c>
      <c r="F3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31" s="45" t="s">
        <v>19</v>
      </c>
      <c r="J31" s="51" cm="1">
        <f t="array" ref="J31">SUMPRODUCT(IFERROR(SEARCH(КолСызр[[#This Row],[Месяц]],TEXT(Продажи_Сызр[Дата],"ММММ")),0),--(Продажи_Сызр[Товар]=КолСызр[[#Headers],[Есмарт]]),Продажи_Сызр[Кол-во])</f>
        <v>29</v>
      </c>
      <c r="K31" s="51" cm="1">
        <f t="array" ref="K31">SUMPRODUCT(IFERROR(SEARCH(КолСызр[[#This Row],[Месяц]],TEXT(Продажи_Сызр[Дата],"ММММ")),0),--(Продажи_Сызр[Товар]=КолСызр[[#Headers],[Рутокен]]),Продажи_Сызр[Кол-во])</f>
        <v>10</v>
      </c>
      <c r="L31" s="51" cm="1">
        <f t="array" ref="L31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31" s="52">
        <f t="shared" ref="M31:M41" si="1">SUM(J31:L31)</f>
        <v>39</v>
      </c>
    </row>
    <row r="32" spans="1:18" x14ac:dyDescent="0.25">
      <c r="A32" s="56">
        <v>45670</v>
      </c>
      <c r="B32" t="s">
        <v>3</v>
      </c>
      <c r="C32">
        <v>1</v>
      </c>
      <c r="D32" s="74">
        <v>1800</v>
      </c>
      <c r="E32" s="74">
        <v>795</v>
      </c>
      <c r="F3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947.7</v>
      </c>
      <c r="I32" s="45" t="s">
        <v>63</v>
      </c>
      <c r="J32" s="51" cm="1">
        <f t="array" ref="J32">SUMPRODUCT(IFERROR(SEARCH(КолСызр[[#This Row],[Месяц]],TEXT(Продажи_Сызр[Дата],"ММММ")),0),--(Продажи_Сызр[Товар]=КолСызр[[#Headers],[Есмарт]]),Продажи_Сызр[Кол-во])</f>
        <v>32</v>
      </c>
      <c r="K32" s="51" cm="1">
        <f t="array" ref="K32">SUMPRODUCT(IFERROR(SEARCH(КолСызр[[#This Row],[Месяц]],TEXT(Продажи_Сызр[Дата],"ММММ")),0),--(Продажи_Сызр[Товар]=КолСызр[[#Headers],[Рутокен]]),Продажи_Сызр[Кол-во])</f>
        <v>13</v>
      </c>
      <c r="L32" s="51" cm="1">
        <f t="array" ref="L32">SUMPRODUCT(IFERROR(SEARCH(КолСызр[[#This Row],[Месяц]],TEXT(Продажи_Сызр[Дата],"ММММ")),0),--(Продажи_Сызр[Товар]=КолСызр[[#Headers],[Есмарт АРМ]]),Продажи_Сызр[Кол-во])</f>
        <v>1</v>
      </c>
      <c r="M32" s="52">
        <f t="shared" si="1"/>
        <v>46</v>
      </c>
    </row>
    <row r="33" spans="1:13" x14ac:dyDescent="0.25">
      <c r="A33" s="56">
        <v>45671</v>
      </c>
      <c r="B33" t="s">
        <v>3</v>
      </c>
      <c r="C33">
        <v>2</v>
      </c>
      <c r="D33" s="74" cm="1">
        <f t="array" ref="D3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33" s="74">
        <v>795</v>
      </c>
      <c r="F3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2284.6</v>
      </c>
      <c r="I33" s="45" t="s">
        <v>64</v>
      </c>
      <c r="J33" s="51" cm="1">
        <f t="array" ref="J33">SUMPRODUCT(IFERROR(SEARCH(КолСызр[[#This Row],[Месяц]],TEXT(Продажи_Сызр[Дата],"ММММ")),0),--(Продажи_Сызр[Товар]=КолСызр[[#Headers],[Есмарт]]),Продажи_Сызр[Кол-во])</f>
        <v>24</v>
      </c>
      <c r="K33" s="51" cm="1">
        <f t="array" ref="K33">SUMPRODUCT(IFERROR(SEARCH(КолСызр[[#This Row],[Месяц]],TEXT(Продажи_Сызр[Дата],"ММММ")),0),--(Продажи_Сызр[Товар]=КолСызр[[#Headers],[Рутокен]]),Продажи_Сызр[Кол-во])</f>
        <v>13</v>
      </c>
      <c r="L33" s="51" cm="1">
        <f t="array" ref="L33">SUMPRODUCT(IFERROR(SEARCH(КолСызр[[#This Row],[Месяц]],TEXT(Продажи_Сызр[Дата],"ММММ")),0),--(Продажи_Сызр[Товар]=КолСызр[[#Headers],[Есмарт АРМ]]),Продажи_Сызр[Кол-во])</f>
        <v>1</v>
      </c>
      <c r="M33" s="52">
        <f t="shared" si="1"/>
        <v>38</v>
      </c>
    </row>
    <row r="34" spans="1:13" x14ac:dyDescent="0.25">
      <c r="A34" s="56">
        <v>45672</v>
      </c>
      <c r="B34" t="s">
        <v>89</v>
      </c>
      <c r="C34">
        <v>0</v>
      </c>
      <c r="D34" s="74" cm="1">
        <f t="array" ref="D3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34" s="74">
        <v>0</v>
      </c>
      <c r="F3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34" s="45" t="s">
        <v>65</v>
      </c>
      <c r="J34" s="51" cm="1">
        <f t="array" ref="J34">SUMPRODUCT(IFERROR(SEARCH(КолСызр[[#This Row],[Месяц]],TEXT(Продажи_Сызр[Дата],"ММММ")),0),--(Продажи_Сызр[Товар]=КолСызр[[#Headers],[Есмарт]]),Продажи_Сызр[Кол-во])</f>
        <v>11</v>
      </c>
      <c r="K34" s="51" cm="1">
        <f t="array" ref="K34">SUMPRODUCT(IFERROR(SEARCH(КолСызр[[#This Row],[Месяц]],TEXT(Продажи_Сызр[Дата],"ММММ")),0),--(Продажи_Сызр[Товар]=КолСызр[[#Headers],[Рутокен]]),Продажи_Сызр[Кол-во])</f>
        <v>5</v>
      </c>
      <c r="L34" s="51" cm="1">
        <f t="array" ref="L34">SUMPRODUCT(IFERROR(SEARCH(КолСызр[[#This Row],[Месяц]],TEXT(Продажи_Сызр[Дата],"ММММ")),0),--(Продажи_Сызр[Товар]=КолСызр[[#Headers],[Есмарт АРМ]]),Продажи_Сызр[Кол-во])</f>
        <v>1</v>
      </c>
      <c r="M34" s="52">
        <f t="shared" si="1"/>
        <v>17</v>
      </c>
    </row>
    <row r="35" spans="1:13" x14ac:dyDescent="0.25">
      <c r="A35" s="56">
        <v>45673</v>
      </c>
      <c r="B35" t="s">
        <v>3</v>
      </c>
      <c r="C35">
        <v>3</v>
      </c>
      <c r="D35" s="74" cm="1">
        <f t="array" ref="D3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35" s="74">
        <v>795</v>
      </c>
      <c r="F3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3426.9</v>
      </c>
      <c r="I35" s="45" t="s">
        <v>66</v>
      </c>
      <c r="J35" s="51" cm="1">
        <f t="array" ref="J35">SUMPRODUCT(IFERROR(SEARCH(КолСызр[[#This Row],[Месяц]],TEXT(Продажи_Сызр[Дата],"ММММ")),0),--(Продажи_Сызр[Товар]=КолСызр[[#Headers],[Есмарт]]),Продажи_Сызр[Кол-во])</f>
        <v>6</v>
      </c>
      <c r="K35" s="51" cm="1">
        <f t="array" ref="K35">SUMPRODUCT(IFERROR(SEARCH(КолСызр[[#This Row],[Месяц]],TEXT(Продажи_Сызр[Дата],"ММММ")),0),--(Продажи_Сызр[Товар]=КолСызр[[#Headers],[Рутокен]]),Продажи_Сызр[Кол-во])</f>
        <v>9</v>
      </c>
      <c r="L35" s="51" cm="1">
        <f t="array" ref="L35">SUMPRODUCT(IFERROR(SEARCH(КолСызр[[#This Row],[Месяц]],TEXT(Продажи_Сызр[Дата],"ММММ")),0),--(Продажи_Сызр[Товар]=КолСызр[[#Headers],[Есмарт АРМ]]),Продажи_Сызр[Кол-во])</f>
        <v>2</v>
      </c>
      <c r="M35" s="52">
        <f t="shared" si="1"/>
        <v>17</v>
      </c>
    </row>
    <row r="36" spans="1:13" x14ac:dyDescent="0.25">
      <c r="A36" s="56">
        <v>45674</v>
      </c>
      <c r="B36" t="s">
        <v>3</v>
      </c>
      <c r="C36">
        <v>6</v>
      </c>
      <c r="D36" s="74" cm="1">
        <f t="array" ref="D3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12000</v>
      </c>
      <c r="E36" s="74">
        <v>795</v>
      </c>
      <c r="F3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6853.8</v>
      </c>
      <c r="I36" s="45" t="s">
        <v>67</v>
      </c>
      <c r="J36" s="51" cm="1">
        <f t="array" ref="J36">SUMPRODUCT(IFERROR(SEARCH(КолСызр[[#This Row],[Месяц]],TEXT(Продажи_Сызр[Дата],"ММММ")),0),--(Продажи_Сызр[Товар]=КолСызр[[#Headers],[Есмарт]]),Продажи_Сызр[Кол-во])</f>
        <v>23</v>
      </c>
      <c r="K36" s="51" cm="1">
        <f t="array" ref="K36">SUMPRODUCT(IFERROR(SEARCH(КолСызр[[#This Row],[Месяц]],TEXT(Продажи_Сызр[Дата],"ММММ")),0),--(Продажи_Сызр[Товар]=КолСызр[[#Headers],[Рутокен]]),Продажи_Сызр[Кол-во])</f>
        <v>5</v>
      </c>
      <c r="L36" s="51" cm="1">
        <f t="array" ref="L36">SUMPRODUCT(IFERROR(SEARCH(КолСызр[[#This Row],[Месяц]],TEXT(Продажи_Сызр[Дата],"ММММ")),0),--(Продажи_Сызр[Товар]=КолСызр[[#Headers],[Есмарт АРМ]]),Продажи_Сызр[Кол-во])</f>
        <v>2</v>
      </c>
      <c r="M36" s="52">
        <f t="shared" si="1"/>
        <v>30</v>
      </c>
    </row>
    <row r="37" spans="1:13" x14ac:dyDescent="0.25">
      <c r="A37" s="56">
        <v>45677</v>
      </c>
      <c r="B37" t="s">
        <v>3</v>
      </c>
      <c r="C37">
        <v>1</v>
      </c>
      <c r="D37" s="74" cm="1">
        <f t="array" ref="D3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37" s="74">
        <v>795</v>
      </c>
      <c r="F3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37" s="45" t="s">
        <v>68</v>
      </c>
      <c r="J37" s="51" cm="1">
        <f t="array" ref="J37">SUMPRODUCT(IFERROR(SEARCH(КолСызр[[#This Row],[Месяц]],TEXT(Продажи_Сызр[Дата],"ММММ")),0),--(Продажи_Сызр[Товар]=КолСызр[[#Headers],[Есмарт]]),Продажи_Сызр[Кол-во])</f>
        <v>7</v>
      </c>
      <c r="K37" s="51" cm="1">
        <f t="array" ref="K37">SUMPRODUCT(IFERROR(SEARCH(КолСызр[[#This Row],[Месяц]],TEXT(Продажи_Сызр[Дата],"ММММ")),0),--(Продажи_Сызр[Товар]=КолСызр[[#Headers],[Рутокен]]),Продажи_Сызр[Кол-во])</f>
        <v>0</v>
      </c>
      <c r="L37" s="51" cm="1">
        <f t="array" ref="L37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37" s="52">
        <f t="shared" si="1"/>
        <v>7</v>
      </c>
    </row>
    <row r="38" spans="1:13" x14ac:dyDescent="0.25">
      <c r="A38" s="56">
        <v>45678</v>
      </c>
      <c r="B38" t="s">
        <v>3</v>
      </c>
      <c r="C38">
        <v>1</v>
      </c>
      <c r="D38" s="74" cm="1">
        <f t="array" ref="D3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38" s="74">
        <v>795</v>
      </c>
      <c r="F3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38" s="45" t="s">
        <v>72</v>
      </c>
      <c r="J38" s="51" cm="1">
        <f t="array" ref="J38">SUMPRODUCT(IFERROR(SEARCH(КолСызр[[#This Row],[Месяц]],TEXT(Продажи_Сызр[Дата],"ММММ")),0),--(Продажи_Сызр[Товар]=КолСызр[[#Headers],[Есмарт]]),Продажи_Сызр[Кол-во])</f>
        <v>0</v>
      </c>
      <c r="K38" s="51" cm="1">
        <f t="array" ref="K38">SUMPRODUCT(IFERROR(SEARCH(КолСызр[[#This Row],[Месяц]],TEXT(Продажи_Сызр[Дата],"ММММ")),0),--(Продажи_Сызр[Товар]=КолСызр[[#Headers],[Рутокен]]),Продажи_Сызр[Кол-во])</f>
        <v>0</v>
      </c>
      <c r="L38" s="51" cm="1">
        <f t="array" ref="L38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38" s="52">
        <f t="shared" si="1"/>
        <v>0</v>
      </c>
    </row>
    <row r="39" spans="1:13" x14ac:dyDescent="0.25">
      <c r="A39" s="56">
        <v>45679</v>
      </c>
      <c r="B39" t="s">
        <v>89</v>
      </c>
      <c r="C39">
        <v>0</v>
      </c>
      <c r="D39" s="74" cm="1">
        <f t="array" ref="D3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39" s="74">
        <v>0</v>
      </c>
      <c r="F3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39" s="45" t="s">
        <v>74</v>
      </c>
      <c r="J39" s="51" cm="1">
        <f t="array" ref="J39">SUMPRODUCT(IFERROR(SEARCH(КолСызр[[#This Row],[Месяц]],TEXT(Продажи_Сызр[Дата],"ММММ")),0),--(Продажи_Сызр[Товар]=КолСызр[[#Headers],[Есмарт]]),Продажи_Сызр[Кол-во])</f>
        <v>0</v>
      </c>
      <c r="K39" s="51" cm="1">
        <f t="array" ref="K39">SUMPRODUCT(IFERROR(SEARCH(КолСызр[[#This Row],[Месяц]],TEXT(Продажи_Сызр[Дата],"ММММ")),0),--(Продажи_Сызр[Товар]=КолСызр[[#Headers],[Рутокен]]),Продажи_Сызр[Кол-во])</f>
        <v>0</v>
      </c>
      <c r="L39" s="51" cm="1">
        <f t="array" ref="L39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39" s="52">
        <f t="shared" si="1"/>
        <v>0</v>
      </c>
    </row>
    <row r="40" spans="1:13" x14ac:dyDescent="0.25">
      <c r="A40" s="56">
        <v>45680</v>
      </c>
      <c r="B40" t="s">
        <v>3</v>
      </c>
      <c r="C40">
        <v>3</v>
      </c>
      <c r="D40" s="74" cm="1">
        <f t="array" ref="D4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40" s="74">
        <v>795</v>
      </c>
      <c r="F4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3426.9</v>
      </c>
      <c r="I40" s="45" t="s">
        <v>75</v>
      </c>
      <c r="J40" s="51" cm="1">
        <f t="array" ref="J40">SUMPRODUCT(IFERROR(SEARCH(КолСызр[[#This Row],[Месяц]],TEXT(Продажи_Сызр[Дата],"ММММ")),0),--(Продажи_Сызр[Товар]=КолСызр[[#Headers],[Есмарт]]),Продажи_Сызр[Кол-во])</f>
        <v>0</v>
      </c>
      <c r="K40" s="51" cm="1">
        <f t="array" ref="K40">SUMPRODUCT(IFERROR(SEARCH(КолСызр[[#This Row],[Месяц]],TEXT(Продажи_Сызр[Дата],"ММММ")),0),--(Продажи_Сызр[Товар]=КолСызр[[#Headers],[Рутокен]]),Продажи_Сызр[Кол-во])</f>
        <v>0</v>
      </c>
      <c r="L40" s="51" cm="1">
        <f t="array" ref="L40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40" s="52">
        <f t="shared" si="1"/>
        <v>0</v>
      </c>
    </row>
    <row r="41" spans="1:13" x14ac:dyDescent="0.25">
      <c r="A41" s="56">
        <v>45681</v>
      </c>
      <c r="B41" t="s">
        <v>3</v>
      </c>
      <c r="C41">
        <v>4</v>
      </c>
      <c r="D41" s="74" cm="1">
        <f t="array" ref="D4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8000</v>
      </c>
      <c r="E41" s="74">
        <v>795</v>
      </c>
      <c r="F4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4569.2</v>
      </c>
      <c r="I41" s="45" t="s">
        <v>76</v>
      </c>
      <c r="J41" s="51" cm="1">
        <f t="array" ref="J41">SUMPRODUCT(IFERROR(SEARCH(КолСызр[[#This Row],[Месяц]],TEXT(Продажи_Сызр[Дата],"ММММ")),0),--(Продажи_Сызр[Товар]=КолСызр[[#Headers],[Есмарт]]),Продажи_Сызр[Кол-во])</f>
        <v>0</v>
      </c>
      <c r="K41" s="51" cm="1">
        <f t="array" ref="K41">SUMPRODUCT(IFERROR(SEARCH(КолСызр[[#This Row],[Месяц]],TEXT(Продажи_Сызр[Дата],"ММММ")),0),--(Продажи_Сызр[Товар]=КолСызр[[#Headers],[Рутокен]]),Продажи_Сызр[Кол-во])</f>
        <v>0</v>
      </c>
      <c r="L41" s="51" cm="1">
        <f t="array" ref="L41">SUMPRODUCT(IFERROR(SEARCH(КолСызр[[#This Row],[Месяц]],TEXT(Продажи_Сызр[Дата],"ММММ")),0),--(Продажи_Сызр[Товар]=КолСызр[[#Headers],[Есмарт АРМ]]),Продажи_Сызр[Кол-во])</f>
        <v>0</v>
      </c>
      <c r="M41" s="52">
        <f t="shared" si="1"/>
        <v>0</v>
      </c>
    </row>
    <row r="42" spans="1:13" x14ac:dyDescent="0.25">
      <c r="A42" s="56">
        <v>45684</v>
      </c>
      <c r="B42" t="s">
        <v>3</v>
      </c>
      <c r="C42">
        <v>2</v>
      </c>
      <c r="D42" s="74" cm="1">
        <f t="array" ref="D4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42" s="74">
        <v>795</v>
      </c>
      <c r="F4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2284.6</v>
      </c>
      <c r="I42" s="49" t="s">
        <v>88</v>
      </c>
      <c r="J42" s="53">
        <f>SUM(J30:J41)</f>
        <v>159</v>
      </c>
      <c r="K42" s="53">
        <f t="shared" ref="K42:L42" si="2">SUM(K30:K41)</f>
        <v>55</v>
      </c>
      <c r="L42" s="53">
        <f t="shared" si="2"/>
        <v>7</v>
      </c>
      <c r="M42" s="54">
        <f>SUM(J42:L42)</f>
        <v>221</v>
      </c>
    </row>
    <row r="43" spans="1:13" x14ac:dyDescent="0.25">
      <c r="A43" s="56">
        <v>45685</v>
      </c>
      <c r="B43" t="s">
        <v>3</v>
      </c>
      <c r="C43">
        <v>1</v>
      </c>
      <c r="D43" s="74" cm="1">
        <f t="array" ref="D4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43" s="74">
        <v>795</v>
      </c>
      <c r="F4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</row>
    <row r="44" spans="1:13" x14ac:dyDescent="0.25">
      <c r="A44" s="56">
        <v>45686</v>
      </c>
      <c r="B44" t="s">
        <v>89</v>
      </c>
      <c r="C44">
        <v>0</v>
      </c>
      <c r="D44" s="74" cm="1">
        <f t="array" ref="D4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44" s="74">
        <v>0</v>
      </c>
      <c r="F4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45" spans="1:13" ht="15.75" x14ac:dyDescent="0.25">
      <c r="A45" s="56">
        <v>45687</v>
      </c>
      <c r="B45" t="s">
        <v>3</v>
      </c>
      <c r="C45">
        <v>1</v>
      </c>
      <c r="D45" s="74" cm="1">
        <f t="array" ref="D4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45" s="74">
        <v>795</v>
      </c>
      <c r="F4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45" s="50" t="s">
        <v>94</v>
      </c>
    </row>
    <row r="46" spans="1:13" x14ac:dyDescent="0.25">
      <c r="A46" s="56">
        <v>45688</v>
      </c>
      <c r="B46" t="s">
        <v>89</v>
      </c>
      <c r="C46">
        <v>0</v>
      </c>
      <c r="D46" s="74" cm="1">
        <f t="array" ref="D4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46" s="74">
        <v>0</v>
      </c>
      <c r="F4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46" s="46" t="s">
        <v>53</v>
      </c>
      <c r="J46" s="47" t="s">
        <v>3</v>
      </c>
      <c r="K46" s="47" t="s">
        <v>4</v>
      </c>
      <c r="L46" s="47" t="s">
        <v>112</v>
      </c>
      <c r="M46" s="48" t="s">
        <v>88</v>
      </c>
    </row>
    <row r="47" spans="1:13" x14ac:dyDescent="0.25">
      <c r="A47" s="56">
        <v>45691</v>
      </c>
      <c r="B47" t="s">
        <v>89</v>
      </c>
      <c r="C47">
        <v>0</v>
      </c>
      <c r="D47" s="74" cm="1">
        <f t="array" ref="D4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47" s="74">
        <v>0</v>
      </c>
      <c r="F4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47" s="45" t="s">
        <v>18</v>
      </c>
      <c r="J47" s="55" cm="1">
        <f t="array" ref="J47">IFERROR(J30/SUMPRODUCT(IF(TEXT(_xlfn.UNIQUE(Продажи_Сызр[Дата]),"ММММ")=$I47,1,0)),"")</f>
        <v>1.588235294117647</v>
      </c>
      <c r="K47" s="55" cm="1">
        <f t="array" ref="K47">IFERROR(K30/SUMPRODUCT(IF(TEXT(_xlfn.UNIQUE(Продажи_Сызр[Дата]),"ММММ")=$I47,1,0)),"")</f>
        <v>0</v>
      </c>
      <c r="L47" s="55">
        <f>L30/COUNT(_xlfn.UNIQUE(Продажи_Сызр[Дата]))</f>
        <v>0</v>
      </c>
      <c r="M47" s="59" cm="1">
        <f t="array" ref="M47">IFERROR(M30/SUMPRODUCT(IF(TEXT(_xlfn.UNIQUE(Продажи_Сызр[Дата]),"ММММ")=$I47,1,0)),"")</f>
        <v>1.588235294117647</v>
      </c>
    </row>
    <row r="48" spans="1:13" x14ac:dyDescent="0.25">
      <c r="A48" s="56">
        <v>45692</v>
      </c>
      <c r="B48" t="s">
        <v>3</v>
      </c>
      <c r="C48">
        <v>1</v>
      </c>
      <c r="D48" s="74" cm="1">
        <f t="array" ref="D4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48" s="74">
        <v>795</v>
      </c>
      <c r="F4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48" s="45" t="s">
        <v>19</v>
      </c>
      <c r="J48" s="55" cm="1">
        <f t="array" ref="J48">IFERROR(J31/SUMPRODUCT(IF(TEXT(_xlfn.UNIQUE(Продажи_Сызр[Дата]),"ММММ")=$I48,1,0)),"")</f>
        <v>1.45</v>
      </c>
      <c r="K48" s="55" cm="1">
        <f t="array" ref="K48">IFERROR(K31/SUMPRODUCT(IF(TEXT(_xlfn.UNIQUE(Продажи_Сызр[Дата]),"ММММ")=$I48,1,0)),"")</f>
        <v>0.5</v>
      </c>
      <c r="L48" s="55">
        <f>L31/COUNT(_xlfn.UNIQUE(Продажи_Сызр[Дата]))</f>
        <v>0</v>
      </c>
      <c r="M48" s="59" cm="1">
        <f t="array" ref="M48">IFERROR(M31/SUMPRODUCT(IF(TEXT(_xlfn.UNIQUE(Продажи_Сызр[Дата]),"ММММ")=$I48,1,0)),"")</f>
        <v>1.95</v>
      </c>
    </row>
    <row r="49" spans="1:13" x14ac:dyDescent="0.25">
      <c r="A49" s="56">
        <v>45693</v>
      </c>
      <c r="B49" t="s">
        <v>3</v>
      </c>
      <c r="C49">
        <v>2</v>
      </c>
      <c r="D49" s="74" cm="1">
        <f t="array" ref="D4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49" s="74">
        <v>795</v>
      </c>
      <c r="F4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2284.6</v>
      </c>
      <c r="I49" s="45" t="s">
        <v>63</v>
      </c>
      <c r="J49" s="55" cm="1">
        <f t="array" ref="J49">IFERROR(J32/SUMPRODUCT(IF(TEXT(_xlfn.UNIQUE(Продажи_Сызр[Дата]),"ММММ")=$I49,1,0)),"")</f>
        <v>1.5238095238095237</v>
      </c>
      <c r="K49" s="55" cm="1">
        <f t="array" ref="K49">IFERROR(K32/SUMPRODUCT(IF(TEXT(_xlfn.UNIQUE(Продажи_Сызр[Дата]),"ММММ")=$I49,1,0)),"")</f>
        <v>0.61904761904761907</v>
      </c>
      <c r="L49" s="55">
        <f>L32/COUNT(_xlfn.UNIQUE(Продажи_Сызр[Дата]))</f>
        <v>6.8493150684931503E-3</v>
      </c>
      <c r="M49" s="59" cm="1">
        <f t="array" ref="M49">IFERROR(M32/SUMPRODUCT(IF(TEXT(_xlfn.UNIQUE(Продажи_Сызр[Дата]),"ММММ")=$I49,1,0)),"")</f>
        <v>2.1904761904761907</v>
      </c>
    </row>
    <row r="50" spans="1:13" x14ac:dyDescent="0.25">
      <c r="A50" s="56">
        <v>45694</v>
      </c>
      <c r="B50" t="s">
        <v>89</v>
      </c>
      <c r="C50">
        <v>0</v>
      </c>
      <c r="D50" s="74" cm="1">
        <f t="array" ref="D5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50" s="74">
        <v>0</v>
      </c>
      <c r="F5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50" s="45" t="s">
        <v>64</v>
      </c>
      <c r="J50" s="55" cm="1">
        <f t="array" ref="J50">IFERROR(J33/SUMPRODUCT(IF(TEXT(_xlfn.UNIQUE(Продажи_Сызр[Дата]),"ММММ")=$I50,1,0)),"")</f>
        <v>1.0909090909090908</v>
      </c>
      <c r="K50" s="55" cm="1">
        <f t="array" ref="K50">IFERROR(K33/SUMPRODUCT(IF(TEXT(_xlfn.UNIQUE(Продажи_Сызр[Дата]),"ММММ")=$I50,1,0)),"")</f>
        <v>0.59090909090909094</v>
      </c>
      <c r="L50" s="55">
        <f>L33/COUNT(_xlfn.UNIQUE(Продажи_Сызр[Дата]))</f>
        <v>6.8493150684931503E-3</v>
      </c>
      <c r="M50" s="59" cm="1">
        <f t="array" ref="M50">IFERROR(M33/SUMPRODUCT(IF(TEXT(_xlfn.UNIQUE(Продажи_Сызр[Дата]),"ММММ")=$I50,1,0)),"")</f>
        <v>1.7272727272727273</v>
      </c>
    </row>
    <row r="51" spans="1:13" x14ac:dyDescent="0.25">
      <c r="A51" s="56">
        <v>45695</v>
      </c>
      <c r="B51" t="s">
        <v>89</v>
      </c>
      <c r="C51">
        <v>0</v>
      </c>
      <c r="D51" s="74" cm="1">
        <f t="array" ref="D5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51" s="74">
        <v>0</v>
      </c>
      <c r="F5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51" s="45" t="s">
        <v>65</v>
      </c>
      <c r="J51" s="55" cm="1">
        <f t="array" ref="J51">IFERROR(J34/SUMPRODUCT(IF(TEXT(_xlfn.UNIQUE(Продажи_Сызр[Дата]),"ММММ")=$I51,1,0)),"")</f>
        <v>0.61111111111111116</v>
      </c>
      <c r="K51" s="55" cm="1">
        <f t="array" ref="K51">IFERROR(K34/SUMPRODUCT(IF(TEXT(_xlfn.UNIQUE(Продажи_Сызр[Дата]),"ММММ")=$I51,1,0)),"")</f>
        <v>0.27777777777777779</v>
      </c>
      <c r="L51" s="55">
        <f>L34/COUNT(_xlfn.UNIQUE(Продажи_Сызр[Дата]))</f>
        <v>6.8493150684931503E-3</v>
      </c>
      <c r="M51" s="59" cm="1">
        <f t="array" ref="M51">IFERROR(M34/SUMPRODUCT(IF(TEXT(_xlfn.UNIQUE(Продажи_Сызр[Дата]),"ММММ")=$I51,1,0)),"")</f>
        <v>0.94444444444444442</v>
      </c>
    </row>
    <row r="52" spans="1:13" x14ac:dyDescent="0.25">
      <c r="A52" s="56">
        <v>45698</v>
      </c>
      <c r="B52" t="s">
        <v>4</v>
      </c>
      <c r="C52">
        <v>1</v>
      </c>
      <c r="D52" s="74" cm="1">
        <f t="array" ref="D5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52" s="74">
        <v>1250</v>
      </c>
      <c r="F5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  <c r="I52" s="45" t="s">
        <v>66</v>
      </c>
      <c r="J52" s="55" cm="1">
        <f t="array" ref="J52">IFERROR(J35/SUMPRODUCT(IF(TEXT(_xlfn.UNIQUE(Продажи_Сызр[Дата]),"ММММ")=$I52,1,0)),"")</f>
        <v>0.31578947368421051</v>
      </c>
      <c r="K52" s="55" cm="1">
        <f t="array" ref="K52">IFERROR(K35/SUMPRODUCT(IF(TEXT(_xlfn.UNIQUE(Продажи_Сызр[Дата]),"ММММ")=$I52,1,0)),"")</f>
        <v>0.47368421052631576</v>
      </c>
      <c r="L52" s="55">
        <f>L35/COUNT(_xlfn.UNIQUE(Продажи_Сызр[Дата]))</f>
        <v>1.3698630136986301E-2</v>
      </c>
      <c r="M52" s="59" cm="1">
        <f t="array" ref="M52">IFERROR(M35/SUMPRODUCT(IF(TEXT(_xlfn.UNIQUE(Продажи_Сызр[Дата]),"ММММ")=$I52,1,0)),"")</f>
        <v>0.89473684210526316</v>
      </c>
    </row>
    <row r="53" spans="1:13" x14ac:dyDescent="0.25">
      <c r="A53" s="56">
        <v>45698</v>
      </c>
      <c r="B53" t="s">
        <v>3</v>
      </c>
      <c r="C53">
        <v>1</v>
      </c>
      <c r="D53" s="74" cm="1">
        <f t="array" ref="D5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53" s="74">
        <v>795</v>
      </c>
      <c r="F5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53" s="45" t="s">
        <v>67</v>
      </c>
      <c r="J53" s="55" cm="1">
        <f t="array" ref="J53">IFERROR(J36/SUMPRODUCT(IF(TEXT(_xlfn.UNIQUE(Продажи_Сызр[Дата]),"ММММ")=$I53,1,0)),"")</f>
        <v>1</v>
      </c>
      <c r="K53" s="55" cm="1">
        <f t="array" ref="K53">IFERROR(K36/SUMPRODUCT(IF(TEXT(_xlfn.UNIQUE(Продажи_Сызр[Дата]),"ММММ")=$I53,1,0)),"")</f>
        <v>0.21739130434782608</v>
      </c>
      <c r="L53" s="55">
        <f>L36/COUNT(_xlfn.UNIQUE(Продажи_Сызр[Дата]))</f>
        <v>1.3698630136986301E-2</v>
      </c>
      <c r="M53" s="59" cm="1">
        <f t="array" ref="M53">IFERROR(M36/SUMPRODUCT(IF(TEXT(_xlfn.UNIQUE(Продажи_Сызр[Дата]),"ММММ")=$I53,1,0)),"")</f>
        <v>1.3043478260869565</v>
      </c>
    </row>
    <row r="54" spans="1:13" x14ac:dyDescent="0.25">
      <c r="A54" s="56">
        <v>45699</v>
      </c>
      <c r="B54" t="s">
        <v>3</v>
      </c>
      <c r="C54">
        <v>1</v>
      </c>
      <c r="D54" s="74" cm="1">
        <f t="array" ref="D5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54" s="74">
        <v>795</v>
      </c>
      <c r="F5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54" s="45" t="s">
        <v>68</v>
      </c>
      <c r="J54" s="55" cm="1">
        <f t="array" ref="J54">IFERROR(J37/SUMPRODUCT(IF(TEXT(_xlfn.UNIQUE(Продажи_Сызр[Дата]),"ММММ")=$I54,1,0)),"")</f>
        <v>1.1666666666666667</v>
      </c>
      <c r="K54" s="55" cm="1">
        <f t="array" ref="K54">IFERROR(K37/SUMPRODUCT(IF(TEXT(_xlfn.UNIQUE(Продажи_Сызр[Дата]),"ММММ")=$I54,1,0)),"")</f>
        <v>0</v>
      </c>
      <c r="L54" s="55">
        <f>L37/COUNT(_xlfn.UNIQUE(Продажи_Сызр[Дата]))</f>
        <v>0</v>
      </c>
      <c r="M54" s="59" cm="1">
        <f t="array" ref="M54">IFERROR(M37/SUMPRODUCT(IF(TEXT(_xlfn.UNIQUE(Продажи_Сызр[Дата]),"ММММ")=$I54,1,0)),"")</f>
        <v>1.1666666666666667</v>
      </c>
    </row>
    <row r="55" spans="1:13" x14ac:dyDescent="0.25">
      <c r="A55" s="56">
        <v>45700</v>
      </c>
      <c r="B55" t="s">
        <v>4</v>
      </c>
      <c r="C55">
        <v>4</v>
      </c>
      <c r="D55" s="74" cm="1">
        <f t="array" ref="D5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9200</v>
      </c>
      <c r="E55" s="74">
        <v>1250</v>
      </c>
      <c r="F5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3916.8</v>
      </c>
      <c r="I55" s="45" t="s">
        <v>72</v>
      </c>
      <c r="J55" s="55" t="str" cm="1">
        <f t="array" ref="J55">IFERROR(J38/SUMPRODUCT(IF(TEXT(_xlfn.UNIQUE(Продажи_Сызр[Дата]),"ММММ")=$I55,1,0)),"")</f>
        <v/>
      </c>
      <c r="K55" s="55" t="str" cm="1">
        <f t="array" ref="K55">IFERROR(K38/SUMPRODUCT(IF(TEXT(_xlfn.UNIQUE(Продажи_Сызр[Дата]),"ММММ")=$I55,1,0)),"")</f>
        <v/>
      </c>
      <c r="L55" s="55">
        <f>L38/COUNT(_xlfn.UNIQUE(Продажи_Сызр[Дата]))</f>
        <v>0</v>
      </c>
      <c r="M55" s="59" t="str" cm="1">
        <f t="array" ref="M55">IFERROR(M38/SUMPRODUCT(IF(TEXT(_xlfn.UNIQUE(Продажи_Сызр[Дата]),"ММММ")=$I55,1,0)),"")</f>
        <v/>
      </c>
    </row>
    <row r="56" spans="1:13" x14ac:dyDescent="0.25">
      <c r="A56" s="56">
        <v>45700</v>
      </c>
      <c r="B56" t="s">
        <v>3</v>
      </c>
      <c r="C56">
        <v>1</v>
      </c>
      <c r="D56" s="74" cm="1">
        <f t="array" ref="D5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56" s="74">
        <v>795</v>
      </c>
      <c r="F5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56" s="45" t="s">
        <v>74</v>
      </c>
      <c r="J56" s="55" t="str" cm="1">
        <f t="array" ref="J56">IFERROR(J39/SUMPRODUCT(IF(TEXT(_xlfn.UNIQUE(Продажи_Сызр[Дата]),"ММММ")=$I56,1,0)),"")</f>
        <v/>
      </c>
      <c r="K56" s="55" t="str" cm="1">
        <f t="array" ref="K56">IFERROR(K39/SUMPRODUCT(IF(TEXT(_xlfn.UNIQUE(Продажи_Сызр[Дата]),"ММММ")=$I56,1,0)),"")</f>
        <v/>
      </c>
      <c r="L56" s="55">
        <f>L39/COUNT(_xlfn.UNIQUE(Продажи_Сызр[Дата]))</f>
        <v>0</v>
      </c>
      <c r="M56" s="59" t="str" cm="1">
        <f t="array" ref="M56">IFERROR(M39/SUMPRODUCT(IF(TEXT(_xlfn.UNIQUE(Продажи_Сызр[Дата]),"ММММ")=$I56,1,0)),"")</f>
        <v/>
      </c>
    </row>
    <row r="57" spans="1:13" x14ac:dyDescent="0.25">
      <c r="A57" s="56">
        <v>45701</v>
      </c>
      <c r="B57" t="s">
        <v>89</v>
      </c>
      <c r="C57">
        <v>0</v>
      </c>
      <c r="D57" s="74" cm="1">
        <f t="array" ref="D5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57" s="74">
        <v>0</v>
      </c>
      <c r="F5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I57" s="45" t="s">
        <v>75</v>
      </c>
      <c r="J57" s="55" t="str" cm="1">
        <f t="array" ref="J57">IFERROR(J40/SUMPRODUCT(IF(TEXT(_xlfn.UNIQUE(Продажи_Сызр[Дата]),"ММММ")=$I57,1,0)),"")</f>
        <v/>
      </c>
      <c r="K57" s="55" t="str" cm="1">
        <f t="array" ref="K57">IFERROR(K40/SUMPRODUCT(IF(TEXT(_xlfn.UNIQUE(Продажи_Сызр[Дата]),"ММММ")=$I57,1,0)),"")</f>
        <v/>
      </c>
      <c r="L57" s="55">
        <f>L40/COUNT(_xlfn.UNIQUE(Продажи_Сызр[Дата]))</f>
        <v>0</v>
      </c>
      <c r="M57" s="59" t="str" cm="1">
        <f t="array" ref="M57">IFERROR(M40/SUMPRODUCT(IF(TEXT(_xlfn.UNIQUE(Продажи_Сызр[Дата]),"ММММ")=$I57,1,0)),"")</f>
        <v/>
      </c>
    </row>
    <row r="58" spans="1:13" x14ac:dyDescent="0.25">
      <c r="A58" s="56">
        <v>45702</v>
      </c>
      <c r="B58" t="s">
        <v>3</v>
      </c>
      <c r="C58">
        <v>1</v>
      </c>
      <c r="D58" s="74" cm="1">
        <f t="array" ref="D5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58" s="74">
        <v>795</v>
      </c>
      <c r="F5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58" s="45" t="s">
        <v>76</v>
      </c>
      <c r="J58" s="55" t="str" cm="1">
        <f t="array" ref="J58">IFERROR(J41/SUMPRODUCT(IF(TEXT(_xlfn.UNIQUE(Продажи_Сызр[Дата]),"ММММ")=$I58,1,0)),"")</f>
        <v/>
      </c>
      <c r="K58" s="55" t="str" cm="1">
        <f t="array" ref="K58">IFERROR(K41/SUMPRODUCT(IF(TEXT(_xlfn.UNIQUE(Продажи_Сызр[Дата]),"ММММ")=$I58,1,0)),"")</f>
        <v/>
      </c>
      <c r="L58" s="55">
        <f>L41/COUNT(_xlfn.UNIQUE(Продажи_Сызр[Дата]))</f>
        <v>0</v>
      </c>
      <c r="M58" s="59" t="str" cm="1">
        <f t="array" ref="M58">IFERROR(M41/SUMPRODUCT(IF(TEXT(_xlfn.UNIQUE(Продажи_Сызр[Дата]),"ММММ")=$I58,1,0)),"")</f>
        <v/>
      </c>
    </row>
    <row r="59" spans="1:13" x14ac:dyDescent="0.25">
      <c r="A59" s="56">
        <v>45705</v>
      </c>
      <c r="B59" t="s">
        <v>3</v>
      </c>
      <c r="C59">
        <v>1</v>
      </c>
      <c r="D59" s="74" cm="1">
        <f t="array" ref="D5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59" s="74">
        <v>795</v>
      </c>
      <c r="F5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1142.3</v>
      </c>
      <c r="I59" s="49" t="s">
        <v>88</v>
      </c>
      <c r="J59" s="57">
        <f>J42/COUNT(_xlfn.UNIQUE(Продажи_Сызр[Дата]))</f>
        <v>1.0890410958904109</v>
      </c>
      <c r="K59" s="57">
        <f>K42/COUNT(_xlfn.UNIQUE(Продажи_Сызр[Дата]))</f>
        <v>0.37671232876712329</v>
      </c>
      <c r="L59" s="57">
        <f>L42/COUNT(_xlfn.UNIQUE(Продажи_Сызр[Дата]))</f>
        <v>4.7945205479452052E-2</v>
      </c>
      <c r="M59" s="57">
        <f>M42/COUNT(_xlfn.UNIQUE(Продажи_Сызр[Дата]))</f>
        <v>1.5136986301369864</v>
      </c>
    </row>
    <row r="60" spans="1:13" x14ac:dyDescent="0.25">
      <c r="A60" s="56">
        <v>45706</v>
      </c>
      <c r="B60" t="s">
        <v>3</v>
      </c>
      <c r="C60">
        <v>1</v>
      </c>
      <c r="D60" s="74" cm="1">
        <f t="array" ref="D6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60" s="74">
        <v>720</v>
      </c>
      <c r="F6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61" spans="1:13" x14ac:dyDescent="0.25">
      <c r="A61" s="56">
        <v>45707</v>
      </c>
      <c r="B61" t="s">
        <v>3</v>
      </c>
      <c r="C61">
        <v>4</v>
      </c>
      <c r="D61" s="74" cm="1">
        <f t="array" ref="D6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8000</v>
      </c>
      <c r="E61" s="74">
        <v>720</v>
      </c>
      <c r="F6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4869.2</v>
      </c>
    </row>
    <row r="62" spans="1:13" x14ac:dyDescent="0.25">
      <c r="A62" s="56">
        <v>45708</v>
      </c>
      <c r="B62" t="s">
        <v>3</v>
      </c>
      <c r="C62">
        <v>4</v>
      </c>
      <c r="D62" s="74" cm="1">
        <f t="array" ref="D6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8000</v>
      </c>
      <c r="E62" s="74">
        <v>720</v>
      </c>
      <c r="F6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4869.2</v>
      </c>
    </row>
    <row r="63" spans="1:13" x14ac:dyDescent="0.25">
      <c r="A63" s="56">
        <v>45708</v>
      </c>
      <c r="B63" t="s">
        <v>4</v>
      </c>
      <c r="C63">
        <v>2</v>
      </c>
      <c r="D63" s="74" cm="1">
        <f t="array" ref="D6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63" s="74">
        <v>1250</v>
      </c>
      <c r="F6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1958.4</v>
      </c>
      <c r="I63" s="93"/>
    </row>
    <row r="64" spans="1:13" x14ac:dyDescent="0.25">
      <c r="A64" s="56">
        <v>45709</v>
      </c>
      <c r="B64" t="s">
        <v>89</v>
      </c>
      <c r="C64">
        <v>0</v>
      </c>
      <c r="D64" s="74" cm="1">
        <f t="array" ref="D6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64" s="74">
        <v>0</v>
      </c>
      <c r="F6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65" spans="1:6" x14ac:dyDescent="0.25">
      <c r="A65" s="56">
        <v>45712</v>
      </c>
      <c r="B65" t="s">
        <v>4</v>
      </c>
      <c r="C65">
        <v>1</v>
      </c>
      <c r="D65" s="74" cm="1">
        <f t="array" ref="D6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65" s="74">
        <v>1250</v>
      </c>
      <c r="F6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66" spans="1:6" x14ac:dyDescent="0.25">
      <c r="A66" s="56">
        <v>45712</v>
      </c>
      <c r="B66" t="s">
        <v>3</v>
      </c>
      <c r="C66">
        <v>3</v>
      </c>
      <c r="D66" s="74" cm="1">
        <f t="array" ref="D6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66" s="74">
        <v>720</v>
      </c>
      <c r="F6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67" spans="1:6" x14ac:dyDescent="0.25">
      <c r="A67" s="56">
        <v>45713</v>
      </c>
      <c r="B67" t="s">
        <v>3</v>
      </c>
      <c r="C67">
        <v>2</v>
      </c>
      <c r="D67" s="74" cm="1">
        <f t="array" ref="D6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67" s="74">
        <v>720</v>
      </c>
      <c r="F6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68" spans="1:6" x14ac:dyDescent="0.25">
      <c r="A68" s="56">
        <v>45714</v>
      </c>
      <c r="B68" t="s">
        <v>3</v>
      </c>
      <c r="C68">
        <v>3</v>
      </c>
      <c r="D68" s="74" cm="1">
        <f t="array" ref="D6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68" s="74">
        <v>720</v>
      </c>
      <c r="F6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69" spans="1:6" x14ac:dyDescent="0.25">
      <c r="A69" s="56">
        <v>45714</v>
      </c>
      <c r="B69" t="s">
        <v>4</v>
      </c>
      <c r="C69">
        <v>1</v>
      </c>
      <c r="D69" s="74" cm="1">
        <f t="array" ref="D6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69" s="74">
        <v>1250</v>
      </c>
      <c r="F6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70" spans="1:6" x14ac:dyDescent="0.25">
      <c r="A70" s="56">
        <v>45715</v>
      </c>
      <c r="B70" t="s">
        <v>3</v>
      </c>
      <c r="C70">
        <v>3</v>
      </c>
      <c r="D70" s="74" cm="1">
        <f t="array" ref="D7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70" s="74">
        <v>720</v>
      </c>
      <c r="F7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71" spans="1:6" x14ac:dyDescent="0.25">
      <c r="A71" s="56">
        <v>45716</v>
      </c>
      <c r="B71" t="s">
        <v>3</v>
      </c>
      <c r="C71">
        <v>1</v>
      </c>
      <c r="D71" s="74" cm="1">
        <f t="array" ref="D7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71" s="74">
        <v>720</v>
      </c>
      <c r="F7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72" spans="1:6" x14ac:dyDescent="0.25">
      <c r="A72" s="56">
        <v>45716</v>
      </c>
      <c r="B72" t="s">
        <v>4</v>
      </c>
      <c r="C72">
        <v>1</v>
      </c>
      <c r="D72" s="74" cm="1">
        <f t="array" ref="D7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72" s="74">
        <v>1250</v>
      </c>
      <c r="F7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73" spans="1:6" x14ac:dyDescent="0.25">
      <c r="A73" s="56">
        <v>45719</v>
      </c>
      <c r="B73" t="s">
        <v>3</v>
      </c>
      <c r="C73">
        <v>3</v>
      </c>
      <c r="D73" s="74" cm="1">
        <f t="array" ref="D7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73" s="74">
        <v>720</v>
      </c>
      <c r="F7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74" spans="1:6" x14ac:dyDescent="0.25">
      <c r="A74" s="56">
        <v>45720</v>
      </c>
      <c r="B74" t="s">
        <v>89</v>
      </c>
      <c r="C74">
        <v>0</v>
      </c>
      <c r="D74" s="74" cm="1">
        <f t="array" ref="D7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74" s="74">
        <v>0</v>
      </c>
      <c r="F7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75" spans="1:6" x14ac:dyDescent="0.25">
      <c r="A75" s="56">
        <v>45721</v>
      </c>
      <c r="B75" t="s">
        <v>3</v>
      </c>
      <c r="C75">
        <v>1</v>
      </c>
      <c r="D75" s="74" cm="1">
        <f t="array" ref="D7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75" s="74">
        <v>720</v>
      </c>
      <c r="F7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76" spans="1:6" x14ac:dyDescent="0.25">
      <c r="A76" s="56">
        <v>45721</v>
      </c>
      <c r="B76" t="s">
        <v>4</v>
      </c>
      <c r="C76">
        <v>1</v>
      </c>
      <c r="D76" s="74" cm="1">
        <f t="array" ref="D7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76" s="74">
        <v>1250</v>
      </c>
      <c r="F7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77" spans="1:6" x14ac:dyDescent="0.25">
      <c r="A77" s="56">
        <v>45722</v>
      </c>
      <c r="B77" t="s">
        <v>3</v>
      </c>
      <c r="C77">
        <v>1</v>
      </c>
      <c r="D77" s="74" cm="1">
        <f t="array" ref="D7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77" s="74">
        <v>720</v>
      </c>
      <c r="F7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78" spans="1:6" x14ac:dyDescent="0.25">
      <c r="A78" s="56">
        <v>45722</v>
      </c>
      <c r="B78" t="s">
        <v>4</v>
      </c>
      <c r="C78">
        <v>1</v>
      </c>
      <c r="D78" s="74" cm="1">
        <f t="array" ref="D7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78" s="74">
        <v>1250</v>
      </c>
      <c r="F7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79" spans="1:6" x14ac:dyDescent="0.25">
      <c r="A79" s="56">
        <v>45723</v>
      </c>
      <c r="B79" t="s">
        <v>89</v>
      </c>
      <c r="C79">
        <v>0</v>
      </c>
      <c r="D79" s="74" cm="1">
        <f t="array" ref="D7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79" s="74">
        <v>0</v>
      </c>
      <c r="F7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80" spans="1:6" x14ac:dyDescent="0.25">
      <c r="A80" s="56">
        <v>45726</v>
      </c>
      <c r="B80" t="s">
        <v>3</v>
      </c>
      <c r="C80">
        <v>3</v>
      </c>
      <c r="D80" s="74" cm="1">
        <f t="array" ref="D8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80" s="74">
        <v>720</v>
      </c>
      <c r="F8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81" spans="1:6" x14ac:dyDescent="0.25">
      <c r="A81" s="56">
        <v>45727</v>
      </c>
      <c r="B81" t="s">
        <v>4</v>
      </c>
      <c r="C81">
        <v>2</v>
      </c>
      <c r="D81" s="74" cm="1">
        <f t="array" ref="D8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81" s="74">
        <v>1250</v>
      </c>
      <c r="F8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1958.4</v>
      </c>
    </row>
    <row r="82" spans="1:6" x14ac:dyDescent="0.25">
      <c r="A82" s="56">
        <v>45727</v>
      </c>
      <c r="B82" t="s">
        <v>3</v>
      </c>
      <c r="C82">
        <v>3</v>
      </c>
      <c r="D82" s="74" cm="1">
        <f t="array" ref="D8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82" s="74">
        <v>720</v>
      </c>
      <c r="F8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83" spans="1:6" x14ac:dyDescent="0.25">
      <c r="A83" s="56">
        <v>45727</v>
      </c>
      <c r="B83" s="2" t="s">
        <v>112</v>
      </c>
      <c r="C83">
        <v>1</v>
      </c>
      <c r="D83" s="74" cm="1">
        <f t="array" ref="D8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83" s="74">
        <v>1340</v>
      </c>
      <c r="F8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</row>
    <row r="84" spans="1:6" x14ac:dyDescent="0.25">
      <c r="A84" s="56">
        <v>45728</v>
      </c>
      <c r="B84" t="s">
        <v>4</v>
      </c>
      <c r="C84">
        <v>1</v>
      </c>
      <c r="D84" s="74" cm="1">
        <f t="array" ref="D8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84" s="74">
        <v>1250</v>
      </c>
      <c r="F8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85" spans="1:6" x14ac:dyDescent="0.25">
      <c r="A85" s="56">
        <v>45728</v>
      </c>
      <c r="B85" t="s">
        <v>3</v>
      </c>
      <c r="C85">
        <v>3</v>
      </c>
      <c r="D85" s="74" cm="1">
        <f t="array" ref="D8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85" s="74">
        <v>720</v>
      </c>
      <c r="F8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86" spans="1:6" x14ac:dyDescent="0.25">
      <c r="A86" s="56">
        <v>45729</v>
      </c>
      <c r="B86" t="s">
        <v>4</v>
      </c>
      <c r="C86">
        <v>2</v>
      </c>
      <c r="D86" s="74" cm="1">
        <f t="array" ref="D8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86" s="74">
        <v>1250</v>
      </c>
      <c r="F8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1958.4</v>
      </c>
    </row>
    <row r="87" spans="1:6" x14ac:dyDescent="0.25">
      <c r="A87" s="56">
        <v>45729</v>
      </c>
      <c r="B87" t="s">
        <v>3</v>
      </c>
      <c r="C87">
        <v>1</v>
      </c>
      <c r="D87" s="74" cm="1">
        <f t="array" ref="D8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87" s="74">
        <v>720</v>
      </c>
      <c r="F8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88" spans="1:6" x14ac:dyDescent="0.25">
      <c r="A88" s="56">
        <v>45730</v>
      </c>
      <c r="B88" t="s">
        <v>3</v>
      </c>
      <c r="C88">
        <v>1</v>
      </c>
      <c r="D88" s="74" cm="1">
        <f t="array" ref="D8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88" s="74">
        <v>720</v>
      </c>
      <c r="F8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89" spans="1:6" x14ac:dyDescent="0.25">
      <c r="A89" s="56">
        <v>45733</v>
      </c>
      <c r="B89" t="s">
        <v>3</v>
      </c>
      <c r="C89">
        <v>2</v>
      </c>
      <c r="D89" s="74" cm="1">
        <f t="array" ref="D8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89" s="74">
        <v>720</v>
      </c>
      <c r="F8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90" spans="1:6" x14ac:dyDescent="0.25">
      <c r="A90" s="56">
        <v>45734</v>
      </c>
      <c r="B90" t="s">
        <v>3</v>
      </c>
      <c r="C90">
        <v>1</v>
      </c>
      <c r="D90" s="74" cm="1">
        <f t="array" ref="D9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90" s="74">
        <v>720</v>
      </c>
      <c r="F9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91" spans="1:6" x14ac:dyDescent="0.25">
      <c r="A91" s="56">
        <v>45735</v>
      </c>
      <c r="B91" t="s">
        <v>3</v>
      </c>
      <c r="C91">
        <v>1</v>
      </c>
      <c r="D91" s="74" cm="1">
        <f t="array" ref="D9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91" s="74">
        <v>720</v>
      </c>
      <c r="F9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92" spans="1:6" x14ac:dyDescent="0.25">
      <c r="A92" s="56">
        <v>45736</v>
      </c>
      <c r="B92" t="s">
        <v>3</v>
      </c>
      <c r="C92">
        <v>2</v>
      </c>
      <c r="D92" s="74" cm="1">
        <f t="array" ref="D9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92" s="74">
        <v>720</v>
      </c>
      <c r="F9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93" spans="1:6" x14ac:dyDescent="0.25">
      <c r="A93" s="56">
        <v>45736</v>
      </c>
      <c r="B93" t="s">
        <v>4</v>
      </c>
      <c r="C93">
        <v>1</v>
      </c>
      <c r="D93" s="74" cm="1">
        <f t="array" ref="D9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93" s="74">
        <v>1250</v>
      </c>
      <c r="F9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94" spans="1:6" x14ac:dyDescent="0.25">
      <c r="A94" s="56">
        <v>45737</v>
      </c>
      <c r="B94" t="s">
        <v>3</v>
      </c>
      <c r="C94">
        <v>1</v>
      </c>
      <c r="D94" s="74" cm="1">
        <f t="array" ref="D9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94" s="74">
        <v>720</v>
      </c>
      <c r="F9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95" spans="1:6" x14ac:dyDescent="0.25">
      <c r="A95" s="56">
        <v>45740</v>
      </c>
      <c r="B95" t="s">
        <v>3</v>
      </c>
      <c r="C95">
        <v>1</v>
      </c>
      <c r="D95" s="74" cm="1">
        <f t="array" ref="D9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95" s="74">
        <v>720</v>
      </c>
      <c r="F9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96" spans="1:6" x14ac:dyDescent="0.25">
      <c r="A96" s="56">
        <v>45740</v>
      </c>
      <c r="B96" t="s">
        <v>4</v>
      </c>
      <c r="C96">
        <v>1</v>
      </c>
      <c r="D96" s="74" cm="1">
        <f t="array" ref="D9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96" s="74">
        <v>1250</v>
      </c>
      <c r="F9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97" spans="1:6" x14ac:dyDescent="0.25">
      <c r="A97" s="56">
        <v>45741</v>
      </c>
      <c r="B97" t="s">
        <v>3</v>
      </c>
      <c r="C97">
        <v>1</v>
      </c>
      <c r="D97" s="74" cm="1">
        <f t="array" ref="D9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97" s="74">
        <v>720</v>
      </c>
      <c r="F9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98" spans="1:6" x14ac:dyDescent="0.25">
      <c r="A98" s="56">
        <v>45742</v>
      </c>
      <c r="B98" t="s">
        <v>4</v>
      </c>
      <c r="C98">
        <v>1</v>
      </c>
      <c r="D98" s="74" cm="1">
        <f t="array" ref="D9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98" s="74">
        <v>1250</v>
      </c>
      <c r="F9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99" spans="1:6" x14ac:dyDescent="0.25">
      <c r="A99" s="56">
        <v>45742</v>
      </c>
      <c r="B99" t="s">
        <v>3</v>
      </c>
      <c r="C99">
        <v>3</v>
      </c>
      <c r="D99" s="74" cm="1">
        <f t="array" ref="D9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99" s="74">
        <v>720</v>
      </c>
      <c r="F9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100" spans="1:6" x14ac:dyDescent="0.25">
      <c r="A100" s="56">
        <v>45743</v>
      </c>
      <c r="B100" t="s">
        <v>3</v>
      </c>
      <c r="C100">
        <v>3</v>
      </c>
      <c r="D100" s="74" cm="1">
        <f t="array" ref="D10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100" s="74">
        <v>720</v>
      </c>
      <c r="F10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101" spans="1:6" x14ac:dyDescent="0.25">
      <c r="A101" s="56">
        <v>45743</v>
      </c>
      <c r="B101" t="s">
        <v>4</v>
      </c>
      <c r="C101">
        <v>1</v>
      </c>
      <c r="D101" s="74" cm="1">
        <f t="array" ref="D10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01" s="74">
        <v>1250</v>
      </c>
      <c r="F10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02" spans="1:6" x14ac:dyDescent="0.25">
      <c r="A102" s="56">
        <v>45744</v>
      </c>
      <c r="B102" t="s">
        <v>3</v>
      </c>
      <c r="C102">
        <v>1</v>
      </c>
      <c r="D102" s="74" cm="1">
        <f t="array" ref="D10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02" s="74">
        <v>720</v>
      </c>
      <c r="F10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03" spans="1:6" x14ac:dyDescent="0.25">
      <c r="A103" s="56">
        <v>45747</v>
      </c>
      <c r="B103" t="s">
        <v>4</v>
      </c>
      <c r="C103">
        <v>2</v>
      </c>
      <c r="D103" s="74" cm="1">
        <f t="array" ref="D10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103" s="74">
        <v>1250</v>
      </c>
      <c r="F10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1958.4</v>
      </c>
    </row>
    <row r="104" spans="1:6" x14ac:dyDescent="0.25">
      <c r="A104" s="56">
        <v>45748</v>
      </c>
      <c r="B104" t="s">
        <v>4</v>
      </c>
      <c r="C104">
        <v>1</v>
      </c>
      <c r="D104" s="74" cm="1">
        <f t="array" ref="D10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04" s="74">
        <v>1250</v>
      </c>
      <c r="F10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05" spans="1:6" x14ac:dyDescent="0.25">
      <c r="A105" s="56">
        <v>45749</v>
      </c>
      <c r="B105" t="s">
        <v>4</v>
      </c>
      <c r="C105">
        <v>1</v>
      </c>
      <c r="D105" s="74" cm="1">
        <f t="array" ref="D10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05" s="74">
        <v>1250</v>
      </c>
      <c r="F10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06" spans="1:6" x14ac:dyDescent="0.25">
      <c r="A106" s="56">
        <v>45750</v>
      </c>
      <c r="B106" t="s">
        <v>4</v>
      </c>
      <c r="C106">
        <v>3</v>
      </c>
      <c r="D106" s="74" cm="1">
        <f t="array" ref="D10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6900</v>
      </c>
      <c r="E106" s="74">
        <v>1250</v>
      </c>
      <c r="F10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2937.6</v>
      </c>
    </row>
    <row r="107" spans="1:6" x14ac:dyDescent="0.25">
      <c r="A107" s="56">
        <v>45751</v>
      </c>
      <c r="B107" t="s">
        <v>3</v>
      </c>
      <c r="C107">
        <v>1</v>
      </c>
      <c r="D107" s="74" cm="1">
        <f t="array" ref="D10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07" s="74">
        <v>720</v>
      </c>
      <c r="F10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08" spans="1:6" x14ac:dyDescent="0.25">
      <c r="A108" s="56">
        <v>45754</v>
      </c>
      <c r="B108" t="s">
        <v>4</v>
      </c>
      <c r="C108">
        <v>1</v>
      </c>
      <c r="D108" s="74" cm="1">
        <f t="array" ref="D10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08" s="74">
        <v>1250</v>
      </c>
      <c r="F10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09" spans="1:6" x14ac:dyDescent="0.25">
      <c r="A109" s="56">
        <v>45754</v>
      </c>
      <c r="B109" t="s">
        <v>3</v>
      </c>
      <c r="C109">
        <v>2</v>
      </c>
      <c r="D109" s="74" cm="1">
        <f t="array" ref="D10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09" s="74">
        <v>720</v>
      </c>
      <c r="F10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10" spans="1:6" x14ac:dyDescent="0.25">
      <c r="A110" s="56">
        <v>45755</v>
      </c>
      <c r="B110" t="s">
        <v>3</v>
      </c>
      <c r="C110">
        <v>1</v>
      </c>
      <c r="D110" s="74" cm="1">
        <f t="array" ref="D11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10" s="74">
        <v>720</v>
      </c>
      <c r="F11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11" spans="1:6" x14ac:dyDescent="0.25">
      <c r="A111" s="56">
        <v>45756</v>
      </c>
      <c r="B111" t="s">
        <v>3</v>
      </c>
      <c r="C111">
        <v>1</v>
      </c>
      <c r="D111" s="74" cm="1">
        <f t="array" ref="D11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11" s="74">
        <v>720</v>
      </c>
      <c r="F11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12" spans="1:6" x14ac:dyDescent="0.25">
      <c r="A112" s="56">
        <v>45756</v>
      </c>
      <c r="B112" t="s">
        <v>4</v>
      </c>
      <c r="C112">
        <v>1</v>
      </c>
      <c r="D112" s="74" cm="1">
        <f t="array" ref="D11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12" s="74">
        <v>1250</v>
      </c>
      <c r="F11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13" spans="1:6" x14ac:dyDescent="0.25">
      <c r="A113" s="56">
        <v>45757</v>
      </c>
      <c r="B113" t="s">
        <v>4</v>
      </c>
      <c r="C113">
        <v>1</v>
      </c>
      <c r="D113" s="74" cm="1">
        <f t="array" ref="D11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13" s="74">
        <v>1250</v>
      </c>
      <c r="F11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14" spans="1:6" x14ac:dyDescent="0.25">
      <c r="A114" s="56">
        <v>45758</v>
      </c>
      <c r="B114" t="s">
        <v>89</v>
      </c>
      <c r="C114">
        <v>0</v>
      </c>
      <c r="D114" s="74" cm="1">
        <f t="array" ref="D11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14" s="74">
        <v>0</v>
      </c>
      <c r="F11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15" spans="1:6" x14ac:dyDescent="0.25">
      <c r="A115" s="56">
        <v>45761</v>
      </c>
      <c r="B115" t="s">
        <v>3</v>
      </c>
      <c r="C115">
        <v>1</v>
      </c>
      <c r="D115" s="74" cm="1">
        <f t="array" ref="D11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15" s="74">
        <v>720</v>
      </c>
      <c r="F11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16" spans="1:6" x14ac:dyDescent="0.25">
      <c r="A116" s="56">
        <v>45762</v>
      </c>
      <c r="B116" t="s">
        <v>3</v>
      </c>
      <c r="C116">
        <v>2</v>
      </c>
      <c r="D116" s="74" cm="1">
        <f t="array" ref="D11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16" s="74">
        <v>720</v>
      </c>
      <c r="F11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17" spans="1:6" x14ac:dyDescent="0.25">
      <c r="A117" s="56">
        <v>45762</v>
      </c>
      <c r="B117" t="s">
        <v>112</v>
      </c>
      <c r="C117">
        <v>1</v>
      </c>
      <c r="D117" s="74" cm="1">
        <f t="array" ref="D11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117" s="74">
        <v>1340</v>
      </c>
      <c r="F11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</row>
    <row r="118" spans="1:6" x14ac:dyDescent="0.25">
      <c r="A118" s="56">
        <v>45763</v>
      </c>
      <c r="B118" t="s">
        <v>3</v>
      </c>
      <c r="C118">
        <v>2</v>
      </c>
      <c r="D118" s="74" cm="1">
        <f t="array" ref="D11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18" s="74">
        <v>720</v>
      </c>
      <c r="F11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19" spans="1:6" x14ac:dyDescent="0.25">
      <c r="A119" s="56">
        <v>45764</v>
      </c>
      <c r="B119" t="s">
        <v>89</v>
      </c>
      <c r="C119">
        <v>0</v>
      </c>
      <c r="D119" s="74" cm="1">
        <f t="array" ref="D11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19" s="74">
        <v>0</v>
      </c>
      <c r="F11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20" spans="1:6" x14ac:dyDescent="0.25">
      <c r="A120" s="56">
        <v>45765</v>
      </c>
      <c r="B120" t="s">
        <v>3</v>
      </c>
      <c r="C120">
        <v>3</v>
      </c>
      <c r="D120" s="74" cm="1">
        <f t="array" ref="D12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120" s="74">
        <v>720</v>
      </c>
      <c r="F12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121" spans="1:6" x14ac:dyDescent="0.25">
      <c r="A121" s="56">
        <v>45768</v>
      </c>
      <c r="B121" t="s">
        <v>3</v>
      </c>
      <c r="C121">
        <v>2</v>
      </c>
      <c r="D121" s="74" cm="1">
        <f t="array" ref="D12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21" s="74">
        <v>720</v>
      </c>
      <c r="F12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22" spans="1:6" x14ac:dyDescent="0.25">
      <c r="A122" s="56">
        <v>45769</v>
      </c>
      <c r="B122" t="s">
        <v>3</v>
      </c>
      <c r="C122">
        <v>1</v>
      </c>
      <c r="D122" s="74" cm="1">
        <f t="array" ref="D12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22" s="74">
        <v>720</v>
      </c>
      <c r="F12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23" spans="1:6" x14ac:dyDescent="0.25">
      <c r="A123" s="56">
        <v>45769</v>
      </c>
      <c r="B123" t="s">
        <v>4</v>
      </c>
      <c r="C123">
        <v>1</v>
      </c>
      <c r="D123" s="74" cm="1">
        <f t="array" ref="D12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23" s="74">
        <v>1250</v>
      </c>
      <c r="F12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24" spans="1:6" x14ac:dyDescent="0.25">
      <c r="A124" s="56">
        <v>45770</v>
      </c>
      <c r="B124" t="s">
        <v>89</v>
      </c>
      <c r="C124">
        <v>0</v>
      </c>
      <c r="D124" s="74" cm="1">
        <f t="array" ref="D12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24" s="74">
        <v>0</v>
      </c>
      <c r="F12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25" spans="1:6" x14ac:dyDescent="0.25">
      <c r="A125" s="56">
        <v>45771</v>
      </c>
      <c r="B125" t="s">
        <v>89</v>
      </c>
      <c r="C125">
        <v>0</v>
      </c>
      <c r="D125" s="74" cm="1">
        <f t="array" ref="D12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25" s="74">
        <v>0</v>
      </c>
      <c r="F12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26" spans="1:6" x14ac:dyDescent="0.25">
      <c r="A126" s="56">
        <v>45772</v>
      </c>
      <c r="B126" t="s">
        <v>3</v>
      </c>
      <c r="C126">
        <v>3</v>
      </c>
      <c r="D126" s="74" cm="1">
        <f t="array" ref="D12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6000</v>
      </c>
      <c r="E126" s="74">
        <v>720</v>
      </c>
      <c r="F12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127" spans="1:6" x14ac:dyDescent="0.25">
      <c r="A127" s="56">
        <v>45772</v>
      </c>
      <c r="B127" t="s">
        <v>4</v>
      </c>
      <c r="C127">
        <v>1</v>
      </c>
      <c r="D127" s="74" cm="1">
        <f t="array" ref="D12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27" s="74">
        <v>1100</v>
      </c>
      <c r="F12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1129.2</v>
      </c>
    </row>
    <row r="128" spans="1:6" x14ac:dyDescent="0.25">
      <c r="A128" s="56">
        <v>45775</v>
      </c>
      <c r="B128" t="s">
        <v>4</v>
      </c>
      <c r="C128">
        <v>1</v>
      </c>
      <c r="D128" s="74" cm="1">
        <f t="array" ref="D12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28" s="74">
        <v>1100</v>
      </c>
      <c r="F12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1129.2</v>
      </c>
    </row>
    <row r="129" spans="1:8" x14ac:dyDescent="0.25">
      <c r="A129" s="56">
        <v>45775</v>
      </c>
      <c r="B129" t="s">
        <v>3</v>
      </c>
      <c r="C129">
        <v>2</v>
      </c>
      <c r="D129" s="74" cm="1">
        <f t="array" ref="D12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29" s="74">
        <v>720</v>
      </c>
      <c r="F12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30" spans="1:8" x14ac:dyDescent="0.25">
      <c r="A130" s="56">
        <v>45776</v>
      </c>
      <c r="B130" t="s">
        <v>3</v>
      </c>
      <c r="C130">
        <v>2</v>
      </c>
      <c r="D130" s="74" cm="1">
        <f t="array" ref="D13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30" s="74">
        <v>720</v>
      </c>
      <c r="F13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31" spans="1:8" x14ac:dyDescent="0.25">
      <c r="A131" s="56">
        <v>45777</v>
      </c>
      <c r="B131" t="s">
        <v>3</v>
      </c>
      <c r="C131">
        <v>1</v>
      </c>
      <c r="D131" s="74" cm="1">
        <f t="array" ref="D13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31" s="74">
        <v>720</v>
      </c>
      <c r="F13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32" spans="1:8" x14ac:dyDescent="0.25">
      <c r="A132" s="56">
        <v>45777</v>
      </c>
      <c r="B132" t="s">
        <v>4</v>
      </c>
      <c r="C132">
        <v>2</v>
      </c>
      <c r="D132" s="74" cm="1">
        <f t="array" ref="D13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132" s="74">
        <v>1100</v>
      </c>
      <c r="F13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2258.4</v>
      </c>
    </row>
    <row r="133" spans="1:8" x14ac:dyDescent="0.25">
      <c r="A133" s="56">
        <v>45782</v>
      </c>
      <c r="B133" t="s">
        <v>89</v>
      </c>
      <c r="C133">
        <v>0</v>
      </c>
      <c r="D133" s="74" cm="1">
        <f t="array" ref="D13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33" s="74">
        <v>0</v>
      </c>
      <c r="F13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33" s="252"/>
    </row>
    <row r="134" spans="1:8" x14ac:dyDescent="0.25">
      <c r="A134" s="56">
        <v>45783</v>
      </c>
      <c r="B134" t="s">
        <v>3</v>
      </c>
      <c r="C134">
        <v>1</v>
      </c>
      <c r="D134" s="74" cm="1">
        <f t="array" ref="D13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34" s="74">
        <v>720</v>
      </c>
      <c r="F13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34" s="252"/>
    </row>
    <row r="135" spans="1:8" x14ac:dyDescent="0.25">
      <c r="A135" s="56">
        <v>45784</v>
      </c>
      <c r="B135" t="s">
        <v>89</v>
      </c>
      <c r="C135">
        <v>0</v>
      </c>
      <c r="D135" s="74" cm="1">
        <f t="array" ref="D13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35" s="74">
        <v>0</v>
      </c>
      <c r="F13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35" s="252"/>
    </row>
    <row r="136" spans="1:8" x14ac:dyDescent="0.25">
      <c r="A136" s="56">
        <v>45789</v>
      </c>
      <c r="B136" t="s">
        <v>3</v>
      </c>
      <c r="C136">
        <v>1</v>
      </c>
      <c r="D136" s="74" cm="1">
        <f t="array" ref="D13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36" s="74">
        <v>720</v>
      </c>
      <c r="F13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36" s="252"/>
    </row>
    <row r="137" spans="1:8" x14ac:dyDescent="0.25">
      <c r="A137" s="56">
        <v>45790</v>
      </c>
      <c r="B137" t="s">
        <v>3</v>
      </c>
      <c r="C137">
        <v>1</v>
      </c>
      <c r="D137" s="74" cm="1">
        <f t="array" ref="D13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37" s="74">
        <v>720</v>
      </c>
      <c r="F13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37" s="252"/>
    </row>
    <row r="138" spans="1:8" x14ac:dyDescent="0.25">
      <c r="A138" s="56">
        <v>45791</v>
      </c>
      <c r="B138" t="s">
        <v>3</v>
      </c>
      <c r="C138">
        <v>1</v>
      </c>
      <c r="D138" s="74" cm="1">
        <f t="array" ref="D13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38" s="74">
        <v>720</v>
      </c>
      <c r="F13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38" s="252"/>
    </row>
    <row r="139" spans="1:8" x14ac:dyDescent="0.25">
      <c r="A139" s="56">
        <v>45792</v>
      </c>
      <c r="B139" t="s">
        <v>3</v>
      </c>
      <c r="C139">
        <v>1</v>
      </c>
      <c r="D139" s="74" cm="1">
        <f t="array" ref="D13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39" s="74">
        <v>720</v>
      </c>
      <c r="F13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39" s="252"/>
    </row>
    <row r="140" spans="1:8" x14ac:dyDescent="0.25">
      <c r="A140" s="56">
        <v>45792</v>
      </c>
      <c r="B140" t="s">
        <v>4</v>
      </c>
      <c r="C140">
        <v>1</v>
      </c>
      <c r="D140" s="74" cm="1">
        <f t="array" ref="D14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40" s="74">
        <v>1100</v>
      </c>
      <c r="F14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1129.2</v>
      </c>
      <c r="H140" s="252"/>
    </row>
    <row r="141" spans="1:8" x14ac:dyDescent="0.25">
      <c r="A141" s="56">
        <v>45792</v>
      </c>
      <c r="B141" t="s">
        <v>112</v>
      </c>
      <c r="C141">
        <v>1</v>
      </c>
      <c r="D141" s="74" cm="1">
        <f t="array" ref="D14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141" s="74">
        <v>1340</v>
      </c>
      <c r="F14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  <c r="H141" s="252"/>
    </row>
    <row r="142" spans="1:8" x14ac:dyDescent="0.25">
      <c r="A142" s="56">
        <v>45793</v>
      </c>
      <c r="B142" t="s">
        <v>4</v>
      </c>
      <c r="C142">
        <v>1</v>
      </c>
      <c r="D142" s="74" cm="1">
        <f t="array" ref="D14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42" s="74">
        <v>1100</v>
      </c>
      <c r="F14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1129.2</v>
      </c>
      <c r="H142" s="252"/>
    </row>
    <row r="143" spans="1:8" x14ac:dyDescent="0.25">
      <c r="A143" s="56">
        <v>45796</v>
      </c>
      <c r="B143" t="s">
        <v>3</v>
      </c>
      <c r="C143">
        <v>1</v>
      </c>
      <c r="D143" s="74" cm="1">
        <f t="array" ref="D14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43" s="74">
        <v>720</v>
      </c>
      <c r="F14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43" s="252"/>
    </row>
    <row r="144" spans="1:8" x14ac:dyDescent="0.25">
      <c r="A144" s="56">
        <v>45797</v>
      </c>
      <c r="B144" t="s">
        <v>4</v>
      </c>
      <c r="C144">
        <v>1</v>
      </c>
      <c r="D144" s="74" cm="1">
        <f t="array" ref="D14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44" s="74">
        <v>1100</v>
      </c>
      <c r="F14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1129.2</v>
      </c>
      <c r="H144" s="252"/>
    </row>
    <row r="145" spans="1:8" x14ac:dyDescent="0.25">
      <c r="A145" s="56">
        <v>45798</v>
      </c>
      <c r="B145" t="s">
        <v>3</v>
      </c>
      <c r="C145">
        <v>1</v>
      </c>
      <c r="D145" s="74" cm="1">
        <f t="array" ref="D14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45" s="74">
        <v>720</v>
      </c>
      <c r="F14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45" s="252"/>
    </row>
    <row r="146" spans="1:8" x14ac:dyDescent="0.25">
      <c r="A146" s="56">
        <v>45799</v>
      </c>
      <c r="B146" t="s">
        <v>89</v>
      </c>
      <c r="C146">
        <v>0</v>
      </c>
      <c r="D146" s="74" cm="1">
        <f t="array" ref="D14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46" s="74">
        <v>0</v>
      </c>
      <c r="F14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46" s="252"/>
    </row>
    <row r="147" spans="1:8" x14ac:dyDescent="0.25">
      <c r="A147" s="56">
        <v>45800</v>
      </c>
      <c r="B147" t="s">
        <v>3</v>
      </c>
      <c r="C147">
        <v>2</v>
      </c>
      <c r="D147" s="74" cm="1">
        <f t="array" ref="D14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47" s="74">
        <v>720</v>
      </c>
      <c r="F14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  <c r="H147" s="252"/>
    </row>
    <row r="148" spans="1:8" x14ac:dyDescent="0.25">
      <c r="A148" s="56">
        <v>45800</v>
      </c>
      <c r="B148" t="s">
        <v>4</v>
      </c>
      <c r="C148">
        <v>2</v>
      </c>
      <c r="D148" s="74" cm="1">
        <f t="array" ref="D14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148" s="74">
        <v>1100</v>
      </c>
      <c r="F14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2258.4</v>
      </c>
      <c r="H148" s="252"/>
    </row>
    <row r="149" spans="1:8" x14ac:dyDescent="0.25">
      <c r="A149" s="56">
        <v>45803</v>
      </c>
      <c r="B149" t="s">
        <v>89</v>
      </c>
      <c r="C149">
        <v>0</v>
      </c>
      <c r="D149" s="74" cm="1">
        <f t="array" ref="D14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49" s="74">
        <v>0</v>
      </c>
      <c r="F14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49" s="252"/>
    </row>
    <row r="150" spans="1:8" x14ac:dyDescent="0.25">
      <c r="A150" s="56">
        <v>45804</v>
      </c>
      <c r="B150" t="s">
        <v>3</v>
      </c>
      <c r="C150">
        <v>1</v>
      </c>
      <c r="D150" s="74" cm="1">
        <f t="array" ref="D15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50" s="74">
        <v>720</v>
      </c>
      <c r="F15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50" s="252"/>
    </row>
    <row r="151" spans="1:8" x14ac:dyDescent="0.25">
      <c r="A151" s="56">
        <v>45805</v>
      </c>
      <c r="B151" t="s">
        <v>89</v>
      </c>
      <c r="C151">
        <v>0</v>
      </c>
      <c r="D151" s="74" cm="1">
        <f t="array" ref="D15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51" s="74">
        <v>0</v>
      </c>
      <c r="F15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51" s="252"/>
    </row>
    <row r="152" spans="1:8" x14ac:dyDescent="0.25">
      <c r="A152" s="56">
        <v>45806</v>
      </c>
      <c r="B152" t="s">
        <v>3</v>
      </c>
      <c r="C152">
        <v>1</v>
      </c>
      <c r="D152" s="74" cm="1">
        <f t="array" ref="D15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52" s="74">
        <v>720</v>
      </c>
      <c r="F15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  <c r="H152" s="252"/>
    </row>
    <row r="153" spans="1:8" x14ac:dyDescent="0.25">
      <c r="A153" s="56">
        <v>45807</v>
      </c>
      <c r="B153" t="s">
        <v>89</v>
      </c>
      <c r="C153">
        <v>0</v>
      </c>
      <c r="D153" s="74" cm="1">
        <f t="array" ref="D15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53" s="74">
        <v>0</v>
      </c>
      <c r="F15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53" s="252"/>
    </row>
    <row r="154" spans="1:8" x14ac:dyDescent="0.25">
      <c r="A154" s="56">
        <v>45810</v>
      </c>
      <c r="B154" t="s">
        <v>89</v>
      </c>
      <c r="C154">
        <v>0</v>
      </c>
      <c r="D154" s="74" cm="1">
        <f t="array" ref="D15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54" s="74">
        <v>0</v>
      </c>
      <c r="F15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  <c r="H154" s="252"/>
    </row>
    <row r="155" spans="1:8" x14ac:dyDescent="0.25">
      <c r="A155" s="56">
        <v>45811</v>
      </c>
      <c r="B155" t="s">
        <v>4</v>
      </c>
      <c r="C155">
        <v>1</v>
      </c>
      <c r="D155" s="74" cm="1">
        <f t="array" ref="D15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55" s="74">
        <v>1100</v>
      </c>
      <c r="F15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1129.2</v>
      </c>
    </row>
    <row r="156" spans="1:8" x14ac:dyDescent="0.25">
      <c r="A156" s="56">
        <v>45812</v>
      </c>
      <c r="B156" t="s">
        <v>4</v>
      </c>
      <c r="C156">
        <v>1</v>
      </c>
      <c r="D156" s="74" cm="1">
        <f t="array" ref="D15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56" s="74">
        <v>1250</v>
      </c>
      <c r="F15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57" spans="1:8" x14ac:dyDescent="0.25">
      <c r="A157" s="56">
        <v>45813</v>
      </c>
      <c r="B157" t="s">
        <v>3</v>
      </c>
      <c r="C157">
        <v>1</v>
      </c>
      <c r="D157" s="74" cm="1">
        <f t="array" ref="D15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57" s="74">
        <v>720</v>
      </c>
      <c r="F15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58" spans="1:8" x14ac:dyDescent="0.25">
      <c r="A158" s="56">
        <v>45814</v>
      </c>
      <c r="B158" t="s">
        <v>89</v>
      </c>
      <c r="C158">
        <v>0</v>
      </c>
      <c r="D158" s="74" cm="1">
        <f t="array" ref="D15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58" s="74">
        <v>0</v>
      </c>
      <c r="F15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59" spans="1:8" x14ac:dyDescent="0.25">
      <c r="A159" s="56">
        <v>45817</v>
      </c>
      <c r="B159" t="s">
        <v>4</v>
      </c>
      <c r="C159">
        <v>1</v>
      </c>
      <c r="D159" s="74" cm="1">
        <f t="array" ref="D15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59" s="74">
        <v>1250</v>
      </c>
      <c r="F15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60" spans="1:8" x14ac:dyDescent="0.25">
      <c r="A160" s="56">
        <v>45818</v>
      </c>
      <c r="B160" t="s">
        <v>4</v>
      </c>
      <c r="C160">
        <v>3</v>
      </c>
      <c r="D160" s="74" cm="1">
        <f t="array" ref="D16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6900</v>
      </c>
      <c r="E160" s="74">
        <v>1250</v>
      </c>
      <c r="F16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2937.6</v>
      </c>
    </row>
    <row r="161" spans="1:6" x14ac:dyDescent="0.25">
      <c r="A161" s="56">
        <v>45819</v>
      </c>
      <c r="B161" t="s">
        <v>3</v>
      </c>
      <c r="C161">
        <v>1</v>
      </c>
      <c r="D161" s="74" cm="1">
        <f t="array" ref="D16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61" s="74">
        <v>720</v>
      </c>
      <c r="F16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62" spans="1:6" x14ac:dyDescent="0.25">
      <c r="A162" s="56">
        <v>45824</v>
      </c>
      <c r="B162" t="s">
        <v>4</v>
      </c>
      <c r="C162">
        <v>1</v>
      </c>
      <c r="D162" s="74" cm="1">
        <f t="array" ref="D16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62" s="74">
        <v>1250</v>
      </c>
      <c r="F16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63" spans="1:6" x14ac:dyDescent="0.25">
      <c r="A163" s="56">
        <v>45825</v>
      </c>
      <c r="B163" t="s">
        <v>3</v>
      </c>
      <c r="C163">
        <v>1</v>
      </c>
      <c r="D163" s="74" cm="1">
        <f t="array" ref="D16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63" s="74">
        <v>720</v>
      </c>
      <c r="F16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64" spans="1:6" x14ac:dyDescent="0.25">
      <c r="A164" s="56">
        <v>45826</v>
      </c>
      <c r="B164" t="s">
        <v>3</v>
      </c>
      <c r="C164">
        <v>1</v>
      </c>
      <c r="D164" s="74" cm="1">
        <f t="array" ref="D16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64" s="74">
        <v>720</v>
      </c>
      <c r="F16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65" spans="1:6" x14ac:dyDescent="0.25">
      <c r="A165" s="56">
        <v>45826</v>
      </c>
      <c r="B165" t="s">
        <v>4</v>
      </c>
      <c r="C165">
        <v>1</v>
      </c>
      <c r="D165" s="74" cm="1">
        <f t="array" ref="D16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65" s="74">
        <v>1250</v>
      </c>
      <c r="F16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66" spans="1:6" x14ac:dyDescent="0.25">
      <c r="A166" s="56">
        <v>45827</v>
      </c>
      <c r="B166" t="s">
        <v>89</v>
      </c>
      <c r="C166">
        <v>0</v>
      </c>
      <c r="D166" s="74" cm="1">
        <f t="array" ref="D16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66" s="74">
        <v>0</v>
      </c>
      <c r="F16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67" spans="1:6" x14ac:dyDescent="0.25">
      <c r="A167" s="56">
        <v>45828</v>
      </c>
      <c r="B167" t="s">
        <v>3</v>
      </c>
      <c r="C167">
        <v>1</v>
      </c>
      <c r="D167" s="74" cm="1">
        <f t="array" ref="D16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67" s="74">
        <v>720</v>
      </c>
      <c r="F16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68" spans="1:6" x14ac:dyDescent="0.25">
      <c r="A168" s="56">
        <v>45831</v>
      </c>
      <c r="B168" t="s">
        <v>3</v>
      </c>
      <c r="C168">
        <v>1</v>
      </c>
      <c r="D168" s="74" cm="1">
        <f t="array" ref="D16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68" s="74">
        <v>720</v>
      </c>
      <c r="F16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69" spans="1:6" x14ac:dyDescent="0.25">
      <c r="A169" s="56">
        <v>45832</v>
      </c>
      <c r="B169" t="s">
        <v>89</v>
      </c>
      <c r="C169">
        <v>0</v>
      </c>
      <c r="D169" s="74" cm="1">
        <f t="array" ref="D16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69" s="74">
        <v>0</v>
      </c>
      <c r="F16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70" spans="1:6" x14ac:dyDescent="0.25">
      <c r="A170" s="56">
        <v>45833</v>
      </c>
      <c r="B170" t="s">
        <v>112</v>
      </c>
      <c r="C170">
        <v>1</v>
      </c>
      <c r="D170" s="74" cm="1">
        <f t="array" ref="D17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170" s="74">
        <v>1340</v>
      </c>
      <c r="F17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</row>
    <row r="171" spans="1:6" x14ac:dyDescent="0.25">
      <c r="A171" s="56">
        <v>45833</v>
      </c>
      <c r="B171" t="s">
        <v>4</v>
      </c>
      <c r="C171">
        <v>1</v>
      </c>
      <c r="D171" s="74" cm="1">
        <f t="array" ref="D17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71" s="74">
        <v>1250</v>
      </c>
      <c r="F17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72" spans="1:6" x14ac:dyDescent="0.25">
      <c r="A172" s="56">
        <v>45834</v>
      </c>
      <c r="B172" t="s">
        <v>89</v>
      </c>
      <c r="C172">
        <v>0</v>
      </c>
      <c r="D172" s="74" cm="1">
        <f t="array" ref="D17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72" s="74">
        <v>0</v>
      </c>
      <c r="F17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73" spans="1:6" x14ac:dyDescent="0.25">
      <c r="A173" s="56">
        <v>45835</v>
      </c>
      <c r="B173" t="s">
        <v>112</v>
      </c>
      <c r="C173">
        <v>1</v>
      </c>
      <c r="D173" s="74" cm="1">
        <f t="array" ref="D17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173" s="74">
        <v>1340</v>
      </c>
      <c r="F17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</row>
    <row r="174" spans="1:6" x14ac:dyDescent="0.25">
      <c r="A174" s="56">
        <v>45838</v>
      </c>
      <c r="B174" t="s">
        <v>89</v>
      </c>
      <c r="C174">
        <v>0</v>
      </c>
      <c r="D174" s="74" cm="1">
        <f t="array" ref="D17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74" s="74">
        <v>0</v>
      </c>
      <c r="F17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75" spans="1:6" x14ac:dyDescent="0.25">
      <c r="A175" s="56">
        <v>45839</v>
      </c>
      <c r="B175" t="s">
        <v>89</v>
      </c>
      <c r="C175">
        <v>0</v>
      </c>
      <c r="D175" s="74" cm="1">
        <f t="array" ref="D17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75" s="74">
        <v>0</v>
      </c>
      <c r="F17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76" spans="1:6" x14ac:dyDescent="0.25">
      <c r="A176" s="56">
        <v>45840</v>
      </c>
      <c r="B176" t="s">
        <v>4</v>
      </c>
      <c r="C176">
        <v>2</v>
      </c>
      <c r="D176" s="74" cm="1">
        <f t="array" ref="D17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4600</v>
      </c>
      <c r="E176" s="74">
        <v>1250</v>
      </c>
      <c r="F17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1958.4</v>
      </c>
    </row>
    <row r="177" spans="1:6" x14ac:dyDescent="0.25">
      <c r="A177" s="56">
        <v>45840</v>
      </c>
      <c r="B177" t="s">
        <v>3</v>
      </c>
      <c r="C177">
        <v>1</v>
      </c>
      <c r="D177" s="74" cm="1">
        <f t="array" ref="D17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77" s="74">
        <v>720</v>
      </c>
      <c r="F17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78" spans="1:6" x14ac:dyDescent="0.25">
      <c r="A178" s="56">
        <v>45841</v>
      </c>
      <c r="B178" t="s">
        <v>89</v>
      </c>
      <c r="C178">
        <v>0</v>
      </c>
      <c r="D178" s="74" cm="1">
        <f t="array" ref="D17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78" s="74">
        <v>0</v>
      </c>
      <c r="F17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79" spans="1:6" x14ac:dyDescent="0.25">
      <c r="A179" s="56">
        <v>45842</v>
      </c>
      <c r="B179" t="s">
        <v>4</v>
      </c>
      <c r="C179">
        <v>1</v>
      </c>
      <c r="D179" s="74" cm="1">
        <f t="array" ref="D17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79" s="74">
        <v>1250</v>
      </c>
      <c r="F17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979.2</v>
      </c>
    </row>
    <row r="180" spans="1:6" x14ac:dyDescent="0.25">
      <c r="A180" s="56">
        <v>45845</v>
      </c>
      <c r="B180" t="s">
        <v>89</v>
      </c>
      <c r="C180">
        <v>0</v>
      </c>
      <c r="D180" s="74" cm="1">
        <f t="array" ref="D18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80" s="74">
        <v>0</v>
      </c>
      <c r="F18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81" spans="1:6" x14ac:dyDescent="0.25">
      <c r="A181" s="56">
        <v>45846</v>
      </c>
      <c r="B181" t="s">
        <v>89</v>
      </c>
      <c r="C181">
        <v>0</v>
      </c>
      <c r="D181" s="74" cm="1">
        <f t="array" ref="D18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81" s="74">
        <v>0</v>
      </c>
      <c r="F18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82" spans="1:6" x14ac:dyDescent="0.25">
      <c r="A182" s="56">
        <v>45847</v>
      </c>
      <c r="B182" t="s">
        <v>3</v>
      </c>
      <c r="C182">
        <v>4</v>
      </c>
      <c r="D182" s="74" cm="1">
        <f t="array" ref="D18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8000</v>
      </c>
      <c r="E182" s="74">
        <v>720</v>
      </c>
      <c r="F18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4869.2</v>
      </c>
    </row>
    <row r="183" spans="1:6" x14ac:dyDescent="0.25">
      <c r="A183" s="56">
        <v>45848</v>
      </c>
      <c r="B183" t="s">
        <v>3</v>
      </c>
      <c r="C183">
        <v>1</v>
      </c>
      <c r="D183" s="74" cm="1">
        <f t="array" ref="D18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83" s="74">
        <v>720</v>
      </c>
      <c r="F18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84" spans="1:6" x14ac:dyDescent="0.25">
      <c r="A184" s="56">
        <v>45849</v>
      </c>
      <c r="B184" t="s">
        <v>3</v>
      </c>
      <c r="C184">
        <v>2</v>
      </c>
      <c r="D184" s="74" cm="1">
        <f t="array" ref="D18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84" s="74">
        <v>720</v>
      </c>
      <c r="F18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85" spans="1:6" x14ac:dyDescent="0.25">
      <c r="A185" s="56">
        <v>45849</v>
      </c>
      <c r="B185" t="s">
        <v>112</v>
      </c>
      <c r="C185">
        <v>1</v>
      </c>
      <c r="D185" s="74" cm="1">
        <f t="array" ref="D18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185" s="74">
        <v>1340</v>
      </c>
      <c r="F18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</row>
    <row r="186" spans="1:6" x14ac:dyDescent="0.25">
      <c r="A186" s="56">
        <v>45852</v>
      </c>
      <c r="B186" t="s">
        <v>3</v>
      </c>
      <c r="C186">
        <v>1</v>
      </c>
      <c r="D186" s="74" cm="1">
        <f t="array" ref="D18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86" s="74">
        <v>720</v>
      </c>
      <c r="F18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87" spans="1:6" x14ac:dyDescent="0.25">
      <c r="A187" s="56">
        <v>45853</v>
      </c>
      <c r="B187" t="s">
        <v>89</v>
      </c>
      <c r="C187">
        <v>0</v>
      </c>
      <c r="D187" s="74" cm="1">
        <f t="array" ref="D18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87" s="74">
        <v>0</v>
      </c>
      <c r="F18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88" spans="1:6" x14ac:dyDescent="0.25">
      <c r="A188" s="56">
        <v>45854</v>
      </c>
      <c r="B188" t="s">
        <v>3</v>
      </c>
      <c r="C188">
        <v>4</v>
      </c>
      <c r="D188" s="74" cm="1">
        <f t="array" ref="D18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8000</v>
      </c>
      <c r="E188" s="74">
        <v>720</v>
      </c>
      <c r="F18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4869.2</v>
      </c>
    </row>
    <row r="189" spans="1:6" x14ac:dyDescent="0.25">
      <c r="A189" s="56">
        <v>45855</v>
      </c>
      <c r="B189" t="s">
        <v>3</v>
      </c>
      <c r="C189">
        <v>5</v>
      </c>
      <c r="D189" s="74" cm="1">
        <f t="array" ref="D18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10000</v>
      </c>
      <c r="E189" s="74">
        <v>720</v>
      </c>
      <c r="F18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6086.5</v>
      </c>
    </row>
    <row r="190" spans="1:6" x14ac:dyDescent="0.25">
      <c r="A190" s="56">
        <v>45856</v>
      </c>
      <c r="B190" t="s">
        <v>89</v>
      </c>
      <c r="C190">
        <v>0</v>
      </c>
      <c r="D190" s="74" cm="1">
        <f t="array" ref="D19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90" s="74">
        <v>0</v>
      </c>
      <c r="F19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91" spans="1:6" x14ac:dyDescent="0.25">
      <c r="A191" s="56">
        <v>45859</v>
      </c>
      <c r="B191" t="s">
        <v>3</v>
      </c>
      <c r="C191">
        <v>1</v>
      </c>
      <c r="D191" s="74" cm="1">
        <f t="array" ref="D19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91" s="74">
        <v>720</v>
      </c>
      <c r="F19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92" spans="1:6" x14ac:dyDescent="0.25">
      <c r="A192" s="56">
        <v>45860</v>
      </c>
      <c r="B192" t="s">
        <v>89</v>
      </c>
      <c r="C192">
        <v>0</v>
      </c>
      <c r="D192" s="74" cm="1">
        <f t="array" ref="D19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92" s="74">
        <v>0</v>
      </c>
      <c r="F19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93" spans="1:6" x14ac:dyDescent="0.25">
      <c r="A193" s="56">
        <v>45861</v>
      </c>
      <c r="B193" t="s">
        <v>3</v>
      </c>
      <c r="C193">
        <v>1</v>
      </c>
      <c r="D193" s="74" cm="1">
        <f t="array" ref="D19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93" s="74">
        <v>720</v>
      </c>
      <c r="F19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94" spans="1:6" x14ac:dyDescent="0.25">
      <c r="A194" s="56">
        <v>45862</v>
      </c>
      <c r="B194" t="s">
        <v>89</v>
      </c>
      <c r="C194">
        <v>0</v>
      </c>
      <c r="D194" s="74" cm="1">
        <f t="array" ref="D19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94" s="74">
        <v>0</v>
      </c>
      <c r="F19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95" spans="1:6" x14ac:dyDescent="0.25">
      <c r="A195" s="56">
        <v>45863</v>
      </c>
      <c r="B195" t="s">
        <v>89</v>
      </c>
      <c r="C195">
        <v>0</v>
      </c>
      <c r="D195" s="74" cm="1">
        <f t="array" ref="D195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195" s="74">
        <v>0</v>
      </c>
      <c r="F19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196" spans="1:6" x14ac:dyDescent="0.25">
      <c r="A196" s="56">
        <v>45866</v>
      </c>
      <c r="B196" t="s">
        <v>4</v>
      </c>
      <c r="C196">
        <v>1</v>
      </c>
      <c r="D196" s="74" cm="1">
        <f t="array" ref="D196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96" s="74">
        <v>800</v>
      </c>
      <c r="F19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1429.2</v>
      </c>
    </row>
    <row r="197" spans="1:6" x14ac:dyDescent="0.25">
      <c r="A197" s="56">
        <v>45866</v>
      </c>
      <c r="B197" t="s">
        <v>3</v>
      </c>
      <c r="C197">
        <v>1</v>
      </c>
      <c r="D197" s="74" cm="1">
        <f t="array" ref="D197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197" s="74">
        <v>720</v>
      </c>
      <c r="F19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198" spans="1:6" x14ac:dyDescent="0.25">
      <c r="A198" s="56">
        <v>45867</v>
      </c>
      <c r="B198" t="s">
        <v>3</v>
      </c>
      <c r="C198">
        <v>2</v>
      </c>
      <c r="D198" s="74" cm="1">
        <f t="array" ref="D198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4000</v>
      </c>
      <c r="E198" s="74">
        <v>720</v>
      </c>
      <c r="F198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2434.6</v>
      </c>
    </row>
    <row r="199" spans="1:6" x14ac:dyDescent="0.25">
      <c r="A199" s="56">
        <v>45868</v>
      </c>
      <c r="B199" t="s">
        <v>4</v>
      </c>
      <c r="C199">
        <v>1</v>
      </c>
      <c r="D199" s="74" cm="1">
        <f t="array" ref="D199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2300</v>
      </c>
      <c r="E199" s="74">
        <v>800</v>
      </c>
      <c r="F199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1429.2</v>
      </c>
    </row>
    <row r="200" spans="1:6" x14ac:dyDescent="0.25">
      <c r="A200" s="56">
        <v>45868</v>
      </c>
      <c r="B200" t="s">
        <v>112</v>
      </c>
      <c r="C200">
        <v>1</v>
      </c>
      <c r="D200" s="74" cm="1">
        <f t="array" ref="D200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2670</v>
      </c>
      <c r="E200" s="74">
        <v>1340</v>
      </c>
      <c r="F200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1249.2099999999998</v>
      </c>
    </row>
    <row r="201" spans="1:6" x14ac:dyDescent="0.25">
      <c r="A201" s="56">
        <v>45869</v>
      </c>
      <c r="B201" t="s">
        <v>89</v>
      </c>
      <c r="C201">
        <v>0</v>
      </c>
      <c r="D201" s="74" cm="1">
        <f t="array" ref="D201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201" s="74">
        <v>0</v>
      </c>
      <c r="F201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202" spans="1:6" x14ac:dyDescent="0.25">
      <c r="A202" s="56">
        <v>45870</v>
      </c>
      <c r="B202" t="s">
        <v>3</v>
      </c>
      <c r="C202">
        <v>1</v>
      </c>
      <c r="D202" s="74" cm="1">
        <f t="array" ref="D202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202" s="74">
        <v>720</v>
      </c>
      <c r="F202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203" spans="1:6" x14ac:dyDescent="0.25">
      <c r="A203" s="56">
        <v>45873</v>
      </c>
      <c r="B203" t="s">
        <v>3</v>
      </c>
      <c r="C203">
        <v>1</v>
      </c>
      <c r="D203" s="74" cm="1">
        <f t="array" ref="D203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2000</v>
      </c>
      <c r="E203" s="74">
        <v>720</v>
      </c>
      <c r="F203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204" spans="1:6" x14ac:dyDescent="0.25">
      <c r="A204" s="56">
        <v>45874</v>
      </c>
      <c r="B204" t="s">
        <v>89</v>
      </c>
      <c r="C204">
        <v>0</v>
      </c>
      <c r="D204" s="74" cm="1">
        <f t="array" ref="D204">IFERROR(_xlfn.IFS(Продажи_Сызр[[#This Row],[Товар]]=$E$2,Продажи_Сызр[[#This Row],[Кол-во]]*2000,Продажи_Сызр[[#This Row],[Товар]]=$E$3,Продажи_Сызр[[#This Row],[Кол-во]]*2300,Продажи_Сызр[[#This Row],[Товар]]=$E$4,Продажи_Сызр[[#This Row],[Кол-во]]*2670),0)</f>
        <v>0</v>
      </c>
      <c r="E204" s="74">
        <v>0</v>
      </c>
      <c r="F204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0</v>
      </c>
    </row>
    <row r="205" spans="1:6" x14ac:dyDescent="0.25">
      <c r="A205" s="56">
        <v>45875</v>
      </c>
      <c r="B205" t="s">
        <v>3</v>
      </c>
      <c r="C205">
        <v>3</v>
      </c>
      <c r="D205" s="74" cm="1">
        <f t="array" ref="D205">IFERROR(_xlfn.IFS(Продажи_Сызр[[#This Row],[Товар]]="Есмарт",Продажи_Сызр[[#This Row],[Кол-во]]*2000,Продажи_Сызр[[#This Row],[Товар]]="Рутокен",Продажи_Сызр[[#This Row],[Кол-во]]*2300,Продажи_Сызр[[#This Row],[Товар]]="Есмарт Гост",Продажи_Сызр[[#This Row],[Кол-во]]*2500),0)</f>
        <v>6000</v>
      </c>
      <c r="E205" s="74">
        <v>720</v>
      </c>
      <c r="F205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3651.9</v>
      </c>
    </row>
    <row r="206" spans="1:6" x14ac:dyDescent="0.25">
      <c r="A206" s="56">
        <v>45876</v>
      </c>
      <c r="B206" t="s">
        <v>3</v>
      </c>
      <c r="C206">
        <v>1</v>
      </c>
      <c r="D206" s="74" cm="1">
        <f t="array" ref="D206">IFERROR(_xlfn.IFS(Продажи_Сызр[[#This Row],[Товар]]="Есмарт",Продажи_Сызр[[#This Row],[Кол-во]]*2000,Продажи_Сызр[[#This Row],[Товар]]="Рутокен",Продажи_Сызр[[#This Row],[Кол-во]]*2300,Продажи_Сызр[[#This Row],[Товар]]="Есмарт Гост",Продажи_Сызр[[#This Row],[Кол-во]]*2500),0)</f>
        <v>2000</v>
      </c>
      <c r="E206" s="74">
        <v>720</v>
      </c>
      <c r="F206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  <row r="207" spans="1:6" x14ac:dyDescent="0.25">
      <c r="A207" s="56">
        <v>45877</v>
      </c>
      <c r="B207" t="s">
        <v>3</v>
      </c>
      <c r="C207">
        <v>1</v>
      </c>
      <c r="D207" s="74" cm="1">
        <f t="array" ref="D207">IFERROR(_xlfn.IFS(Продажи_Сызр[[#This Row],[Товар]]="Есмарт",Продажи_Сызр[[#This Row],[Кол-во]]*2000,Продажи_Сызр[[#This Row],[Товар]]="Рутокен",Продажи_Сызр[[#This Row],[Кол-во]]*2300,Продажи_Сызр[[#This Row],[Товар]]="Есмарт Гост",Продажи_Сызр[[#This Row],[Кол-во]]*2500),0)</f>
        <v>2000</v>
      </c>
      <c r="E207" s="74">
        <v>720</v>
      </c>
      <c r="F207" s="74">
        <f>Продажи_Сызр[[#This Row],[Выручка]]-Продажи_Сызр[[#This Row],[Выручка]]*$Q$3-Продажи_Сызр[[#This Row],[Закупка 1шт]]*Продажи_Сызр[[#This Row],[Кол-во]]-Продажи_Сызр[[#This Row],[Кол-во]]*8.7</f>
        <v>1217.3</v>
      </c>
    </row>
  </sheetData>
  <conditionalFormatting sqref="A30:F207">
    <cfRule type="expression" dxfId="3" priority="19">
      <formula>MONTH($A30)&lt;&gt;MONTH($A31)</formula>
    </cfRule>
  </conditionalFormatting>
  <conditionalFormatting sqref="B30:F207">
    <cfRule type="expression" dxfId="2" priority="9">
      <formula>$B30="Есмарт АРМ"</formula>
    </cfRule>
    <cfRule type="expression" dxfId="1" priority="17">
      <formula>$B30="Есмарт"</formula>
    </cfRule>
    <cfRule type="expression" dxfId="0" priority="18">
      <formula>$B30="Рутокен"</formula>
    </cfRule>
  </conditionalFormatting>
  <dataValidations count="1">
    <dataValidation type="list" allowBlank="1" showInputMessage="1" showErrorMessage="1" sqref="B30:B207" xr:uid="{692DA78D-DED4-4721-8F6A-BA6E54482CC7}">
      <formula1>"-,Есмарт,Рутокен,Есмарт АРМ"</formula1>
    </dataValidation>
  </dataValidations>
  <pageMargins left="0.7" right="0.7" top="0.75" bottom="0.75" header="0.3" footer="0.3"/>
  <pageSetup paperSize="9" orientation="portrait" verticalDpi="0" r:id="rId1"/>
  <ignoredErrors>
    <ignoredError sqref="D30:D32" calculatedColumn="1"/>
  </ignoredErrors>
  <legacy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��1I0O ?@81K;L ?> 4=O<1I55 :>;-2> ?> 4=O< 4;O A2>4=>9
</file>

<file path=customXml/item2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20:01I85 ?@>40681I85 ?@>40681I0O ?> A<0@B >20:1I0O ?> A<0@B >20:1I0O ?>  CB>:5= >20:1I0O ?>  CB>:5= >20:1I55 A<0@B   ?> >20:C1I55 A<0@B   ?> >20:CA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!K7@!@54=55 ?> 4=O< 0A5:!@54=55 ?> 4=O< 0A5:
</file>

<file path=customXml/item3.xml>��
</file>

<file path=customXml/item4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20:01I85 ?@>40681I85 ?@>40681I0O ?> A<0@B >20:1I0O ?> A<0@B >20:1I0O ?>  CB>:5= >20:1I0O ?>  CB>:5= >20:1I55 A<0@B   ?> >20:C1I55 A<0@B   ?> >20:CA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!K7@!@54=55 ?> 4=O< 0A5:!@54=55 ?> 4=O< 0A5:
</file>

<file path=customXml/item5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20:01I85 ?@>40681I85 ?@>40681I0O ?> A<0@B >20:1I0O ?> A<0@B >20:1I0O ?>  CB>:5= >20:1I0O ?>  CB>:5= >20:1I55 A<0@B   ?> >20:C1I55 A<0@B   ?> >20:CA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0A5:!@54=55 ?> 4=O< 0A5: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
</file>

<file path=customXml/item6.xml>��1I55 :>;-2> ?> 4=O< 4;O A2>4=>91I55 :>;-2> ?> 4=O< 4;O A2>4=>90B00720=85 <5AOF0545;O !A<0@B_>20: CB>:5=_>20:A<0@B  _>20:A<0@B_0A5: CB>:5=_0A5:A<0@B  _0A5:A<0@B_">; CB>:5=_">;A<0@B  _">;A<0@B_8GC CB>:5=_8GCA<0@B  _8GCA<0@B_!K7@ CB>:5=_!K7@A<0@B  _!K7@5=L =545;8><5@ 545;81I55 :>;-2> ?> 4=O<1I55 :>;-2> ?> 4=O<0720=85 <5AOF0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:5=_!K7@0=L1I55 :>;-2> ?> 4=O<1I55 :>;-2> ?> 4=O<0720=85 <5AOF0! =545;8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:5=_!K7@0=L1I0O ?@81K;L ?> 4=O<1I0O ?@81K;L ?> 4=O<0B00720=85 <5AOF0545;O !A<0@B_>20: CB>:5=_>20:A<0@B  _>20:A<0@B_0A5: CB>:5=_0A5:A<0@B  _0A5:A<0@B_">; CB>:5=_">;A<0@B  _">;A<0@B_8GC CB>:5=_8GCA<0@B  _8GCA<0@B_!K7@ CB>:5=_!K7@A<0@B  _!K7@><5@ =545;8
</file>

<file path=customXml/item7.xml>��1I55 :>;-2> ?> 4=O<1I55 :>;-2> ?> 4=O<!C<<0 ?> AB>;1FC  CB>:5=_>20:!C<<0 ?> AB>;1FC  CB>:5=_>20:$>@<C;0!C<<0 ?> AB>;1FC  CB>:5=_>20:=0G5=85A<0@BK 157 >20:0A<0@BK 157 >20:0$>@<C;0A<0@BK 157 >20:0=0G5=85 CB>:5=K 157 >20:0 CB>:5=K 157 >20:0$>@<C;0 CB>:5=K 157 >20:0=0G5=851I55 157 >20:01I55 157 >20:0$>@<C;01I55 157 >20:0=0G5=85!@54=55 A<0@B 157 >20:0!@54=55 A<0@B 157 >20:0$>@<C;0!@54=55 A<0@B 157 >20:0=0G5=85!@54=55  CB>:5= 157 >20:0!@54=55  CB>:5= 157 >20:0$>@<C;0!@54=55  CB>:5= 157 >20:0=0G5=85!@54=55 157 >20:0!@54=55 157 >20:0$>@<C;0!@54=55 157 >20:0=0G5=850720=85 <5AOF0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:5=_!K7@0=L!C<<0 ?> AB>;1FC  CB>:5=_>20: CB>:5=_>20:!C<<0 ?> AB>;1FC  CB>:5=_>20: CB>:5=_>20:!C<<0 ?> AB>;1FC  CB>:5=_>20: CB>:5=_>20:!C<<0 ?> AB>;1FC  CB>:5=_>20:!C<<0 ?> AB>;1FC  CB>:5=_>20:$>@<C;0!C<<0 ?> AB>;1FC  CB>:5=_>20:=0G5=85A<0@BK 157 >20:0A<0@BK 157 >20:0$>@<C;0A<0@BK 157 >20:0=0G5=85 CB>:5=K 157 >20:0 CB>:5=K 157 >20:0$>@<C;0 CB>:5=K 157 >20:0=0G5=851I55 157 >20:01I55 157 >20:0$>@<C;01I55 157 >20:0=0G5=85!@54=55 A<0@B 157 >20:0!@54=55 A<0@B 157 >20:0$>@<C;0!@54=55 A<0@B 157 >20:0=0G5=85!@54=55  CB>:5= 157 >20:0!@54=55  CB>:5= 157 >20:0$>@<C;0!@54=55  CB>:5= 157 >20:0=0G5=85!@54=55 157 >20:0!@54=55 157 >20:0$>@<C;0!@54=55 157 >20:0=0G5=850720=85 <5AOF0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:5=_!K7@0=L!C<<0 ?> AB>;1FC  CB>:5=_>20: CB>:5=_>20:!C<<0 ?> AB>;1FC  CB>:5=_>20: CB>:5=_>20:!C<<0 ?> AB>;1FC  CB>:5=_>20: CB>:5=_>20:1I0O ?@81K;L ?> 4=O<1I55 :>;-2> ?> 4=O< 4;O A2>4=>91I0O ?@81K;L ?> 4=O<1I0O ?@81K;L ?> 4=O<0B01I0O ?@81K;L ?> 4=O<! 545;81I0O ?@81K;L ?> 4=O<0720=85 <5AOF01I0O ?@81K;L ?> 4=O<A<0@B_>20:1I0O ?@81K;L ?> 4=O< CB>:5=_>20:1I0O ?@81K;L ?> 4=O<A<0@B_0A5:8=01I0O ?@81K;L ?> 4=O< CB>:5=_0A5:8=01I0O ?@81K;L ?> 4=O<A<0@B_">;LOBB81I0O ?@81K;L ?> 4=O< CB>:5=_">;LOBB81I0O ?@81K;L ?> 4=O<A<0@B_8GC@8=01I0O ?@81K;L ?> 4=O< CB>:5=_8GC@8=01I0O ?@81K;L ?> 4=O<A<0@B_!K7@0=L1I0O ?@81K;L ?> 4=O< CB>:5=_!K7@0=L1I0O ?@81K;L ?> 4=O<1H0O ?> A<0@B >20:1I0O ?@81K;L ?> 4=O<1H0O ?>  CB>:5= >20:1I0O ?@81K;L ?> 4=O<1I0O ?@81K;L >20:1I0O ?@81K;L ?> 4=O<1I0O ?> A<0@B 157 >20:01I0O ?@81K;L ?> 4=O<1I0O ?>  CB>:5= 157 >20:01I0O ?@81K;L ?> 4=O<1I0O 157 >20:01I0O ?@81K;L ?> 4=O<!C<<0 ?> AB>;1FC A<0@B_>20:1I0O ?@81K;L ?> 4=O<\!C<<0 ?> AB>;1FC A<0@B_>20:5O2=0O <5@01I0O ?@81K;L ?> 4=O<!C<<0 ?> AB>;1FC  CB>:5=_>20:1I0O ?@81K;L ?> 4=O<\!C<<0 ?> AB>;1FC  CB>:5=_>20:5O2=0O <5@01I0O ?@81K;L ?> 4=O<\!C<<0 ?> AB>;1FC A<0@B_0A5:8=05O2=0O <5@01I0O ?@81K;L ?> 4=O<\!C<<0 ?> AB>;1FC  CB>:5=_0A5:8=05O2=0O <5@01I0O ?@81K;L ?> 4=O<\!C<<0 ?> AB>;1FC A<0@B_">;LOBB85O2=0O <5@01I0O ?@81K;L ?> 4=O<\!C<<0 ?> AB>;1FC  CB>:5=_">;LOBB85O2=0O <5@01I0O ?@81K;L ?> 4=O<\!C<<0 ?> AB>;1FC A<0@B_8GC@8=05O2=0O <5@01I0O ?@81K;L ?> 4=O<\!C<<0 ?> AB>;1FC  CB>:5=_8GC@8=05O2=0O <5@01I0O ?@81K;L ?> 4=O<\!C<<0 ?> AB>;1FC A<0@B_!K7@0=L5O2=0O <5@01I0O ?@81K;L ?> 4=O<\!C<<0 ?> AB>;1FC  CB>:5=_!K7@0=L5O2=0O <5@01I0O ?@81K;L ?> 4=O<!@54=55 ?> AB>;1FC A<0@B_>20:1I0O ?@81K;L ?> 4=O<\!@54=55 ?> AB>;1FC A<0@B_>20:5O2=0O <5@01I55 :>;-2> ?> 4=O< 4;O A2>4=>91I55 :>;-2> ?> 4=O< 4;O A2>4=>90720=85 <5AOF01I55 :>;-2> ?> 4=O< 4;O A2>4=>9! =545;81I55 :>;-2> ?> 4=O< 4;O A2>4=>90B01I55 :>;-2> ?> 4=O< 4;O A2>4=>9A<0@B_>20:1I55 :>;-2> ?> 4=O< 4;O A2>4=>9 CB>:5=_>20:1I55 :>;-2> ?> 4=O< 4;O A2>4=>9A<0@B_0A5:8=01I55 :>;-2> ?> 4=O< 4;O A2>4=>9 CB>:5=_0A5:8=01I55 :>;-2> ?> 4=O< 4;O A2>4=>9A<0@B_">;LOBB81I55 :>;-2> ?> 4=O< 4;O A2>4=>9 CB>:5=_">;LOBB81I55 :>;-2> ?> 4=O< 4;O A2>4=>9A<0@B_8GC@8=01I55 :>;-2> ?> 4=O< 4;O A2>4=>9 CB>:5=_8GC@8=01I55 :>;-2> ?> 4=O< 4;O A2>4=>9A<0@B_!K7@0=L1I55 :>;-2> ?> 4=O< 4;O A2>4=>9 CB>:5=_!K7@0=L1I55 :>;-2> ?> 4=O< 4;O A2>4=>9!C<<0 ?> AB>;1FC A<0@B_>20:1I55 :>;-2> ?> 4=O< 4;O A2>4=>9\!C<<0 ?> AB>;1FC A<0@B_>20:5O2=0O <5@01I55 :>;-2> ?> 4=O< 4;O A2>4=>9!C<<0 ?> AB>;1FC  CB>:5=_>20:1I55 :>;-2> ?> 4=O< 4;O A2>4=>9\!C<<0 ?> AB>;1FC  CB>:5=_>20:5O2=0O <5@01I55 :>;-2> ?> 4=O< 4;O A2>4=>9!C<<0 ?> AB>;1FC A<0@B_0A5:8=01I55 :>;-2> ?> 4=O< 4;O A2>4=>9\!C<<0 ?> AB>;1FC A<0@B_0A5:8=05O2=0O <5@01I55 :>;-2> ?> 4=O< 4;O A2>4=>9!C<<0 ?> AB>;1FC  CB>:5=_0A5:8=01I55 :>;-2> ?> 4=O< 4;O A2>4=>9\!C<<0 ?> AB>;1FC  CB>:5=_0A5:8=05O2=0O <5@01I55 :>;-2> ?> 4=O< 4;O A2>4=>9!C<<0 ?> AB>;1FC A<0@B_">;LOBB81I55 :>;-2> ?> 4=O< 4;O A2>4=>9\!C<<0 ?> AB>;1FC A<0@B_">;LOBB85O2=0O <5@01I55 :>;-2> ?> 4=O< 4;O A2>4=>9!C<<0 ?> AB>;1FC  CB>:5=_">;LOBB81I55 :>;-2> ?> 4=O< 4;O A2>4=>9\!C<<0 ?> AB>;1FC  CB>:5=_">;LOBB85O2=0O <5@01I55 :>;-2> ?> 4=O< 4;O A2>4=>9!C<<0 ?> AB>;1FC A<0@B_8GC@8=01I55 :>;-2> ?> 4=O< 4;O A2>4=>9\!C<<0 ?> AB>;1FC A<0@B_8GC@8=05O2=0O <5@01I55 :>;-2> ?> 4=O< 4;O A2>4=>9!C<<0 ?> AB>;1FC  CB>:5=_8GC@8=01I55 :>;-2> ?> 4=O< 4;O A2>4=>9\!C<<0 ?> AB>;1FC  CB>:5=_8GC@8=05O2=0O <5@01I55 :>;-2> ?> 4=O< 4;O A2>4=>9!C<<0 ?> AB>;1FC A<0@B_!K7@0=L1I55 :>;-2> ?> 4=O< 4;O A2>4=>9\!C<<0 ?> AB>;1FC A<0@B_!K7@0=L5O2=0O <5@01I55 :>;-2> ?> 4=O< 4;O A2>4=>9!C<<0 ?> AB>;1FC  CB>:5=_!K7@0=L1I55 :>;-2> ?> 4=O< 4;O A2>4=>9\!C<<0 ?> AB>;1FC  CB>:5=_!K7@0=L5O2=0O <5@01I55 :>;-2> ?> 4=O< 4;O A2>4=>90B01I0O ?@81K;L ?> 4=O<0B01I55 :>;-2> ?> 4=O< 4;O A2>4=>90B01I0O ?@81K;L ?> 4=O<0B01I55 :>;-2> ?> 4=O< 4;O A2>4=>90B01I0O ?@81K;L ?> 4=O<0B01I55 :>;-2> ?> 4=O< 4;O A2>4=>90B01I0O ?@81K;L ?> 4=O<0B01I0O ?@81K;L ?> 4=O<!C<<0 ?> AB>;1FC A<0@B_0A5:1I0O ?@81K;L ?> 4=O<1I0O ?> A<0@B 0A51I0O ?@81K;L ?> 4=O<1I0O ?>  CB>:5= 0A5:1I0O ?@81K;L ?> 4=O<1I0O ?> 0A5:1I0O ?@81K;L ?> 4=O<1I0O ?> A<0@B ">;1I0O ?@81K;L ?> 4=O<1I0O ?>  CB>:5= ">;1I0O ?@81K;L ?> 4=O<1I0O ?> ">;1I0O ?@81K;L ?> 4=O<1I0O ?> A<0@B 8GC1I0O ?@81K;L ?> 4=O<1I0O ?>  CB>:5= 8GC1I0O ?@81K;L ?> 4=O<1I0O ?> 8GC1I0O ?@81K;L ?> 4=O<1I0O ?> A<0@B !K7@1I0O ?@81K;L ?> 4=O<1I0O ?>  CB>:5= !K7@1I0O ?@81K;L ?> 4=O<1I0O ?> !K7@1I55 :>;-2> ?> 4=O< 4;O A2>4=>90B01I0O ?@81K;L ?> 4=O<0B01I0O ?@81K;L ?> 4=O<1I55 :>;-2> ?> 4=O< 4;O A2>4=>91I0O ?@81K;L ?> 4=O<1I0O ?@81K;L ?> 4=O<0B01I0O ?@81K;L ?> 4=O<! 545;81I0O ?@81K;L ?> 4=O<0720=85 <5AOF01I0O ?@81K;L ?> 4=O<A<0@B_>20:1I0O ?@81K;L ?> 4=O< CB>:5=_>20:1I0O ?@81K;L ?> 4=O<A<0@B_0A5:8=01I0O ?@81K;L ?> 4=O< CB>:5=_0A5:8=01I0O ?@81K;L ?> 4=O<A<0@B_">;LOBB81I0O ?@81K;L ?> 4=O< CB>:5=_">;LOBB81I0O ?@81K;L ?> 4=O<A<0@B_8GC@8=01I0O ?@81K;L ?> 4=O< CB>:5=_8GC@8=01I0O ?@81K;L ?> 4=O<A<0@B_!K7@0=L1I0O ?@81K;L ?> 4=O< CB>:5=_!K7@0=L1I0O ?@81K;L ?> 4=O<1H0O ?> A<0@B >20:1I0O ?@81K;L ?> 4=O<1H0O ?>  CB>:5= >20:1I0O ?@81K;L ?> 4=O<1I0O ?@81K;L >20:1I0O ?@81K;L ?> 4=O<1I0O ?>  CB>:5= 0A5:1I0O ?@81K;L ?> 4=O<1I0O ?> 0A5:1I0O ?@81K;L ?> 4=O<1I0O ?> A<0@B ">;1I0O ?@81K;L ?> 4=O<1I0O ?>  CB>:5= ">;1I0O ?@81K;L ?> 4=O<1I0O ?> ">;1I0O ?@81K;L ?> 4=O<1I0O ?> A<0@B 8GC1I0O ?@81K;L ?> 4=O<1I0O ?>  CB>:5= 8GC1I0O ?@81K;L ?> 4=O<1I0O ?> 8GC1I0O ?@81K;L ?> 4=O<1I0O ?> A<0@B !K7@1I0O ?@81K;L ?> 4=O<1I0O ?>  CB>:5= !K7@1I0O ?@81K;L ?> 4=O<1I0O ?> !K7@1I0O ?@81K;L ?> 4=O<1I0O ?> A<0@B 157 >20:01I0O ?@81K;L ?> 4=O<1I0O ?>  CB>:5= 157 >20:01I0O ?@81K;L ?> 4=O<1I0O 157 >20:01I0O ?@81K;L ?> 4=O<!C<<0 ?> AB>;1FC A<0@B_>20:1I0O ?@81K;L ?> 4=O<\!C<<0 ?> AB>;1FC A<0@B_>20:5O2=0O <5@01I0O ?@81K;L ?> 4=O<!C<<0 ?> AB>;1FC  CB>:5=_>20:1I0O ?@81K;L ?> 4=O<\!C<<0 ?> AB>;1FC  CB>:5=_>20:5O2=0O <5@01I0O ?@81K;L ?> 4=O<\!C<<0 ?> AB>;1FC A<0@B_0A5:8=05O2=0O <5@01I0O ?@81K;L ?> 4=O<\!C<<0 ?> AB>;1FC  CB>:5=_0A5:8=05O2=0O <5@01I0O ?@81K;L ?> 4=O<\!C<<0 ?> AB>;1FC A<0@B_">;LOBB85O2=0O <5@01I0O ?@81K;L ?> 4=O<\!C<<0 ?> AB>;1FC  CB>:5=_">;LOBB85O2=0O <5@01I0O ?@81K;L ?> 4=O<\!C<<0 ?> AB>;1FC A<0@B_8GC@8=05O2=0O <5@01I0O ?@81K;L ?> 4=O<\!C<<0 ?> AB>;1FC  CB>:5=_8GC@8=05O2=0O <5@01I0O ?@81K;L ?> 4=O<\!C<<0 ?> AB>;1FC A<0@B_!K7@0=L5O2=0O <5@01I0O ?@81K;L ?> 4=O<\!C<<0 ?> AB>;1FC  CB>:5=_!K7@0=L5O2=0O <5@01I0O ?@81K;L ?> 4=O<!@54=55 ?> AB>;1FC A<0@B_>20:1I0O ?@81K;L ?> 4=O<\!@54=55 ?> AB>;1FC A<0@B_>20:5O2=0O <5@01I55 :>;-2> ?> 4=O< 4;O A2>4=>91I55 :>;-2> ?> 4=O< 4;O A2>4=>90720=85 <5AOF01I55 :>;-2> ?> 4=O< 4;O A2>4=>9! =545;81I55 :>;-2> ?> 4=O< 4;O A2>4=>90B01I55 :>;-2> ?> 4=O< 4;O A2>4=>9A<0@B_>20:1I55 :>;-2> ?> 4=O< 4;O A2>4=>9 CB>:5=_>20:1I55 :>;-2> ?> 4=O< 4;O A2>4=>9A<0@B_0A5:8=01I55 :>;-2> ?> 4=O< 4;O A2>4=>9 CB>:5=_0A5:8=01I55 :>;-2> ?> 4=O< 4;O A2>4=>9A<0@B_">;LOBB81I55 :>;-2> ?> 4=O< 4;O A2>4=>9 CB>:5=_">;LOBB81I55 :>;-2> ?> 4=O< 4;O A2>4=>9A<0@B_8GC@8=01I55 :>;-2> ?> 4=O< 4;O A2>4=>9 CB>:5=_8GC@8=01I55 :>;-2> ?> 4=O< 4;O A2>4=>9A<0@B_!K7@0=L1I55 :>;-2> ?> 4=O< 4;O A2>4=>9 CB>:5=_!K7@0=L1I55 :>;-2> ?> 4=O< 4;O A2>4=>9!C<<0 ?> AB>;1FC A<0@B_>20:1I55 :>;-2> ?> 4=O< 4;O A2>4=>9\!C<<0 ?> AB>;1FC A<0@B_>20:5O2=0O <5@01I55 :>;-2> ?> 4=O< 4;O A2>4=>9!C<<0 ?> AB>;1FC  CB>:5=_>20:1I55 :>;-2> ?> 4=O< 4;O A2>4=>9\!C<<0 ?> AB>;1FC  CB>:5=_>20:5O2=0O <5@01I55 :>;-2> ?> 4=O< 4;O A2>4=>9!C<<0 ?> AB>;1FC A<0@B_0A5:8=01I55 :>;-2> ?> 4=O< 4;O A2>4=>9\!C<<0 ?> AB>;1FC A<0@B_0A5:8=05O2=0O <5@01I55 :>;-2> ?> 4=O< 4;O A2>4=>9!C<<0 ?> AB>;1FC  CB>:5=_0A5:8=01I55 :>;-2> ?> 4=O< 4;O A2>4=>9\!C<<0 ?> AB>;1FC  CB>:5=_0A5:8=05O2=0O <5@01I55 :>;-2> ?> 4=O< 4;O A2>4=>9!C<<0 ?> AB>;1FC A<0@B_">;LOBB81I55 :>;-2> ?> 4=O< 4;O A2>4=>9\!C<<0 ?> AB>;1FC A<0@B_">;LOBB85O2=0O <5@01I55 :>;-2> ?> 4=O< 4;O A2>4=>9!C<<0 ?> AB>;1FC  CB>:5=_">;LOBB81I55 :>;-2> ?> 4=O< 4;O A2>4=>9\!C<<0 ?> AB>;1FC  CB>:5=_">;LOBB85O2=0O <5@01I55 :>;-2> ?> 4=O< 4;O A2>4=>9!C<<0 ?> AB>;1FC A<0@B_8GC@8=01I55 :>;-2> ?> 4=O< 4;O A2>4=>9\!C<<0 ?> AB>;1FC A<0@B_8GC@8=05O2=0O <5@01I55 :>;-2> ?> 4=O< 4;O A2>4=>9!C<<0 ?> AB>;1FC  CB>:5=_8GC@8=01I55 :>;-2> ?> 4=O< 4;O A2>4=>9\!C<<0 ?> AB>;1FC  CB>:5=_8GC@8=05O2=0O <5@01I55 :>;-2> ?> 4=O< 4;O A2>4=>9!C<<0 ?> AB>;1FC A<0@B_!K7@0=L1I55 :>;-2> ?> 4=O< 4;O A2>4=>9\!C<<0 ?> AB>;1FC A<0@B_!K7@0=L5O2=0O <5@01I55 :>;-2> ?> 4=O< 4;O A2>4=>9!C<<0 ?> AB>;1FC  CB>:5=_!K7@0=L1I55 :>;-2> ?> 4=O< 4;O A2>4=>9\!C<<0 ?> AB>;1FC  CB>:5=_!K7@0=L5O2=0O <5@01I55 :>;-2> ?> 4=O< 4;O A2>4=>90B01I0O ?@81K;L ?> 4=O<0B0>=5G=0O B>G:0>=5G=0O B>G:01I55 :>;-2> ?> 4=O< 4;O A2>4=>90B01I0O ?@81K;L ?> 4=O<0B01I55 :>;-2> ?> 4=O< 4;O A2>4=>90B01I0O ?@81K;L ?> 4=O<0B01I55 :>;-2> ?> 4=O< 4;O A2>4=>90B01I0O ?@81K;L ?> 4=O<0B01I0O ?@81K;L ?> 4=O<!C<<0 ?> AB>;1FC A<0@B_0A5:1I0O ?@81K;L ?> 4=O<1I0O ?> A<0@B 0A51I55 :>;-2> ?> 4=O<1I55 :>;-2> ?> 4=O<0720=85 <5AOF0! =545;8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:5=_!K7@0=L0720=85 <5AOF0! =545;8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:5=_!K7@0=L1I55 :>;-2> ?> 4=O< 4;O A2>4=>91I55 :>;-2> ?> 4=O< 4;O A2>4=>9!C<<0 ?> AB>;1FC A<0@B_>20:!C<<0 ?> AB>;1FC A<0@B_>20:$>@<C;0!C<<0 ?> AB>;1FC A<0@B_>20:=0G5=85!C<<0 ?> AB>;1FC  CB>:5=_>20:!C<<0 ?> AB>;1FC  CB>:5=_>20:$>@<C;0!C<<0 ?> AB>;1FC  CB>:5=_>20:=0G5=85!<5I5==0O 48A?5@A8O  CB>:5=_>20:!<5I5==0O 48A?5@A8O  CB>:5=_>20:$>@<C;0!<5I5==0O 48A?5@A8O  CB>:5=_>20:=0G5=85!@54=55 ?> AB>;1FC A<0@B_>20:!@54=55 ?> AB>;1FC A<0@B_>20:$>@<C;0!@54=55 ?> AB>;1FC A<0@B_>20:=0G5=85!@54=55 ?> AB>;1FC  CB>:5=_>20:!@54=55 ?> AB>;1FC  CB>:5=_>20:$>@<C;0!@54=55 ?> AB>;1FC  CB>:5=_>20:=0G5=85'8A;> M;5<5=B>2 2 AB>;1F5 A<0@B  _>20:'8A;> M;5<5=B>2 2 AB>;1F5 A<0@B  _>20:$>@<C;0'8A;> M;5<5=B>2 2 AB>;1F5 A<0@B  _>20:=0G5=85!C<<0 ?> AB>;1FC A<0@B  _>20:!C<<0 ?> AB>;1FC A<0@B  _>20:$>@<C;0!C<<0 ?> AB>;1FC A<0@B  _>20:=0G5=85!@54=55 ?> AB>;1FC A<0@B  _>20:!@54=55 ?> AB>;1FC A<0@B  _>20:$>@<C;0!@54=55 ?> AB>;1FC A<0@B  _>20:=0G5=85!C<<0 ?> AB>;1FC A<0@B_0A5:!C<<0 ?> AB>;1FC A<0@B_0A5:$>@<C;0!C<<0 ?> AB>;1FC A<0@B_0A5:=0G5=85!C<<0 ?> AB>;1FC  CB>:5=_0A5:!C<<0 ?> AB>;1FC  CB>:5=_0A5:$>@<C;0!C<<0 ?> AB>;1FC  CB>:5=_0A5:=0G5=85!C<<0 ?> AB>;1FC A<0@B  _0A5:!C<<0 ?> AB>;1FC A<0@B  _0A5:$>@<C;0!C<<0 ?> AB>;1FC A<0@B  _0A5:=0G5=85!C<<0 ?> AB>;1FC A<0@B_">;!C<<0 ?> AB>;1FC A<0@B_">;$>@<C;0!C<<0 ?> AB>;1FC A<0@B_">;=0G5=85!C<<0 ?> AB>;1FC  CB>:5=_">;!C<<0 ?> AB>;1FC  CB>:5=_">;$>@<C;0!C<<0 ?> AB>;1FC  CB>:5=_">;=0G5=85!C<<0 ?> AB>;1FC A<0@B  _">;!C<<0 ?> AB>;1FC A<0@B  _">;$>@<C;0!C<<0 ?> AB>;1FC A<0@B  _">;=0G5=85!C<<0 ?> AB>;1FC A<0@B_8GC!C<<0 ?> AB>;1FC A<0@B_8GC$>@<C;0!C<<0 ?> AB>;1FC A<0@B_8GC=0G5=85!C<<0 ?> AB>;1FC  CB>:5=_8GC!C<<0 ?> AB>;1FC  CB>:5=_8GC$>@<C;0!C<<0 ?> AB>;1FC  CB>:5=_8GC=0G5=85!C<<0 ?> AB>;1FC A<0@B  _8GC!C<<0 ?> AB>;1FC A<0@B  _8GC$>@<C;0!C<<0 ?> AB>;1FC A<0@B  _8GC=0G5=85!C<<0 ?> AB>;1FC A<0@B_!K7@!C<<0 ?> AB>;1FC A<0@B_!K7@$>@<C;0!C<<0 ?> AB>;1FC A<0@B_!K7@=0G5=85!C<<0 ?> AB>;1FC  CB>:5=_!K7@!C<<0 ?> AB>;1FC  CB>:5=_!K7@$>@<C;0!C<<0 ?> AB>;1FC  CB>:5=_!K7@=0G5=85!C<<0 ?> AB>;1FC A<0@B  _!K7@!C<<0 ?> AB>;1FC A<0@B  _!K7@$>@<C;0!C<<0 ?> AB>;1FC A<0@B  _!K7@=0G5=851I55 A<0@B ?> >20:C1I55 A<0@B ?> >20:C$>@<C;01I55 A<0@B ?> >20:C=0G5=851I55  CB>:5= ?> >20:C1I55  CB>:5= ?> >20:C$>@<C;01I55  CB>:5= ?> >20:C=0G5=851I55 ?> >20:C1I55 ?> >20:C$>@<C;01I55 ?> >20:C=0G5=851I55 A<0@B ?> 0A5:1I55 A<0@B ?> 0A5:$>@<C;01I55 A<0@B ?> 0A5:=0G5=851I55  CB>:5= ?> 0A5:1I55  CB>:5= ?> 0A5:$>@<C;01I55  CB>:5= ?> 0A5:=0G5=851I55 ?> 0A5:1I55 ?> 0A5:$>@<C;01I55 ?> 0A5:=0G5=851I55 A<0@B ?> ">;1I55 A<0@B ?> ">;$>@<C;01I55 A<0@B ?> ">;=0G5=851I55  CB>:5= ?> ">;1I55  CB>:5= ?> ">;$>@<C;01I55  CB>:5= ?> ">;=0G5=851I55 ?> ">;1I55 ?> ">;$>@<C;01I55 ?> ">;=0G5=851I55 A<0@B ?> 8GC1I55 A<0@B ?> 8GC$>@<C;01I55 A<0@B ?> 8GC=0G5=851I55  CB>:5= ?> 8GC1I55  CB>:5= ?> 8GC$>@<C;01I55  CB>:5= ?> 8GC=0G5=851I55 ?> 8GC1I55 ?> 8GC$>@<C;01I55 ?> 8GC=0G5=851I55 A<0@B ?> !K7@1I55 A<0@B ?> !K7@$>@<C;01I55 A<0@B ?> !K7@=0G5=851I55  CB>:5= ?> !K7@1I55  CB>:5= ?> !K7@$>@<C;01I55  CB>:5= ?> !K7@=0G5=851I55 ?> !K7@1I55 ?> !K7@$>@<C;01I55 ?> !K7@=0G5=85!@54=55 ?> 4=O< >20:!@54=55 ?> 4=O< >20:$>@<C;0!@54=55 ?> 4=O< >20:=0G5=85!@54=55 ?> 4=O< 0A5:!@54=55 ?> 4=O< 0A5:$>@<C;0!@54=55 ?> 4=O< 0A5:=0G5=85!@54=55 ?> 4=O< ">;!@54=55 ?> 4=O< ">;$>@<C;0!@54=55 ?> 4=O< ">;=0G5=85!@54=55 ?> 4=O< 8GC!@54=55 ?> 4=O< 8GC$>@<C;0!@54=55 ?> 4=O< 8GC=0G5=85!@54=55 ?> 4=O< !K7@!@54=55 ?> 4=O< !K7@$>@<C;0!@54=55 ?> 4=O< !K7@=0G5=85A<0@B 157 >20:0A<0@B 157 >20:0$>@<C;0A<0@B 157 >20:0=0G5=85 CB>:5= 157 >20:0 CB>:5= 157 >20:0$>@<C;0 CB>:5= 157 >20:0=0G5=851I55 157 >20:01I55 157 >20:0$>@<C;01I55 157 >20:0=0G5=85!@54=55 A<0@B 157 >20:0!@54=55 A<0@B 157 >20:0$>@<C;0!@54=55 A<0@B 157 >20:0=0G5=85!@54=55  CB>:5= 157 >20:0!@54=55  CB>:5= 157 >20:0$>@<C;0!@54=55  CB>:5= 157 >20:0=0G5=85!@54=55 157 >20:0!@54=55 157 >20:0$>@<C;0!@54=55 157 >20:0=0G5=851I85 ?@>40681I85 ?@>4068$>@<C;01I85 ?@>4068=0G5=851I55 A<0@B   ?> >20:C1I55 A<0@B   ?> >20:C$>@<C;01I55 A<0@B   ?> >20:C=0G5=851I55 A<0@B   ?> 0A5:1I55 A<0@B   ?> 0A5:$>@<C;01I55 A<0@B   ?> 0A5:=0G5=851I55 A<0@B   ?> ">;1I55 A<0@B   ?> ">;$>@<C;01I55 A<0@B   ?> ">;=0G5=851I55 A<0@B   ?> 8GC1I55 A<0@B   ?> 8GC$>@<C;01I55 A<0@B   ?> 8GC=0G5=851I55 A<0@B   ?> !K7@1I55 A<0@B   ?> !K7@$>@<C;01I55 A<0@B   ?> !K7@=0G5=85A<0@B   157 >20:0A<0@B   157 >20:0$>@<C;0A<0@B   157 >20:0=0G5=85!@54=55 A<0@B   157 >20:0!@54=55 A<0@B   157 >20:0$>@<C;0!@54=55 A<0@B   157 >20:0=0G5=850B00720=85 <5AOF0545;O !A<0@B_>20: CB>:5=_>20:A<0@B  _>20:A<0@B_0A5: CB>:5=_0A5:A<0@B  _0A5:A<0@B_">; CB>:5=_">;A<0@B  _">;A<0@B_8GC CB>:5=_8GCA<0@B  _8GCA<0@B_!K7@ CB>:5=_!K7@A<0@B  _!K7@5=L =545;8><5@ 545;8!C<<0 ?> AB>;1FC A<0@B_>20:A<0@B_>20:!C<<0 ?> AB>;1FC A<0@B_>20:A<0@B_>20:!C<<0 ?> AB>;1FC A<0@B_>20:A<0@B_>20:!C<<0 ?> AB>;1FC  CB>:5=_>20: CB>:5=_>20:!C<<0 ?> AB>;1FC  CB>:5=_>20: CB>:5=_>20:!C<<0 ?> AB>;1FC  CB>:5=_>20: CB>:5=_>20:!<5I5==0O 48A?5@A8O  CB>:5=_>20: CB>:5=_>20:!<5I5==0O 48A?5@A8O  CB>:5=_>20: CB>:5=_>20:!<5I5==0O 48A?5@A8O  CB>:5=_>20: CB>:5=_>20:!@54=55 ?> AB>;1FC A<0@B_>20:A<0@B_>20:!@54=55 ?> AB>;1FC A<0@B_>20:A<0@B_>20:!@54=55 ?> AB>;1FC A<0@B_>20:A<0@B_>20:!@54=55 ?> AB>;1FC  CB>:5=_>20: CB>:5=_>20:!@54=55 ?> AB>;1FC  CB>:5=_>20: CB>:5=_>20:!@54=55 ?> AB>;1FC  CB>:5=_>20: CB>:5=_>20:'8A;> M;5<5=B>2 2 AB>;1F5 A<0@B  _>20:A<0@B  _>20:'8A;> M;5<5=B>2 2 AB>;1F5 A<0@B  _>20:A<0@B  _>20:'8A;> M;5<5=B>2 2 AB>;1F5 A<0@B  _>20:A<0@B  _>20:!C<<0 ?> AB>;1FC A<0@B  _>20:A<0@B  _>20:!C<<0 ?> AB>;1FC A<0@B  _>20:A<0@B  _>20:!C<<0 ?> AB>;1FC A<0@B  _>20:A<0@B  _>20:!@54=55 ?> AB>;1FC A<0@B  _>20:A<0@B  _>20:!@54=55 ?> AB>;1FC A<0@B  _>20:A<0@B  _>20:!@54=55 ?> AB>;1FC A<0@B  _>20:A<0@B  _>20:!C<<0 ?> AB>;1FC A<0@B_0A5:A<0@B_0A5:!C<<0 ?> AB>;1FC A<0@B_0A5:A<0@B_0A5:!C<<0 ?> AB>;1FC A<0@B_0A5:A<0@B_0A5:!C<<0 ?> AB>;1FC  CB>:5=_0A5: CB>:5=_0A5:!C<<0 ?> AB>;1FC  CB>:5=_0A5: CB>:5=_0A5:!C<<0 ?> AB>;1FC  CB>:5=_0A5: CB>:5=_0A5:!C<<0 ?> AB>;1FC A<0@B  _0A5:A<0@B  _0A5:!C<<0 ?> AB>;1FC A<0@B  _0A5:A<0@B  _0A5:!C<<0 ?> AB>;1FC A<0@B  _0A5:A<0@B  _0A5:!C<<0 ?> AB>;1FC A<0@B_">;A<0@B_">;!C<<0 ?> AB>;1FC A<0@B_">;A<0@B_">;!C<<0 ?> AB>;1FC A<0@B_">;A<0@B_">;!C<<0 ?> AB>;1FC  CB>:5=_">; CB>:5=_">;!C<<0 ?> AB>;1FC  CB>:5=_">; CB>:5=_">;!C<<0 ?> AB>;1FC  CB>:5=_">; CB>:5=_">;!C<<0 ?> AB>;1FC A<0@B  _">;A<0@B  _">;!C<<0 ?> AB>;1FC A<0@B  _">;A<0@B  _">;!C<<0 ?> AB>;1FC A<0@B  _">;A<0@B  _">;!C<<0 ?> AB>;1FC A<0@B_8GCA<0@B_8GC!C<<0 ?> AB>;1FC A<0@B_8GCA<0@B_8GC!C<<0 ?> AB>;1FC A<0@B_8GCA<0@B_8GC!C<<0 ?> AB>;1FC  CB>:5=_8GC CB>:5=_8GC!C<<0 ?> AB>;1FC  CB>:5=_8GC CB>:5=_8GC!C<<0 ?> AB>;1FC  CB>:5=_8GC CB>:5=_8GC!C<<0 ?> AB>;1FC A<0@B  _8GCA<0@B  _8GC!C<<0 ?> AB>;1FC A<0@B  _8GCA<0@B  _8GC!C<<0 ?> AB>;1FC A<0@B  _8GCA<0@B  _8GC!C<<0 ?> AB>;1FC A<0@B_!K7@A<0@B_!K7@!C<<0 ?> AB>;1FC A<0@B_!K7@A<0@B_!K7@!C<<0 ?> AB>;1FC A<0@B_!K7@A<0@B_!K7@!C<<0 ?> AB>;1FC  CB>:5=_!K7@ CB>:5=_!K7@!C<<0 ?> AB>;1FC  CB>:5=_!K7@ CB>:5=_!K7@!C<<0 ?> AB>;1FC  CB>:5=_!K7@ CB>:5=_!K7@!C<<0 ?> AB>;1FC A<0@B  _!K7@A<0@B  _!K7@!C<<0 ?> AB>;1FC A<0@B  _!K7@A<0@B  _!K7@!C<<0 ?> AB>;1FC A<0@B  _!K7@A<0@B  _!K7@!C<<0 ?> AB>;1FC A<0@B_>20:!C<<0 ?> AB>;1FC A<0@B_>20:$>@<C;0!C<<0 ?> AB>;1FC A<0@B_>20:=0G5=85!C<<0 ?> AB>;1FC  CB>:5=_>20:!C<<0 ?> AB>;1FC  CB>:5=_>20:$>@<C;0!C<<0 ?> AB>;1FC  CB>:5=_>20:=0G5=85!<5I5==0O 48A?5@A8O  CB>:5=_>20:!<5I5==0O 48A?5@A8O  CB>:5=_>20:$>@<C;0!<5I5==0O 48A?5@A8O  CB>:5=_>20:=0G5=85!@54=55 ?> AB>;1FC A<0@B_>20:!@54=55 ?> AB>;1FC A<0@B_>20:$>@<C;0!@54=55 ?> AB>;1FC A<0@B_>20:=0G5=85!@54=55 ?> AB>;1FC  CB>:5=_>20:!@54=55 ?> AB>;1FC  CB>:5=_>20:$>@<C;0!@54=55 ?> AB>;1FC  CB>:5=_>20:=0G5=85'8A;> M;5<5=B>2 2 AB>;1F5 A<0@B  _>20:'8A;> M;5<5=B>2 2 AB>;1F5 A<0@B  _>20:$>@<C;0'8A;> M;5<5=B>2 2 AB>;1F5 A<0@B  _>20:=0G5=85!C<<0 ?> AB>;1FC A<0@B  _>20:!C<<0 ?> AB>;1FC A<0@B  _>20:$>@<C;0!C<<0 ?> AB>;1FC A<0@B  _>20:=0G5=85!@54=55 ?> AB>;1FC A<0@B  _>20:!@54=55 ?> AB>;1FC A<0@B  _>20:$>@<C;0!@54=55 ?> AB>;1FC A<0@B  _>20:=0G5=85!C<<0 ?> AB>;1FC A<0@B_0A5:!C<<0 ?> AB>;1FC A<0@B_0A5:$>@<C;0!C<<0 ?> AB>;1FC A<0@B_0A5:=0G5=85!C<<0 ?> AB>;1FC  CB>:5=_0A5:!C<<0 ?> AB>;1FC  CB>:5=_0A5:$>@<C;0!C<<0 ?> AB>;1FC  CB>:5=_0A5:=0G5=85!C<<0 ?> AB>;1FC A<0@B  _0A5:!C<<0 ?> AB>;1FC A<0@B  _0A5:$>@<C;0!C<<0 ?> AB>;1FC A<0@B  _0A5:=0G5=85!C<<0 ?> AB>;1FC A<0@B_">;!C<<0 ?> AB>;1FC A<0@B_">;$>@<C;0!C<<0 ?> AB>;1FC A<0@B_">;=0G5=85!C<<0 ?> AB>;1FC  CB>:5=_">;!C<<0 ?> AB>;1FC  CB>:5=_">;$>@<C;0!C<<0 ?> AB>;1FC  CB>:5=_">;=0G5=85!C<<0 ?> AB>;1FC A<0@B  _">;!C<<0 ?> AB>;1FC A<0@B  _">;$>@<C;0!C<<0 ?> AB>;1FC A<0@B  _">;=0G5=85!C<<0 ?> AB>;1FC A<0@B_8GC!C<<0 ?> AB>;1FC A<0@B_8GC$>@<C;0!C<<0 ?> AB>;1FC A<0@B_8GC=0G5=85!C<<0 ?> AB>;1FC  CB>:5=_8GC!C<<0 ?> AB>;1FC  CB>:5=_8GC$>@<C;0!C<<0 ?> AB>;1FC  CB>:5=_8GC=0G5=85!C<<0 ?> AB>;1FC A<0@B  _8GC!C<<0 ?> AB>;1FC A<0@B  _8GC$>@<C;0!C<<0 ?> AB>;1FC A<0@B  _8GC=0G5=85!C<<0 ?> AB>;1FC A<0@B_!K7@!C<<0 ?> AB>;1FC A<0@B_!K7@$>@<C;0!C<<0 ?> AB>;1FC A<0@B_!K7@=0G5=85!C<<0 ?> AB>;1FC  CB>:5=_!K7@!C<<0 ?> AB>;1FC  CB>:5=_!K7@$>@<C;0!C<<0 ?> AB>;1FC  CB>:5=_!K7@=0G5=85!C<<0 ?> AB>;1FC A<0@B  _!K7@!C<<0 ?> AB>;1FC A<0@B  _!K7@$>@<C;0!C<<0 ?> AB>;1FC A<0@B  _!K7@=0G5=851I55 A<0@B ?> >20:C1I55 A<0@B ?> >20:C$>@<C;01I55 A<0@B ?> >20:C=0G5=851I55  CB>:5= ?> >20:C1I55  CB>:5= ?> >20:C$>@<C;01I55  CB>:5= ?> >20:C=0G5=851I55 ?> >20:C1I55 ?> >20:C$>@<C;01I55 ?> >20:C=0G5=851I55 A<0@B ?> 0A5:1I55 A<0@B ?> 0A5:$>@<C;01I55 A<0@B ?> 0A5:=0G5=851I55  CB>:5= ?> 0A5:1I55  CB>:5= ?> 0A5:$>@<C;01I55  CB>:5= ?> 0A5:=0G5=851I55 ?> 0A5:1I55 ?> 0A5:$>@<C;01I55 ?> 0A5:=0G5=851I55 A<0@B ?> ">;1I55 A<0@B ?> ">;$>@<C;01I55 A<0@B ?> ">;=0G5=851I55  CB>:5= ?> ">;1I55  CB>:5= ?> ">;$>@<C;01I55  CB>:5= ?> ">;=0G5=851I55 ?> ">;1I55 ?> ">;$>@<C;01I55 ?> ">;=0G5=851I55 A<0@B ?> 8GC1I55 A<0@B ?> 8GC$>@<C;01I55 A<0@B ?> 8GC=0G5=851I55  CB>:5= ?> 8GC1I55  CB>:5= ?> 8GC$>@<C;01I55  CB>:5= ?> 8GC=0G5=851I55 ?> 8GC1I55 ?> 8GC$>@<C;01I55 ?> 8GC=0G5=851I55 A<0@B ?> !K7@1I55 A<0@B ?> !K7@$>@<C;01I55 A<0@B ?> !K7@=0G5=851I55  CB>:5= ?> !K7@1I55  CB>:5= ?> !K7@$>@<C;01I55  CB>:5= ?> !K7@=0G5=851I55 ?> !K7@1I55 ?> !K7@$>@<C;01I55 ?> !K7@=0G5=85!@54=55 ?> 4=O< >20:!@54=55 ?> 4=O< >20:$>@<C;0!@54=55 ?> 4=O< >20:=0G5=85!@54=55 ?> 4=O< 0A5:!@54=55 ?> 4=O< 0A5:$>@<C;0!@54=55 ?> 4=O< 0A5:=0G5=85!@54=55 ?> 4=O< ">;!@54=55 ?> 4=O< ">;$>@<C;0!@54=55 ?> 4=O< ">;=0G5=85!@54=55 ?> 4=O< 8GC!@54=55 ?> 4=O< 8GC$>@<C;0!@54=55 ?> 4=O< 8GC=0G5=85!@54=55 ?> 4=O< !K7@!@54=55 ?> 4=O< !K7@$>@<C;0!@54=55 ?> 4=O< !K7@=0G5=85A<0@B 157 >20:0A<0@B 157 >20:0$>@<C;0A<0@B 157 >20:0=0G5=85 CB>:5= 157 >20:0 CB>:5= 157 >20:0$>@<C;0 CB>:5= 157 >20:0=0G5=851I55 157 >20:01I55 157 >20:0$>@<C;01I55 157 >20:0=0G5=85!@54=55 A<0@B 157 >20:0!@54=55 A<0@B 157 >20:0$>@<C;0!@54=55 A<0@B 157 >20:0=0G5=85!@54=55  CB>:5= 157 >20:0!@54=55  CB>:5= 157 >20:0$>@<C;0!@54=55  CB>:5= 157 >20:0=0G5=85!@54=55 157 >20:0!@54=55 157 >20:0$>@<C;0!@54=55 157 >20:0=0G5=851I85 ?@>40681I85 ?@>4068$>@<C;01I85 ?@>4068=0G5=851I55 A<0@B   ?> >20:C1I55 A<0@B   ?> >20:C$>@<C;01I55 A<0@B   ?> >20:C=0G5=851I55 A<0@B   ?> 0A5:1I55 A<0@B   ?> 0A5:$>@<C;01I55 A<0@B   ?> 0A5:=0G5=851I55 A<0@B   ?> ">;1I55 A<0@B   ?> ">;$>@<C;01I55 A<0@B   ?> ">;=0G5=851I55 A<0@B   ?> 8GC1I55 A<0@B   ?> 8GC$>@<C;01I55 A<0@B   ?> 8GC=0G5=851I55 A<0@B   ?> !K7@1I55 A<0@B   ?> !K7@$>@<C;01I55 A<0@B   ?> !K7@=0G5=85A<0@B   157 >20:0A<0@B   157 >20:0$>@<C;0A<0@B   157 >20:0=0G5=85!@54=55 A<0@B   157 >20:0!@54=55 A<0@B   157 >20:0$>@<C;0!@54=55 A<0@B   157 >20:0=0G5=850B00720=85 <5AOF0545;O !A<0@B_>20: CB>:5=_>20:A<0@B  _>20:A<0@B_0A5: CB>:5=_0A5:A<0@B  _0A5:A<0@B_">; CB>:5=_">;A<0@B  _">;A<0@B_8GC CB>:5=_8GCA<0@B  _8GCA<0@B_!K7@ CB>:5=_!K7@A<0@B  _!K7@5=L =545;8><5@ 545;8!C<<0 ?> AB>;1FC A<0@B_>20:A<0@B_>20:!C<<0 ?> AB>;1FC A<0@B_>20:A<0@B_>20:!C<<0 ?> AB>;1FC A<0@B_>20:A<0@B_>20:!C<<0 ?> AB>;1FC  CB>:5=_>20: CB>:5=_>20:!C<<0 ?> AB>;1FC  CB>:5=_>20: CB>:5=_>20:!C<<0 ?> AB>;1FC  CB>:5=_>20: CB>:5=_>20:!<5I5==0O 48A?5@A8O  CB>:5=_>20: CB>:5=_>20:!<5I5==0O 48A?5@A8O  CB>:5=_>20: CB>:5=_>20:!<5I5==0O 48A?5@A8O  CB>:5=_>20: CB>:5=_>20:!@54=55 ?> AB>;1FC A<0@B_>20:A<0@B_>20:!@54=55 ?> AB>;1FC A<0@B_>20:A<0@B_>20:!@54=55 ?> AB>;1FC A<0@B_>20:A<0@B_>20:!@54=55 ?> AB>;1FC  CB>:5=_>20: CB>:5=_>20:!@54=55 ?> AB>;1FC  CB>:5=_>20: CB>:5=_>20:!@54=55 ?> AB>;1FC  CB>:5=_>20: CB>:5=_>20:'8A;> M;5<5=B>2 2 AB>;1F5 A<0@B  _>20:A<0@B  _>20:'8A;> M;5<5=B>2 2 AB>;1F5 A<0@B  _>20:A<0@B  _>20:'8A;> M;5<5=B>2 2 AB>;1F5 A<0@B  _>20:A<0@B  _>20:!C<<0 ?> AB>;1FC A<0@B  _>20:A<0@B  _>20:!C<<0 ?> AB>;1FC A<0@B  _>20:A<0@B  _>20:!C<<0 ?> AB>;1FC A<0@B  _>20:A<0@B  _>20:!@54=55 ?> AB>;1FC A<0@B  _>20:A<0@B  _>20:!@54=55 ?> AB>;1FC A<0@B  _>20:A<0@B  _>20:!@54=55 ?> AB>;1FC A<0@B  _>20:A<0@B  _>20:!C<<0 ?> AB>;1FC A<0@B_0A5:A<0@B_0A5:!C<<0 ?> AB>;1FC A<0@B_0A5:A<0@B_0A5:!C<<0 ?> AB>;1FC A<0@B_0A5:A<0@B_0A5:!C<<0 ?> AB>;1FC  CB>:5=_0A5: CB>:5=_0A5:!C<<0 ?> AB>;1FC  CB>:5=_0A5: CB>:5=_0A5:!C<<0 ?> AB>;1FC  CB>:5=_0A5: CB>:5=_0A5:!C<<0 ?> AB>;1FC A<0@B  _0A5:A<0@B  _0A5:!C<<0 ?> AB>;1FC A<0@B  _0A5:A<0@B  _0A5:!C<<0 ?> AB>;1FC A<0@B  _0A5:A<0@B  _0A5:!C<<0 ?> AB>;1FC A<0@B_">;A<0@B_">;!C<<0 ?> AB>;1FC A<0@B_">;A<0@B_">;!C<<0 ?> AB>;1FC A<0@B_">;A<0@B_">;!C<<0 ?> AB>;1FC  CB>:5=_">; CB>:5=_">;!C<<0 ?> AB>;1FC  CB>:5=_">; CB>:5=_">;!C<<0 ?> AB>;1FC  CB>:5=_">; CB>:5=_">;!C<<0 ?> AB>;1FC A<0@B  _">;A<0@B  _">;!C<<0 ?> AB>;1FC A<0@B  _">;A<0@B  _">;!C<<0 ?> AB>;1FC A<0@B  _">;A<0@B  _">;!C<<0 ?> AB>;1FC A<0@B_8GCA<0@B_8GC!C<<0 ?> AB>;1FC A<0@B_8GCA<0@B_8GC!C<<0 ?> AB>;1FC A<0@B_8GCA<0@B_8GC!C<<0 ?> AB>;1FC  CB>:5=_8GC CB>:5=_8GC!C<<0 ?> AB>;1FC  CB>:5=_8GC CB>:5=_8GC!C<<0 ?> AB>;1FC  CB>:5=_8GC CB>:5=_8GC!C<<0 ?> AB>;1FC A<0@B  _8GCA<0@B  _8GC!C<<0 ?> AB>;1FC A<0@B  _8GCA<0@B  _8GC!C<<0 ?> AB>;1FC A<0@B  _8GCA<0@B  _8GC!C<<0 ?> AB>;1FC A<0@B_!K7@A<0@B_!K7@!C<<0 ?> AB>;1FC A<0@B_!K7@A<0@B_!K7@!C<<0 ?> AB>;1FC A<0@B_!K7@A<0@B_!K7@!C<<0 ?> AB>;1FC  CB>:5=_!K7@ CB>:5=_!K7@!C<<0 ?> AB>;1FC  CB>:5=_!K7@ CB>:5=_!K7@!C<<0 ?> AB>;1FC  CB>:5=_!K7@ CB>:5=_!K7@!C<<0 ?> AB>;1FC A<0@B  _!K7@A<0@B  _!K7@!C<<0 ?> AB>;1FC A<0@B  _!K7@A<0@B  _!K7@!C<<0 ?> AB>;1FC A<0@B  _!K7@A<0@B  _!K7@1I0O ?@81K;L ?> 4=O<1I0O ?@81K;L ?> 4=O<!C<<0 ?> AB>;1FC A<0@B_>20:!C<<0 ?> AB>;1FC A<0@B_>20:$>@<C;0!C<<0 ?> AB>;1FC A<0@B_>20:=0G5=85!C<<0 ?> AB>;1FC  CB>:5=_>20:!C<<0 ?> AB>;1FC  CB>:5=_>20:$>@<C;0!C<<0 ?> AB>;1FC  CB>:5=_>20:=0G5=85!@54=55 ?> AB>;1FC A<0@B_>20:!@54=55 ?> AB>;1FC A<0@B_>20:$>@<C;0!@54=55 ?> AB>;1FC A<0@B_>20:=0G5=85!C<<0 ?> AB>;1FC A<0@B  _>20:!C<<0 ?> AB>;1FC A<0@B  _>20:$>@<C;0!C<<0 ?> AB>;1FC A<0@B  _>20:=0G5=85!C<<0 ?> AB>;1FC A<0@B_0A5:!C<<0 ?> AB>;1FC A<0@B_0A5:$>@<C;0!C<<0 ?> AB>;1FC A<0@B_0A5:=0G5=85!C<<0 ?> AB>;1FC  CB>:5=_0A5:!C<<0 ?> AB>;1FC  CB>:5=_0A5:$>@<C;0!C<<0 ?> AB>;1FC  CB>:5=_0A5:=0G5=85!C<<0 ?> AB>;1FC A<0@B  _0A5:!C<<0 ?> AB>;1FC A<0@B  _0A5:$>@<C;0!C<<0 ?> AB>;1FC A<0@B  _0A5:=0G5=85!C<<0 ?> AB>;1FC A<0@B_">;!C<<0 ?> AB>;1FC A<0@B_">;$>@<C;0!C<<0 ?> AB>;1FC A<0@B_">;=0G5=85!C<<0 ?> AB>;1FC  CB>:5=_">;!C<<0 ?> AB>;1FC  CB>:5=_">;$>@<C;0!C<<0 ?> AB>;1FC  CB>:5=_">;=0G5=85!C<<0 ?> AB>;1FC A<0@B  _">;!C<<0 ?> AB>;1FC A<0@B  _">;$>@<C;0!C<<0 ?> AB>;1FC A<0@B  _">;=0G5=85!C<<0 ?> AB>;1FC A<0@B_8GC!C<<0 ?> AB>;1FC A<0@B_8GC$>@<C;0!C<<0 ?> AB>;1FC A<0@B_8GC=0G5=85!C<<0 ?> AB>;1FC  CB>:5=_8GC!C<<0 ?> AB>;1FC  CB>:5=_8GC$>@<C;0!C<<0 ?> AB>;1FC  CB>:5=_8GC=0G5=85!C<<0 ?> AB>;1FC A<0@B  _8GC!C<<0 ?> AB>;1FC A<0@B  _8GC$>@<C;0!C<<0 ?> AB>;1FC A<0@B  _8GC=0G5=85!C<<0 ?> AB>;1FC A<0@B_!K7@!C<<0 ?> AB>;1FC A<0@B_!K7@$>@<C;0!C<<0 ?> AB>;1FC A<0@B_!K7@=0G5=85!C<<0 ?> AB>;1FC  CB>:5=_!K7@!C<<0 ?> AB>;1FC  CB>:5=_!K7@$>@<C;0!C<<0 ?> AB>;1FC  CB>:5=_!K7@=0G5=85!C<<0 ?> AB>;1FC A<0@B  _!K7@!C<<0 ?> AB>;1FC A<0@B  _!K7@$>@<C;0!C<<0 ?> AB>;1FC A<0@B  _!K7@=0G5=851I0O ?> A<0@B >20:1I0O ?> A<0@B >20:$>@<C;01I0O ?> A<0@B >20:=0G5=851I0O ?>  CB>:5= >20:1I0O ?>  CB>:5= >20:$>@<C;01I0O ?>  CB>:5= >20:=0G5=851I0O ?@81K;L >20:1I0O ?@81K;L >20:$>@<C;01I0O ?@81K;L >20:=0G5=851I0O ?> A<0@B 0A51I0O ?> A<0@B 0A5$>@<C;01I0O ?> A<0@B 0A5=0G5=851I0O ?>  CB>:5= 0A5:1I0O ?>  CB>:5= 0A5:$>@<C;01I0O ?>  CB>:5= 0A5:=0G5=851I0O ?> 0A5:1I0O ?> 0A5:$>@<C;01I0O ?> 0A5:=0G5=851I0O ?> A<0@B ">;1I0O ?> A<0@B ">;$>@<C;01I0O ?> A<0@B ">;=0G5=851I0O ?>  CB>:5= ">;1I0O ?>  CB>:5= ">;$>@<C;01I0O ?>  CB>:5= ">;=0G5=851I0O ?> ">;1I0O ?> ">;$>@<C;01I0O ?> ">;=0G5=851I0O ?> A<0@B 8GC1I0O ?> A<0@B 8GC$>@<C;01I0O ?> A<0@B 8GC=0G5=851I0O ?>  CB>:5= 8GC1I0O ?>  CB>:5= 8GC$>@<C;01I0O ?>  CB>:5= 8GC=0G5=851I0O ?> 8GC1I0O ?> 8GC$>@<C;01I0O ?> 8GC=0G5=851I0O ?> A<0@B !K7@1I0O ?> A<0@B !K7@$>@<C;01I0O ?> A<0@B !K7@=0G5=851I0O ?>  CB>:5= !K7@1I0O ?>  CB>:5= !K7@$>@<C;01I0O ?>  CB>:5= !K7@=0G5=851I0O ?> !K7@1I0O ?> !K7@$>@<C;01I0O ?> !K7@=0G5=851I0O ?> A<0@B 157 >20:01I0O ?> A<0@B 157 >20:0$>@<C;01I0O ?> A<0@B 157 >20:0=0G5=851I0O ?>  CB>:5= 157 >20:01I0O ?>  CB>:5= 157 >20:0$>@<C;01I0O ?>  CB>:5= 157 >20:0=0G5=851I0O 157 >20:01I0O 157 >20:0$>@<C;01I0O 157 >20:0=0G5=851I0O ?> A<0@B   157 >20:01I0O ?> A<0@B   157 >20:0$>@<C;01I0O ?> A<0@B   157 >20:0=0G5=850B00720=85 <5AOF0545;O !A<0@B_>20: CB>:5=_>20:A<0@B  _>20:A<0@B_0A5: CB>:5=_0A5:A<0@B  _0A5:A<0@B_">; CB>:5=_">;A<0@B  _">;A<0@B_8GC CB>:5=_8GCA<0@B  _8GCA<0@B_!K7@ CB>:5=_!K7@A<0@B  _!K7@><5@ =545;8!C<<0 ?> AB>;1FC A<0@B_>20:A<0@B_>20:!C<<0 ?> AB>;1FC A<0@B_>20:A<0@B_>20:!C<<0 ?> AB>;1FC A<0@B_>20:A<0@B_>20:!C<<0 ?> AB>;1FC  CB>:5=_>20: CB>:5=_>20:!C<<0 ?> AB>;1FC  CB>:5=_>20: CB>:5=_>20:!C<<0 ?> AB>;1FC  CB>:5=_>20: CB>:5=_>20:!@54=55 ?> AB>;1FC A<0@B_>20:A<0@B_>20:!@54=55 ?> AB>;1FC A<0@B_>20:A<0@B_>20:!@54=55 ?> AB>;1FC A<0@B_>20:A<0@B_>20:!C<<0 ?> AB>;1FC A<0@B  _>20:A<0@B  _>20:!C<<0 ?> AB>;1FC A<0@B  _>20:A<0@B  _>20:!C<<0 ?> AB>;1FC A<0@B  _>20:A<0@B  _>20:!C<<0 ?> AB>;1FC A<0@B_0A5:A<0@B_0A5:!C<<0 ?> AB>;1FC A<0@B_0A5:A<0@B_0A5:!C<<0 ?> AB>;1FC A<0@B_0A5:A<0@B_0A5:!C<<0 ?> AB>;1FC  CB>:5=_0A5: CB>:5=_0A5:!C<<0 ?> AB>;1FC  CB>:5=_0A5: CB>:5=_0A5:!C<<0 ?> AB>;1FC  CB>:5=_0A5: CB>:5=_0A5:!C<<0 ?> AB>;1FC A<0@B  _0A5:A<0@B  _0A5:!C<<0 ?> AB>;1FC A<0@B  _0A5:A<0@B  _0A5:!C<<0 ?> AB>;1FC A<0@B  _0A5:A<0@B  _0A5:!C<<0 ?> AB>;1FC A<0@B_">;A<0@B_">;!C<<0 ?> AB>;1FC A<0@B_">;A<0@B_">;!C<<0 ?> AB>;1FC A<0@B_">;A<0@B_">;!C<<0 ?> AB>;1FC  CB>:5=_">; CB>:5=_">;!C<<0 ?> AB>;1FC  CB>:5=_">; CB>:5=_">;!C<<0 ?> AB>;1FC  CB>:5=_">; CB>:5=_">;!C<<0 ?> AB>;1FC A<0@B  _">;A<0@B  _">;!C<<0 ?> AB>;1FC A<0@B  _">;A<0@B  _">;!C<<0 ?> AB>;1FC A<0@B  _">;A<0@B  _">;!C<<0 ?> AB>;1FC A<0@B_8GCA<0@B_8GC!C<<0 ?> AB>;1FC A<0@B_8GCA<0@B_8GC!C<<0 ?> AB>;1FC A<0@B_8GCA<0@B_8GC!C<<0 ?> AB>;1FC  CB>:5=_8GC CB>:5=_8GC!C<<0 ?> AB>;1FC  CB>:5=_8GC CB>:5=_8GC!C<<0 ?> AB>;1FC  CB>:5=_8GC CB>:5=_8GC!C<<0 ?> AB>;1FC A<0@B  _8GCA<0@B  _8GC!C<<0 ?> AB>;1FC A<0@B  _8GCA<0@B  _8GC!C<<0 ?> AB>;1FC A<0@B  _8GCA<0@B  _8GC!C<<0 ?> AB>;1FC A<0@B_!K7@A<0@B_!K7@!C<<0 ?> AB>;1FC A<0@B_!K7@A<0@B_!K7@!C<<0 ?> AB>;1FC A<0@B_!K7@A<0@B_!K7@!C<<0 ?> AB>;1FC  CB>:5=_!K7@ CB>:5=_!K7@!C<<0 ?> AB>;1FC  CB>:5=_!K7@ CB>:5=_!K7@!C<<0 ?> AB>;1FC  CB>:5=_!K7@ CB>:5=_!K7@!C<<0 ?> AB>;1FC A<0@B  _!K7@A<0@B  _!K7@!C<<0 ?> AB>;1FC A<0@B  _!K7@A<0@B  _!K7@!C<<0 ?> AB>;1FC A<0@B  _!K7@A<0@B  _!K7@!C<<0 ?> AB>;1FC A<0@B_>20:!C<<0 ?> AB>;1FC A<0@B_>20:$>@<C;0!C<<0 ?> AB>;1FC A<0@B_>20:=0G5=85!C<<0 ?> AB>;1FC  CB>:5=_>20:!C<<0 ?> AB>;1FC  CB>:5=_>20:$>@<C;0!C<<0 ?> AB>;1FC  CB>:5=_>20:=0G5=85!@54=55 ?> AB>;1FC A<0@B_>20:!@54=55 ?> AB>;1FC A<0@B_>20:$>@<C;0!@54=55 ?> AB>;1FC A<0@B_>20:=0G5=85!C<<0 ?> AB>;1FC A<0@B  _>20:!C<<0 ?> AB>;1FC A<0@B  _>20:$>@<C;0!C<<0 ?> AB>;1FC A<0@B  _>20:=0G5=85!C<<0 ?> AB>;1FC A<0@B_0A5:!C<<0 ?> AB>;1FC A<0@B_0A5:$>@<C;0!C<<0 ?> AB>;1FC A<0@B_0A5:=0G5=85!C<<0 ?> AB>;1FC  CB>:5=_0A5:!C<<0 ?> AB>;1FC  CB>:5=_0A5:$>@<C;0!C<<0 ?> AB>;1FC  CB>:5=_0A5:=0G5=85!C<<0 ?> AB>;1FC A<0@B  _0A5:!C<<0 ?> AB>;1FC A<0@B  _0A5:$>@<C;0!C<<0 ?> AB>;1FC A<0@B  _0A5:=0G5=85!C<<0 ?> AB>;1FC A<0@B_">;!C<<0 ?> AB>;1FC A<0@B_">;$>@<C;0!C<<0 ?> AB>;1FC A<0@B_">;=0G5=85!C<<0 ?> AB>;1FC  CB>:5=_">;!C<<0 ?> AB>;1FC  CB>:5=_">;$>@<C;0!C<<0 ?> AB>;1FC  CB>:5=_">;=0G5=85!C<<0 ?> AB>;1FC A<0@B  _">;!C<<0 ?> AB>;1FC A<0@B  _">;$>@<C;0!C<<0 ?> AB>;1FC A<0@B  _">;=0G5=85!C<<0 ?> AB>;1FC A<0@B_8GC!C<<0 ?> AB>;1FC A<0@B_8GC$>@<C;0!C<<0 ?> AB>;1FC A<0@B_8GC=0G5=85!C<<0 ?> AB>;1FC  CB>:5=_8GC!C<<0 ?> AB>;1FC  CB>:5=_8GC$>@<C;0!C<<0 ?> AB>;1FC  CB>:5=_8GC=0G5=85!C<<0 ?> AB>;1FC A<0@B  _8GC!C<<0 ?> AB>;1FC A<0@B  _8GC$>@<C;0!C<<0 ?> AB>;1FC A<0@B  _8GC=0G5=85!C<<0 ?> AB>;1FC A<0@B_!K7@!C<<0 ?> AB>;1FC A<0@B_!K7@$>@<C;0!C<<0 ?> AB>;1FC A<0@B_!K7@=0G5=85!C<<0 ?> AB>;1FC  CB>:5=_!K7@!C<<0 ?> AB>;1FC  CB>:5=_!K7@$>@<C;0!C<<0 ?> AB>;1FC  CB>:5=_!K7@=0G5=85!C<<0 ?> AB>;1FC A<0@B  _!K7@!C<<0 ?> AB>;1FC A<0@B  _!K7@$>@<C;0!C<<0 ?> AB>;1FC A<0@B  _!K7@=0G5=851I0O ?> A<0@B >20:1I0O ?> A<0@B >20:$>@<C;01I0O ?> A<0@B >20:=0G5=851I0O ?>  CB>:5= >20:1I0O ?>  CB>:5= >20:$>@<C;01I0O ?>  CB>:5= >20:=0G5=851I0O ?@81K;L >20:1I0O ?@81K;L >20:$>@<C;01I0O ?@81K;L >20:=0G5=851I0O ?> A<0@B 0A51I0O ?> A<0@B 0A5$>@<C;01I0O ?> A<0@B 0A5=0G5=851I0O ?>  CB>:5= 0A5:1I0O ?>  CB>:5= 0A5:$>@<C;01I0O ?>  CB>:5= 0A5:=0G5=851I0O ?> 0A5:1I0O ?> 0A5:$>@<C;01I0O ?> 0A5:=0G5=851I0O ?> A<0@B ">;1I0O ?> A<0@B ">;$>@<C;01I0O ?> A<0@B ">;=0G5=851I0O ?>  CB>:5= ">;1I0O ?>  CB>:5= ">;$>@<C;01I0O ?>  CB>:5= ">;=0G5=851I0O ?> ">;1I0O ?> ">;$>@<C;01I0O ?> ">;=0G5=851I0O ?> A<0@B 8GC1I0O ?> A<0@B 8GC$>@<C;01I0O ?> A<0@B 8GC=0G5=851I0O ?>  CB>:5= 8GC1I0O ?>  CB>:5= 8GC$>@<C;01I0O ?>  CB>:5= 8GC=0G5=851I0O ?> 8GC1I0O ?> 8GC$>@<C;01I0O ?> 8GC=0G5=851I0O ?> A<0@B !K7@1I0O ?> A<0@B !K7@$>@<C;01I0O ?> A<0@B !K7@=0G5=851I0O ?>  CB>:5= !K7@1I0O ?>  CB>:5= !K7@$>@<C;01I0O ?>  CB>:5= !K7@=0G5=851I0O ?> !K7@1I0O ?> !K7@$>@<C;01I0O ?> !K7@=0G5=851I0O ?> A<0@B 157 >20:01I0O ?> A<0@B 157 >20:0$>@<C;01I0O ?> A<0@B 157 >20:0=0G5=851I0O ?>  CB>:5= 157 >20:01I0O ?>  CB>:5= 157 >20:0$>@<C;01I0O ?>  CB>:5= 157 >20:0=0G5=851I0O 157 >20:01I0O 157 >20:0$>@<C;01I0O 157 >20:0=0G5=851I0O ?> A<0@B   157 >20:01I0O ?> A<0@B   157 >20:0$>@<C;01I0O ?> A<0@B   157 >20:0=0G5=850B00720=85 <5AOF0545;O !A<0@B_>20: CB>:5=_>20:A<0@B  _>20:A<0@B_0A5: CB>:5=_0A5:A<0@B  _0A5:A<0@B_">; CB>:5=_">;A<0@B  _">;A<0@B_8GC CB>:5=_8GCA<0@B  _8GCA<0@B_!K7@ CB>:5=_!K7@A<0@B  _!K7@><5@ =545;8!C<<0 ?> AB>;1FC A<0@B_>20:A<0@B_>20:!C<<0 ?> AB>;1FC A<0@B_>20:A<0@B_>20:!C<<0 ?> AB>;1FC A<0@B_>20:A<0@B_>20:!C<<0 ?> AB>;1FC  CB>:5=_>20: CB>:5=_>20:!C<<0 ?> AB>;1FC  CB>:5=_>20: CB>:5=_>20:!C<<0 ?> AB>;1FC  CB>:5=_>20: CB>:5=_>20:!@54=55 ?> AB>;1FC A<0@B_>20:A<0@B_>20:!@54=55 ?> AB>;1FC A<0@B_>20:A<0@B_>20:!@54=55 ?> AB>;1FC A<0@B_>20:A<0@B_>20:!C<<0 ?> AB>;1FC A<0@B  _>20:A<0@B  _>20:!C<<0 ?> AB>;1FC A<0@B  _>20:A<0@B  _>20:!C<<0 ?> AB>;1FC A<0@B  _>20:A<0@B  _>20:!C<<0 ?> AB>;1FC A<0@B_0A5:A<0@B_0A5:!C<<0 ?> AB>;1FC A<0@B_0A5:A<0@B_0A5:!C<<0 ?> AB>;1FC A<0@B_0A5:A<0@B_0A5:!C<<0 ?> AB>;1FC  CB>:5=_0A5: CB>:5=_0A5:!C<<0 ?> AB>;1FC  CB>:5=_0A5: CB>:5=_0A5:!C<<0 ?> AB>;1FC  CB>:5=_0A5: CB>:5=_0A5:!C<<0 ?> AB>;1FC A<0@B  _0A5:A<0@B  _0A5:!C<<0 ?> AB>;1FC A<0@B  _0A5:A<0@B  _0A5:!C<<0 ?> AB>;1FC A<0@B  _0A5:A<0@B  _0A5:!C<<0 ?> AB>;1FC A<0@B_">;A<0@B_">;!C<<0 ?> AB>;1FC A<0@B_">;A<0@B_">;!C<<0 ?> AB>;1FC A<0@B_">;A<0@B_">;!C<<0 ?> AB>;1FC  CB>:5=_">; CB>:5=_">;!C<<0 ?> AB>;1FC  CB>:5=_">; CB>:5=_">;!C<<0 ?> AB>;1FC  CB>:5=_">; CB>:5=_">;!C<<0 ?> AB>;1FC A<0@B  _">;A<0@B  _">;!C<<0 ?> AB>;1FC A<0@B  _">;A<0@B  _">;!C<<0 ?> AB>;1FC A<0@B  _">;A<0@B  _">;!C<<0 ?> AB>;1FC A<0@B_8GCA<0@B_8GC!C<<0 ?> AB>;1FC A<0@B_8GCA<0@B_8GC!C<<0 ?> AB>;1FC A<0@B_8GCA<0@B_8GC!C<<0 ?> AB>;1FC  CB>:5=_8GC CB>:5=_8GC!C<<0 ?> AB>;1FC  CB>:5=_8GC CB>:5=_8GC!C<<0 ?> AB>;1FC  CB>:5=_8GC CB>:5=_8GC!C<<0 ?> AB>;1FC A<0@B  _8GCA<0@B  _8GC!C<<0 ?> AB>;1FC A<0@B  _8GCA<0@B  _8GC!C<<0 ?> AB>;1FC A<0@B  _8GCA<0@B  _8GC!C<<0 ?> AB>;1FC A<0@B_!K7@A<0@B_!K7@!C<<0 ?> AB>;1FC A<0@B_!K7@A<0@B_!K7@!C<<0 ?> AB>;1FC A<0@B_!K7@A<0@B_!K7@!C<<0 ?> AB>;1FC  CB>:5=_!K7@ CB>:5=_!K7@!C<<0 ?> AB>;1FC  CB>:5=_!K7@ CB>:5=_!K7@!C<<0 ?> AB>;1FC  CB>:5=_!K7@ CB>:5=_!K7@!C<<0 ?> AB>;1FC A<0@B  _!K7@A<0@B  _!K7@!C<<0 ?> AB>;1FC A<0@B  _!K7@A<0@B  _!K7@!C<<0 ?> AB>;1FC A<0@B  _!K7@A<0@B  _!K7@
</file>

<file path=customXml/item8.xml>��
</file>

<file path=customXml/item9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20:01I85 ?@>40681I85 ?@>40681I55 A<0@B   ?> >20:C1I55 A<0@B   ?> >20:C1I0O ?> A<0@B >20:1I0O ?> A<0@B >20:1I0O ?>  CB>:5= >20:1I0O ?>  CB>:5= >20:A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!K7@!@54=55 ?> 4=O< 0A5:!@54=55 ?> 4=O< 0A5:
</file>

<file path=customXml/item10.xml>��A<0@BK 157 >20:0A<0@BK 157 >20:0 CB>:5=K 157 >20:0 CB>:5=K 157 >20:01I55 157 >20:01I55 157 >20:0!@54=55 A<0@B 157 >20:0!@54=55 A<0@B 157 >20:0!@54=55  CB>:5= 157 >20:0!@54=55  CB>:5= 157 >20:0!@54=55 157 >20:0!@54=55 157 >20:01H0O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
</file>

<file path=customXml/item11.xml>��1I0O ?@81K;L ?> 4=O<1I55 :>;-2> ?> 4=O< 4;O A2>4=>9
</file>

<file path=customXml/item12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20:01I0O ?> A<0@B >20:1I0O ?> A<0@B >20:1I0O ?>  CB>:5= >20:1I0O ?>  CB>:5= >20:1I85 ?@>40681I85 ?@>40681I55 A<0@B   ?> >20:C1I55 A<0@B   ?> >20:CA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0A5:!@54=55 ?> 4=O< 0A5: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
</file>

<file path=customXml/item13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20:01I85 ?@>40681I85 ?@>40681I0O ?> A<0@B >20:1I0O ?> A<0@B >20:1I0O ?>  CB>:5= >20:1I0O ?>  CB>:5= >20:1I55 A<0@B   ?> >20:C1I55 A<0@B   ?> >20:CA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0A5:!@54=55 ?> 4=O< 0A5: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
</file>

<file path=customXml/item14.xml>��
</file>

<file path=customXml/item15.xml>��1H0O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!K7@0=81I0O ?> A<0@B 157 >20:01I0O ?> A<0@B 157 >20:01I0O ?>  CB>:5= 157 >20:01I0O ?>  CB>:5= 157 >20:01I0O 157 >20:01I0O 157 >20:0
</file>

<file path=customXml/item16.xml>��
</file>

<file path=customXml/item17.xml>��1I0O ?@81K;L ?> 4=O<0B0545;O !0720=85 <5AOF0A<0@B_>20: CB>:5=_>20:A<0@B  _!K7@ CB>:5=_!K7@A<0@B_!K7@A<0@B  _8GC CB>:5=_8GCA<0@B_8GCA<0@B  _">; CB>:5=_">;><5@ =545;8A<0@B_">;A<0@B  _0A5:A<0@B  _>20: CB>:5=_0A5:A<0@B_0A5:0B0545;O !0720=85 <5AOF0A<0@B_>20: CB>:5=_>20:A<0@B  _!K7@ CB>:5=_!K7@A<0@B_!K7@A<0@B  _8GC CB>:5=_8GCA<0@B_8GCA<0@B  _">; CB>:5=_">;><5@ =545;8A<0@B_">;A<0@B  _0A5:A<0@B  _>20: CB>:5=_0A5:A<0@B_0A5:
</file>

<file path=customXml/item18.xml>��
</file>

<file path=customXml/item19.xml>��
</file>

<file path=customXml/item20.xml>��1I55 :>;-2> ?> 4=O<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:5=_!K7@0=L0720=85 <5AOF0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:5=_!K7@0=L0720=85 <5AOF0
</file>

<file path=customXml/item21.xml>��
</file>

<file path=customXml/item22.xml>��A<0@BK 157 >20:0A<0@BK 157 >20:0 CB>:5=K 157 >20:0 CB>:5=K 157 >20:01I55 157 >20:01I55 157 >20:0!@54=55 A<0@B 157 >20:0!@54=55 A<0@B 157 >20:0!@54=55  CB>:5= 157 >20:0!@54=55  CB>:5= 157 >20:0!@54=55 157 >20:0!@54=55 157 >20:01H0O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!K7@0=81I0O ?> A<0@B 157 >20:01I0O ?> A<0@B 157 >20:01I0O ?>  CB>:5= 157 >20:01I0O ?>  CB>:5= 157 >20:01I0O 157 >20:01I0O 157 >20:0
</file>

<file path=customXml/item23.xml>��1I55 :>;-2> ?> 4=O< 4;O A2>4=>90720=85 <5AOF0545;O !0B0A<0@B_>20: CB>:5=_>20:A<0@B  _!K7@ CB>:5=_!K7@A<0@B_!K7@A<0@B  _8GC CB>:5=_8GCA<0@B_8GCA<0@B  _">; CB>:5=_">;5=L =545;8><5@ 545;8A<0@B_">;A<0@B  _0A5:A<0@B  _>20: CB>:5=_0A5:A<0@B_0A5:0720=85 <5AOF0545;O !0B0A<0@B_>20: CB>:5=_>20:A<0@B  _!K7@ CB>:5=_!K7@A<0@B_!K7@A<0@B  _8GC CB>:5=_8GCA<0@B_8GCA<0@B  _">; CB>:5=_">;5=L =545;8><5@ 545;8A<0@B_">;A<0@B  _0A5:A<0@B  _>20: CB>:5=_0A5:A<0@B_0A5:
</file>

<file path=customXml/item24.xml>��1H0O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!K7@0=81I0O ?> A<0@B 157 >20:01I0O ?> A<0@B 157 >20:01I0O ?>  CB>:5= 157 >20:01I0O ?>  CB>:5= 157 >20:01I0O 157 >20:01I0O 157 >20:0
</file>

<file path=customXml/item25.xml>��1H0O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!K7@0=81I0O ?> A<0@B 157 >20:01I0O ?> A<0@B 157 >20:01I0O ?>  CB>:5= 157 >20:01I0O ?>  CB>:5= 157 >20:01I0O 157 >20:01I0O 157 >20:0
</file>

<file path=customXml/item26.xml>��
</file>

<file path=customXml/item27.xml>��A<0@BK 157 >20:0A<0@BK 157 >20:0 CB>:5=K 157 >20:0 CB>:5=K 157 >20:01I55 157 >20:01I55 157 >20:0!@54=55 A<0@B 157 >20:0!@54=55 A<0@B 157 >20:0!@54=55  CB>:5= 157 >20:0!@54=55  CB>:5= 157 >20:0!@54=55 157 >20:0!@54=55 157 >20:01H0O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!K7@0=81I0O ?> A<0@B 157 >20:01I0O ?> A<0@B 157 >20:01I0O ?>  CB>:5= 157 >20:01I0O ?>  CB>:5= 157 >20:01I0O 157 >20:01I0O 157 >20:0
</file>

<file path=customXml/item28.xml>��1H0O ?> A<0@B >20:1H0O ?> A<0@B >20:1H0O ?>  CB>:5= >20:1H0O ?>  CB>:5= >20:1I0O ?@81K;L >20:1I0O ?@81K;L >20:1I0O ?> A<0@B 0A5:8=01I0O ?> A<0@B 0A5:8=01I0O ?>  CB>:5= 0A5:8=01I0O ?>  CB>:5= 0A5:8=01I0O ?> 0A5:8=01I0O ?> 0A5:8=01I0O ?> A<0@B ">;LOBB81I0O ?> A<0@B ">;LOBB81I0O ?>  CB>:5= ">;LOBB81I0O ?>  CB>:5= ">;LOBB81I0O ?> ">;LOBB81I0O ?> ">;LOBB81I0O ?> A<0@B 8GC@8=01I0O ?> A<0@B 8GC@8=01I0O ?>  CB>:5= 8GC@8=01I0O ?>  CB>:5= 8GC@8=01I0O ?> 8GC@8=01I0O ?> 8GC@8=01I0O ?> A<0@B !K7@0=L1I0O ?> A<0@B !K7@0=L1I0O ?>  CB>:5= !K7@0=L1I0O ?>  CB>:5= !K7@0=L1I0O ?> !K7@0=81I0O ?> !K7@0=81I0O ?> A<0@B 157 >20:01I0O ?> A<0@B 157 >20:01I0O ?>  CB>:5= 157 >20:01I0O ?>  CB>:5= 157 >20:01I0O 157 >20:01I0O 157 >20:0
</file>

<file path=customXml/item29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20:0!@54=55 A<0@B 157 >20:0!@54=55 A<0@B 157 >20:0 CB>:5= 157 >20:0 CB>:5= 157 >20:0!@54=55  CB>:5= 157 >20:0!@54=55  CB>:5= 157 >20:0!@54=55 157 >20:0!@54=55 157 >20:01I85 ?@>40681I85 ?@>40681I55 A<0@B   ?> >20:C1I55 A<0@B   ?> >20:C1I0O ?> A<0@B >20:1I0O ?> A<0@B >20:1I0O ?>  CB>:5= >20:1I0O ?>  CB>:5= >20:A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0A5:!@54=55 ?> 4=O< 0A5: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
</file>

<file path=customXml/item30.xml>��
</file>

<file path=customXml/item31.xml>��1I0O ?@81K;L ?> 4=O<
</file>

<file path=customXml/item32.xml>��
</file>

<file path=customXml/item33.xml>��1I55 :>;-2> ?> 4=O<0720=85 <5AOF0! =545;8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:5=_!K7@0=L0720=85 <5AOF0! =545;80B0A<0@B_>20: CB>:5=_>20:A<0@B_0A5:8=0 CB>:5=_0A5:8=0A<0@B_">;LOBB8 CB>:5=_">;LOBB8A<0@B_8GC@8=0 CB>:5=_8GC@8=0A<0@B_!K7@0=L CB>:5=_!K7@0=L
</file>

<file path=customXml/item34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20:01I55 157 >20:01I55 157 >20:0 CB>:5= 157 >20:0 CB>:5= 157 >20:0!@54=55 A<0@B 157 >20:0!@54=55 A<0@B 157 >20:0!@54=55  CB>:5= 157 >20:0!@54=55  CB>:5= 157 >20:0!@54=55 157 >20:0!@54=55 157 >20:01I85 ?@>40681I85 ?@>40681I55 A<0@B   ?> >20:C1I55 A<0@B   ?> >20:C1I0O ?> A<0@B >20:1I0O ?> A<0@B >20:1I0O ?>  CB>:5= >20:1I0O ?>  CB>:5= >20:A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">;!@54=55 ?> 4=O< ">;!@54=55 ?> 4=O< 8GC!@54=55 ?> 4=O< 8GC!@54=55 ?> 4=O< !K7@!@54=55 ?> 4=O< !K7@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!K7@!@54=55 ?> 4=O< 0A5:!@54=55 ?> 4=O< 0A5:
</file>

<file path=customXml/item35.xml>��1I0O ?@81K;L >20:1I0O ?@81K;L >20:1I0O ?> A<0@B 157 >20:01I0O ?> A<0@B 157 >20:01I0O ?>  CB>:5= 157 >20:01I0O ?>  CB>:5= 157 >20:01I0O 157 >20:01I0O 157 >20:01I55 A<0@B ?> >20:C1I55 A<0@B ?> >20:C1I55  CB>:5= ?> >20:C1I55  CB>:5= ?> >20:C1I55 ?> >20:C1I55 ?> >20:C!@54=55 ?> 4=O< >20:!@54=55 ?> 4=O< >20:A<0@B 157 >20:0A<0@B 157 >20:0 CB>:5= 157 >20:0 CB>:5= 157 >20:01I55 157 >20:01I55 157 >20:0!@54=55 A<0@B 157 >20:0!@54=55 A<0@B 157 >20:0!@54=55  CB>:5= 157 >20:0!@54=55  CB>:5= 157 >20:0!@54=55 157 >20:0!@54=55 157 >20:01I85 ?@>40681I85 ?@>40681I0O ?> A<0@B >20:1I0O ?> A<0@B >20:1I0O ?>  CB>:5= >20:1I0O ?>  CB>:5= >20:1I55 A<0@B ?> 0A5:1I55 A<0@B ?> 0A5:1I55  CB>:5= ?> 0A5:1I55  CB>:5= ?> 0A5:1I55 ?> 0A5:1I55 ?> 0A5:1I55 A<0@B ?> ">;1I55 A<0@B ?> ">;1I55  CB>:5= ?> ">;1I55  CB>:5= ?> ">;1I55 ?> ">;1I55 ?> ">;1I55 A<0@B ?> 8GC1I55 A<0@B ?> 8GC1I55  CB>:5= ?> 8GC1I55  CB>:5= ?> 8GC1I55 ?> 8GC1I55 ?> 8GC1I55 A<0@B ?> !K7@1I55 A<0@B ?> !K7@1I55  CB>:5= ?> !K7@1I55  CB>:5= ?> !K7@1I55 ?> !K7@1I55 ?> !K7@!@54=55 ?> 4=O< 0A5:!@54=55 ?> 4=O< 0A5:!@54=55 ?> 4=O< ">;!@54=55 ?> 4=O< ">;!@54=55 ?> 4=O< 8GC!@54=55 ?> 4=O< 8GC!@54=55 ?> 4=O< !K7@!@54=55 ?> 4=O< !K7@1I55 A<0@B   ?> >20:C1I55 A<0@B   ?> >20:C1I55 A<0@B   ?> 0A5:1I55 A<0@B   ?> 0A5:1I55 A<0@B   ?> ">;1I55 A<0@B   ?> ">;1I55 A<0@B   ?> 8GC1I55 A<0@B   ?> 8GC1I55 A<0@B   ?> !K7@1I55 A<0@B   ?> !K7@A<0@B   157 >20:0A<0@B   157 >20:0!@54=55 A<0@B   157 >20:0!@54=55 A<0@B   157 >20:01I0O ?> A<0@B   157 >20:01I0O ?> A<0@B   157 >20:01I0O ?> A<0@B 0A51I0O ?> A<0@B 0A51I0O ?>  CB>:5= 0A5:1I0O ?>  CB>:5= 0A5:1I0O ?> 0A5:1I0O ?> 0A5:1I0O ?> A<0@B ">;1I0O ?> A<0@B ">;1I0O ?>  CB>:5= ">;1I0O ?>  CB>:5= ">;1I0O ?> ">;1I0O ?> ">;1I0O ?> A<0@B 8GC1I0O ?> A<0@B 8GC1I0O ?>  CB>:5= 8GC1I0O ?>  CB>:5= 8GC1I0O ?> 8GC1I0O ?> 8GC1I0O ?> A<0@B !K7@1I0O ?> A<0@B !K7@1I0O ?>  CB>:5= !K7@1I0O ?>  CB>:5= !K7@1I0O ?> !K7@1I0O ?> !K7@
</file>

<file path=customXml/item36.xml>��
</file>

<file path=customXml/itemProps1.xml><?xml version="1.0" encoding="utf-8"?>
<ds:datastoreItem xmlns:ds="http://schemas.openxmlformats.org/officeDocument/2006/customXml" ds:itemID="{AC9DAA4B-660A-4463-BAC6-DCC68DD62036}">
  <ds:schemaRefs/>
</ds:datastoreItem>
</file>

<file path=customXml/itemProps2.xml><?xml version="1.0" encoding="utf-8"?>
<ds:datastoreItem xmlns:ds="http://schemas.openxmlformats.org/officeDocument/2006/customXml" ds:itemID="{CDBFCFB5-0771-4531-BCAC-69BC2819EA08}">
  <ds:schemaRefs/>
</ds:datastoreItem>
</file>

<file path=customXml/itemProps3.xml><?xml version="1.0" encoding="utf-8"?>
<ds:datastoreItem xmlns:ds="http://schemas.openxmlformats.org/officeDocument/2006/customXml" ds:itemID="{01EB81A5-47FF-438C-8533-7356903B07D6}">
  <ds:schemaRefs/>
</ds:datastoreItem>
</file>

<file path=customXml/itemProps4.xml><?xml version="1.0" encoding="utf-8"?>
<ds:datastoreItem xmlns:ds="http://schemas.openxmlformats.org/officeDocument/2006/customXml" ds:itemID="{A173575F-90D3-4CA9-9F2D-50B115C193CE}">
  <ds:schemaRefs/>
</ds:datastoreItem>
</file>

<file path=customXml/itemProps5.xml><?xml version="1.0" encoding="utf-8"?>
<ds:datastoreItem xmlns:ds="http://schemas.openxmlformats.org/officeDocument/2006/customXml" ds:itemID="{B8E708D3-DBE1-469E-B8B3-C90E0A30CBC2}">
  <ds:schemaRefs/>
</ds:datastoreItem>
</file>

<file path=customXml/itemProps6.xml><?xml version="1.0" encoding="utf-8"?>
<ds:datastoreItem xmlns:ds="http://schemas.openxmlformats.org/officeDocument/2006/customXml" ds:itemID="{4C4E078A-55BF-4DDA-AA07-F187F1A818F5}">
  <ds:schemaRefs/>
</ds:datastoreItem>
</file>

<file path=customXml/itemProps7.xml><?xml version="1.0" encoding="utf-8"?>
<ds:datastoreItem xmlns:ds="http://schemas.openxmlformats.org/officeDocument/2006/customXml" ds:itemID="{8D61C29B-10A9-490B-85B8-E478A543CAAB}">
  <ds:schemaRefs/>
</ds:datastoreItem>
</file>

<file path=customXml/itemProps8.xml><?xml version="1.0" encoding="utf-8"?>
<ds:datastoreItem xmlns:ds="http://schemas.openxmlformats.org/officeDocument/2006/customXml" ds:itemID="{7FB65C83-69C6-4E58-9249-65C5547B60CE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31E56BDD-D8F1-4AAC-A90C-4B6A8B4C8DC1}">
  <ds:schemaRefs/>
</ds:datastoreItem>
</file>

<file path=customXml/itemProps10.xml><?xml version="1.0" encoding="utf-8"?>
<ds:datastoreItem xmlns:ds="http://schemas.openxmlformats.org/officeDocument/2006/customXml" ds:itemID="{B1DF5ED2-C66C-4330-A3BD-E21845E68E6E}">
  <ds:schemaRefs>
    <ds:schemaRef ds:uri="http://gemini/pivotcustomization/b3789994-acec-49c5-b343-275b470f0dae"/>
  </ds:schemaRefs>
</ds:datastoreItem>
</file>

<file path=customXml/itemProps11.xml><?xml version="1.0" encoding="utf-8"?>
<ds:datastoreItem xmlns:ds="http://schemas.openxmlformats.org/officeDocument/2006/customXml" ds:itemID="{7E7BEB68-F108-4DF5-8475-C797FC90EC3A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85FB551A-6D67-4E62-A1D7-7A3E4DC19900}">
  <ds:schemaRefs/>
</ds:datastoreItem>
</file>

<file path=customXml/itemProps13.xml><?xml version="1.0" encoding="utf-8"?>
<ds:datastoreItem xmlns:ds="http://schemas.openxmlformats.org/officeDocument/2006/customXml" ds:itemID="{0E4693C9-E4A8-4AC9-AD20-3E930757B0C9}">
  <ds:schemaRefs/>
</ds:datastoreItem>
</file>

<file path=customXml/itemProps14.xml><?xml version="1.0" encoding="utf-8"?>
<ds:datastoreItem xmlns:ds="http://schemas.openxmlformats.org/officeDocument/2006/customXml" ds:itemID="{3B1B8372-1268-446A-8D5C-25B3D8180765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AD6493A3-CF04-444F-8740-F2772A2CEBD6}">
  <ds:schemaRefs>
    <ds:schemaRef ds:uri="http://gemini/pivotcustomization/92afae6c-36d2-4083-a080-b77b63925a73"/>
  </ds:schemaRefs>
</ds:datastoreItem>
</file>

<file path=customXml/itemProps16.xml><?xml version="1.0" encoding="utf-8"?>
<ds:datastoreItem xmlns:ds="http://schemas.openxmlformats.org/officeDocument/2006/customXml" ds:itemID="{A92D8EB4-0F78-4D74-B4C4-ED186C698872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0B13CBAF-0210-4852-97D0-A3A9FD69E28F}">
  <ds:schemaRefs/>
</ds:datastoreItem>
</file>

<file path=customXml/itemProps18.xml><?xml version="1.0" encoding="utf-8"?>
<ds:datastoreItem xmlns:ds="http://schemas.openxmlformats.org/officeDocument/2006/customXml" ds:itemID="{02761045-05DE-46C5-87BA-F2394E568226}">
  <ds:schemaRefs/>
</ds:datastoreItem>
</file>

<file path=customXml/itemProps19.xml><?xml version="1.0" encoding="utf-8"?>
<ds:datastoreItem xmlns:ds="http://schemas.openxmlformats.org/officeDocument/2006/customXml" ds:itemID="{C6A5ACD6-C795-4761-9B03-D1637835D822}">
  <ds:schemaRefs/>
</ds:datastoreItem>
</file>

<file path=customXml/itemProps20.xml><?xml version="1.0" encoding="utf-8"?>
<ds:datastoreItem xmlns:ds="http://schemas.openxmlformats.org/officeDocument/2006/customXml" ds:itemID="{8A13072D-BA72-4419-9A9D-B8D04F39D4D1}">
  <ds:schemaRefs>
    <ds:schemaRef ds:uri="http://gemini/pivotcustomization/TableXML_Общее кол-во по дням power pivot_3c50a437-b5b5-432c-9898-b3b0f6de8dd4"/>
  </ds:schemaRefs>
</ds:datastoreItem>
</file>

<file path=customXml/itemProps21.xml><?xml version="1.0" encoding="utf-8"?>
<ds:datastoreItem xmlns:ds="http://schemas.openxmlformats.org/officeDocument/2006/customXml" ds:itemID="{D3B73D97-6DAD-4C60-B670-8935FB7E7D81}">
  <ds:schemaRefs/>
</ds:datastoreItem>
</file>

<file path=customXml/itemProps22.xml><?xml version="1.0" encoding="utf-8"?>
<ds:datastoreItem xmlns:ds="http://schemas.openxmlformats.org/officeDocument/2006/customXml" ds:itemID="{3C886453-2449-4031-A764-4B617064113E}">
  <ds:schemaRefs>
    <ds:schemaRef ds:uri="http://gemini/pivotcustomization/e593c668-64cd-413a-b682-1dc7957396ad"/>
  </ds:schemaRefs>
</ds:datastoreItem>
</file>

<file path=customXml/itemProps23.xml><?xml version="1.0" encoding="utf-8"?>
<ds:datastoreItem xmlns:ds="http://schemas.openxmlformats.org/officeDocument/2006/customXml" ds:itemID="{FAB5EC73-AEB1-4513-B029-956E648DCB93}">
  <ds:schemaRefs/>
</ds:datastoreItem>
</file>

<file path=customXml/itemProps24.xml><?xml version="1.0" encoding="utf-8"?>
<ds:datastoreItem xmlns:ds="http://schemas.openxmlformats.org/officeDocument/2006/customXml" ds:itemID="{6EABDBCA-5216-4EF1-91B1-5E6D10B9BCE4}">
  <ds:schemaRefs>
    <ds:schemaRef ds:uri="http://gemini/pivotcustomization/0dfef139-0e7e-4486-99a5-215512540d33"/>
  </ds:schemaRefs>
</ds:datastoreItem>
</file>

<file path=customXml/itemProps25.xml><?xml version="1.0" encoding="utf-8"?>
<ds:datastoreItem xmlns:ds="http://schemas.openxmlformats.org/officeDocument/2006/customXml" ds:itemID="{D9CC63A6-ECC6-4277-912D-4C38F058DA17}">
  <ds:schemaRefs>
    <ds:schemaRef ds:uri="http://gemini/pivotcustomization/01cdfb40-449f-4a19-8c10-559b1253f02b"/>
  </ds:schemaRefs>
</ds:datastoreItem>
</file>

<file path=customXml/itemProps26.xml><?xml version="1.0" encoding="utf-8"?>
<ds:datastoreItem xmlns:ds="http://schemas.openxmlformats.org/officeDocument/2006/customXml" ds:itemID="{4B58FE1A-4887-423B-B228-6578930ECF03}">
  <ds:schemaRefs>
    <ds:schemaRef ds:uri="http://gemini/pivotcustomization/ShowHidden"/>
  </ds:schemaRefs>
</ds:datastoreItem>
</file>

<file path=customXml/itemProps27.xml><?xml version="1.0" encoding="utf-8"?>
<ds:datastoreItem xmlns:ds="http://schemas.openxmlformats.org/officeDocument/2006/customXml" ds:itemID="{42598171-9BE1-4E3D-8B69-537885DB3FB7}">
  <ds:schemaRefs>
    <ds:schemaRef ds:uri="http://gemini/pivotcustomization/e9d08fcb-6b06-4b24-9913-74610801b666"/>
  </ds:schemaRefs>
</ds:datastoreItem>
</file>

<file path=customXml/itemProps28.xml><?xml version="1.0" encoding="utf-8"?>
<ds:datastoreItem xmlns:ds="http://schemas.openxmlformats.org/officeDocument/2006/customXml" ds:itemID="{15F54806-8865-43F4-BFCF-72D7829D8517}">
  <ds:schemaRefs>
    <ds:schemaRef ds:uri="http://gemini/pivotcustomization/370ad955-9cce-4988-b338-9a67b6b125bc"/>
  </ds:schemaRefs>
</ds:datastoreItem>
</file>

<file path=customXml/itemProps29.xml><?xml version="1.0" encoding="utf-8"?>
<ds:datastoreItem xmlns:ds="http://schemas.openxmlformats.org/officeDocument/2006/customXml" ds:itemID="{EA63CDCE-B236-4186-89D7-80EB81214903}">
  <ds:schemaRefs/>
</ds:datastoreItem>
</file>

<file path=customXml/itemProps30.xml><?xml version="1.0" encoding="utf-8"?>
<ds:datastoreItem xmlns:ds="http://schemas.openxmlformats.org/officeDocument/2006/customXml" ds:itemID="{741008C9-9532-4D60-A781-68094EF79359}">
  <ds:schemaRefs/>
</ds:datastoreItem>
</file>

<file path=customXml/itemProps31.xml><?xml version="1.0" encoding="utf-8"?>
<ds:datastoreItem xmlns:ds="http://schemas.openxmlformats.org/officeDocument/2006/customXml" ds:itemID="{F097F5A3-22BE-4127-8B45-E520FA575151}">
  <ds:schemaRefs/>
</ds:datastoreItem>
</file>

<file path=customXml/itemProps32.xml><?xml version="1.0" encoding="utf-8"?>
<ds:datastoreItem xmlns:ds="http://schemas.openxmlformats.org/officeDocument/2006/customXml" ds:itemID="{E4F7B95C-BBCF-4758-979D-3A2CB47A6D03}">
  <ds:schemaRefs/>
</ds:datastoreItem>
</file>

<file path=customXml/itemProps33.xml><?xml version="1.0" encoding="utf-8"?>
<ds:datastoreItem xmlns:ds="http://schemas.openxmlformats.org/officeDocument/2006/customXml" ds:itemID="{5BA77D15-E2FF-4BE5-873A-88EB9EAD1F5A}">
  <ds:schemaRefs>
    <ds:schemaRef ds:uri="http://gemini/pivotcustomization/TableXML_Общее кол-во по дням_b24db96c-bc2d-4696-ab71-a9f07e1f770d"/>
  </ds:schemaRefs>
</ds:datastoreItem>
</file>

<file path=customXml/itemProps34.xml><?xml version="1.0" encoding="utf-8"?>
<ds:datastoreItem xmlns:ds="http://schemas.openxmlformats.org/officeDocument/2006/customXml" ds:itemID="{E3E1C7F1-085C-4F9D-8495-F2537B327560}">
  <ds:schemaRefs/>
</ds:datastoreItem>
</file>

<file path=customXml/itemProps35.xml><?xml version="1.0" encoding="utf-8"?>
<ds:datastoreItem xmlns:ds="http://schemas.openxmlformats.org/officeDocument/2006/customXml" ds:itemID="{0A4CD0B4-69F2-44BB-9A01-8D535CA3222D}">
  <ds:schemaRefs/>
</ds:datastoreItem>
</file>

<file path=customXml/itemProps36.xml><?xml version="1.0" encoding="utf-8"?>
<ds:datastoreItem xmlns:ds="http://schemas.openxmlformats.org/officeDocument/2006/customXml" ds:itemID="{26FA208C-B851-4B41-A2D7-2EC9CDCE3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Дэшборды</vt:lpstr>
      <vt:lpstr>Общее кол-во</vt:lpstr>
      <vt:lpstr>Общая прибыль</vt:lpstr>
      <vt:lpstr>Новак</vt:lpstr>
      <vt:lpstr>Засек</vt:lpstr>
      <vt:lpstr>Тол</vt:lpstr>
      <vt:lpstr>Мичу</vt:lpstr>
      <vt:lpstr>Сызр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2025-08-11T05:36:08Z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E77E90DF-6271-4F5B-834F-2DD1F245DDA4}" pid="4">
    <vt:vector size="2" baseType="ui4">
      <vt:ui4>0</vt:ui4>
      <vt:ui4>0</vt:ui4>
    </vt:vector>
  </property>
</Properties>
</file>