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https://umainesystem-my.sharepoint.com/personal/andrea_rudai_maine_edu/Documents/"/>
    </mc:Choice>
  </mc:AlternateContent>
  <xr:revisionPtr revIDLastSave="0" documentId="8_{44E49DAD-DC5D-467F-A9E7-699DF222E5F0}" xr6:coauthVersionLast="47" xr6:coauthVersionMax="47" xr10:uidLastSave="{00000000-0000-0000-0000-000000000000}"/>
  <bookViews>
    <workbookView xWindow="-108" yWindow="-108" windowWidth="23256" windowHeight="12576" xr2:uid="{4508B61F-B6C7-4D9D-8F11-DBBA6E3FC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1" l="1"/>
  <c r="F16" i="1"/>
  <c r="F17" i="1"/>
  <c r="F18" i="1"/>
  <c r="F19" i="1"/>
  <c r="F20" i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B20" i="1"/>
  <c r="C20" i="1" s="1"/>
  <c r="A15" i="1"/>
  <c r="B15" i="1" s="1"/>
  <c r="C15" i="1" s="1"/>
  <c r="A16" i="1"/>
  <c r="B16" i="1" s="1"/>
  <c r="C16" i="1" s="1"/>
  <c r="A17" i="1"/>
  <c r="B17" i="1" s="1"/>
  <c r="C17" i="1" s="1"/>
  <c r="A18" i="1"/>
  <c r="B18" i="1" s="1"/>
  <c r="C18" i="1" s="1"/>
  <c r="A19" i="1"/>
  <c r="B19" i="1" s="1"/>
  <c r="C19" i="1" s="1"/>
  <c r="A20" i="1"/>
  <c r="B25" i="1"/>
  <c r="C25" i="1" s="1"/>
  <c r="D25" i="1" s="1"/>
  <c r="E25" i="1" s="1"/>
  <c r="B26" i="1"/>
  <c r="C26" i="1" s="1"/>
  <c r="D26" i="1" s="1"/>
  <c r="E26" i="1" s="1"/>
  <c r="B27" i="1"/>
  <c r="C27" i="1" s="1"/>
  <c r="D27" i="1" s="1"/>
  <c r="E27" i="1" s="1"/>
  <c r="B28" i="1"/>
  <c r="B29" i="1"/>
  <c r="B24" i="1"/>
  <c r="C29" i="1" l="1"/>
  <c r="D29" i="1" s="1"/>
  <c r="E29" i="1" s="1"/>
  <c r="C28" i="1"/>
  <c r="D28" i="1" s="1"/>
  <c r="E28" i="1" s="1"/>
  <c r="C24" i="1"/>
  <c r="D24" i="1" s="1"/>
  <c r="E24" i="1" l="1"/>
  <c r="A11" i="1" a="1"/>
  <c r="A11" i="1" l="1"/>
  <c r="G15" i="1" s="1"/>
  <c r="H15" i="1" s="1"/>
  <c r="G20" i="1" l="1"/>
  <c r="H20" i="1" s="1"/>
  <c r="G19" i="1"/>
  <c r="H19" i="1" s="1"/>
  <c r="G18" i="1"/>
  <c r="H18" i="1" s="1"/>
  <c r="G17" i="1"/>
  <c r="H17" i="1" s="1"/>
  <c r="G16" i="1"/>
  <c r="H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<sst xmlns="http://schemas.openxmlformats.org/spreadsheetml/2006/main" count="21" uniqueCount="21">
  <si>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Temp (Celsius)</t>
  </si>
  <si>
    <t>Res (Ohms)</t>
  </si>
  <si>
    <t>Parameters Best Fit</t>
  </si>
  <si>
    <t>C</t>
  </si>
  <si>
    <t>B</t>
  </si>
  <si>
    <t>A</t>
  </si>
  <si>
    <t>True values</t>
  </si>
  <si>
    <t>R</t>
  </si>
  <si>
    <t>lnR</t>
  </si>
  <si>
    <t>lnR^3</t>
  </si>
  <si>
    <t>Tk</t>
  </si>
  <si>
    <t>1/T</t>
  </si>
  <si>
    <t>TrueC</t>
  </si>
  <si>
    <t>Cal1/T</t>
  </si>
  <si>
    <t>CalTC</t>
  </si>
  <si>
    <t>Noise</t>
  </si>
  <si>
    <t>noise mult</t>
  </si>
  <si>
    <t>noise</t>
  </si>
  <si>
    <t>Tobs=truth+noise</t>
  </si>
  <si>
    <t>1/Tobs</t>
  </si>
  <si>
    <t>TobsC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</si>
</sst>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075772-84D6-46C2-A18D-FAEE512D2940}" name="Table2" displayName="Table2" ref="A1:B7" totalsRowShown="0">
  <autoFilter ref="A1:B7" xr:uid="{6B075772-84D6-46C2-A18D-FAEE512D2940}"/>
  <tableColumns count="2">
    <tableColumn id="1" xr3:uid="{82B06A17-A8F7-46A0-9345-D0CBA0A80105}" name="Temp (Celsius)"/>
    <tableColumn id="2" xr3:uid="{7E2494E3-3FE8-4330-AAF5-5BD73B034938}" name="Res (Ohms)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DD8DED-5EBB-4690-B377-CA57593839C8}" name="Table3" displayName="Table3" ref="A14:H20" totalsRowShown="0">
  <autoFilter ref="A14:H20" xr:uid="{24DD8DED-5EBB-4690-B377-CA57593839C8}"/>
  <tableColumns count="8">
    <tableColumn id="1" xr3:uid="{7A914C3C-9353-4E7A-8979-946B5CDBE8FB}" name="R" dataDxfId="10">
      <calculatedColumnFormula>B2</calculatedColumnFormula>
    </tableColumn>
    <tableColumn id="2" xr3:uid="{88338EC3-61DC-4B42-8373-21B8E4CF4231}" name="lnR" dataDxfId="9">
      <calculatedColumnFormula>LN(Table3[[#This Row],[R]])</calculatedColumnFormula>
    </tableColumn>
    <tableColumn id="3" xr3:uid="{331DB298-1823-49F1-BE23-C3A80356C8CF}" name="lnR^3" dataDxfId="8">
      <calculatedColumnFormula>Table3[[#This Row],[lnR]]^3</calculatedColumnFormula>
    </tableColumn>
    <tableColumn id="4" xr3:uid="{A00BC600-C801-4A16-A59D-13F3575797FC}" name="Tk" dataDxfId="7">
      <calculatedColumnFormula>A2+273.15</calculatedColumnFormula>
    </tableColumn>
    <tableColumn id="5" xr3:uid="{01C3EACB-78B1-4648-805A-2FCD8FD42D79}" name="1/T" dataDxfId="6">
      <calculatedColumnFormula>1/Table3[[#This Row],[Tk]]</calculatedColumnFormula>
    </tableColumn>
    <tableColumn id="6" xr3:uid="{DAC43212-E4C7-42B0-AAB7-0E65D1EAAEE6}" name="TrueC" dataDxfId="5">
      <calculatedColumnFormula>A2</calculatedColumnFormula>
    </tableColumn>
    <tableColumn id="7" xr3:uid="{64072073-BD3A-4E37-AF83-CC58CABA9538}" name="Cal1/T" dataDxfId="1">
      <calculatedColumnFormula>$C$11+$B$11*B15+$A$11*C15</calculatedColumnFormula>
    </tableColumn>
    <tableColumn id="8" xr3:uid="{38E5CA29-B594-4FB4-994D-54724330DB3C}" name="CalTC" dataDxfId="0">
      <calculatedColumnFormula>1/Table3[[#This Row],[Cal1/T]]-273</calculatedColumnFormula>
    </tableColumn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61A841F-54B5-4584-8094-51A4A5EA639B}" name="Table4" displayName="Table4" ref="A23:E29" totalsRowShown="0">
  <autoFilter ref="A23:E29" xr:uid="{861A841F-54B5-4584-8094-51A4A5EA639B}"/>
  <tableColumns count="5">
    <tableColumn id="1" xr3:uid="{0E739710-C182-4D76-827D-E29F1DCADAAB}" name="noise mult"/>
    <tableColumn id="2" xr3:uid="{413BF44A-86C3-453F-A0D3-FAE1AEB7C5D0}" name="noise">
      <calculatedColumnFormula>(RAND()-0.5*$A$24)</calculatedColumnFormula>
    </tableColumn>
    <tableColumn id="3" xr3:uid="{4914211D-E628-4590-8386-01B15F447D32}" name="Tobs=truth+noise" dataDxfId="4">
      <calculatedColumnFormula>D15+Table4[[#This Row],[noise]]</calculatedColumnFormula>
    </tableColumn>
    <tableColumn id="4" xr3:uid="{BCCF4FA5-87FB-441E-B48F-C6B9754C8DC4}" name="1/Tobs" dataDxfId="3">
      <calculatedColumnFormula>1/Table4[[#This Row],[Tobs=truth+noise]]</calculatedColumnFormula>
    </tableColumn>
    <tableColumn id="5" xr3:uid="{3BDEA405-1B45-48EB-83F0-21F499A30F87}" name="TobsC" dataDxfId="2">
      <calculatedColumnFormula>(1/Table4[[#This Row],[1/Tobs]])-273.15</calculatedColumnFormula>
    </tableColumn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80FB-9EF7-42A3-966C-F3BC061454AB}">
  <dimension ref="A1:H29"/>
  <sheetViews>
    <sheetView tabSelected="1" workbookViewId="0">
      <selection activeCell="I29" sqref="I29"/>
    </sheetView>
  </sheetViews>
  <sheetFormatPr defaultRowHeight="14.4" x14ac:dyDescent="0.3"/>
  <cols>
    <col min="1" max="1" width="14.5546875" customWidth="1"/>
    <col min="2" max="2" width="12" customWidth="1"/>
    <col min="3" max="3" width="17.109375" customWidth="1"/>
  </cols>
  <sheetData>
    <row r="1" spans="1:8" x14ac:dyDescent="0.3">
      <c r="A1" t="s">
        <v>0</v>
      </c>
      <c r="B1" t="s">
        <v>1</v>
      </c>
    </row>
    <row r="2" spans="1:8" x14ac:dyDescent="0.3">
      <c r="A2">
        <v>22</v>
      </c>
      <c r="B2">
        <v>4614.22</v>
      </c>
    </row>
    <row r="3" spans="1:8" x14ac:dyDescent="0.3">
      <c r="A3">
        <v>18</v>
      </c>
      <c r="B3">
        <v>6280</v>
      </c>
    </row>
    <row r="4" spans="1:8" x14ac:dyDescent="0.3">
      <c r="A4">
        <v>12.6</v>
      </c>
      <c r="B4">
        <v>8350</v>
      </c>
    </row>
    <row r="5" spans="1:8" x14ac:dyDescent="0.3">
      <c r="A5">
        <v>9</v>
      </c>
      <c r="B5">
        <v>9700</v>
      </c>
    </row>
    <row r="6" spans="1:8" x14ac:dyDescent="0.3">
      <c r="A6">
        <v>3</v>
      </c>
      <c r="B6">
        <v>12000</v>
      </c>
    </row>
    <row r="7" spans="1:8" x14ac:dyDescent="0.3">
      <c r="A7">
        <v>0</v>
      </c>
      <c r="B7">
        <v>13106</v>
      </c>
    </row>
    <row r="9" spans="1:8" x14ac:dyDescent="0.3">
      <c r="A9" t="s">
        <v>2</v>
      </c>
    </row>
    <row r="10" spans="1:8" x14ac:dyDescent="0.3">
      <c r="A10" s="1" t="s">
        <v>3</v>
      </c>
      <c r="B10" s="1" t="s">
        <v>4</v>
      </c>
      <c r="C10" s="1" t="s">
        <v>5</v>
      </c>
    </row>
    <row r="11" spans="1:8" x14ac:dyDescent="0.3">
      <c r="A11" cm="1">
        <f t="array" aca="1" ref="A11:C11" ca="1">LINEST(Table4[1/Tobs],Table3[[lnR]:[lnR^3]],TRUE,FALSE)</f>
        <v>6.231344443523858E-6</v>
      </c>
      <c r="B11">
        <f ca="1"/>
        <v>-1.2357585904284709E-3</v>
      </c>
      <c r="C11">
        <f ca="1"/>
        <v>1.0071133828351985E-2</v>
      </c>
    </row>
    <row r="13" spans="1:8" x14ac:dyDescent="0.3">
      <c r="A13" t="s">
        <v>6</v>
      </c>
    </row>
    <row r="14" spans="1:8" x14ac:dyDescent="0.3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</row>
    <row r="15" spans="1:8" x14ac:dyDescent="0.3">
      <c r="A15">
        <f t="shared" ref="A15:A20" si="0">B2</f>
        <v>4614.22</v>
      </c>
      <c r="B15">
        <f>LN(Table3[[#This Row],[R]])</f>
        <v>8.4368981185679548</v>
      </c>
      <c r="C15">
        <f>Table3[[#This Row],[lnR]]^3</f>
        <v>600.54895304726597</v>
      </c>
      <c r="D15">
        <f t="shared" ref="D15:D20" si="1">A2+273.15</f>
        <v>295.14999999999998</v>
      </c>
      <c r="E15">
        <f>1/Table3[[#This Row],[Tk]]</f>
        <v>3.3881077418261903E-3</v>
      </c>
      <c r="F15">
        <f t="shared" ref="F15:F20" si="2">A2</f>
        <v>22</v>
      </c>
      <c r="G15">
        <f t="shared" ref="G15:G20" ca="1" si="3">$C$11+$B$11*B15+$A$11*C15</f>
        <v>3.3873918833969823E-3</v>
      </c>
      <c r="H15">
        <f ca="1">1/Table3[[#This Row],[Cal1/T]]-273</f>
        <v>22.21237412813565</v>
      </c>
    </row>
    <row r="16" spans="1:8" x14ac:dyDescent="0.3">
      <c r="A16">
        <f t="shared" si="0"/>
        <v>6280</v>
      </c>
      <c r="B16">
        <f>LN(Table3[[#This Row],[R]])</f>
        <v>8.7451252594622435</v>
      </c>
      <c r="C16">
        <f>Table3[[#This Row],[lnR]]^3</f>
        <v>668.80283169814709</v>
      </c>
      <c r="D16">
        <f t="shared" si="1"/>
        <v>291.14999999999998</v>
      </c>
      <c r="E16">
        <f>1/Table3[[#This Row],[Tk]]</f>
        <v>3.4346556757685045E-3</v>
      </c>
      <c r="F16">
        <f t="shared" si="2"/>
        <v>18</v>
      </c>
      <c r="G16">
        <f t="shared" ca="1" si="3"/>
        <v>3.4318109737137793E-3</v>
      </c>
      <c r="H16">
        <f ca="1">1/Table3[[#This Row],[Cal1/T]]-273</f>
        <v>18.391340507847644</v>
      </c>
    </row>
    <row r="17" spans="1:8" x14ac:dyDescent="0.3">
      <c r="A17">
        <f t="shared" si="0"/>
        <v>8350</v>
      </c>
      <c r="B17">
        <f>LN(Table3[[#This Row],[R]])</f>
        <v>9.030016817844901</v>
      </c>
      <c r="C17">
        <f>Table3[[#This Row],[lnR]]^3</f>
        <v>736.31844103429</v>
      </c>
      <c r="D17">
        <f t="shared" si="1"/>
        <v>285.75</v>
      </c>
      <c r="E17">
        <f>1/Table3[[#This Row],[Tk]]</f>
        <v>3.499562554680665E-3</v>
      </c>
      <c r="F17">
        <f t="shared" si="2"/>
        <v>12.6</v>
      </c>
      <c r="G17">
        <f t="shared" ca="1" si="3"/>
        <v>3.5004668001897572E-3</v>
      </c>
      <c r="H17">
        <f ca="1">1/Table3[[#This Row],[Cal1/T]]-273</f>
        <v>12.676184657940723</v>
      </c>
    </row>
    <row r="18" spans="1:8" x14ac:dyDescent="0.3">
      <c r="A18">
        <f t="shared" si="0"/>
        <v>9700</v>
      </c>
      <c r="B18">
        <f>LN(Table3[[#This Row],[R]])</f>
        <v>9.1798811644914746</v>
      </c>
      <c r="C18">
        <f>Table3[[#This Row],[lnR]]^3</f>
        <v>773.59058872838887</v>
      </c>
      <c r="D18">
        <f t="shared" si="1"/>
        <v>282.14999999999998</v>
      </c>
      <c r="E18">
        <f>1/Table3[[#This Row],[Tk]]</f>
        <v>3.5442140705298601E-3</v>
      </c>
      <c r="F18">
        <f t="shared" si="2"/>
        <v>9</v>
      </c>
      <c r="G18">
        <f t="shared" ca="1" si="3"/>
        <v>3.5475262368541271E-3</v>
      </c>
      <c r="H18">
        <f ca="1">1/Table3[[#This Row],[Cal1/T]]-273</f>
        <v>8.88656918483548</v>
      </c>
    </row>
    <row r="19" spans="1:8" x14ac:dyDescent="0.3">
      <c r="A19">
        <f t="shared" si="0"/>
        <v>12000</v>
      </c>
      <c r="B19">
        <f>LN(Table3[[#This Row],[R]])</f>
        <v>9.3926619287701367</v>
      </c>
      <c r="C19">
        <f>Table3[[#This Row],[lnR]]^3</f>
        <v>828.64034217681296</v>
      </c>
      <c r="D19">
        <f t="shared" si="1"/>
        <v>276.14999999999998</v>
      </c>
      <c r="E19">
        <f>1/Table3[[#This Row],[Tk]]</f>
        <v>3.6212203512583745E-3</v>
      </c>
      <c r="F19">
        <f t="shared" si="2"/>
        <v>3</v>
      </c>
      <c r="G19">
        <f t="shared" ca="1" si="3"/>
        <v>3.62761455478703E-3</v>
      </c>
      <c r="H19">
        <f ca="1">1/Table3[[#This Row],[Cal1/T]]-273</f>
        <v>2.6632450601433675</v>
      </c>
    </row>
    <row r="20" spans="1:8" x14ac:dyDescent="0.3">
      <c r="A20">
        <f t="shared" si="0"/>
        <v>13106</v>
      </c>
      <c r="B20">
        <f>LN(Table3[[#This Row],[R]])</f>
        <v>9.4808254195994426</v>
      </c>
      <c r="C20">
        <f>Table3[[#This Row],[lnR]]^3</f>
        <v>852.19395374594171</v>
      </c>
      <c r="D20">
        <f t="shared" si="1"/>
        <v>273.14999999999998</v>
      </c>
      <c r="E20">
        <f>1/Table3[[#This Row],[Tk]]</f>
        <v>3.6609921288669233E-3</v>
      </c>
      <c r="F20">
        <f t="shared" si="2"/>
        <v>0</v>
      </c>
      <c r="G20">
        <f t="shared" ca="1" si="3"/>
        <v>3.6654364302087638E-3</v>
      </c>
      <c r="H20">
        <f ca="1">1/Table3[[#This Row],[Cal1/T]]-273</f>
        <v>-0.18119136960581272</v>
      </c>
    </row>
    <row r="22" spans="1:8" x14ac:dyDescent="0.3">
      <c r="A22" t="s">
        <v>15</v>
      </c>
    </row>
    <row r="23" spans="1:8" x14ac:dyDescent="0.3">
      <c r="A23" t="s">
        <v>16</v>
      </c>
      <c r="B23" t="s">
        <v>17</v>
      </c>
      <c r="C23" t="s">
        <v>18</v>
      </c>
      <c r="D23" t="s">
        <v>19</v>
      </c>
      <c r="E23" t="s">
        <v>20</v>
      </c>
    </row>
    <row r="24" spans="1:8" x14ac:dyDescent="0.3">
      <c r="A24">
        <v>1</v>
      </c>
      <c r="B24">
        <f ca="1">(RAND()-0.5*$A$24)</f>
        <v>0.14234902643412572</v>
      </c>
      <c r="C24">
        <f ca="1">D15+Table4[[#This Row],[noise]]</f>
        <v>295.29234902643412</v>
      </c>
      <c r="D24">
        <f ca="1">1/Table4[[#This Row],[Tobs=truth+noise]]</f>
        <v>3.3864744660569634E-3</v>
      </c>
      <c r="E24">
        <f ca="1">(1/Table4[[#This Row],[1/Tobs]])-273.15</f>
        <v>22.142349026434147</v>
      </c>
    </row>
    <row r="25" spans="1:8" x14ac:dyDescent="0.3">
      <c r="B25">
        <f t="shared" ref="B25:B29" ca="1" si="4">(RAND()-0.5*$A$24)</f>
        <v>1.2644399664999417E-2</v>
      </c>
      <c r="C25">
        <f ca="1">D16+Table4[[#This Row],[noise]]</f>
        <v>291.162644399665</v>
      </c>
      <c r="D25">
        <f ca="1">1/Table4[[#This Row],[Tobs=truth+noise]]</f>
        <v>3.4345065180385846E-3</v>
      </c>
      <c r="E25">
        <f ca="1">(1/Table4[[#This Row],[1/Tobs]])-273.15</f>
        <v>18.012644399665021</v>
      </c>
    </row>
    <row r="26" spans="1:8" x14ac:dyDescent="0.3">
      <c r="B26">
        <f t="shared" ca="1" si="4"/>
        <v>0.1742518002323683</v>
      </c>
      <c r="C26">
        <f ca="1">D17+Table4[[#This Row],[noise]]</f>
        <v>285.92425180023235</v>
      </c>
      <c r="D26">
        <f ca="1">1/Table4[[#This Row],[Tobs=truth+noise]]</f>
        <v>3.4974298042359602E-3</v>
      </c>
      <c r="E26">
        <f ca="1">(1/Table4[[#This Row],[1/Tobs]])-273.15</f>
        <v>12.774251800232378</v>
      </c>
    </row>
    <row r="27" spans="1:8" x14ac:dyDescent="0.3">
      <c r="B27">
        <f t="shared" ca="1" si="4"/>
        <v>-0.41314785278155641</v>
      </c>
      <c r="C27">
        <f ca="1">D18+Table4[[#This Row],[noise]]</f>
        <v>281.73685214721843</v>
      </c>
      <c r="D27">
        <f ca="1">1/Table4[[#This Row],[Tobs=truth+noise]]</f>
        <v>3.5494114184162931E-3</v>
      </c>
      <c r="E27">
        <f ca="1">(1/Table4[[#This Row],[1/Tobs]])-273.15</f>
        <v>8.5868521472184511</v>
      </c>
    </row>
    <row r="28" spans="1:8" x14ac:dyDescent="0.3">
      <c r="B28">
        <f t="shared" ca="1" si="4"/>
        <v>-0.29387142699039948</v>
      </c>
      <c r="C28">
        <f ca="1">D19+Table4[[#This Row],[noise]]</f>
        <v>275.85612857300958</v>
      </c>
      <c r="D28">
        <f ca="1">1/Table4[[#This Row],[Tobs=truth+noise]]</f>
        <v>3.6250780621512801E-3</v>
      </c>
      <c r="E28">
        <f ca="1">(1/Table4[[#This Row],[1/Tobs]])-273.15</f>
        <v>2.7061285730096074</v>
      </c>
    </row>
    <row r="29" spans="1:8" x14ac:dyDescent="0.3">
      <c r="B29">
        <f t="shared" ca="1" si="4"/>
        <v>-0.47329221222481366</v>
      </c>
      <c r="C29">
        <f ca="1">D20+Table4[[#This Row],[noise]]</f>
        <v>272.67670778777517</v>
      </c>
      <c r="D29">
        <f ca="1">1/Table4[[#This Row],[Tobs=truth+noise]]</f>
        <v>3.6673466102513678E-3</v>
      </c>
      <c r="E29">
        <f ca="1">(1/Table4[[#This Row],[1/Tobs]])-273.15</f>
        <v>-0.47329221222480555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Jeanette Rudai</dc:creator>
  <cp:lastModifiedBy>Andi Jeanette Rudai</cp:lastModifiedBy>
  <dcterms:created xsi:type="dcterms:W3CDTF">2023-11-15T16:02:11Z</dcterms:created>
  <dcterms:modified xsi:type="dcterms:W3CDTF">2023-12-10T21:35:27Z</dcterms:modified>
</cp:coreProperties>
</file>