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aszlo\My Tresors\Private\MUW\Grants\ERC\Proposal\"/>
    </mc:Choice>
  </mc:AlternateContent>
  <xr:revisionPtr revIDLastSave="0" documentId="13_ncr:1_{0EFD60CC-B498-421C-B3A2-0DFB725E4B4F}" xr6:coauthVersionLast="47" xr6:coauthVersionMax="47" xr10:uidLastSave="{00000000-0000-0000-0000-000000000000}"/>
  <bookViews>
    <workbookView xWindow="-110" yWindow="-110" windowWidth="38620" windowHeight="21100" xr2:uid="{A9C0DBCC-606B-4251-8BAC-4242F00CAF5E}"/>
  </bookViews>
  <sheets>
    <sheet name="Convolutional (CNN, nnUnet)" sheetId="6" r:id="rId1"/>
    <sheet name="MLP (SKIP, Recurrent, spiking)" sheetId="2" r:id="rId2"/>
    <sheet name="Kolmogorov-Arnold (KAN)" sheetId="8" r:id="rId3"/>
    <sheet name="Attention (ATT)" sheetId="10"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6" l="1"/>
  <c r="E18" i="10"/>
  <c r="F18" i="10" s="1"/>
  <c r="P18" i="10" s="1"/>
  <c r="E17" i="10"/>
  <c r="F17" i="10" s="1"/>
  <c r="P17" i="10" s="1"/>
  <c r="E16" i="10"/>
  <c r="F16" i="10" s="1"/>
  <c r="P16" i="10" s="1"/>
  <c r="E15" i="10"/>
  <c r="F15" i="10" s="1"/>
  <c r="P15" i="10" s="1"/>
  <c r="E14" i="10"/>
  <c r="F14" i="10" s="1"/>
  <c r="K14" i="10" s="1"/>
  <c r="E9" i="10"/>
  <c r="F9" i="10" s="1"/>
  <c r="E8" i="10"/>
  <c r="F8" i="10" s="1"/>
  <c r="E5" i="10"/>
  <c r="F5" i="10" s="1"/>
  <c r="E6" i="10"/>
  <c r="F6" i="10" s="1"/>
  <c r="E7" i="10"/>
  <c r="F7" i="10" s="1"/>
  <c r="H7" i="10" s="1"/>
  <c r="O42" i="6"/>
  <c r="O40" i="6"/>
  <c r="O38" i="6"/>
  <c r="O36" i="6"/>
  <c r="O34" i="6"/>
  <c r="P33" i="6"/>
  <c r="O33" i="6"/>
  <c r="O28" i="6"/>
  <c r="O26" i="6"/>
  <c r="O24" i="6"/>
  <c r="O22" i="6"/>
  <c r="O20" i="6"/>
  <c r="O19" i="6"/>
  <c r="S19" i="6" s="1"/>
  <c r="O14" i="6"/>
  <c r="O12" i="6"/>
  <c r="O10" i="6"/>
  <c r="O8" i="6"/>
  <c r="O6" i="6"/>
  <c r="E8" i="8"/>
  <c r="B15" i="8" s="1"/>
  <c r="E7" i="8"/>
  <c r="D7" i="8" s="1"/>
  <c r="N6" i="8"/>
  <c r="P6" i="8" s="1"/>
  <c r="K6" i="8"/>
  <c r="H6" i="8"/>
  <c r="J6" i="8" s="1"/>
  <c r="E6" i="8"/>
  <c r="B13" i="8" s="1"/>
  <c r="N5" i="8"/>
  <c r="P5" i="8" s="1"/>
  <c r="K5" i="8"/>
  <c r="H5" i="8"/>
  <c r="E5" i="8"/>
  <c r="D5" i="8" s="1"/>
  <c r="N6" i="2"/>
  <c r="P6" i="2" s="1"/>
  <c r="K6" i="2"/>
  <c r="M6" i="2" s="1"/>
  <c r="H6" i="2"/>
  <c r="J6" i="2" s="1"/>
  <c r="E6" i="2"/>
  <c r="G6" i="2" s="1"/>
  <c r="D6" i="2"/>
  <c r="N5" i="2"/>
  <c r="P5" i="2" s="1"/>
  <c r="K5" i="2"/>
  <c r="M5" i="2" s="1"/>
  <c r="H5" i="2"/>
  <c r="J5" i="2" s="1"/>
  <c r="E5" i="2"/>
  <c r="G5" i="2" s="1"/>
  <c r="L21" i="6"/>
  <c r="L23" i="6" s="1"/>
  <c r="L25" i="6" s="1"/>
  <c r="L27" i="6" s="1"/>
  <c r="L7" i="6"/>
  <c r="L9" i="6" s="1"/>
  <c r="L11" i="6" s="1"/>
  <c r="L13" i="6" s="1"/>
  <c r="L35" i="6"/>
  <c r="H42" i="6"/>
  <c r="H40" i="6"/>
  <c r="H38" i="6"/>
  <c r="H36" i="6"/>
  <c r="H34" i="6"/>
  <c r="H28" i="6"/>
  <c r="E28" i="6"/>
  <c r="H26" i="6"/>
  <c r="E26" i="6"/>
  <c r="H24" i="6"/>
  <c r="E24" i="6"/>
  <c r="H22" i="6"/>
  <c r="E22" i="6"/>
  <c r="H20" i="6"/>
  <c r="E20" i="6"/>
  <c r="D20" i="6"/>
  <c r="M42" i="6"/>
  <c r="M40" i="6"/>
  <c r="M38" i="6"/>
  <c r="M36" i="6"/>
  <c r="M34" i="6"/>
  <c r="M33" i="6"/>
  <c r="M28" i="6"/>
  <c r="M26" i="6"/>
  <c r="M24" i="6"/>
  <c r="M22" i="6"/>
  <c r="M20" i="6"/>
  <c r="P20" i="6" s="1"/>
  <c r="M19" i="6"/>
  <c r="E42" i="6"/>
  <c r="E41" i="6"/>
  <c r="E40" i="6"/>
  <c r="E39" i="6"/>
  <c r="E38" i="6"/>
  <c r="E37" i="6"/>
  <c r="E36" i="6"/>
  <c r="E35" i="6"/>
  <c r="D35" i="6"/>
  <c r="D36" i="6" s="1"/>
  <c r="E34" i="6"/>
  <c r="D34" i="6"/>
  <c r="E25" i="6"/>
  <c r="G21" i="6"/>
  <c r="G23" i="6" s="1"/>
  <c r="G24" i="6" s="1"/>
  <c r="E21" i="6"/>
  <c r="D21" i="6"/>
  <c r="D22" i="6" s="1"/>
  <c r="E11" i="6"/>
  <c r="E9" i="6"/>
  <c r="E8" i="6"/>
  <c r="E7" i="6"/>
  <c r="H14" i="6"/>
  <c r="E14" i="6"/>
  <c r="H10" i="6"/>
  <c r="E10" i="6"/>
  <c r="H8" i="6"/>
  <c r="M6" i="6"/>
  <c r="M8" i="6"/>
  <c r="M10" i="6"/>
  <c r="M12" i="6"/>
  <c r="M14" i="6"/>
  <c r="M5" i="6"/>
  <c r="P5" i="6" s="1"/>
  <c r="H6" i="6"/>
  <c r="E6" i="6"/>
  <c r="G33" i="6"/>
  <c r="G34" i="6" s="1"/>
  <c r="F33" i="6"/>
  <c r="C35" i="6" s="1"/>
  <c r="G19" i="6"/>
  <c r="G20" i="6" s="1"/>
  <c r="F19" i="6"/>
  <c r="C20" i="6" s="1"/>
  <c r="F20" i="6" s="1"/>
  <c r="D6" i="6"/>
  <c r="G5" i="6"/>
  <c r="G7" i="6" s="1"/>
  <c r="G8" i="6" s="1"/>
  <c r="D7" i="6"/>
  <c r="F5" i="6"/>
  <c r="C7" i="6" s="1"/>
  <c r="D7" i="2"/>
  <c r="D8" i="2"/>
  <c r="D5" i="2"/>
  <c r="G12" i="2" s="1"/>
  <c r="E8" i="2"/>
  <c r="H8" i="2" s="1"/>
  <c r="K8" i="2" s="1"/>
  <c r="N8" i="2" s="1"/>
  <c r="P8" i="2" s="1"/>
  <c r="E7" i="2"/>
  <c r="M5" i="8" l="1"/>
  <c r="J5" i="8"/>
  <c r="B12" i="2"/>
  <c r="C12" i="2"/>
  <c r="I12" i="2"/>
  <c r="P14" i="10"/>
  <c r="K15" i="10"/>
  <c r="H15" i="10"/>
  <c r="N15" i="10" s="1"/>
  <c r="H17" i="10"/>
  <c r="N17" i="10" s="1"/>
  <c r="K17" i="10"/>
  <c r="H14" i="10"/>
  <c r="K16" i="10"/>
  <c r="H16" i="10"/>
  <c r="N16" i="10" s="1"/>
  <c r="K18" i="10"/>
  <c r="H18" i="10"/>
  <c r="K8" i="10"/>
  <c r="H8" i="10"/>
  <c r="M8" i="10" s="1"/>
  <c r="H6" i="10"/>
  <c r="L6" i="10" s="1"/>
  <c r="K6" i="10"/>
  <c r="H5" i="10"/>
  <c r="K5" i="10"/>
  <c r="K9" i="10"/>
  <c r="H9" i="10"/>
  <c r="L9" i="10" s="1"/>
  <c r="O9" i="10"/>
  <c r="L7" i="10"/>
  <c r="K7" i="10"/>
  <c r="N7" i="10"/>
  <c r="M7" i="10"/>
  <c r="O7" i="10"/>
  <c r="G5" i="8"/>
  <c r="I12" i="8" s="1"/>
  <c r="M6" i="8"/>
  <c r="G6" i="8"/>
  <c r="D6" i="8"/>
  <c r="D8" i="8"/>
  <c r="O35" i="6"/>
  <c r="H7" i="8"/>
  <c r="C14" i="8" s="1"/>
  <c r="B14" i="8"/>
  <c r="P19" i="6"/>
  <c r="O21" i="6"/>
  <c r="O7" i="6"/>
  <c r="E13" i="8"/>
  <c r="D13" i="8"/>
  <c r="B12" i="8"/>
  <c r="C13" i="8"/>
  <c r="C12" i="8"/>
  <c r="D12" i="8"/>
  <c r="E12" i="8"/>
  <c r="H8" i="8"/>
  <c r="D12" i="2"/>
  <c r="E12" i="2"/>
  <c r="L12" i="2"/>
  <c r="H12" i="2"/>
  <c r="M12" i="2" s="1"/>
  <c r="J12" i="2"/>
  <c r="E13" i="2"/>
  <c r="J13" i="2"/>
  <c r="D13" i="2"/>
  <c r="I13" i="2"/>
  <c r="C13" i="2"/>
  <c r="H13" i="2"/>
  <c r="B13" i="2"/>
  <c r="G13" i="2"/>
  <c r="G7" i="2"/>
  <c r="G14" i="2" s="1"/>
  <c r="F7" i="6"/>
  <c r="C8" i="6" s="1"/>
  <c r="F8" i="6" s="1"/>
  <c r="M21" i="6"/>
  <c r="C21" i="6"/>
  <c r="F21" i="6" s="1"/>
  <c r="C22" i="6" s="1"/>
  <c r="F22" i="6" s="1"/>
  <c r="C34" i="6"/>
  <c r="F34" i="6" s="1"/>
  <c r="P34" i="6" s="1"/>
  <c r="S33" i="6" s="1"/>
  <c r="G35" i="6"/>
  <c r="G37" i="6" s="1"/>
  <c r="G38" i="6" s="1"/>
  <c r="F35" i="6"/>
  <c r="C36" i="6" s="1"/>
  <c r="F36" i="6" s="1"/>
  <c r="L37" i="6"/>
  <c r="M35" i="6"/>
  <c r="G22" i="6"/>
  <c r="D8" i="6"/>
  <c r="G9" i="6"/>
  <c r="M7" i="6"/>
  <c r="D9" i="6"/>
  <c r="O9" i="6" s="1"/>
  <c r="N33" i="6"/>
  <c r="N19" i="6"/>
  <c r="D37" i="6"/>
  <c r="G25" i="6"/>
  <c r="G26" i="6" s="1"/>
  <c r="D23" i="6"/>
  <c r="O23" i="6" s="1"/>
  <c r="G6" i="6"/>
  <c r="C6" i="6"/>
  <c r="F6" i="6" s="1"/>
  <c r="P6" i="6" s="1"/>
  <c r="S5" i="6" s="1"/>
  <c r="J8" i="2"/>
  <c r="G8" i="2"/>
  <c r="G15" i="2" s="1"/>
  <c r="M8" i="2"/>
  <c r="H7" i="2"/>
  <c r="J7" i="2" s="1"/>
  <c r="N9" i="10" l="1"/>
  <c r="M9" i="10"/>
  <c r="U7" i="10"/>
  <c r="I13" i="8"/>
  <c r="G13" i="8"/>
  <c r="H13" i="8"/>
  <c r="J13" i="8"/>
  <c r="H12" i="8"/>
  <c r="M12" i="8" s="1"/>
  <c r="G12" i="8"/>
  <c r="L12" i="8" s="1"/>
  <c r="J12" i="8"/>
  <c r="O6" i="10"/>
  <c r="N6" i="10"/>
  <c r="O18" i="10"/>
  <c r="M18" i="10"/>
  <c r="L18" i="10"/>
  <c r="O16" i="10"/>
  <c r="M16" i="10"/>
  <c r="L16" i="10"/>
  <c r="O14" i="10"/>
  <c r="M14" i="10"/>
  <c r="L14" i="10"/>
  <c r="N18" i="10"/>
  <c r="N14" i="10"/>
  <c r="L17" i="10"/>
  <c r="M17" i="10"/>
  <c r="O17" i="10"/>
  <c r="M15" i="10"/>
  <c r="O15" i="10"/>
  <c r="L15" i="10"/>
  <c r="M6" i="10"/>
  <c r="T9" i="10"/>
  <c r="O8" i="10"/>
  <c r="L8" i="10"/>
  <c r="N8" i="10"/>
  <c r="T7" i="10"/>
  <c r="O5" i="10"/>
  <c r="M5" i="10"/>
  <c r="L5" i="10"/>
  <c r="N5" i="10"/>
  <c r="G7" i="8"/>
  <c r="K7" i="8"/>
  <c r="D14" i="8" s="1"/>
  <c r="G8" i="8"/>
  <c r="L13" i="2"/>
  <c r="N12" i="2"/>
  <c r="M13" i="2"/>
  <c r="N13" i="2"/>
  <c r="O13" i="2"/>
  <c r="O12" i="2"/>
  <c r="P35" i="6"/>
  <c r="C9" i="6"/>
  <c r="F9" i="6" s="1"/>
  <c r="S37" i="6"/>
  <c r="O37" i="6"/>
  <c r="P22" i="6"/>
  <c r="S21" i="6" s="1"/>
  <c r="M13" i="8"/>
  <c r="N13" i="8"/>
  <c r="O12" i="8"/>
  <c r="O13" i="8"/>
  <c r="L13" i="8"/>
  <c r="N7" i="6"/>
  <c r="P7" i="6"/>
  <c r="P21" i="6"/>
  <c r="N8" i="6"/>
  <c r="R7" i="6" s="1"/>
  <c r="P8" i="6"/>
  <c r="L39" i="6"/>
  <c r="O39" i="6" s="1"/>
  <c r="N34" i="6"/>
  <c r="R33" i="6" s="1"/>
  <c r="T33" i="6" s="1"/>
  <c r="N12" i="8"/>
  <c r="C15" i="8"/>
  <c r="K8" i="8"/>
  <c r="J8" i="8" s="1"/>
  <c r="H14" i="2"/>
  <c r="C14" i="2"/>
  <c r="H15" i="2"/>
  <c r="J15" i="2"/>
  <c r="I15" i="2"/>
  <c r="C15" i="2"/>
  <c r="D15" i="2"/>
  <c r="E15" i="2"/>
  <c r="B15" i="2"/>
  <c r="B14" i="2"/>
  <c r="N6" i="6"/>
  <c r="R5" i="6" s="1"/>
  <c r="T5" i="6" s="1"/>
  <c r="G39" i="6"/>
  <c r="G40" i="6" s="1"/>
  <c r="C23" i="6"/>
  <c r="F23" i="6" s="1"/>
  <c r="C24" i="6" s="1"/>
  <c r="F24" i="6" s="1"/>
  <c r="G36" i="6"/>
  <c r="C37" i="6"/>
  <c r="F37" i="6" s="1"/>
  <c r="C38" i="6" s="1"/>
  <c r="F38" i="6" s="1"/>
  <c r="P38" i="6" s="1"/>
  <c r="G10" i="6"/>
  <c r="G11" i="6"/>
  <c r="D24" i="6"/>
  <c r="D11" i="6"/>
  <c r="O11" i="6" s="1"/>
  <c r="D10" i="6"/>
  <c r="M37" i="6"/>
  <c r="N35" i="6"/>
  <c r="C10" i="6"/>
  <c r="F10" i="6" s="1"/>
  <c r="P10" i="6" s="1"/>
  <c r="C11" i="6"/>
  <c r="F11" i="6" s="1"/>
  <c r="C13" i="6" s="1"/>
  <c r="F13" i="6" s="1"/>
  <c r="E27" i="6"/>
  <c r="N20" i="6"/>
  <c r="R19" i="6" s="1"/>
  <c r="T19" i="6" s="1"/>
  <c r="E23" i="6"/>
  <c r="M23" i="6" s="1"/>
  <c r="E13" i="6"/>
  <c r="H12" i="6"/>
  <c r="E12" i="6"/>
  <c r="C39" i="6"/>
  <c r="D39" i="6"/>
  <c r="D38" i="6"/>
  <c r="C25" i="6"/>
  <c r="F25" i="6" s="1"/>
  <c r="C26" i="6" s="1"/>
  <c r="F26" i="6" s="1"/>
  <c r="P26" i="6" s="1"/>
  <c r="D25" i="6"/>
  <c r="O25" i="6" s="1"/>
  <c r="G27" i="6"/>
  <c r="G28" i="6" s="1"/>
  <c r="N5" i="6"/>
  <c r="K7" i="2"/>
  <c r="U9" i="10" l="1"/>
  <c r="U14" i="10"/>
  <c r="U16" i="10"/>
  <c r="T6" i="10"/>
  <c r="U5" i="10"/>
  <c r="U8" i="10"/>
  <c r="U17" i="10"/>
  <c r="U6" i="10"/>
  <c r="U18" i="10"/>
  <c r="U15" i="10"/>
  <c r="H15" i="8"/>
  <c r="G15" i="8"/>
  <c r="L15" i="8" s="1"/>
  <c r="G14" i="8"/>
  <c r="L14" i="8" s="1"/>
  <c r="N7" i="8"/>
  <c r="P7" i="8" s="1"/>
  <c r="T17" i="10"/>
  <c r="V6" i="10"/>
  <c r="T15" i="10"/>
  <c r="T16" i="10"/>
  <c r="T14" i="10"/>
  <c r="T18" i="10"/>
  <c r="V9" i="10"/>
  <c r="V7" i="10"/>
  <c r="T8" i="10"/>
  <c r="T5" i="10"/>
  <c r="V5" i="10" s="1"/>
  <c r="D15" i="8"/>
  <c r="J7" i="8"/>
  <c r="L15" i="2"/>
  <c r="L14" i="2"/>
  <c r="M15" i="2"/>
  <c r="M14" i="2"/>
  <c r="N15" i="2"/>
  <c r="O15" i="2"/>
  <c r="P37" i="6"/>
  <c r="N36" i="6"/>
  <c r="R35" i="6" s="1"/>
  <c r="P36" i="6"/>
  <c r="S35" i="6" s="1"/>
  <c r="T35" i="6" s="1"/>
  <c r="F39" i="6"/>
  <c r="G41" i="6"/>
  <c r="G42" i="6" s="1"/>
  <c r="P23" i="6"/>
  <c r="L41" i="6"/>
  <c r="O41" i="6" s="1"/>
  <c r="S9" i="6"/>
  <c r="S7" i="6"/>
  <c r="T7" i="6" s="1"/>
  <c r="N24" i="6"/>
  <c r="R23" i="6" s="1"/>
  <c r="P24" i="6"/>
  <c r="E14" i="8"/>
  <c r="M15" i="8"/>
  <c r="N8" i="8"/>
  <c r="P8" i="8" s="1"/>
  <c r="N26" i="6"/>
  <c r="N37" i="6"/>
  <c r="N38" i="6"/>
  <c r="R37" i="6" s="1"/>
  <c r="T37" i="6" s="1"/>
  <c r="G13" i="6"/>
  <c r="G14" i="6" s="1"/>
  <c r="G12" i="6"/>
  <c r="D26" i="6"/>
  <c r="M25" i="6"/>
  <c r="D13" i="6"/>
  <c r="O13" i="6" s="1"/>
  <c r="D12" i="6"/>
  <c r="M11" i="6"/>
  <c r="P11" i="6" s="1"/>
  <c r="N10" i="6"/>
  <c r="M39" i="6"/>
  <c r="N22" i="6"/>
  <c r="N21" i="6"/>
  <c r="N23" i="6"/>
  <c r="D41" i="6"/>
  <c r="D40" i="6"/>
  <c r="C41" i="6"/>
  <c r="C40" i="6"/>
  <c r="F40" i="6" s="1"/>
  <c r="P40" i="6" s="1"/>
  <c r="D27" i="6"/>
  <c r="O27" i="6" s="1"/>
  <c r="C27" i="6"/>
  <c r="F27" i="6" s="1"/>
  <c r="C28" i="6" s="1"/>
  <c r="F28" i="6" s="1"/>
  <c r="P28" i="6" s="1"/>
  <c r="C12" i="6"/>
  <c r="F12" i="6" s="1"/>
  <c r="N7" i="2"/>
  <c r="M7" i="2"/>
  <c r="D14" i="2" s="1"/>
  <c r="V15" i="10" l="1"/>
  <c r="V17" i="10"/>
  <c r="V16" i="10"/>
  <c r="V18" i="10"/>
  <c r="H14" i="8"/>
  <c r="M14" i="8" s="1"/>
  <c r="E15" i="8"/>
  <c r="M7" i="8"/>
  <c r="J14" i="8" s="1"/>
  <c r="O14" i="8" s="1"/>
  <c r="V14" i="10"/>
  <c r="V8" i="10"/>
  <c r="M8" i="8"/>
  <c r="S39" i="6"/>
  <c r="R21" i="6"/>
  <c r="T21" i="6" s="1"/>
  <c r="S25" i="6"/>
  <c r="S23" i="6"/>
  <c r="T23" i="6" s="1"/>
  <c r="P39" i="6"/>
  <c r="P12" i="6"/>
  <c r="R25" i="6"/>
  <c r="P25" i="6"/>
  <c r="F41" i="6"/>
  <c r="C42" i="6" s="1"/>
  <c r="F42" i="6" s="1"/>
  <c r="P42" i="6" s="1"/>
  <c r="I14" i="2"/>
  <c r="N14" i="2" s="1"/>
  <c r="D28" i="6"/>
  <c r="M13" i="6"/>
  <c r="P13" i="6" s="1"/>
  <c r="D14" i="6"/>
  <c r="N39" i="6"/>
  <c r="S41" i="6" s="1"/>
  <c r="N25" i="6"/>
  <c r="S27" i="6" s="1"/>
  <c r="N40" i="6"/>
  <c r="N28" i="6"/>
  <c r="D42" i="6"/>
  <c r="M41" i="6"/>
  <c r="P41" i="6" s="1"/>
  <c r="N11" i="6"/>
  <c r="M27" i="6"/>
  <c r="R27" i="6" s="1"/>
  <c r="N12" i="6"/>
  <c r="M9" i="6"/>
  <c r="C14" i="6"/>
  <c r="F14" i="6" s="1"/>
  <c r="P14" i="6" s="1"/>
  <c r="P7" i="2"/>
  <c r="I15" i="8" l="1"/>
  <c r="J15" i="8"/>
  <c r="I14" i="8"/>
  <c r="N14" i="8" s="1"/>
  <c r="T27" i="6"/>
  <c r="T25" i="6"/>
  <c r="R39" i="6"/>
  <c r="T39" i="6" s="1"/>
  <c r="O15" i="8"/>
  <c r="P9" i="6"/>
  <c r="R11" i="6"/>
  <c r="R9" i="6"/>
  <c r="T9" i="6" s="1"/>
  <c r="N42" i="6"/>
  <c r="R41" i="6" s="1"/>
  <c r="T41" i="6" s="1"/>
  <c r="P27" i="6"/>
  <c r="N15" i="8"/>
  <c r="J14" i="2"/>
  <c r="E14" i="2"/>
  <c r="N41" i="6"/>
  <c r="N13" i="6"/>
  <c r="N27" i="6"/>
  <c r="N14" i="6"/>
  <c r="R13" i="6" s="1"/>
  <c r="N9" i="6"/>
  <c r="O14" i="2" l="1"/>
  <c r="S13" i="6"/>
  <c r="T13" i="6" s="1"/>
  <c r="S11" i="6"/>
  <c r="T11" i="6" s="1"/>
</calcChain>
</file>

<file path=xl/sharedStrings.xml><?xml version="1.0" encoding="utf-8"?>
<sst xmlns="http://schemas.openxmlformats.org/spreadsheetml/2006/main" count="293" uniqueCount="101">
  <si>
    <t>K</t>
  </si>
  <si>
    <t>G</t>
  </si>
  <si>
    <t>N</t>
  </si>
  <si>
    <t>FC Layer 2</t>
  </si>
  <si>
    <t>FC Layer 3</t>
  </si>
  <si>
    <t>FC Layer 4</t>
  </si>
  <si>
    <t>FC Layer 5</t>
  </si>
  <si>
    <t>1H</t>
  </si>
  <si>
    <t>2H</t>
  </si>
  <si>
    <t>3H</t>
  </si>
  <si>
    <t>4H</t>
  </si>
  <si>
    <t>FC Layer 1 (Input)</t>
  </si>
  <si>
    <t>D</t>
  </si>
  <si>
    <t>C</t>
  </si>
  <si>
    <t>Block 50</t>
  </si>
  <si>
    <t>Block 100</t>
  </si>
  <si>
    <t>Hinton 200</t>
  </si>
  <si>
    <t>Hinton 500</t>
  </si>
  <si>
    <t>Input</t>
  </si>
  <si>
    <t>I</t>
  </si>
  <si>
    <t>Output</t>
  </si>
  <si>
    <t>Layer</t>
  </si>
  <si>
    <t>Stride</t>
  </si>
  <si>
    <t>Padding</t>
  </si>
  <si>
    <t>conv</t>
  </si>
  <si>
    <t>maxPool</t>
  </si>
  <si>
    <t>Layer 1</t>
  </si>
  <si>
    <t>Layer3</t>
  </si>
  <si>
    <t>Layer 2</t>
  </si>
  <si>
    <t>Layer4</t>
  </si>
  <si>
    <t>Layer5</t>
  </si>
  <si>
    <t># Param (Conv)</t>
  </si>
  <si>
    <t># Param (last Conv)</t>
  </si>
  <si>
    <t>K: Kernel width (Ki+1 = Ki-2 rule applied. Minimum K=3)</t>
  </si>
  <si>
    <t>Small</t>
  </si>
  <si>
    <t>Medium</t>
  </si>
  <si>
    <t>Large</t>
  </si>
  <si>
    <t>Note:</t>
  </si>
  <si>
    <t>N: Number of kernels in given layer</t>
  </si>
  <si>
    <t>Green cells are to be edited. The other cells are calculated</t>
  </si>
  <si>
    <t>maxPool only considered if the given layer is a last layer before fully connected layers. Stride=2, Padding=0. This is to provide conservative cDEBI-NN-to-cNN parameter count ratios</t>
  </si>
  <si>
    <t>For interpreting and editing these tables, note the comments below</t>
  </si>
  <si>
    <t>SOTA</t>
  </si>
  <si>
    <t>HEDRON</t>
  </si>
  <si>
    <t>conv: stride=1, padding=0 to provide a conservative estimate of HEDRON-to-SOTA parameter counts ratios (supports conventional NN parameter advantages)</t>
  </si>
  <si>
    <t>P-SOTA</t>
  </si>
  <si>
    <t>P-HEDRON</t>
  </si>
  <si>
    <t>Token: a piece of word or e.g. Image parts (voxels)</t>
  </si>
  <si>
    <t>Vocabulary: Predefined token list</t>
  </si>
  <si>
    <t>Context size: how much input can the model proces (e.g. Number of letters). The number of MLPs is equal with this (column count in network) and the rown is then the embedding dimension (row)</t>
  </si>
  <si>
    <t>Matrices (for 1-head attention):</t>
  </si>
  <si>
    <t>H: Head count (GPT3 has 96 heads). IMPORTANT: All heads have the same embedding matrix, but specific Key, Query and Value matrices. With multiple heads we teach the network many distinct ways of how context changes meaning</t>
  </si>
  <si>
    <t>Bias vector: Is negligible but could be also coded with Glia cells</t>
  </si>
  <si>
    <t>SR%</t>
  </si>
  <si>
    <t>SR%: Ratio of skip connections or recurrent connections in the given layer. Affects terminal count (T) in HEDRON networks.</t>
  </si>
  <si>
    <t>N: Number of Neuron cells in the given layer</t>
  </si>
  <si>
    <t>D is the dimension of HEDRON networks</t>
  </si>
  <si>
    <t>G: Number of Glia cells for storing e.g. Group-specific bias term or in case of spiking neurons, learnable parmeters other than weigths in the given layer. As a rule of thumb, G=N/10</t>
  </si>
  <si>
    <t>KP</t>
  </si>
  <si>
    <t>KP: Determines how many parameters KAN activation functions require in-between the current and the next layer per-connection (a.k.a. edge parameter count)</t>
  </si>
  <si>
    <t>HEDRON dimension</t>
  </si>
  <si>
    <t>P-HEDRON / P-SOTA</t>
  </si>
  <si>
    <t xml:space="preserve">First HEDRON layer has invariant soma coordinates, thus they are not trained. </t>
  </si>
  <si>
    <t>C: Channels in input image in first convolutional layer. Otherwise it is the convolutional kernel count from the previous layer. Since we operate with 1-channel medical images, we consider C=1 in the input image</t>
  </si>
  <si>
    <t>FC Layer 6 (Output)</t>
  </si>
  <si>
    <t>DK: Dimension of kernels</t>
  </si>
  <si>
    <t>DK</t>
  </si>
  <si>
    <t>G: Number of Glia cells for providing 2 distance parameters (one between previous layer axons and another one to next layer somas). Used to calculate edge parameters for KAN activation funcitons</t>
  </si>
  <si>
    <r>
      <t>W</t>
    </r>
    <r>
      <rPr>
        <vertAlign val="subscript"/>
        <sz val="11"/>
        <color theme="1"/>
        <rFont val="Calibri"/>
        <family val="2"/>
        <scheme val="minor"/>
      </rPr>
      <t>E</t>
    </r>
  </si>
  <si>
    <t>Embedding size</t>
  </si>
  <si>
    <t>Vocabulary size</t>
  </si>
  <si>
    <t>Query size</t>
  </si>
  <si>
    <t>Head count</t>
  </si>
  <si>
    <r>
      <t>W</t>
    </r>
    <r>
      <rPr>
        <vertAlign val="subscript"/>
        <sz val="11"/>
        <color theme="1"/>
        <rFont val="Calibri"/>
        <family val="2"/>
        <scheme val="minor"/>
      </rPr>
      <t>Q</t>
    </r>
  </si>
  <si>
    <r>
      <t>W</t>
    </r>
    <r>
      <rPr>
        <vertAlign val="subscript"/>
        <sz val="11"/>
        <color theme="1"/>
        <rFont val="Calibri"/>
        <family val="2"/>
        <scheme val="minor"/>
      </rPr>
      <t>K</t>
    </r>
  </si>
  <si>
    <r>
      <t>W</t>
    </r>
    <r>
      <rPr>
        <vertAlign val="subscript"/>
        <sz val="11"/>
        <color theme="1"/>
        <rFont val="Calibri"/>
        <family val="2"/>
        <scheme val="minor"/>
      </rPr>
      <t>Up</t>
    </r>
  </si>
  <si>
    <r>
      <t>W</t>
    </r>
    <r>
      <rPr>
        <vertAlign val="subscript"/>
        <sz val="11"/>
        <color theme="1"/>
        <rFont val="Calibri"/>
        <family val="2"/>
        <scheme val="minor"/>
      </rPr>
      <t>Down</t>
    </r>
  </si>
  <si>
    <t>Layer count</t>
  </si>
  <si>
    <t>HEDRON D</t>
  </si>
  <si>
    <t>T</t>
  </si>
  <si>
    <t>Image X</t>
  </si>
  <si>
    <t>Image Y</t>
  </si>
  <si>
    <t>Image Z (C)</t>
  </si>
  <si>
    <t>2D axial</t>
  </si>
  <si>
    <t>2D coronal MIP</t>
  </si>
  <si>
    <t>3D cube medium</t>
  </si>
  <si>
    <t>3D cube small</t>
  </si>
  <si>
    <t>3D cube large</t>
  </si>
  <si>
    <t>Image</t>
  </si>
  <si>
    <t>Patch size</t>
  </si>
  <si>
    <t>Attention</t>
  </si>
  <si>
    <r>
      <t>HEDRON-W</t>
    </r>
    <r>
      <rPr>
        <vertAlign val="subscript"/>
        <sz val="11"/>
        <color theme="1"/>
        <rFont val="Calibri"/>
        <family val="2"/>
        <scheme val="minor"/>
      </rPr>
      <t>E</t>
    </r>
  </si>
  <si>
    <t>HEDON-Controlled embedding</t>
  </si>
  <si>
    <t xml:space="preserve"> The square root operator in estimating G is present, as increasing HEDRON dimension (D) exponentially increases learning abilities. This allows decreasing G within HEDRON networks. Nevertheless, penalizing this term by multiplying it with D results in a conservative estimate</t>
  </si>
  <si>
    <r>
      <t>Embedding - W</t>
    </r>
    <r>
      <rPr>
        <vertAlign val="subscript"/>
        <sz val="11"/>
        <color theme="1"/>
        <rFont val="Calibri"/>
        <family val="2"/>
        <scheme val="minor"/>
      </rPr>
      <t>E</t>
    </r>
    <r>
      <rPr>
        <sz val="11"/>
        <color theme="1"/>
        <rFont val="Calibri"/>
        <family val="2"/>
        <scheme val="minor"/>
      </rPr>
      <t xml:space="preserve"> (d_embed x n_vocab): token size or embedding dimension (row) x vocabulary size (column). Directions in the embedding space have semantic meaning (as produced by pre-training)</t>
    </r>
  </si>
  <si>
    <r>
      <t>Key - W</t>
    </r>
    <r>
      <rPr>
        <vertAlign val="subscript"/>
        <sz val="11"/>
        <color theme="1"/>
        <rFont val="Calibri"/>
        <family val="2"/>
        <scheme val="minor"/>
      </rPr>
      <t>K</t>
    </r>
    <r>
      <rPr>
        <sz val="11"/>
        <color theme="1"/>
        <rFont val="Calibri"/>
        <family val="2"/>
        <scheme val="minor"/>
      </rPr>
      <t xml:space="preserve"> (d_query x d_embed): Same dimension as Query mx. This basically answers the query questions. Taking all Key-Query combinations together (multiplying to get a context size x context size matrix) helps us understand which tokens before the actual token attend to the actual token, thereby, building up context in the input data. So we know which word is relevant for which other words (or tokens)</t>
    </r>
  </si>
  <si>
    <r>
      <t>Query - W</t>
    </r>
    <r>
      <rPr>
        <vertAlign val="subscript"/>
        <sz val="11"/>
        <color theme="1"/>
        <rFont val="Calibri"/>
        <family val="2"/>
        <scheme val="minor"/>
      </rPr>
      <t>Q</t>
    </r>
    <r>
      <rPr>
        <sz val="11"/>
        <color theme="1"/>
        <rFont val="Calibri"/>
        <family val="2"/>
        <scheme val="minor"/>
      </rPr>
      <t xml:space="preserve"> (d_query x d_embed): Smaller query size (row) x emnedding dimension (column). Basically one Q column is a question encoded in that vector e.g. Is there a noun before the given word in the input sentence?. Key and Query together manifest an "attend to" mechanism among tokens in the input</t>
    </r>
  </si>
  <si>
    <r>
      <t>Value - W</t>
    </r>
    <r>
      <rPr>
        <vertAlign val="subscript"/>
        <sz val="11"/>
        <color theme="1"/>
        <rFont val="Calibri"/>
        <family val="2"/>
        <scheme val="minor"/>
      </rPr>
      <t>V</t>
    </r>
    <r>
      <rPr>
        <sz val="11"/>
        <color theme="1"/>
        <rFont val="Calibri"/>
        <family val="2"/>
        <scheme val="minor"/>
      </rPr>
      <t>: The columns basically manifest jumps in the high-dimensional space to get to the correct answer. This matrix basically ensures that the embeddings result in more refined embeddings that can help getting to the right answer</t>
    </r>
  </si>
  <si>
    <r>
      <t>Up-projection W</t>
    </r>
    <r>
      <rPr>
        <vertAlign val="subscript"/>
        <sz val="11"/>
        <color theme="1"/>
        <rFont val="Calibri"/>
        <family val="2"/>
        <scheme val="minor"/>
      </rPr>
      <t>UP</t>
    </r>
    <r>
      <rPr>
        <sz val="11"/>
        <color theme="1"/>
        <rFont val="Calibri"/>
        <family val="2"/>
        <scheme val="minor"/>
      </rPr>
      <t xml:space="preserve"> (d_embed x d_value): embedding size row x query size columns. to minimize parameter count of the Value matrix which in return can be calculated instead of trained</t>
    </r>
  </si>
  <si>
    <r>
      <t>Down-projection W</t>
    </r>
    <r>
      <rPr>
        <vertAlign val="subscript"/>
        <sz val="11"/>
        <color theme="1"/>
        <rFont val="Calibri"/>
        <family val="2"/>
        <scheme val="minor"/>
      </rPr>
      <t>Down</t>
    </r>
    <r>
      <rPr>
        <sz val="11"/>
        <color theme="1"/>
        <rFont val="Calibri"/>
        <family val="2"/>
        <scheme val="minor"/>
      </rPr>
      <t xml:space="preserve"> (q_query x q_embed): embedding size column x query size rows. to minimize parameter count of the Value matrix which in return can be calculated instead of trained</t>
    </r>
  </si>
  <si>
    <r>
      <t>Unembedding - W</t>
    </r>
    <r>
      <rPr>
        <vertAlign val="subscript"/>
        <sz val="11"/>
        <color theme="1"/>
        <rFont val="Calibri"/>
        <family val="2"/>
        <scheme val="minor"/>
      </rPr>
      <t>U</t>
    </r>
    <r>
      <rPr>
        <sz val="11"/>
        <color theme="1"/>
        <rFont val="Calibri"/>
        <family val="2"/>
        <scheme val="minor"/>
      </rPr>
      <t xml:space="preserve"> (n_vocab x d_enbed): row count is vocabulary size x column count is embedding dimension - same size as W_E but row-col is swapped. Not needed for vision transformers, as in this case a summarizing MLP is enough to provide the prediciton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</si>
</sst>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8"/>
      <name val="Calibri"/>
      <family val="2"/>
      <scheme val="minor"/>
    </font>
    <font>
      <vertAlign val="subscrip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15">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dashed">
        <color indexed="64"/>
      </top>
      <bottom/>
      <diagonal/>
    </border>
    <border>
      <left/>
      <right style="medium">
        <color indexed="64"/>
      </right>
      <top style="dashed">
        <color indexed="64"/>
      </top>
      <bottom/>
      <diagonal/>
    </border>
    <border>
      <left style="medium">
        <color indexed="64"/>
      </left>
      <right/>
      <top style="dashed">
        <color indexed="64"/>
      </top>
      <bottom/>
      <diagonal/>
    </border>
    <border>
      <left/>
      <right/>
      <top/>
      <bottom style="dashed">
        <color indexed="64"/>
      </bottom>
      <diagonal/>
    </border>
    <border>
      <left/>
      <right style="medium">
        <color indexed="64"/>
      </right>
      <top/>
      <bottom style="dashed">
        <color indexed="64"/>
      </bottom>
      <diagonal/>
    </border>
    <border>
      <left style="medium">
        <color indexed="64"/>
      </left>
      <right/>
      <top/>
      <bottom style="dashed">
        <color indexed="64"/>
      </bottom>
      <diagonal/>
    </border>
  </borders>
  <cellStyleXfs count="2">
    <xf numFmtId="0" fontId="0" fillId="0" borderId="0"/>
    <xf numFmtId="0" fontId="4" fillId="0" borderId="0" applyNumberFormat="0" applyFill="0" applyBorder="0" applyAlignment="0" applyProtection="0"/>
  </cellStyleXfs>
  <cellXfs count="94">
    <xf numFmtId="0" fontId="0" fillId="0" borderId="0" xfId="0"/>
    <xf numFmtId="0" fontId="1" fillId="0" borderId="0" xfId="0" applyFont="1"/>
    <xf numFmtId="1" fontId="0" fillId="0" borderId="0" xfId="0" applyNumberFormat="1"/>
    <xf numFmtId="0" fontId="0" fillId="0" borderId="0" xfId="0" applyAlignment="1">
      <alignment horizontal="center"/>
    </xf>
    <xf numFmtId="0" fontId="0" fillId="0" borderId="7" xfId="0" applyBorder="1"/>
    <xf numFmtId="0" fontId="0" fillId="2" borderId="0" xfId="0" applyFill="1"/>
    <xf numFmtId="0" fontId="0" fillId="0" borderId="1" xfId="0" applyBorder="1"/>
    <xf numFmtId="0" fontId="0" fillId="0" borderId="8" xfId="0" applyBorder="1"/>
    <xf numFmtId="0" fontId="0" fillId="0" borderId="2" xfId="0" applyBorder="1"/>
    <xf numFmtId="0" fontId="0" fillId="0" borderId="3" xfId="0" applyBorder="1"/>
    <xf numFmtId="0" fontId="0" fillId="0" borderId="7"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2" borderId="1" xfId="0" applyFill="1" applyBorder="1"/>
    <xf numFmtId="0" fontId="0" fillId="0" borderId="0" xfId="0" applyAlignment="1">
      <alignment horizontal="left"/>
    </xf>
    <xf numFmtId="0" fontId="0" fillId="0" borderId="0" xfId="0" applyAlignment="1">
      <alignment horizontal="left" vertical="center"/>
    </xf>
    <xf numFmtId="0" fontId="0" fillId="0" borderId="8" xfId="0" applyBorder="1" applyAlignment="1">
      <alignment horizontal="center"/>
    </xf>
    <xf numFmtId="0" fontId="0" fillId="0" borderId="3" xfId="0" applyBorder="1" applyAlignment="1">
      <alignment horizontal="center"/>
    </xf>
    <xf numFmtId="0" fontId="0" fillId="2" borderId="2" xfId="0" applyFill="1" applyBorder="1"/>
    <xf numFmtId="0" fontId="0" fillId="2" borderId="9" xfId="0" applyFill="1" applyBorder="1"/>
    <xf numFmtId="0" fontId="0" fillId="2" borderId="10" xfId="0" applyFill="1" applyBorder="1"/>
    <xf numFmtId="0" fontId="0" fillId="0" borderId="11" xfId="0" applyBorder="1"/>
    <xf numFmtId="0" fontId="0" fillId="0" borderId="11" xfId="0" applyBorder="1" applyAlignment="1">
      <alignment horizontal="center"/>
    </xf>
    <xf numFmtId="0" fontId="0" fillId="0" borderId="10" xfId="0" applyBorder="1" applyAlignment="1">
      <alignment horizontal="center"/>
    </xf>
    <xf numFmtId="0" fontId="0" fillId="0" borderId="12" xfId="0" applyBorder="1"/>
    <xf numFmtId="0" fontId="0" fillId="0" borderId="13" xfId="0" applyBorder="1"/>
    <xf numFmtId="0" fontId="0" fillId="0" borderId="14" xfId="0" applyBorder="1"/>
    <xf numFmtId="0" fontId="0" fillId="2" borderId="12" xfId="0" applyFill="1" applyBorder="1"/>
    <xf numFmtId="0" fontId="0" fillId="2" borderId="13" xfId="0" applyFill="1" applyBorder="1"/>
    <xf numFmtId="0" fontId="0" fillId="0" borderId="14" xfId="0" applyBorder="1" applyAlignment="1">
      <alignment horizontal="center"/>
    </xf>
    <xf numFmtId="0" fontId="0" fillId="0" borderId="13" xfId="0" applyBorder="1" applyAlignment="1">
      <alignment horizontal="center"/>
    </xf>
    <xf numFmtId="0" fontId="0" fillId="0" borderId="9" xfId="0" applyBorder="1"/>
    <xf numFmtId="0" fontId="0" fillId="0" borderId="10" xfId="0" applyBorder="1"/>
    <xf numFmtId="0" fontId="0" fillId="2" borderId="4" xfId="0" applyFill="1" applyBorder="1"/>
    <xf numFmtId="0" fontId="0" fillId="2" borderId="5" xfId="0" applyFill="1" applyBorder="1"/>
    <xf numFmtId="0" fontId="0" fillId="2" borderId="6" xfId="0" applyFill="1" applyBorder="1"/>
    <xf numFmtId="0" fontId="0" fillId="0" borderId="4" xfId="0" applyBorder="1"/>
    <xf numFmtId="0" fontId="0" fillId="0" borderId="5" xfId="0" applyBorder="1"/>
    <xf numFmtId="0" fontId="0" fillId="0" borderId="6" xfId="0" applyBorder="1"/>
    <xf numFmtId="0" fontId="0" fillId="2" borderId="7" xfId="0" applyFill="1" applyBorder="1"/>
    <xf numFmtId="0" fontId="0" fillId="2" borderId="8" xfId="0" applyFill="1" applyBorder="1"/>
    <xf numFmtId="1" fontId="0" fillId="0" borderId="7" xfId="0" applyNumberFormat="1" applyBorder="1"/>
    <xf numFmtId="1" fontId="0" fillId="0" borderId="1" xfId="0" applyNumberFormat="1" applyBorder="1"/>
    <xf numFmtId="1" fontId="0" fillId="0" borderId="8" xfId="0" applyNumberFormat="1" applyBorder="1"/>
    <xf numFmtId="1" fontId="0" fillId="0" borderId="2" xfId="0" applyNumberFormat="1" applyBorder="1"/>
    <xf numFmtId="1" fontId="0" fillId="0" borderId="3" xfId="0" applyNumberFormat="1" applyBorder="1"/>
    <xf numFmtId="0" fontId="4" fillId="0" borderId="0" xfId="1"/>
    <xf numFmtId="1" fontId="0" fillId="2" borderId="2" xfId="0" applyNumberFormat="1" applyFill="1" applyBorder="1"/>
    <xf numFmtId="2" fontId="0" fillId="2" borderId="5" xfId="0" applyNumberFormat="1" applyFill="1" applyBorder="1"/>
    <xf numFmtId="2" fontId="0" fillId="2" borderId="2" xfId="0" applyNumberFormat="1" applyFill="1" applyBorder="1"/>
    <xf numFmtId="2" fontId="0" fillId="2" borderId="0" xfId="0" applyNumberFormat="1" applyFill="1"/>
    <xf numFmtId="0" fontId="0" fillId="0" borderId="5" xfId="0" applyBorder="1" applyAlignment="1">
      <alignment horizontal="right"/>
    </xf>
    <xf numFmtId="1" fontId="0" fillId="2" borderId="5" xfId="0" applyNumberFormat="1" applyFill="1" applyBorder="1"/>
    <xf numFmtId="1" fontId="0" fillId="2" borderId="0" xfId="0" applyNumberFormat="1" applyFill="1"/>
    <xf numFmtId="164" fontId="0" fillId="0" borderId="1" xfId="0" applyNumberFormat="1" applyBorder="1"/>
    <xf numFmtId="164" fontId="0" fillId="0" borderId="3" xfId="0" applyNumberFormat="1" applyBorder="1"/>
    <xf numFmtId="2" fontId="0" fillId="0" borderId="1" xfId="0" applyNumberFormat="1" applyBorder="1"/>
    <xf numFmtId="2" fontId="0" fillId="0" borderId="3" xfId="0" applyNumberFormat="1" applyBorder="1"/>
    <xf numFmtId="1" fontId="0" fillId="0" borderId="6" xfId="0" applyNumberFormat="1" applyBorder="1"/>
    <xf numFmtId="164" fontId="0" fillId="0" borderId="0" xfId="0" applyNumberFormat="1"/>
    <xf numFmtId="0" fontId="4" fillId="0" borderId="0" xfId="1" applyFill="1"/>
    <xf numFmtId="2" fontId="0" fillId="0" borderId="7" xfId="0" applyNumberFormat="1" applyBorder="1"/>
    <xf numFmtId="2" fontId="0" fillId="0" borderId="0" xfId="0" applyNumberFormat="1"/>
    <xf numFmtId="2" fontId="0" fillId="0" borderId="8" xfId="0" applyNumberFormat="1" applyBorder="1"/>
    <xf numFmtId="2" fontId="0" fillId="0" borderId="2" xfId="0" applyNumberFormat="1" applyBorder="1"/>
    <xf numFmtId="0" fontId="0" fillId="0" borderId="0" xfId="0" applyAlignment="1">
      <alignment horizontal="right"/>
    </xf>
    <xf numFmtId="0" fontId="0" fillId="2" borderId="0" xfId="0" applyFill="1" applyAlignment="1">
      <alignment horizontal="left"/>
    </xf>
    <xf numFmtId="1" fontId="0" fillId="0" borderId="4" xfId="0" applyNumberFormat="1" applyBorder="1"/>
    <xf numFmtId="1" fontId="0" fillId="0" borderId="5" xfId="0" applyNumberFormat="1" applyBorder="1"/>
    <xf numFmtId="0" fontId="0" fillId="2" borderId="3" xfId="0" applyFill="1" applyBorder="1"/>
    <xf numFmtId="0" fontId="0" fillId="0" borderId="6" xfId="0" applyBorder="1" applyAlignment="1">
      <alignment wrapText="1"/>
    </xf>
    <xf numFmtId="1" fontId="0" fillId="0" borderId="0" xfId="0" applyNumberFormat="1" applyAlignment="1">
      <alignment vertical="center"/>
    </xf>
    <xf numFmtId="1" fontId="0" fillId="0" borderId="0" xfId="0" applyNumberFormat="1" applyAlignment="1">
      <alignment horizontal="center" vertical="center"/>
    </xf>
    <xf numFmtId="0" fontId="0" fillId="0" borderId="2" xfId="0" applyBorder="1" applyAlignment="1">
      <alignment horizontal="center"/>
    </xf>
    <xf numFmtId="0" fontId="0" fillId="0" borderId="0" xfId="0"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right"/>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xf>
    <xf numFmtId="1" fontId="0" fillId="0" borderId="4" xfId="0" applyNumberFormat="1" applyBorder="1" applyAlignment="1">
      <alignment horizontal="center" vertical="center"/>
    </xf>
    <xf numFmtId="1" fontId="0" fillId="0" borderId="5" xfId="0" applyNumberFormat="1" applyBorder="1" applyAlignment="1">
      <alignment horizontal="center" vertical="center"/>
    </xf>
    <xf numFmtId="1" fontId="0" fillId="0" borderId="6" xfId="0" applyNumberFormat="1" applyBorder="1" applyAlignment="1">
      <alignment horizontal="center" vertic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F1E4-8931-4BAB-8C31-1BA06A30DFC6}">
  <dimension ref="A1:T54"/>
  <sheetViews>
    <sheetView tabSelected="1" zoomScaleNormal="100" workbookViewId="0">
      <selection activeCell="A6" sqref="A6"/>
    </sheetView>
  </sheetViews>
  <sheetFormatPr defaultRowHeight="14.5" x14ac:dyDescent="0.35"/>
  <cols>
    <col min="2" max="2" width="10.54296875" bestFit="1" customWidth="1"/>
    <col min="13" max="13" width="14.453125" bestFit="1" customWidth="1"/>
    <col min="14" max="14" width="17.54296875" customWidth="1"/>
    <col min="15" max="15" width="14.453125" bestFit="1" customWidth="1"/>
    <col min="16" max="16" width="17.54296875" customWidth="1"/>
    <col min="19" max="19" width="9.26953125" customWidth="1"/>
    <col min="20" max="20" width="10.7265625" customWidth="1"/>
  </cols>
  <sheetData>
    <row r="1" spans="1:20" x14ac:dyDescent="0.35">
      <c r="A1" t="s">
        <v>41</v>
      </c>
      <c r="B1" s="15"/>
      <c r="N1" s="87" t="s">
        <v>60</v>
      </c>
      <c r="O1" s="87"/>
      <c r="P1" s="67">
        <v>3</v>
      </c>
    </row>
    <row r="2" spans="1:20" ht="15" thickBot="1" x14ac:dyDescent="0.4">
      <c r="B2" s="15"/>
    </row>
    <row r="3" spans="1:20" x14ac:dyDescent="0.35">
      <c r="B3" s="79" t="s">
        <v>34</v>
      </c>
      <c r="C3" s="76" t="s">
        <v>18</v>
      </c>
      <c r="D3" s="77"/>
      <c r="E3" s="78"/>
      <c r="F3" s="76" t="s">
        <v>20</v>
      </c>
      <c r="G3" s="77"/>
      <c r="H3" s="78"/>
      <c r="I3" s="76" t="s">
        <v>21</v>
      </c>
      <c r="J3" s="77"/>
      <c r="K3" s="77"/>
      <c r="L3" s="78"/>
      <c r="M3" s="76" t="s">
        <v>42</v>
      </c>
      <c r="N3" s="78"/>
      <c r="O3" s="76" t="s">
        <v>43</v>
      </c>
      <c r="P3" s="78"/>
      <c r="R3" s="83" t="s">
        <v>42</v>
      </c>
      <c r="S3" s="84" t="s">
        <v>43</v>
      </c>
      <c r="T3" s="85" t="s">
        <v>61</v>
      </c>
    </row>
    <row r="4" spans="1:20" ht="15" thickBot="1" x14ac:dyDescent="0.4">
      <c r="B4" s="79"/>
      <c r="C4" s="4" t="s">
        <v>19</v>
      </c>
      <c r="D4" t="s">
        <v>12</v>
      </c>
      <c r="E4" s="6" t="s">
        <v>13</v>
      </c>
      <c r="F4" s="4" t="s">
        <v>19</v>
      </c>
      <c r="G4" t="s">
        <v>66</v>
      </c>
      <c r="H4" s="6" t="s">
        <v>2</v>
      </c>
      <c r="I4" s="4" t="s">
        <v>21</v>
      </c>
      <c r="J4" t="s">
        <v>22</v>
      </c>
      <c r="K4" t="s">
        <v>23</v>
      </c>
      <c r="L4" s="6" t="s">
        <v>0</v>
      </c>
      <c r="M4" s="4" t="s">
        <v>31</v>
      </c>
      <c r="N4" s="6" t="s">
        <v>32</v>
      </c>
      <c r="O4" s="4" t="s">
        <v>31</v>
      </c>
      <c r="P4" s="6" t="s">
        <v>32</v>
      </c>
      <c r="R4" s="81"/>
      <c r="S4" s="75"/>
      <c r="T4" s="86"/>
    </row>
    <row r="5" spans="1:20" x14ac:dyDescent="0.35">
      <c r="B5" s="75" t="s">
        <v>26</v>
      </c>
      <c r="C5" s="34">
        <v>21</v>
      </c>
      <c r="D5" s="35">
        <v>2</v>
      </c>
      <c r="E5" s="36">
        <v>1</v>
      </c>
      <c r="F5" s="37">
        <f>((C5-L5)/J5)+1</f>
        <v>17</v>
      </c>
      <c r="G5" s="38">
        <f>D5</f>
        <v>2</v>
      </c>
      <c r="H5" s="36">
        <v>16</v>
      </c>
      <c r="I5" s="37" t="s">
        <v>24</v>
      </c>
      <c r="J5" s="35">
        <v>1</v>
      </c>
      <c r="K5" s="35">
        <v>0</v>
      </c>
      <c r="L5" s="36">
        <v>5</v>
      </c>
      <c r="M5" s="12">
        <f t="shared" ref="M5:M14" si="0">IF(I5="maxPool",0,(POWER(L5,D5)*E5*H5)+H5)</f>
        <v>416</v>
      </c>
      <c r="N5" s="13">
        <f t="shared" ref="N5:N14" si="1">IF(M5=0,POWER(F5,G5)*H5,0)</f>
        <v>0</v>
      </c>
      <c r="O5" s="12">
        <f>IF(I5="maxPool",0,(POWER(L5,D5)*E5*H5*$P$1)+H5)</f>
        <v>1216</v>
      </c>
      <c r="P5" s="13">
        <f>IF(M5=0,POWER(F5,G5)*$P$1,0)</f>
        <v>0</v>
      </c>
      <c r="R5" s="81">
        <f>M5+N6</f>
        <v>1440</v>
      </c>
      <c r="S5" s="75">
        <f>O5+P6</f>
        <v>1600</v>
      </c>
      <c r="T5" s="88">
        <f>S5/R5</f>
        <v>1.1111111111111112</v>
      </c>
    </row>
    <row r="6" spans="1:20" x14ac:dyDescent="0.35">
      <c r="B6" s="75"/>
      <c r="C6" s="27">
        <f>F5</f>
        <v>17</v>
      </c>
      <c r="D6" s="25">
        <f>D5</f>
        <v>2</v>
      </c>
      <c r="E6" s="26">
        <f>H5</f>
        <v>16</v>
      </c>
      <c r="F6" s="27">
        <f t="shared" ref="F6" si="2">((C6-L6+(2*K6))/J6)+1</f>
        <v>8</v>
      </c>
      <c r="G6" s="25">
        <f>G5</f>
        <v>2</v>
      </c>
      <c r="H6" s="26">
        <f>H5</f>
        <v>16</v>
      </c>
      <c r="I6" s="27" t="s">
        <v>25</v>
      </c>
      <c r="J6" s="28">
        <v>2</v>
      </c>
      <c r="K6" s="28">
        <v>0</v>
      </c>
      <c r="L6" s="29">
        <v>3</v>
      </c>
      <c r="M6" s="30">
        <f t="shared" si="0"/>
        <v>0</v>
      </c>
      <c r="N6" s="31">
        <f t="shared" si="1"/>
        <v>1024</v>
      </c>
      <c r="O6" s="30">
        <f>IF(I6="maxPool",0,(POWER(L6,D6)*E6*H6*$P$1)+H6)</f>
        <v>0</v>
      </c>
      <c r="P6" s="31">
        <f t="shared" ref="P6:P14" si="3">IF(M6=0,POWER(F6,G6)*$P$1*2,0)</f>
        <v>384</v>
      </c>
      <c r="R6" s="81"/>
      <c r="S6" s="75"/>
      <c r="T6" s="88"/>
    </row>
    <row r="7" spans="1:20" x14ac:dyDescent="0.35">
      <c r="B7" s="75" t="s">
        <v>28</v>
      </c>
      <c r="C7" s="22">
        <f>F5</f>
        <v>17</v>
      </c>
      <c r="D7" s="32">
        <f>D5</f>
        <v>2</v>
      </c>
      <c r="E7" s="33">
        <f>H5</f>
        <v>16</v>
      </c>
      <c r="F7" s="22">
        <f>((C7-L7+(2*K7))/J7)+1</f>
        <v>15</v>
      </c>
      <c r="G7" s="32">
        <f>G5</f>
        <v>2</v>
      </c>
      <c r="H7" s="21">
        <v>16</v>
      </c>
      <c r="I7" s="22" t="s">
        <v>24</v>
      </c>
      <c r="J7" s="20">
        <v>1</v>
      </c>
      <c r="K7" s="20">
        <v>0</v>
      </c>
      <c r="L7" s="33">
        <f>MAX(3,L5-2)</f>
        <v>3</v>
      </c>
      <c r="M7" s="23">
        <f t="shared" si="0"/>
        <v>2320</v>
      </c>
      <c r="N7" s="24">
        <f t="shared" si="1"/>
        <v>0</v>
      </c>
      <c r="O7" s="23">
        <f t="shared" ref="O7:O14" si="4">IF(I7="maxPool",0,(POWER(L7,D7)*H7*$P$1*2)+H7)</f>
        <v>880</v>
      </c>
      <c r="P7" s="24">
        <f t="shared" si="3"/>
        <v>0</v>
      </c>
      <c r="R7" s="81">
        <f>M5+M7+N8</f>
        <v>3520</v>
      </c>
      <c r="S7" s="75">
        <f>N5+O7+P8</f>
        <v>1174</v>
      </c>
      <c r="T7" s="88">
        <f t="shared" ref="T7" si="5">S7/R7</f>
        <v>0.33352272727272725</v>
      </c>
    </row>
    <row r="8" spans="1:20" x14ac:dyDescent="0.35">
      <c r="B8" s="75"/>
      <c r="C8" s="27">
        <f>F7</f>
        <v>15</v>
      </c>
      <c r="D8" s="25">
        <f>D7</f>
        <v>2</v>
      </c>
      <c r="E8" s="26">
        <f>H7</f>
        <v>16</v>
      </c>
      <c r="F8" s="27">
        <f t="shared" ref="F8" si="6">((C8-L8+(2*K8))/J8)+1</f>
        <v>7</v>
      </c>
      <c r="G8" s="25">
        <f>G7</f>
        <v>2</v>
      </c>
      <c r="H8" s="26">
        <f>H7</f>
        <v>16</v>
      </c>
      <c r="I8" s="27" t="s">
        <v>25</v>
      </c>
      <c r="J8" s="28">
        <v>2</v>
      </c>
      <c r="K8" s="28">
        <v>0</v>
      </c>
      <c r="L8" s="29">
        <v>3</v>
      </c>
      <c r="M8" s="30">
        <f t="shared" si="0"/>
        <v>0</v>
      </c>
      <c r="N8" s="31">
        <f t="shared" si="1"/>
        <v>784</v>
      </c>
      <c r="O8" s="30">
        <f t="shared" si="4"/>
        <v>0</v>
      </c>
      <c r="P8" s="31">
        <f t="shared" si="3"/>
        <v>294</v>
      </c>
      <c r="R8" s="81"/>
      <c r="S8" s="75"/>
      <c r="T8" s="88"/>
    </row>
    <row r="9" spans="1:20" x14ac:dyDescent="0.35">
      <c r="B9" s="75" t="s">
        <v>27</v>
      </c>
      <c r="C9" s="22">
        <f>F7</f>
        <v>15</v>
      </c>
      <c r="D9" s="32">
        <f>D7</f>
        <v>2</v>
      </c>
      <c r="E9" s="33">
        <f>H7</f>
        <v>16</v>
      </c>
      <c r="F9" s="22">
        <f>((C9-L9+(2*K9))/J9)+1</f>
        <v>13</v>
      </c>
      <c r="G9" s="32">
        <f>G7</f>
        <v>2</v>
      </c>
      <c r="H9" s="21">
        <v>32</v>
      </c>
      <c r="I9" s="22" t="s">
        <v>24</v>
      </c>
      <c r="J9" s="20">
        <v>1</v>
      </c>
      <c r="K9" s="20">
        <v>0</v>
      </c>
      <c r="L9" s="33">
        <f>MAX(3,L7-2)</f>
        <v>3</v>
      </c>
      <c r="M9" s="23">
        <f t="shared" si="0"/>
        <v>4640</v>
      </c>
      <c r="N9" s="24">
        <f t="shared" si="1"/>
        <v>0</v>
      </c>
      <c r="O9" s="23">
        <f t="shared" si="4"/>
        <v>1760</v>
      </c>
      <c r="P9" s="24">
        <f t="shared" si="3"/>
        <v>0</v>
      </c>
      <c r="R9" s="81">
        <f>M5+M7+M9+N10</f>
        <v>8528</v>
      </c>
      <c r="S9" s="75">
        <f>N5+N7+O9+P10</f>
        <v>1976</v>
      </c>
      <c r="T9" s="88">
        <f t="shared" ref="T9" si="7">S9/R9</f>
        <v>0.23170731707317074</v>
      </c>
    </row>
    <row r="10" spans="1:20" x14ac:dyDescent="0.35">
      <c r="B10" s="75"/>
      <c r="C10" s="27">
        <f>F9</f>
        <v>13</v>
      </c>
      <c r="D10" s="25">
        <f>D9</f>
        <v>2</v>
      </c>
      <c r="E10" s="26">
        <f>H9</f>
        <v>32</v>
      </c>
      <c r="F10" s="27">
        <f t="shared" ref="F10" si="8">((C10-L10+(2*K10))/J10)+1</f>
        <v>6</v>
      </c>
      <c r="G10" s="25">
        <f>G9</f>
        <v>2</v>
      </c>
      <c r="H10" s="26">
        <f>H9</f>
        <v>32</v>
      </c>
      <c r="I10" s="27" t="s">
        <v>25</v>
      </c>
      <c r="J10" s="28">
        <v>2</v>
      </c>
      <c r="K10" s="28">
        <v>0</v>
      </c>
      <c r="L10" s="29">
        <v>3</v>
      </c>
      <c r="M10" s="30">
        <f t="shared" si="0"/>
        <v>0</v>
      </c>
      <c r="N10" s="31">
        <f t="shared" si="1"/>
        <v>1152</v>
      </c>
      <c r="O10" s="30">
        <f t="shared" si="4"/>
        <v>0</v>
      </c>
      <c r="P10" s="31">
        <f t="shared" si="3"/>
        <v>216</v>
      </c>
      <c r="R10" s="81"/>
      <c r="S10" s="75"/>
      <c r="T10" s="88"/>
    </row>
    <row r="11" spans="1:20" x14ac:dyDescent="0.35">
      <c r="B11" s="75" t="s">
        <v>29</v>
      </c>
      <c r="C11" s="22">
        <f>F9</f>
        <v>13</v>
      </c>
      <c r="D11" s="32">
        <f>D9</f>
        <v>2</v>
      </c>
      <c r="E11" s="33">
        <f>H9</f>
        <v>32</v>
      </c>
      <c r="F11" s="22">
        <f>((C11-L11+(2*K11))/J11)+1</f>
        <v>11</v>
      </c>
      <c r="G11" s="32">
        <f>G9</f>
        <v>2</v>
      </c>
      <c r="H11" s="21">
        <v>32</v>
      </c>
      <c r="I11" s="22" t="s">
        <v>24</v>
      </c>
      <c r="J11" s="20">
        <v>1</v>
      </c>
      <c r="K11" s="20">
        <v>0</v>
      </c>
      <c r="L11" s="33">
        <f>MAX(3,L9-2)</f>
        <v>3</v>
      </c>
      <c r="M11" s="23">
        <f t="shared" si="0"/>
        <v>9248</v>
      </c>
      <c r="N11" s="24">
        <f t="shared" si="1"/>
        <v>0</v>
      </c>
      <c r="O11" s="23">
        <f t="shared" si="4"/>
        <v>1760</v>
      </c>
      <c r="P11" s="24">
        <f t="shared" si="3"/>
        <v>0</v>
      </c>
      <c r="R11" s="81">
        <f>M5+M7+M9+M11+N12</f>
        <v>17424</v>
      </c>
      <c r="S11" s="75">
        <f>N5+N7+N9+O11+P12</f>
        <v>1910</v>
      </c>
      <c r="T11" s="88">
        <f t="shared" ref="T11" si="9">S11/R11</f>
        <v>0.10961891643709826</v>
      </c>
    </row>
    <row r="12" spans="1:20" x14ac:dyDescent="0.35">
      <c r="B12" s="75"/>
      <c r="C12" s="27">
        <f>F11</f>
        <v>11</v>
      </c>
      <c r="D12" s="25">
        <f>D11</f>
        <v>2</v>
      </c>
      <c r="E12" s="26">
        <f>H11</f>
        <v>32</v>
      </c>
      <c r="F12" s="27">
        <f t="shared" ref="F12" si="10">((C12-L12+(2*K12))/J12)+1</f>
        <v>5</v>
      </c>
      <c r="G12" s="25">
        <f>G11</f>
        <v>2</v>
      </c>
      <c r="H12" s="26">
        <f>H11</f>
        <v>32</v>
      </c>
      <c r="I12" s="27" t="s">
        <v>25</v>
      </c>
      <c r="J12" s="28">
        <v>2</v>
      </c>
      <c r="K12" s="28">
        <v>0</v>
      </c>
      <c r="L12" s="29">
        <v>3</v>
      </c>
      <c r="M12" s="30">
        <f t="shared" si="0"/>
        <v>0</v>
      </c>
      <c r="N12" s="31">
        <f t="shared" si="1"/>
        <v>800</v>
      </c>
      <c r="O12" s="30">
        <f t="shared" si="4"/>
        <v>0</v>
      </c>
      <c r="P12" s="31">
        <f t="shared" si="3"/>
        <v>150</v>
      </c>
      <c r="R12" s="81"/>
      <c r="S12" s="75"/>
      <c r="T12" s="88"/>
    </row>
    <row r="13" spans="1:20" x14ac:dyDescent="0.35">
      <c r="B13" s="75" t="s">
        <v>30</v>
      </c>
      <c r="C13" s="4">
        <f>F11</f>
        <v>11</v>
      </c>
      <c r="D13">
        <f>D11</f>
        <v>2</v>
      </c>
      <c r="E13" s="6">
        <f>H11</f>
        <v>32</v>
      </c>
      <c r="F13" s="4">
        <f>((C13-L13+(2*K13))/J13)+1</f>
        <v>9</v>
      </c>
      <c r="G13">
        <f>G11</f>
        <v>2</v>
      </c>
      <c r="H13" s="14">
        <v>16</v>
      </c>
      <c r="I13" s="4" t="s">
        <v>24</v>
      </c>
      <c r="J13" s="5">
        <v>1</v>
      </c>
      <c r="K13" s="5">
        <v>0</v>
      </c>
      <c r="L13" s="6">
        <f>MAX(3,L11-2)</f>
        <v>3</v>
      </c>
      <c r="M13" s="10">
        <f t="shared" si="0"/>
        <v>4624</v>
      </c>
      <c r="N13" s="11">
        <f t="shared" si="1"/>
        <v>0</v>
      </c>
      <c r="O13" s="10">
        <f t="shared" si="4"/>
        <v>880</v>
      </c>
      <c r="P13" s="11">
        <f t="shared" si="3"/>
        <v>0</v>
      </c>
      <c r="R13" s="81">
        <f>M5+M7+M9+M11+M13+N14</f>
        <v>21504</v>
      </c>
      <c r="S13" s="75">
        <f>N5+N7+N9+N11+O13+P14</f>
        <v>976</v>
      </c>
      <c r="T13" s="88">
        <f t="shared" ref="T13" si="11">S13/R13</f>
        <v>4.538690476190476E-2</v>
      </c>
    </row>
    <row r="14" spans="1:20" ht="15" thickBot="1" x14ac:dyDescent="0.4">
      <c r="B14" s="75"/>
      <c r="C14" s="7">
        <f>F13</f>
        <v>9</v>
      </c>
      <c r="D14" s="8">
        <f>D13</f>
        <v>2</v>
      </c>
      <c r="E14" s="9">
        <f>H13</f>
        <v>16</v>
      </c>
      <c r="F14" s="7">
        <f t="shared" ref="F14" si="12">((C14-L14+(2*K14))/J14)+1</f>
        <v>4</v>
      </c>
      <c r="G14" s="8">
        <f>G13</f>
        <v>2</v>
      </c>
      <c r="H14" s="9">
        <f>H13</f>
        <v>16</v>
      </c>
      <c r="I14" s="7" t="s">
        <v>25</v>
      </c>
      <c r="J14" s="19">
        <v>2</v>
      </c>
      <c r="K14" s="19">
        <v>0</v>
      </c>
      <c r="L14" s="9">
        <v>3</v>
      </c>
      <c r="M14" s="17">
        <f t="shared" si="0"/>
        <v>0</v>
      </c>
      <c r="N14" s="18">
        <f t="shared" si="1"/>
        <v>256</v>
      </c>
      <c r="O14" s="17">
        <f t="shared" si="4"/>
        <v>0</v>
      </c>
      <c r="P14" s="18">
        <f t="shared" si="3"/>
        <v>96</v>
      </c>
      <c r="R14" s="82"/>
      <c r="S14" s="80"/>
      <c r="T14" s="89"/>
    </row>
    <row r="16" spans="1:20" ht="15" thickBot="1" x14ac:dyDescent="0.4">
      <c r="B16" s="15"/>
    </row>
    <row r="17" spans="1:20" ht="15" customHeight="1" x14ac:dyDescent="0.35">
      <c r="B17" s="79" t="s">
        <v>35</v>
      </c>
      <c r="C17" s="76" t="s">
        <v>18</v>
      </c>
      <c r="D17" s="77"/>
      <c r="E17" s="78"/>
      <c r="F17" s="76" t="s">
        <v>20</v>
      </c>
      <c r="G17" s="77"/>
      <c r="H17" s="78"/>
      <c r="I17" s="76" t="s">
        <v>21</v>
      </c>
      <c r="J17" s="77"/>
      <c r="K17" s="77"/>
      <c r="L17" s="78"/>
      <c r="M17" s="76" t="s">
        <v>42</v>
      </c>
      <c r="N17" s="78"/>
      <c r="O17" s="76" t="s">
        <v>43</v>
      </c>
      <c r="P17" s="78"/>
      <c r="R17" s="83" t="s">
        <v>42</v>
      </c>
      <c r="S17" s="84" t="s">
        <v>43</v>
      </c>
      <c r="T17" s="85" t="s">
        <v>61</v>
      </c>
    </row>
    <row r="18" spans="1:20" ht="15" thickBot="1" x14ac:dyDescent="0.4">
      <c r="B18" s="79"/>
      <c r="C18" s="4" t="s">
        <v>19</v>
      </c>
      <c r="D18" t="s">
        <v>12</v>
      </c>
      <c r="E18" s="6" t="s">
        <v>13</v>
      </c>
      <c r="F18" s="4" t="s">
        <v>19</v>
      </c>
      <c r="G18" t="s">
        <v>66</v>
      </c>
      <c r="H18" s="6" t="s">
        <v>2</v>
      </c>
      <c r="I18" s="4" t="s">
        <v>21</v>
      </c>
      <c r="J18" t="s">
        <v>22</v>
      </c>
      <c r="K18" t="s">
        <v>23</v>
      </c>
      <c r="L18" s="6" t="s">
        <v>0</v>
      </c>
      <c r="M18" s="4" t="s">
        <v>31</v>
      </c>
      <c r="N18" s="6" t="s">
        <v>32</v>
      </c>
      <c r="O18" s="4" t="s">
        <v>31</v>
      </c>
      <c r="P18" s="6" t="s">
        <v>32</v>
      </c>
      <c r="R18" s="81"/>
      <c r="S18" s="75"/>
      <c r="T18" s="86"/>
    </row>
    <row r="19" spans="1:20" x14ac:dyDescent="0.35">
      <c r="B19" s="75" t="s">
        <v>26</v>
      </c>
      <c r="C19" s="34">
        <v>67</v>
      </c>
      <c r="D19" s="35">
        <v>2</v>
      </c>
      <c r="E19" s="36">
        <v>1</v>
      </c>
      <c r="F19" s="37">
        <f>((C19-L19)/J19)+1</f>
        <v>31</v>
      </c>
      <c r="G19" s="38">
        <f>D19</f>
        <v>2</v>
      </c>
      <c r="H19" s="36">
        <v>32</v>
      </c>
      <c r="I19" s="37" t="s">
        <v>24</v>
      </c>
      <c r="J19" s="35">
        <v>2</v>
      </c>
      <c r="K19" s="35">
        <v>0</v>
      </c>
      <c r="L19" s="36">
        <v>7</v>
      </c>
      <c r="M19" s="12">
        <f t="shared" ref="M19:M28" si="13">IF(I19="maxPool",0,(POWER(L19,D19)*E19*H19)+H19)</f>
        <v>1600</v>
      </c>
      <c r="N19" s="13">
        <f t="shared" ref="N19:N28" si="14">IF(M19=0,POWER(F19,G19)*H19,0)</f>
        <v>0</v>
      </c>
      <c r="O19" s="12">
        <f>IF(I19="maxPool",0,(POWER(L19,D19)*E19*H19*$P$1)+H19)</f>
        <v>4736</v>
      </c>
      <c r="P19" s="13">
        <f>IF(M19=0,POWER(F19,G19)*$P$1,0)</f>
        <v>0</v>
      </c>
      <c r="R19" s="81">
        <f>M19+N20</f>
        <v>8800</v>
      </c>
      <c r="S19" s="75">
        <f>O19+P20</f>
        <v>6086</v>
      </c>
      <c r="T19" s="88">
        <f>S19/R19</f>
        <v>0.69159090909090915</v>
      </c>
    </row>
    <row r="20" spans="1:20" x14ac:dyDescent="0.35">
      <c r="B20" s="75"/>
      <c r="C20" s="27">
        <f>F19</f>
        <v>31</v>
      </c>
      <c r="D20" s="25">
        <f>D19</f>
        <v>2</v>
      </c>
      <c r="E20" s="26">
        <f>H19</f>
        <v>32</v>
      </c>
      <c r="F20" s="27">
        <f t="shared" ref="F20" si="15">((C20-L20+(2*K20))/J20)+1</f>
        <v>15</v>
      </c>
      <c r="G20" s="25">
        <f>G19</f>
        <v>2</v>
      </c>
      <c r="H20" s="26">
        <f>H19</f>
        <v>32</v>
      </c>
      <c r="I20" s="27" t="s">
        <v>25</v>
      </c>
      <c r="J20" s="28">
        <v>2</v>
      </c>
      <c r="K20" s="28">
        <v>0</v>
      </c>
      <c r="L20" s="29">
        <v>3</v>
      </c>
      <c r="M20" s="30">
        <f t="shared" si="13"/>
        <v>0</v>
      </c>
      <c r="N20" s="31">
        <f t="shared" si="14"/>
        <v>7200</v>
      </c>
      <c r="O20" s="30">
        <f>IF(I20="maxPool",0,(POWER(L20,D20)*E20*H20*$P$1)+H20)</f>
        <v>0</v>
      </c>
      <c r="P20" s="31">
        <f t="shared" ref="P20:P28" si="16">IF(M20=0,POWER(F20,G20)*$P$1*2,0)</f>
        <v>1350</v>
      </c>
      <c r="R20" s="81"/>
      <c r="S20" s="75"/>
      <c r="T20" s="88"/>
    </row>
    <row r="21" spans="1:20" x14ac:dyDescent="0.35">
      <c r="B21" s="75" t="s">
        <v>28</v>
      </c>
      <c r="C21" s="22">
        <f>F19</f>
        <v>31</v>
      </c>
      <c r="D21" s="32">
        <f>D19</f>
        <v>2</v>
      </c>
      <c r="E21" s="33">
        <f>H19</f>
        <v>32</v>
      </c>
      <c r="F21" s="22">
        <f>((C21-L21+(2*K21))/J21)+1</f>
        <v>27</v>
      </c>
      <c r="G21" s="32">
        <f>G19</f>
        <v>2</v>
      </c>
      <c r="H21" s="21">
        <v>64</v>
      </c>
      <c r="I21" s="22" t="s">
        <v>24</v>
      </c>
      <c r="J21" s="20">
        <v>1</v>
      </c>
      <c r="K21" s="20">
        <v>0</v>
      </c>
      <c r="L21" s="33">
        <f>MAX(3,L19-2)</f>
        <v>5</v>
      </c>
      <c r="M21" s="23">
        <f>IF(I21="maxPool",0,(POWER(L21,D21)*E21*H21)+H21)</f>
        <v>51264</v>
      </c>
      <c r="N21" s="24">
        <f t="shared" si="14"/>
        <v>0</v>
      </c>
      <c r="O21" s="23">
        <f t="shared" ref="O21:O28" si="17">IF(I21="maxPool",0,(POWER(L21,D21)*H21*$P$1*2)+H21)</f>
        <v>9664</v>
      </c>
      <c r="P21" s="24">
        <f t="shared" si="16"/>
        <v>0</v>
      </c>
      <c r="R21" s="81">
        <f>M19+M21+N22</f>
        <v>63680</v>
      </c>
      <c r="S21" s="75">
        <f>N19+O21+P22</f>
        <v>10678</v>
      </c>
      <c r="T21" s="88">
        <f t="shared" ref="T21" si="18">S21/R21</f>
        <v>0.1676821608040201</v>
      </c>
    </row>
    <row r="22" spans="1:20" x14ac:dyDescent="0.35">
      <c r="B22" s="75"/>
      <c r="C22" s="27">
        <f>F21</f>
        <v>27</v>
      </c>
      <c r="D22" s="25">
        <f>D21</f>
        <v>2</v>
      </c>
      <c r="E22" s="26">
        <f>H21</f>
        <v>64</v>
      </c>
      <c r="F22" s="27">
        <f t="shared" ref="F22" si="19">((C22-L22+(2*K22))/J22)+1</f>
        <v>13</v>
      </c>
      <c r="G22" s="25">
        <f>G21</f>
        <v>2</v>
      </c>
      <c r="H22" s="26">
        <f>H21</f>
        <v>64</v>
      </c>
      <c r="I22" s="27" t="s">
        <v>25</v>
      </c>
      <c r="J22" s="28">
        <v>2</v>
      </c>
      <c r="K22" s="28">
        <v>0</v>
      </c>
      <c r="L22" s="29">
        <v>3</v>
      </c>
      <c r="M22" s="30">
        <f t="shared" si="13"/>
        <v>0</v>
      </c>
      <c r="N22" s="31">
        <f t="shared" si="14"/>
        <v>10816</v>
      </c>
      <c r="O22" s="30">
        <f t="shared" si="17"/>
        <v>0</v>
      </c>
      <c r="P22" s="31">
        <f t="shared" si="16"/>
        <v>1014</v>
      </c>
      <c r="R22" s="81"/>
      <c r="S22" s="75"/>
      <c r="T22" s="88"/>
    </row>
    <row r="23" spans="1:20" x14ac:dyDescent="0.35">
      <c r="B23" s="75" t="s">
        <v>27</v>
      </c>
      <c r="C23" s="22">
        <f>F21</f>
        <v>27</v>
      </c>
      <c r="D23" s="32">
        <f>D21</f>
        <v>2</v>
      </c>
      <c r="E23" s="33">
        <f>H21</f>
        <v>64</v>
      </c>
      <c r="F23" s="22">
        <f>((C23-L23+(2*K23))/J23)+1</f>
        <v>25</v>
      </c>
      <c r="G23" s="32">
        <f>G21</f>
        <v>2</v>
      </c>
      <c r="H23" s="21">
        <v>128</v>
      </c>
      <c r="I23" s="22" t="s">
        <v>24</v>
      </c>
      <c r="J23" s="20">
        <v>1</v>
      </c>
      <c r="K23" s="20">
        <v>0</v>
      </c>
      <c r="L23" s="33">
        <f>MAX(3,L21-2)</f>
        <v>3</v>
      </c>
      <c r="M23" s="23">
        <f t="shared" si="13"/>
        <v>73856</v>
      </c>
      <c r="N23" s="24">
        <f t="shared" si="14"/>
        <v>0</v>
      </c>
      <c r="O23" s="23">
        <f t="shared" si="17"/>
        <v>7040</v>
      </c>
      <c r="P23" s="24">
        <f t="shared" si="16"/>
        <v>0</v>
      </c>
      <c r="R23" s="81">
        <f>M19+M21+M23+N24</f>
        <v>145152</v>
      </c>
      <c r="S23" s="75">
        <f>N19+N21+O23+P24</f>
        <v>7904</v>
      </c>
      <c r="T23" s="88">
        <f t="shared" ref="T23" si="20">S23/R23</f>
        <v>5.4453262786596117E-2</v>
      </c>
    </row>
    <row r="24" spans="1:20" x14ac:dyDescent="0.35">
      <c r="B24" s="75"/>
      <c r="C24" s="27">
        <f>F23</f>
        <v>25</v>
      </c>
      <c r="D24" s="25">
        <f>D23</f>
        <v>2</v>
      </c>
      <c r="E24" s="26">
        <f>H23</f>
        <v>128</v>
      </c>
      <c r="F24" s="27">
        <f t="shared" ref="F24" si="21">((C24-L24+(2*K24))/J24)+1</f>
        <v>12</v>
      </c>
      <c r="G24" s="25">
        <f>G23</f>
        <v>2</v>
      </c>
      <c r="H24" s="26">
        <f>H23</f>
        <v>128</v>
      </c>
      <c r="I24" s="27" t="s">
        <v>25</v>
      </c>
      <c r="J24" s="28">
        <v>2</v>
      </c>
      <c r="K24" s="28">
        <v>0</v>
      </c>
      <c r="L24" s="29">
        <v>3</v>
      </c>
      <c r="M24" s="30">
        <f t="shared" si="13"/>
        <v>0</v>
      </c>
      <c r="N24" s="31">
        <f t="shared" si="14"/>
        <v>18432</v>
      </c>
      <c r="O24" s="30">
        <f t="shared" si="17"/>
        <v>0</v>
      </c>
      <c r="P24" s="31">
        <f t="shared" si="16"/>
        <v>864</v>
      </c>
      <c r="R24" s="81"/>
      <c r="S24" s="75"/>
      <c r="T24" s="88"/>
    </row>
    <row r="25" spans="1:20" x14ac:dyDescent="0.35">
      <c r="B25" s="75" t="s">
        <v>29</v>
      </c>
      <c r="C25" s="22">
        <f>F23</f>
        <v>25</v>
      </c>
      <c r="D25" s="32">
        <f>D23</f>
        <v>2</v>
      </c>
      <c r="E25" s="33">
        <f>H23</f>
        <v>128</v>
      </c>
      <c r="F25" s="22">
        <f>((C25-L25+(2*K25))/J25)+1</f>
        <v>23</v>
      </c>
      <c r="G25" s="32">
        <f>G23</f>
        <v>2</v>
      </c>
      <c r="H25" s="21">
        <v>128</v>
      </c>
      <c r="I25" s="22" t="s">
        <v>24</v>
      </c>
      <c r="J25" s="20">
        <v>1</v>
      </c>
      <c r="K25" s="20">
        <v>0</v>
      </c>
      <c r="L25" s="33">
        <f>MAX(3,L23-2)</f>
        <v>3</v>
      </c>
      <c r="M25" s="23">
        <f t="shared" si="13"/>
        <v>147584</v>
      </c>
      <c r="N25" s="24">
        <f t="shared" si="14"/>
        <v>0</v>
      </c>
      <c r="O25" s="23">
        <f t="shared" si="17"/>
        <v>7040</v>
      </c>
      <c r="P25" s="24">
        <f t="shared" si="16"/>
        <v>0</v>
      </c>
      <c r="R25" s="81">
        <f>M19+M21+M23+M25+N26</f>
        <v>289792</v>
      </c>
      <c r="S25" s="75">
        <f>N19+N21+N23+O25+P26</f>
        <v>7766</v>
      </c>
      <c r="T25" s="88">
        <f t="shared" ref="T25" si="22">S25/R25</f>
        <v>2.6798531360424028E-2</v>
      </c>
    </row>
    <row r="26" spans="1:20" x14ac:dyDescent="0.35">
      <c r="B26" s="75"/>
      <c r="C26" s="27">
        <f>F25</f>
        <v>23</v>
      </c>
      <c r="D26" s="25">
        <f>D25</f>
        <v>2</v>
      </c>
      <c r="E26" s="26">
        <f>H25</f>
        <v>128</v>
      </c>
      <c r="F26" s="27">
        <f t="shared" ref="F26" si="23">((C26-L26+(2*K26))/J26)+1</f>
        <v>11</v>
      </c>
      <c r="G26" s="25">
        <f>G25</f>
        <v>2</v>
      </c>
      <c r="H26" s="26">
        <f>H25</f>
        <v>128</v>
      </c>
      <c r="I26" s="27" t="s">
        <v>25</v>
      </c>
      <c r="J26" s="28">
        <v>2</v>
      </c>
      <c r="K26" s="28">
        <v>0</v>
      </c>
      <c r="L26" s="29">
        <v>3</v>
      </c>
      <c r="M26" s="30">
        <f t="shared" si="13"/>
        <v>0</v>
      </c>
      <c r="N26" s="31">
        <f>IF(M26=0,POWER(F26,G26)*H26,0)</f>
        <v>15488</v>
      </c>
      <c r="O26" s="30">
        <f t="shared" si="17"/>
        <v>0</v>
      </c>
      <c r="P26" s="31">
        <f t="shared" si="16"/>
        <v>726</v>
      </c>
      <c r="R26" s="81"/>
      <c r="S26" s="75"/>
      <c r="T26" s="88"/>
    </row>
    <row r="27" spans="1:20" x14ac:dyDescent="0.35">
      <c r="B27" s="75" t="s">
        <v>30</v>
      </c>
      <c r="C27" s="4">
        <f>F25</f>
        <v>23</v>
      </c>
      <c r="D27">
        <f>D25</f>
        <v>2</v>
      </c>
      <c r="E27" s="6">
        <f>H25</f>
        <v>128</v>
      </c>
      <c r="F27" s="4">
        <f>((C27-L27+(2*K27))/J27)+1</f>
        <v>11</v>
      </c>
      <c r="G27">
        <f>G25</f>
        <v>2</v>
      </c>
      <c r="H27" s="14">
        <v>64</v>
      </c>
      <c r="I27" s="4" t="s">
        <v>24</v>
      </c>
      <c r="J27" s="5">
        <v>2</v>
      </c>
      <c r="K27" s="5">
        <v>0</v>
      </c>
      <c r="L27" s="6">
        <f>MAX(3,L25-2)</f>
        <v>3</v>
      </c>
      <c r="M27" s="10">
        <f t="shared" si="13"/>
        <v>73792</v>
      </c>
      <c r="N27" s="11">
        <f t="shared" si="14"/>
        <v>0</v>
      </c>
      <c r="O27" s="10">
        <f t="shared" si="17"/>
        <v>3520</v>
      </c>
      <c r="P27" s="11">
        <f t="shared" si="16"/>
        <v>0</v>
      </c>
      <c r="R27" s="81">
        <f>M19+M21+M23+M25+M27+N28</f>
        <v>349696</v>
      </c>
      <c r="S27" s="75">
        <f>N19+N21+N23+N25+O27+P28</f>
        <v>3670</v>
      </c>
      <c r="T27" s="88">
        <f t="shared" ref="T27" si="24">S27/R27</f>
        <v>1.0494829795021962E-2</v>
      </c>
    </row>
    <row r="28" spans="1:20" ht="15" thickBot="1" x14ac:dyDescent="0.4">
      <c r="B28" s="75"/>
      <c r="C28" s="7">
        <f>F27</f>
        <v>11</v>
      </c>
      <c r="D28" s="8">
        <f>D27</f>
        <v>2</v>
      </c>
      <c r="E28" s="9">
        <f>H27</f>
        <v>64</v>
      </c>
      <c r="F28" s="7">
        <f t="shared" ref="F28" si="25">((C28-L28+(2*K28))/J28)+1</f>
        <v>5</v>
      </c>
      <c r="G28" s="8">
        <f>G27</f>
        <v>2</v>
      </c>
      <c r="H28" s="9">
        <f>H27</f>
        <v>64</v>
      </c>
      <c r="I28" s="7" t="s">
        <v>25</v>
      </c>
      <c r="J28" s="19">
        <v>2</v>
      </c>
      <c r="K28" s="19">
        <v>0</v>
      </c>
      <c r="L28" s="9">
        <v>3</v>
      </c>
      <c r="M28" s="17">
        <f t="shared" si="13"/>
        <v>0</v>
      </c>
      <c r="N28" s="18">
        <f t="shared" si="14"/>
        <v>1600</v>
      </c>
      <c r="O28" s="17">
        <f t="shared" si="17"/>
        <v>0</v>
      </c>
      <c r="P28" s="18">
        <f t="shared" si="16"/>
        <v>150</v>
      </c>
      <c r="R28" s="82"/>
      <c r="S28" s="80"/>
      <c r="T28" s="89"/>
    </row>
    <row r="30" spans="1:20" ht="15" thickBot="1" x14ac:dyDescent="0.4">
      <c r="A30" s="15"/>
      <c r="B30" s="16"/>
    </row>
    <row r="31" spans="1:20" ht="15" customHeight="1" x14ac:dyDescent="0.35">
      <c r="B31" s="79" t="s">
        <v>36</v>
      </c>
      <c r="C31" s="76" t="s">
        <v>18</v>
      </c>
      <c r="D31" s="77"/>
      <c r="E31" s="78"/>
      <c r="F31" s="76" t="s">
        <v>20</v>
      </c>
      <c r="G31" s="77"/>
      <c r="H31" s="78"/>
      <c r="I31" s="76" t="s">
        <v>21</v>
      </c>
      <c r="J31" s="77"/>
      <c r="K31" s="77"/>
      <c r="L31" s="78"/>
      <c r="M31" s="76" t="s">
        <v>42</v>
      </c>
      <c r="N31" s="78"/>
      <c r="O31" s="76" t="s">
        <v>43</v>
      </c>
      <c r="P31" s="78"/>
      <c r="R31" s="83" t="s">
        <v>42</v>
      </c>
      <c r="S31" s="84" t="s">
        <v>43</v>
      </c>
      <c r="T31" s="85" t="s">
        <v>61</v>
      </c>
    </row>
    <row r="32" spans="1:20" ht="15" thickBot="1" x14ac:dyDescent="0.4">
      <c r="B32" s="79"/>
      <c r="C32" s="4" t="s">
        <v>19</v>
      </c>
      <c r="D32" t="s">
        <v>12</v>
      </c>
      <c r="E32" s="6" t="s">
        <v>13</v>
      </c>
      <c r="F32" s="4" t="s">
        <v>19</v>
      </c>
      <c r="G32" t="s">
        <v>66</v>
      </c>
      <c r="H32" s="6" t="s">
        <v>2</v>
      </c>
      <c r="I32" s="4" t="s">
        <v>21</v>
      </c>
      <c r="J32" t="s">
        <v>22</v>
      </c>
      <c r="K32" t="s">
        <v>23</v>
      </c>
      <c r="L32" s="6" t="s">
        <v>0</v>
      </c>
      <c r="M32" s="4" t="s">
        <v>31</v>
      </c>
      <c r="N32" s="6" t="s">
        <v>32</v>
      </c>
      <c r="O32" s="4" t="s">
        <v>31</v>
      </c>
      <c r="P32" s="6" t="s">
        <v>32</v>
      </c>
      <c r="R32" s="81"/>
      <c r="S32" s="75"/>
      <c r="T32" s="86"/>
    </row>
    <row r="33" spans="2:20" x14ac:dyDescent="0.35">
      <c r="B33" s="75" t="s">
        <v>26</v>
      </c>
      <c r="C33" s="34">
        <v>227</v>
      </c>
      <c r="D33" s="35">
        <v>2</v>
      </c>
      <c r="E33" s="36">
        <v>1</v>
      </c>
      <c r="F33" s="37">
        <f>((C33-L33)/J33)+1</f>
        <v>55</v>
      </c>
      <c r="G33" s="38">
        <f>D33</f>
        <v>2</v>
      </c>
      <c r="H33" s="36">
        <v>96</v>
      </c>
      <c r="I33" s="37" t="s">
        <v>24</v>
      </c>
      <c r="J33" s="35">
        <v>4</v>
      </c>
      <c r="K33" s="35">
        <v>0</v>
      </c>
      <c r="L33" s="36">
        <v>11</v>
      </c>
      <c r="M33" s="12">
        <f t="shared" ref="M33:M42" si="26">IF(I33="maxPool",0,(POWER(L33,D33)*E33*H33)+H33)</f>
        <v>11712</v>
      </c>
      <c r="N33" s="13">
        <f t="shared" ref="N33:N42" si="27">IF(M33=0,POWER(F33,G33)*H33,0)</f>
        <v>0</v>
      </c>
      <c r="O33" s="12">
        <f>IF(I33="maxPool",0,(POWER(L33,D33)*E33*H33*$P$1)+H33)</f>
        <v>34944</v>
      </c>
      <c r="P33" s="13">
        <f>IF(M33=0,POWER(F33,G33)*$P$1,0)</f>
        <v>0</v>
      </c>
      <c r="R33" s="81">
        <f>M33+N34</f>
        <v>81696</v>
      </c>
      <c r="S33" s="75">
        <f>O33+P34</f>
        <v>39318</v>
      </c>
      <c r="T33" s="88">
        <f>S33/R33</f>
        <v>0.48127203290246767</v>
      </c>
    </row>
    <row r="34" spans="2:20" x14ac:dyDescent="0.35">
      <c r="B34" s="75"/>
      <c r="C34" s="27">
        <f>F33</f>
        <v>55</v>
      </c>
      <c r="D34" s="25">
        <f>D33</f>
        <v>2</v>
      </c>
      <c r="E34" s="26">
        <f>H33</f>
        <v>96</v>
      </c>
      <c r="F34" s="27">
        <f t="shared" ref="F34" si="28">((C34-L34+(2*K34))/J34)+1</f>
        <v>27</v>
      </c>
      <c r="G34" s="25">
        <f>G33</f>
        <v>2</v>
      </c>
      <c r="H34" s="26">
        <f>H33</f>
        <v>96</v>
      </c>
      <c r="I34" s="27" t="s">
        <v>25</v>
      </c>
      <c r="J34" s="28">
        <v>2</v>
      </c>
      <c r="K34" s="28">
        <v>0</v>
      </c>
      <c r="L34" s="29">
        <v>3</v>
      </c>
      <c r="M34" s="30">
        <f t="shared" si="26"/>
        <v>0</v>
      </c>
      <c r="N34" s="31">
        <f t="shared" si="27"/>
        <v>69984</v>
      </c>
      <c r="O34" s="30">
        <f>IF(I34="maxPool",0,(POWER(L34,D34)*E34*H34*$P$1)+H34)</f>
        <v>0</v>
      </c>
      <c r="P34" s="31">
        <f t="shared" ref="P34:P42" si="29">IF(M34=0,POWER(F34,G34)*$P$1*2,0)</f>
        <v>4374</v>
      </c>
      <c r="R34" s="81"/>
      <c r="S34" s="75"/>
      <c r="T34" s="88"/>
    </row>
    <row r="35" spans="2:20" x14ac:dyDescent="0.35">
      <c r="B35" s="75" t="s">
        <v>28</v>
      </c>
      <c r="C35" s="22">
        <f>F33</f>
        <v>55</v>
      </c>
      <c r="D35" s="32">
        <f>D33</f>
        <v>2</v>
      </c>
      <c r="E35" s="33">
        <f>H33</f>
        <v>96</v>
      </c>
      <c r="F35" s="22">
        <f>((C35-L35+(2*K35))/J35)+1</f>
        <v>47</v>
      </c>
      <c r="G35" s="32">
        <f>G33</f>
        <v>2</v>
      </c>
      <c r="H35" s="21">
        <v>256</v>
      </c>
      <c r="I35" s="22" t="s">
        <v>24</v>
      </c>
      <c r="J35" s="20">
        <v>1</v>
      </c>
      <c r="K35" s="20">
        <v>0</v>
      </c>
      <c r="L35" s="33">
        <f>MAX(3,L33-2)</f>
        <v>9</v>
      </c>
      <c r="M35" s="23">
        <f t="shared" si="26"/>
        <v>1990912</v>
      </c>
      <c r="N35" s="24">
        <f t="shared" si="27"/>
        <v>0</v>
      </c>
      <c r="O35" s="23">
        <f t="shared" ref="O35:O42" si="30">IF(I35="maxPool",0,(POWER(L35,D35)*H35*$P$1*2)+H35)</f>
        <v>124672</v>
      </c>
      <c r="P35" s="24">
        <f t="shared" si="29"/>
        <v>0</v>
      </c>
      <c r="R35" s="81">
        <f>M33+M35+N36</f>
        <v>2138048</v>
      </c>
      <c r="S35" s="75">
        <f>N33+O35+P36</f>
        <v>127846</v>
      </c>
      <c r="T35" s="88">
        <f t="shared" ref="T35" si="31">S35/R35</f>
        <v>5.9795664082377943E-2</v>
      </c>
    </row>
    <row r="36" spans="2:20" x14ac:dyDescent="0.35">
      <c r="B36" s="75"/>
      <c r="C36" s="27">
        <f>F35</f>
        <v>47</v>
      </c>
      <c r="D36" s="25">
        <f>D35</f>
        <v>2</v>
      </c>
      <c r="E36" s="26">
        <f>H35</f>
        <v>256</v>
      </c>
      <c r="F36" s="27">
        <f t="shared" ref="F36" si="32">((C36-L36+(2*K36))/J36)+1</f>
        <v>23</v>
      </c>
      <c r="G36" s="25">
        <f>G35</f>
        <v>2</v>
      </c>
      <c r="H36" s="26">
        <f>H35</f>
        <v>256</v>
      </c>
      <c r="I36" s="27" t="s">
        <v>25</v>
      </c>
      <c r="J36" s="28">
        <v>2</v>
      </c>
      <c r="K36" s="28">
        <v>0</v>
      </c>
      <c r="L36" s="29">
        <v>3</v>
      </c>
      <c r="M36" s="30">
        <f t="shared" si="26"/>
        <v>0</v>
      </c>
      <c r="N36" s="31">
        <f t="shared" si="27"/>
        <v>135424</v>
      </c>
      <c r="O36" s="30">
        <f t="shared" si="30"/>
        <v>0</v>
      </c>
      <c r="P36" s="31">
        <f t="shared" si="29"/>
        <v>3174</v>
      </c>
      <c r="R36" s="81"/>
      <c r="S36" s="75"/>
      <c r="T36" s="88"/>
    </row>
    <row r="37" spans="2:20" x14ac:dyDescent="0.35">
      <c r="B37" s="75" t="s">
        <v>27</v>
      </c>
      <c r="C37" s="22">
        <f>F35</f>
        <v>47</v>
      </c>
      <c r="D37" s="32">
        <f>D35</f>
        <v>2</v>
      </c>
      <c r="E37" s="33">
        <f>H35</f>
        <v>256</v>
      </c>
      <c r="F37" s="22">
        <f>((C37-L37+(2*K37))/J37)+1</f>
        <v>41</v>
      </c>
      <c r="G37" s="32">
        <f>G35</f>
        <v>2</v>
      </c>
      <c r="H37" s="21">
        <v>384</v>
      </c>
      <c r="I37" s="22" t="s">
        <v>24</v>
      </c>
      <c r="J37" s="20">
        <v>1</v>
      </c>
      <c r="K37" s="20">
        <v>0</v>
      </c>
      <c r="L37" s="33">
        <f>MAX(3,L35-2)</f>
        <v>7</v>
      </c>
      <c r="M37" s="23">
        <f t="shared" si="26"/>
        <v>4817280</v>
      </c>
      <c r="N37" s="24">
        <f t="shared" si="27"/>
        <v>0</v>
      </c>
      <c r="O37" s="23">
        <f t="shared" si="30"/>
        <v>113280</v>
      </c>
      <c r="P37" s="24">
        <f t="shared" si="29"/>
        <v>0</v>
      </c>
      <c r="R37" s="81">
        <f>M33+M35+M37+N38</f>
        <v>6973504</v>
      </c>
      <c r="S37" s="75">
        <f>N33+N35+O37+P38</f>
        <v>115680</v>
      </c>
      <c r="T37" s="88">
        <f t="shared" ref="T37" si="33">S37/R37</f>
        <v>1.6588504143684436E-2</v>
      </c>
    </row>
    <row r="38" spans="2:20" x14ac:dyDescent="0.35">
      <c r="B38" s="75"/>
      <c r="C38" s="27">
        <f>F37</f>
        <v>41</v>
      </c>
      <c r="D38" s="25">
        <f>D37</f>
        <v>2</v>
      </c>
      <c r="E38" s="26">
        <f>H37</f>
        <v>384</v>
      </c>
      <c r="F38" s="27">
        <f t="shared" ref="F38" si="34">((C38-L38+(2*K38))/J38)+1</f>
        <v>20</v>
      </c>
      <c r="G38" s="25">
        <f>G37</f>
        <v>2</v>
      </c>
      <c r="H38" s="26">
        <f>H37</f>
        <v>384</v>
      </c>
      <c r="I38" s="27" t="s">
        <v>25</v>
      </c>
      <c r="J38" s="28">
        <v>2</v>
      </c>
      <c r="K38" s="28">
        <v>0</v>
      </c>
      <c r="L38" s="29">
        <v>3</v>
      </c>
      <c r="M38" s="30">
        <f t="shared" si="26"/>
        <v>0</v>
      </c>
      <c r="N38" s="31">
        <f t="shared" si="27"/>
        <v>153600</v>
      </c>
      <c r="O38" s="30">
        <f t="shared" si="30"/>
        <v>0</v>
      </c>
      <c r="P38" s="31">
        <f t="shared" si="29"/>
        <v>2400</v>
      </c>
      <c r="R38" s="81"/>
      <c r="S38" s="75"/>
      <c r="T38" s="88"/>
    </row>
    <row r="39" spans="2:20" x14ac:dyDescent="0.35">
      <c r="B39" s="75" t="s">
        <v>29</v>
      </c>
      <c r="C39" s="22">
        <f>F37</f>
        <v>41</v>
      </c>
      <c r="D39" s="32">
        <f>D37</f>
        <v>2</v>
      </c>
      <c r="E39" s="33">
        <f>H37</f>
        <v>384</v>
      </c>
      <c r="F39" s="22">
        <f>((C39-L39+(2*K39))/J39)+1</f>
        <v>37</v>
      </c>
      <c r="G39" s="32">
        <f>G37</f>
        <v>2</v>
      </c>
      <c r="H39" s="21">
        <v>384</v>
      </c>
      <c r="I39" s="22" t="s">
        <v>24</v>
      </c>
      <c r="J39" s="20">
        <v>1</v>
      </c>
      <c r="K39" s="20">
        <v>0</v>
      </c>
      <c r="L39" s="33">
        <f>MAX(3,L37-2)</f>
        <v>5</v>
      </c>
      <c r="M39" s="23">
        <f t="shared" si="26"/>
        <v>3686784</v>
      </c>
      <c r="N39" s="24">
        <f t="shared" si="27"/>
        <v>0</v>
      </c>
      <c r="O39" s="23">
        <f t="shared" si="30"/>
        <v>57984</v>
      </c>
      <c r="P39" s="24">
        <f t="shared" si="29"/>
        <v>0</v>
      </c>
      <c r="R39" s="81">
        <f>M33+M35+M37+M39+N40</f>
        <v>10631104</v>
      </c>
      <c r="S39" s="75">
        <f>N33+N35+N37+O39+P40</f>
        <v>59928</v>
      </c>
      <c r="T39" s="88">
        <f t="shared" ref="T39" si="35">S39/R39</f>
        <v>5.6370439043771934E-3</v>
      </c>
    </row>
    <row r="40" spans="2:20" x14ac:dyDescent="0.35">
      <c r="B40" s="75"/>
      <c r="C40" s="27">
        <f>F39</f>
        <v>37</v>
      </c>
      <c r="D40" s="25">
        <f>D39</f>
        <v>2</v>
      </c>
      <c r="E40" s="26">
        <f>H39</f>
        <v>384</v>
      </c>
      <c r="F40" s="27">
        <f t="shared" ref="F40" si="36">((C40-L40+(2*K40))/J40)+1</f>
        <v>18</v>
      </c>
      <c r="G40" s="25">
        <f>G39</f>
        <v>2</v>
      </c>
      <c r="H40" s="26">
        <f>H39</f>
        <v>384</v>
      </c>
      <c r="I40" s="27" t="s">
        <v>25</v>
      </c>
      <c r="J40" s="28">
        <v>2</v>
      </c>
      <c r="K40" s="28">
        <v>0</v>
      </c>
      <c r="L40" s="29">
        <v>3</v>
      </c>
      <c r="M40" s="30">
        <f t="shared" si="26"/>
        <v>0</v>
      </c>
      <c r="N40" s="31">
        <f t="shared" si="27"/>
        <v>124416</v>
      </c>
      <c r="O40" s="30">
        <f t="shared" si="30"/>
        <v>0</v>
      </c>
      <c r="P40" s="31">
        <f t="shared" si="29"/>
        <v>1944</v>
      </c>
      <c r="R40" s="81"/>
      <c r="S40" s="75"/>
      <c r="T40" s="88"/>
    </row>
    <row r="41" spans="2:20" x14ac:dyDescent="0.35">
      <c r="B41" s="75" t="s">
        <v>30</v>
      </c>
      <c r="C41" s="4">
        <f>F39</f>
        <v>37</v>
      </c>
      <c r="D41">
        <f>D39</f>
        <v>2</v>
      </c>
      <c r="E41" s="6">
        <f>H39</f>
        <v>384</v>
      </c>
      <c r="F41" s="4">
        <f>((C41-L41+(2*K41))/J41)+1</f>
        <v>35</v>
      </c>
      <c r="G41">
        <f>G39</f>
        <v>2</v>
      </c>
      <c r="H41" s="14">
        <v>256</v>
      </c>
      <c r="I41" s="4" t="s">
        <v>24</v>
      </c>
      <c r="J41" s="5">
        <v>1</v>
      </c>
      <c r="K41" s="5">
        <v>0</v>
      </c>
      <c r="L41" s="6">
        <f>MAX(3,L39-2)</f>
        <v>3</v>
      </c>
      <c r="M41" s="10">
        <f t="shared" si="26"/>
        <v>884992</v>
      </c>
      <c r="N41" s="11">
        <f t="shared" si="27"/>
        <v>0</v>
      </c>
      <c r="O41" s="10">
        <f t="shared" si="30"/>
        <v>14080</v>
      </c>
      <c r="P41" s="11">
        <f t="shared" si="29"/>
        <v>0</v>
      </c>
      <c r="R41" s="81">
        <f>M33+M35+M37+M39+M41+N42</f>
        <v>11465664</v>
      </c>
      <c r="S41" s="75">
        <f>N33+N35+N37+N39+O41+P42</f>
        <v>15814</v>
      </c>
      <c r="T41" s="88">
        <f t="shared" ref="T41" si="37">S41/R41</f>
        <v>1.3792485110325926E-3</v>
      </c>
    </row>
    <row r="42" spans="2:20" ht="15" thickBot="1" x14ac:dyDescent="0.4">
      <c r="B42" s="75"/>
      <c r="C42" s="7">
        <f>F41</f>
        <v>35</v>
      </c>
      <c r="D42" s="8">
        <f>D41</f>
        <v>2</v>
      </c>
      <c r="E42" s="9">
        <f>H41</f>
        <v>256</v>
      </c>
      <c r="F42" s="7">
        <f t="shared" ref="F42" si="38">((C42-L42+(2*K42))/J42)+1</f>
        <v>17</v>
      </c>
      <c r="G42" s="8">
        <f>G41</f>
        <v>2</v>
      </c>
      <c r="H42" s="9">
        <f>H41</f>
        <v>256</v>
      </c>
      <c r="I42" s="7" t="s">
        <v>25</v>
      </c>
      <c r="J42" s="19">
        <v>2</v>
      </c>
      <c r="K42" s="19">
        <v>0</v>
      </c>
      <c r="L42" s="9">
        <v>3</v>
      </c>
      <c r="M42" s="17">
        <f t="shared" si="26"/>
        <v>0</v>
      </c>
      <c r="N42" s="18">
        <f t="shared" si="27"/>
        <v>73984</v>
      </c>
      <c r="O42" s="17">
        <f t="shared" si="30"/>
        <v>0</v>
      </c>
      <c r="P42" s="18">
        <f t="shared" si="29"/>
        <v>1734</v>
      </c>
      <c r="R42" s="82"/>
      <c r="S42" s="80"/>
      <c r="T42" s="89"/>
    </row>
    <row r="45" spans="2:20" x14ac:dyDescent="0.35">
      <c r="B45" t="s">
        <v>65</v>
      </c>
    </row>
    <row r="46" spans="2:20" x14ac:dyDescent="0.35">
      <c r="B46" t="s">
        <v>33</v>
      </c>
    </row>
    <row r="47" spans="2:20" x14ac:dyDescent="0.35">
      <c r="B47" t="s">
        <v>63</v>
      </c>
    </row>
    <row r="48" spans="2:20" x14ac:dyDescent="0.35">
      <c r="B48" t="s">
        <v>38</v>
      </c>
    </row>
    <row r="50" spans="2:2" x14ac:dyDescent="0.35">
      <c r="B50" s="1" t="s">
        <v>37</v>
      </c>
    </row>
    <row r="51" spans="2:2" x14ac:dyDescent="0.35">
      <c r="B51" t="s">
        <v>40</v>
      </c>
    </row>
    <row r="52" spans="2:2" x14ac:dyDescent="0.35">
      <c r="B52" t="s">
        <v>44</v>
      </c>
    </row>
    <row r="53" spans="2:2" x14ac:dyDescent="0.35">
      <c r="B53" t="s">
        <v>62</v>
      </c>
    </row>
    <row r="54" spans="2:2" x14ac:dyDescent="0.35">
      <c r="B54" t="s">
        <v>39</v>
      </c>
    </row>
  </sheetData>
  <mergeCells count="88">
    <mergeCell ref="R41:R42"/>
    <mergeCell ref="S41:S42"/>
    <mergeCell ref="T41:T42"/>
    <mergeCell ref="R37:R38"/>
    <mergeCell ref="S37:S38"/>
    <mergeCell ref="T37:T38"/>
    <mergeCell ref="R39:R40"/>
    <mergeCell ref="S39:S40"/>
    <mergeCell ref="T39:T40"/>
    <mergeCell ref="R33:R34"/>
    <mergeCell ref="S33:S34"/>
    <mergeCell ref="T33:T34"/>
    <mergeCell ref="R35:R36"/>
    <mergeCell ref="S35:S36"/>
    <mergeCell ref="T35:T36"/>
    <mergeCell ref="R27:R28"/>
    <mergeCell ref="S27:S28"/>
    <mergeCell ref="T27:T28"/>
    <mergeCell ref="R31:R32"/>
    <mergeCell ref="S31:S32"/>
    <mergeCell ref="T31:T32"/>
    <mergeCell ref="R23:R24"/>
    <mergeCell ref="S23:S24"/>
    <mergeCell ref="T23:T24"/>
    <mergeCell ref="R25:R26"/>
    <mergeCell ref="S25:S26"/>
    <mergeCell ref="T25:T26"/>
    <mergeCell ref="R19:R20"/>
    <mergeCell ref="S19:S20"/>
    <mergeCell ref="T19:T20"/>
    <mergeCell ref="R21:R22"/>
    <mergeCell ref="S21:S22"/>
    <mergeCell ref="T21:T22"/>
    <mergeCell ref="R3:R4"/>
    <mergeCell ref="S3:S4"/>
    <mergeCell ref="T3:T4"/>
    <mergeCell ref="N1:O1"/>
    <mergeCell ref="R17:R18"/>
    <mergeCell ref="S17:S18"/>
    <mergeCell ref="T17:T18"/>
    <mergeCell ref="T5:T6"/>
    <mergeCell ref="T7:T8"/>
    <mergeCell ref="T9:T10"/>
    <mergeCell ref="T11:T12"/>
    <mergeCell ref="T13:T14"/>
    <mergeCell ref="S5:S6"/>
    <mergeCell ref="S7:S8"/>
    <mergeCell ref="S9:S10"/>
    <mergeCell ref="S11:S12"/>
    <mergeCell ref="S13:S14"/>
    <mergeCell ref="R5:R6"/>
    <mergeCell ref="R7:R8"/>
    <mergeCell ref="R9:R10"/>
    <mergeCell ref="R11:R12"/>
    <mergeCell ref="R13:R14"/>
    <mergeCell ref="B41:B42"/>
    <mergeCell ref="M31:N31"/>
    <mergeCell ref="O31:P31"/>
    <mergeCell ref="B33:B34"/>
    <mergeCell ref="B35:B36"/>
    <mergeCell ref="B37:B38"/>
    <mergeCell ref="B39:B40"/>
    <mergeCell ref="C31:E31"/>
    <mergeCell ref="F31:H31"/>
    <mergeCell ref="I31:L31"/>
    <mergeCell ref="B31:B32"/>
    <mergeCell ref="O3:P3"/>
    <mergeCell ref="M17:N17"/>
    <mergeCell ref="O17:P17"/>
    <mergeCell ref="B19:B20"/>
    <mergeCell ref="B21:B22"/>
    <mergeCell ref="M3:N3"/>
    <mergeCell ref="C17:E17"/>
    <mergeCell ref="F17:H17"/>
    <mergeCell ref="B25:B26"/>
    <mergeCell ref="B27:B28"/>
    <mergeCell ref="C3:E3"/>
    <mergeCell ref="F3:H3"/>
    <mergeCell ref="I3:L3"/>
    <mergeCell ref="I17:L17"/>
    <mergeCell ref="B3:B4"/>
    <mergeCell ref="B17:B18"/>
    <mergeCell ref="B23:B24"/>
    <mergeCell ref="B5:B6"/>
    <mergeCell ref="B7:B8"/>
    <mergeCell ref="B9:B10"/>
    <mergeCell ref="B11:B12"/>
    <mergeCell ref="B13:B14"/>
  </mergeCells>
  <phoneticPr fontId="2" type="noConversion"/>
  <conditionalFormatting sqref="T5:T14 T19:T28 T33:T4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4184-6884-4978-B4B1-FF5F23E516E8}">
  <dimension ref="A1:R41"/>
  <sheetViews>
    <sheetView zoomScaleNormal="100" workbookViewId="0">
      <selection activeCell="C21" sqref="C21"/>
    </sheetView>
  </sheetViews>
  <sheetFormatPr defaultRowHeight="14.5" x14ac:dyDescent="0.35"/>
  <cols>
    <col min="1" max="1" width="11.453125" bestFit="1" customWidth="1"/>
    <col min="20" max="20" width="9.54296875" customWidth="1"/>
    <col min="21" max="21" width="9.26953125" customWidth="1"/>
    <col min="22" max="22" width="9.54296875" customWidth="1"/>
    <col min="23" max="23" width="8.54296875" customWidth="1"/>
    <col min="24" max="24" width="7.1796875" customWidth="1"/>
    <col min="29" max="29" width="7.1796875" customWidth="1"/>
  </cols>
  <sheetData>
    <row r="1" spans="1:18" x14ac:dyDescent="0.35">
      <c r="A1" t="s">
        <v>41</v>
      </c>
    </row>
    <row r="2" spans="1:18" ht="15" thickBot="1" x14ac:dyDescent="0.4"/>
    <row r="3" spans="1:18" x14ac:dyDescent="0.35">
      <c r="B3" s="76" t="s">
        <v>11</v>
      </c>
      <c r="C3" s="77"/>
      <c r="D3" s="78"/>
      <c r="E3" s="76" t="s">
        <v>3</v>
      </c>
      <c r="F3" s="77"/>
      <c r="G3" s="78"/>
      <c r="H3" s="76" t="s">
        <v>4</v>
      </c>
      <c r="I3" s="77"/>
      <c r="J3" s="78"/>
      <c r="K3" s="76" t="s">
        <v>5</v>
      </c>
      <c r="L3" s="77"/>
      <c r="M3" s="78"/>
      <c r="N3" s="77" t="s">
        <v>6</v>
      </c>
      <c r="O3" s="77"/>
      <c r="P3" s="77"/>
      <c r="Q3" s="76" t="s">
        <v>64</v>
      </c>
      <c r="R3" s="78"/>
    </row>
    <row r="4" spans="1:18" ht="15" thickBot="1" x14ac:dyDescent="0.4">
      <c r="B4" s="4" t="s">
        <v>2</v>
      </c>
      <c r="C4" t="s">
        <v>53</v>
      </c>
      <c r="D4" s="6" t="s">
        <v>1</v>
      </c>
      <c r="E4" s="4" t="s">
        <v>2</v>
      </c>
      <c r="F4" t="s">
        <v>53</v>
      </c>
      <c r="G4" s="6" t="s">
        <v>1</v>
      </c>
      <c r="H4" s="4" t="s">
        <v>2</v>
      </c>
      <c r="I4" t="s">
        <v>53</v>
      </c>
      <c r="J4" s="6" t="s">
        <v>1</v>
      </c>
      <c r="K4" s="4" t="s">
        <v>2</v>
      </c>
      <c r="L4" t="s">
        <v>53</v>
      </c>
      <c r="M4" s="6" t="s">
        <v>1</v>
      </c>
      <c r="N4" t="s">
        <v>2</v>
      </c>
      <c r="O4" t="s">
        <v>53</v>
      </c>
      <c r="P4" t="s">
        <v>1</v>
      </c>
      <c r="Q4" s="4" t="s">
        <v>2</v>
      </c>
      <c r="R4" s="6" t="s">
        <v>1</v>
      </c>
    </row>
    <row r="5" spans="1:18" x14ac:dyDescent="0.35">
      <c r="A5" t="s">
        <v>14</v>
      </c>
      <c r="B5" s="34">
        <v>50</v>
      </c>
      <c r="C5" s="49">
        <v>0</v>
      </c>
      <c r="D5" s="39">
        <f>ROUND(B5/10,0)</f>
        <v>5</v>
      </c>
      <c r="E5" s="37">
        <f>B5</f>
        <v>50</v>
      </c>
      <c r="F5" s="49">
        <v>0</v>
      </c>
      <c r="G5" s="39">
        <f>ROUND(E5/10,0)</f>
        <v>5</v>
      </c>
      <c r="H5" s="37">
        <f>B5</f>
        <v>50</v>
      </c>
      <c r="I5" s="49">
        <v>0</v>
      </c>
      <c r="J5" s="39">
        <f>ROUND(H5/10,0)</f>
        <v>5</v>
      </c>
      <c r="K5" s="37">
        <f>B5</f>
        <v>50</v>
      </c>
      <c r="L5" s="49">
        <v>0</v>
      </c>
      <c r="M5" s="39">
        <f>ROUND(K5/10,0)</f>
        <v>5</v>
      </c>
      <c r="N5" s="38">
        <f>B5</f>
        <v>50</v>
      </c>
      <c r="O5" s="49">
        <v>0</v>
      </c>
      <c r="P5" s="38">
        <f>ROUND(N5/10,0)</f>
        <v>5</v>
      </c>
      <c r="Q5" s="37">
        <v>2</v>
      </c>
      <c r="R5" s="39">
        <v>1</v>
      </c>
    </row>
    <row r="6" spans="1:18" x14ac:dyDescent="0.35">
      <c r="A6" t="s">
        <v>15</v>
      </c>
      <c r="B6" s="40">
        <v>100</v>
      </c>
      <c r="C6" s="51">
        <v>0</v>
      </c>
      <c r="D6" s="6">
        <f t="shared" ref="D6:D8" si="0">ROUND(B6/10,0)</f>
        <v>10</v>
      </c>
      <c r="E6" s="4">
        <f>B6</f>
        <v>100</v>
      </c>
      <c r="F6" s="51">
        <v>0.1</v>
      </c>
      <c r="G6" s="6">
        <f t="shared" ref="G6:G8" si="1">ROUND(E6/10,0)</f>
        <v>10</v>
      </c>
      <c r="H6" s="4">
        <f>B6</f>
        <v>100</v>
      </c>
      <c r="I6" s="51">
        <v>0.1</v>
      </c>
      <c r="J6" s="6">
        <f t="shared" ref="J6:J8" si="2">ROUND(H6/10,0)</f>
        <v>10</v>
      </c>
      <c r="K6" s="4">
        <f>B6</f>
        <v>100</v>
      </c>
      <c r="L6" s="51">
        <v>0.1</v>
      </c>
      <c r="M6" s="6">
        <f t="shared" ref="M6:M8" si="3">ROUND(K6/10,0)</f>
        <v>10</v>
      </c>
      <c r="N6">
        <f>B6</f>
        <v>100</v>
      </c>
      <c r="O6" s="51">
        <v>0.1</v>
      </c>
      <c r="P6">
        <f t="shared" ref="P6:P8" si="4">ROUND(N6/10,0)</f>
        <v>10</v>
      </c>
      <c r="Q6" s="4">
        <v>2</v>
      </c>
      <c r="R6" s="6">
        <v>1</v>
      </c>
    </row>
    <row r="7" spans="1:18" x14ac:dyDescent="0.35">
      <c r="A7" t="s">
        <v>16</v>
      </c>
      <c r="B7" s="40">
        <v>200</v>
      </c>
      <c r="C7" s="51">
        <v>0</v>
      </c>
      <c r="D7" s="6">
        <f t="shared" si="0"/>
        <v>20</v>
      </c>
      <c r="E7" s="42">
        <f>(B7*2)/3</f>
        <v>133.33333333333334</v>
      </c>
      <c r="F7" s="51">
        <v>0</v>
      </c>
      <c r="G7" s="6">
        <f t="shared" si="1"/>
        <v>13</v>
      </c>
      <c r="H7" s="42">
        <f>(E7*2)/3</f>
        <v>88.8888888888889</v>
      </c>
      <c r="I7" s="51">
        <v>0</v>
      </c>
      <c r="J7" s="6">
        <f t="shared" si="2"/>
        <v>9</v>
      </c>
      <c r="K7" s="42">
        <f>(H7*2)/3</f>
        <v>59.259259259259267</v>
      </c>
      <c r="L7" s="51">
        <v>0</v>
      </c>
      <c r="M7" s="6">
        <f t="shared" si="3"/>
        <v>6</v>
      </c>
      <c r="N7" s="2">
        <f>(K7*2)/3</f>
        <v>39.506172839506178</v>
      </c>
      <c r="O7" s="51">
        <v>0</v>
      </c>
      <c r="P7">
        <f t="shared" si="4"/>
        <v>4</v>
      </c>
      <c r="Q7" s="4">
        <v>2</v>
      </c>
      <c r="R7" s="6">
        <v>1</v>
      </c>
    </row>
    <row r="8" spans="1:18" ht="15" thickBot="1" x14ac:dyDescent="0.4">
      <c r="A8" t="s">
        <v>17</v>
      </c>
      <c r="B8" s="41">
        <v>500</v>
      </c>
      <c r="C8" s="50">
        <v>0</v>
      </c>
      <c r="D8" s="9">
        <f t="shared" si="0"/>
        <v>50</v>
      </c>
      <c r="E8" s="44">
        <f>(B8*2)/3</f>
        <v>333.33333333333331</v>
      </c>
      <c r="F8" s="50">
        <v>0.1</v>
      </c>
      <c r="G8" s="9">
        <f t="shared" si="1"/>
        <v>33</v>
      </c>
      <c r="H8" s="44">
        <f>(E8*2)/3</f>
        <v>222.2222222222222</v>
      </c>
      <c r="I8" s="50">
        <v>0.1</v>
      </c>
      <c r="J8" s="9">
        <f t="shared" si="2"/>
        <v>22</v>
      </c>
      <c r="K8" s="44">
        <f>(H8*2)/3</f>
        <v>148.14814814814812</v>
      </c>
      <c r="L8" s="50">
        <v>0.1</v>
      </c>
      <c r="M8" s="9">
        <f t="shared" si="3"/>
        <v>15</v>
      </c>
      <c r="N8" s="45">
        <f>(K8*2)/3</f>
        <v>98.765432098765416</v>
      </c>
      <c r="O8" s="50">
        <v>0.1</v>
      </c>
      <c r="P8" s="8">
        <f t="shared" si="4"/>
        <v>10</v>
      </c>
      <c r="Q8" s="7">
        <v>2</v>
      </c>
      <c r="R8" s="9">
        <v>1</v>
      </c>
    </row>
    <row r="9" spans="1:18" ht="15" thickBot="1" x14ac:dyDescent="0.4"/>
    <row r="10" spans="1:18" x14ac:dyDescent="0.35">
      <c r="B10" s="76" t="s">
        <v>45</v>
      </c>
      <c r="C10" s="77"/>
      <c r="D10" s="77"/>
      <c r="E10" s="78"/>
      <c r="F10" s="3"/>
      <c r="G10" s="76" t="s">
        <v>46</v>
      </c>
      <c r="H10" s="77"/>
      <c r="I10" s="52" t="s">
        <v>12</v>
      </c>
      <c r="J10" s="36">
        <v>3</v>
      </c>
      <c r="L10" s="76" t="s">
        <v>61</v>
      </c>
      <c r="M10" s="77"/>
      <c r="N10" s="77"/>
      <c r="O10" s="78"/>
    </row>
    <row r="11" spans="1:18" x14ac:dyDescent="0.35">
      <c r="B11" s="4" t="s">
        <v>7</v>
      </c>
      <c r="C11" t="s">
        <v>8</v>
      </c>
      <c r="D11" t="s">
        <v>9</v>
      </c>
      <c r="E11" s="6" t="s">
        <v>10</v>
      </c>
      <c r="G11" s="4" t="s">
        <v>7</v>
      </c>
      <c r="H11" t="s">
        <v>8</v>
      </c>
      <c r="I11" t="s">
        <v>9</v>
      </c>
      <c r="J11" s="6" t="s">
        <v>10</v>
      </c>
      <c r="L11" s="4" t="s">
        <v>7</v>
      </c>
      <c r="M11" t="s">
        <v>8</v>
      </c>
      <c r="N11" t="s">
        <v>9</v>
      </c>
      <c r="O11" s="6" t="s">
        <v>10</v>
      </c>
    </row>
    <row r="12" spans="1:18" x14ac:dyDescent="0.35">
      <c r="B12" s="42">
        <f>(B5*(1+C5)*E5)+(E5*(1+F5)*Q5)+(2*(D5+G5+R5))</f>
        <v>2622</v>
      </c>
      <c r="C12" s="2">
        <f>(B5*(1+C5)*E5)+(E5*(1+F5)*H5)+(H5*(1+I5)*Q5)+(2*(D5+G5+R5+J5))</f>
        <v>5132</v>
      </c>
      <c r="D12" s="2">
        <f>(B5*(1+C5)*E5)+(E5*(1+F5)*H5)+(H5*(1+I5)*K5)+(K5*(1+L5)*Q5)+(2*(D5+G5+R5+J5+M5))</f>
        <v>7642</v>
      </c>
      <c r="E12" s="43">
        <f>(B5*(1+C5)*E5)+(E5*(1+F5)*H5)+(H5*(1+I5)*K5)+(K5*(1+L5)*N5)+(N5*(1+O5)*Q5)+(2*(D5+G5+R5+J5+M5+P5))</f>
        <v>10152</v>
      </c>
      <c r="F12" s="2"/>
      <c r="G12" s="42">
        <f>($J$10*B5)+($J$10*B5*(1+C5))+($J$10*E5)+($J$10*E5*(1+F5))+($J$10*Q5)+($J$10*(D5+G5+R5))</f>
        <v>639</v>
      </c>
      <c r="H12" s="2">
        <f>($J$10*B5)+($J$10*B5*(1+C5))+($J$10*E5)+($J$10*E5*(1+F5))+($J$10*H5)+($J$10*H5*(1+I5))+($J$10*Q5)+($J$10*(D5+G5+J5+R5))</f>
        <v>954</v>
      </c>
      <c r="I12" s="2">
        <f>($J$10*B5)+($J$10*B5*(1+C5))+($J$10*E5)+($J$10*E5*(1+F5))+($J$10*H5)+($J$10*H5*(1+I5))+($J$10*K5)+($J$10*K5*(1+L5))+($J$10*Q5)+($J$10*(D5+G5+J5+M5+R5))</f>
        <v>1269</v>
      </c>
      <c r="J12" s="43">
        <f>($J$10*B5)+($J$10*B5*(1+C5))+($J$10*E5)+($J$10*E5*(1+F5))+($J$10*H5)+($J$10*H5*(1+I5))+($J$10*K5)+($J$10*K5*(1+L5))+($J$10*Q5)+($J$10*N5)+($J$10*N5*(1+O5))+($J$10*(D5+G5+J5+M5+P5+R5))</f>
        <v>1584</v>
      </c>
      <c r="L12" s="62">
        <f t="shared" ref="L12:O15" si="5">G12/B12</f>
        <v>0.24370709382151029</v>
      </c>
      <c r="M12" s="63">
        <f t="shared" si="5"/>
        <v>0.18589243959469992</v>
      </c>
      <c r="N12" s="63">
        <f t="shared" si="5"/>
        <v>0.16605600628107825</v>
      </c>
      <c r="O12" s="57">
        <f t="shared" si="5"/>
        <v>0.15602836879432624</v>
      </c>
    </row>
    <row r="13" spans="1:18" x14ac:dyDescent="0.35">
      <c r="B13" s="42">
        <f>(B6*(1+C6)*E6)+(E6*(1+F6)*Q6)+(2*(D6+G6+R6))</f>
        <v>10262</v>
      </c>
      <c r="C13" s="2">
        <f>(B6*(1+C6)*E6)+(E6*(1+F6)*H6)+(H6*(1+I6)*Q6)+(2*(D6+G6+R6+J6))</f>
        <v>21282</v>
      </c>
      <c r="D13" s="2">
        <f>(B6*(1+C6)*E6)+(E6*(1+F6)*H6)+(H6*(1+I6)*K6)+(K6*(1+L6)*Q6)+(2*(D6+G6+R6+J6+M6))</f>
        <v>32302</v>
      </c>
      <c r="E13" s="43">
        <f>(B6*(1+C6)*E6)+(E6*(1+F6)*H6)+(H6*(1+I6)*K6)+(K6*(1+L6)*N6)+(N6*(1+O6)*Q6)+(2*(D6+G6+R6+J6+M6+P6))</f>
        <v>43322</v>
      </c>
      <c r="F13" s="2"/>
      <c r="G13" s="42">
        <f>($J$10*B6)+($J$10*B6*(1+C6))+($J$10*E6)+($J$10*E6*(1+F6))+($J$10*Q6)+($J$10*(D6+G6+R6))</f>
        <v>1299</v>
      </c>
      <c r="H13" s="2">
        <f>($J$10*B6)+($J$10*B6*(1+C6))+($J$10*E6)+($J$10*E6*(1+F6))+($J$10*H6)+($J$10*H6*(1+I6))+($J$10*Q6)+($J$10*(D6+G6+J6+R6))</f>
        <v>1959</v>
      </c>
      <c r="I13" s="2">
        <f>($J$10*B6)+($J$10*B6*(1+C6))+($J$10*E6)+($J$10*E6*(1+F6))+($J$10*H6)+($J$10*H6*(1+I6))+($J$10*K6)+($J$10*K6*(1+L6))+($J$10*Q6)+($J$10*(D6+G6+J6+M6+R6))</f>
        <v>2619</v>
      </c>
      <c r="J13" s="43">
        <f>($J$10*B6)+($J$10*B6*(1+C6))+($J$10*E6)+($J$10*E6*(1+F6))+($J$10*H6)+($J$10*H6*(1+I6))+($J$10*K6)+($J$10*K6*(1+L6))+($J$10*Q6)+($J$10*N6)+($J$10*N6*(1+O6))+($J$10*(D6+G6+J6+M6+P6+R6))</f>
        <v>3279</v>
      </c>
      <c r="L13" s="62">
        <f t="shared" si="5"/>
        <v>0.12658351198596765</v>
      </c>
      <c r="M13" s="63">
        <f t="shared" si="5"/>
        <v>9.2049619396673249E-2</v>
      </c>
      <c r="N13" s="63">
        <f t="shared" si="5"/>
        <v>8.1078570986316642E-2</v>
      </c>
      <c r="O13" s="57">
        <f t="shared" si="5"/>
        <v>7.5689026360740499E-2</v>
      </c>
    </row>
    <row r="14" spans="1:18" x14ac:dyDescent="0.35">
      <c r="B14" s="42">
        <f>(B7*(1+C7)*E7)+(E7*(1+F7)*Q7)+(2*(D7+G7+R7))</f>
        <v>27001.333333333336</v>
      </c>
      <c r="C14" s="2">
        <f>(B7*(1+C7)*E7)+(E7*(1+F7)*H7)+(H7*(1+I7)*Q7)+(2*(D7+G7+R7+J7))</f>
        <v>38782.296296296307</v>
      </c>
      <c r="D14" s="2">
        <f>(B7*(1+C7)*E7)+(E7*(1+F7)*H7)+(H7*(1+I7)*K7)+(K7*(1+L7)*Q7)+(2*(D7+G7+R7+J7+M7))</f>
        <v>44002.526748971199</v>
      </c>
      <c r="E14" s="43">
        <f>(B7*(1+C7)*E7)+(E7*(1+F7)*H7)+(H7*(1+I7)*K7)+(K7*(1+L7)*N7)+(N7*(1+O7)*Q7)+(2*(D7+G7+R7+J7+M7+P7))</f>
        <v>46312.127114769093</v>
      </c>
      <c r="F14" s="2"/>
      <c r="G14" s="42">
        <f>($J$10*B7)+($J$10*B7*(1+C7))+($J$10*E7)+($J$10*E7*(1+F7))+($J$10*Q7)+($J$10*(D7+G7+R7))</f>
        <v>2108</v>
      </c>
      <c r="H14" s="2">
        <f>($J$10*B7)+($J$10*B7*(1+C7))+($J$10*E7)+($J$10*E7*(1+F7))+($J$10*H7)+($J$10*H7*(1+I7))+($J$10*Q7)+($J$10*(D7+G7+J7+R7))</f>
        <v>2668.333333333333</v>
      </c>
      <c r="I14" s="2">
        <f>($J$10*B7)+($J$10*B7*(1+C7))+($J$10*E7)+($J$10*E7*(1+F7))+($J$10*H7)+($J$10*H7*(1+I7))+($J$10*K7)+($J$10*K7*(1+L7))+($J$10*Q7)+($J$10*(D7+G7+J7+M7+R7))</f>
        <v>3041.8888888888887</v>
      </c>
      <c r="J14" s="43">
        <f>($J$10*B7)+($J$10*B7*(1+C7))+($J$10*E7)+($J$10*E7*(1+F7))+($J$10*H7)+($J$10*H7*(1+I7))+($J$10*K7)+($J$10*K7*(1+L7))+($J$10*Q7)+($J$10*N7)+($J$10*N7*(1+O7))+($J$10*(D7+G7+J7+M7+P7+R7))</f>
        <v>3290.9259259259261</v>
      </c>
      <c r="L14" s="62">
        <f t="shared" si="5"/>
        <v>7.8070218754629397E-2</v>
      </c>
      <c r="M14" s="63">
        <f t="shared" si="5"/>
        <v>6.8802871107664601E-2</v>
      </c>
      <c r="N14" s="63">
        <f t="shared" si="5"/>
        <v>6.9129868524198099E-2</v>
      </c>
      <c r="O14" s="57">
        <f t="shared" si="5"/>
        <v>7.1059701442139953E-2</v>
      </c>
    </row>
    <row r="15" spans="1:18" ht="15" thickBot="1" x14ac:dyDescent="0.4">
      <c r="B15" s="44">
        <f>(B8*(1+C8)*E8)+(E8*(1+F8)*Q8)+(2*(D8+G8+R8))</f>
        <v>167568</v>
      </c>
      <c r="C15" s="45">
        <f>(B8*(1+C8)*E8)+(E8*(1+F8)*H8)+(H8*(1+I8)*Q8)+(2*(D8+G8+R8+J8))</f>
        <v>248849.03703703702</v>
      </c>
      <c r="D15" s="45">
        <f>(B8*(1+C8)*E8)+(E8*(1+F8)*H8)+(H8*(1+I8)*K8)+(K8*(1+L8)*Q8)+(2*(D8+G8+R8+J8+M8))</f>
        <v>284930.06584362139</v>
      </c>
      <c r="E15" s="46">
        <f>(B8*(1+C8)*E8)+(E8*(1+F8)*H8)+(H8*(1+I8)*K8)+(K8*(1+L8)*N8)+(N8*(1+O8)*Q8)+(2*(D8+G8+R8+J8+M8+P8))</f>
        <v>300936.53132144496</v>
      </c>
      <c r="F15" s="2"/>
      <c r="G15" s="44">
        <f>($J$10*B8)+($J$10*B8*(1+C8))+($J$10*E8)+($J$10*E8*(1+F8))+($J$10*Q8)+($J$10*(D8+G8+R8))</f>
        <v>5358</v>
      </c>
      <c r="H15" s="45">
        <f>($J$10*B8)+($J$10*B8*(1+C8))+($J$10*E8)+($J$10*E8*(1+F8))+($J$10*H8)+($J$10*H8*(1+I8))+($J$10*Q8)+($J$10*(D8+G8+J8+R8))</f>
        <v>6824</v>
      </c>
      <c r="I15" s="45">
        <f>($J$10*B8)+($J$10*B8*(1+C8))+($J$10*E8)+($J$10*E8*(1+F8))+($J$10*H8)+($J$10*H8*(1+I8))+($J$10*K8)+($J$10*K8*(1+L8))+($J$10*Q8)+($J$10*(D8+G8+J8+M8+R8))</f>
        <v>7802.333333333333</v>
      </c>
      <c r="J15" s="46">
        <f>($J$10*B8)+($J$10*B8*(1+C8))+($J$10*E8)+($J$10*E8*(1+F8))+($J$10*H8)+($J$10*H8*(1+I8))+($J$10*K8)+($J$10*K8*(1+L8))+($J$10*Q8)+($J$10*N8)+($J$10*N8*(1+O8))+($J$10*(D8+G8+J8+M8+P8+R8))</f>
        <v>8454.5555555555547</v>
      </c>
      <c r="L15" s="64">
        <f t="shared" si="5"/>
        <v>3.1975078773990258E-2</v>
      </c>
      <c r="M15" s="65">
        <f t="shared" si="5"/>
        <v>2.7422247967085207E-2</v>
      </c>
      <c r="N15" s="65">
        <f t="shared" si="5"/>
        <v>2.7383327590341063E-2</v>
      </c>
      <c r="O15" s="58">
        <f t="shared" si="5"/>
        <v>2.8094148352247845E-2</v>
      </c>
    </row>
    <row r="17" spans="2:3" s="93" customFormat="1" x14ac:dyDescent="0.35"/>
    <row r="18" spans="2:3" s="93" customFormat="1" x14ac:dyDescent="0.35">
      <c r="B18" s="93" t="s">
        <v>55</v>
      </c>
    </row>
    <row r="19" spans="2:3" s="93" customFormat="1" x14ac:dyDescent="0.35">
      <c r="B19" s="93" t="s">
        <v>57</v>
      </c>
    </row>
    <row r="20" spans="2:3" s="93" customFormat="1" x14ac:dyDescent="0.35">
      <c r="B20" s="93" t="s">
        <v>54</v>
      </c>
      <c r="C20" s="61"/>
    </row>
    <row r="21" spans="2:3" s="93" customFormat="1" x14ac:dyDescent="0.35">
      <c r="B21" s="93" t="s">
        <v>56</v>
      </c>
    </row>
    <row r="22" spans="2:3" s="93" customFormat="1" x14ac:dyDescent="0.35"/>
    <row r="23" spans="2:3" x14ac:dyDescent="0.35">
      <c r="B23" s="1" t="s">
        <v>37</v>
      </c>
    </row>
    <row r="24" spans="2:3" x14ac:dyDescent="0.35">
      <c r="B24" t="s">
        <v>39</v>
      </c>
    </row>
    <row r="25" spans="2:3" s="93" customFormat="1" x14ac:dyDescent="0.35"/>
    <row r="26" spans="2:3" s="93" customFormat="1" x14ac:dyDescent="0.35">
      <c r="C26" s="61"/>
    </row>
    <row r="27" spans="2:3" s="93" customFormat="1" x14ac:dyDescent="0.35"/>
    <row r="28" spans="2:3" s="93" customFormat="1" x14ac:dyDescent="0.35"/>
    <row r="29" spans="2:3" s="93" customFormat="1" x14ac:dyDescent="0.35">
      <c r="C29" s="61"/>
    </row>
    <row r="30" spans="2:3" s="93" customFormat="1" x14ac:dyDescent="0.35"/>
    <row r="31" spans="2:3" s="93" customFormat="1" x14ac:dyDescent="0.35"/>
    <row r="32" spans="2:3" x14ac:dyDescent="0.35">
      <c r="B32" s="47"/>
    </row>
    <row r="38" spans="2:2" x14ac:dyDescent="0.35">
      <c r="B38" s="47"/>
    </row>
    <row r="41" spans="2:2" x14ac:dyDescent="0.35">
      <c r="B41" s="47"/>
    </row>
  </sheetData>
  <mergeCells count="9">
    <mergeCell ref="Q3:R3"/>
    <mergeCell ref="G10:H10"/>
    <mergeCell ref="L10:O10"/>
    <mergeCell ref="B3:D3"/>
    <mergeCell ref="E3:G3"/>
    <mergeCell ref="H3:J3"/>
    <mergeCell ref="K3:M3"/>
    <mergeCell ref="N3:P3"/>
    <mergeCell ref="B10:E10"/>
  </mergeCells>
  <conditionalFormatting sqref="L12:O1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87E92-96C4-4E0F-8EC7-AE60099B0FAD}">
  <dimension ref="A1:AB36"/>
  <sheetViews>
    <sheetView workbookViewId="0">
      <selection activeCell="B25" sqref="B25"/>
    </sheetView>
  </sheetViews>
  <sheetFormatPr defaultRowHeight="14.5" x14ac:dyDescent="0.35"/>
  <cols>
    <col min="1" max="1" width="11.453125" bestFit="1" customWidth="1"/>
    <col min="4" max="4" width="9.54296875" bestFit="1" customWidth="1"/>
    <col min="20" max="20" width="9.54296875" customWidth="1"/>
    <col min="21" max="21" width="9.26953125" customWidth="1"/>
    <col min="22" max="22" width="9.54296875" customWidth="1"/>
    <col min="23" max="23" width="8.54296875" customWidth="1"/>
    <col min="24" max="24" width="7.1796875" customWidth="1"/>
  </cols>
  <sheetData>
    <row r="1" spans="1:28" x14ac:dyDescent="0.35">
      <c r="A1" t="s">
        <v>41</v>
      </c>
    </row>
    <row r="2" spans="1:28" ht="15" thickBot="1" x14ac:dyDescent="0.4"/>
    <row r="3" spans="1:28" x14ac:dyDescent="0.35">
      <c r="B3" s="76" t="s">
        <v>11</v>
      </c>
      <c r="C3" s="77"/>
      <c r="D3" s="78"/>
      <c r="E3" s="76" t="s">
        <v>3</v>
      </c>
      <c r="F3" s="77"/>
      <c r="G3" s="78"/>
      <c r="H3" s="76" t="s">
        <v>4</v>
      </c>
      <c r="I3" s="77"/>
      <c r="J3" s="78"/>
      <c r="K3" s="76" t="s">
        <v>5</v>
      </c>
      <c r="L3" s="77"/>
      <c r="M3" s="78"/>
      <c r="N3" s="77" t="s">
        <v>6</v>
      </c>
      <c r="O3" s="77"/>
      <c r="P3" s="77"/>
      <c r="Q3" s="76" t="s">
        <v>64</v>
      </c>
      <c r="R3" s="78"/>
      <c r="X3" s="3"/>
    </row>
    <row r="4" spans="1:28" ht="15" thickBot="1" x14ac:dyDescent="0.4">
      <c r="B4" s="4" t="s">
        <v>2</v>
      </c>
      <c r="C4" t="s">
        <v>58</v>
      </c>
      <c r="D4" s="6" t="s">
        <v>1</v>
      </c>
      <c r="E4" s="4" t="s">
        <v>2</v>
      </c>
      <c r="F4" t="s">
        <v>58</v>
      </c>
      <c r="G4" s="6" t="s">
        <v>1</v>
      </c>
      <c r="H4" s="4" t="s">
        <v>2</v>
      </c>
      <c r="I4" t="s">
        <v>58</v>
      </c>
      <c r="J4" s="6" t="s">
        <v>1</v>
      </c>
      <c r="K4" s="4" t="s">
        <v>2</v>
      </c>
      <c r="L4" t="s">
        <v>58</v>
      </c>
      <c r="M4" s="6" t="s">
        <v>1</v>
      </c>
      <c r="N4" t="s">
        <v>2</v>
      </c>
      <c r="O4" t="s">
        <v>58</v>
      </c>
      <c r="P4" t="s">
        <v>1</v>
      </c>
      <c r="Q4" s="4" t="s">
        <v>2</v>
      </c>
      <c r="R4" s="6" t="s">
        <v>1</v>
      </c>
    </row>
    <row r="5" spans="1:28" x14ac:dyDescent="0.35">
      <c r="A5" t="s">
        <v>14</v>
      </c>
      <c r="B5" s="34">
        <v>50</v>
      </c>
      <c r="C5" s="53">
        <v>6</v>
      </c>
      <c r="D5" s="59">
        <f>SQRT(B5*E5)*$J$10</f>
        <v>150</v>
      </c>
      <c r="E5" s="37">
        <f>B5</f>
        <v>50</v>
      </c>
      <c r="F5" s="53">
        <v>6</v>
      </c>
      <c r="G5" s="59">
        <f>SQRT(E5*H5)*$J$10</f>
        <v>150</v>
      </c>
      <c r="H5" s="37">
        <f>B5</f>
        <v>50</v>
      </c>
      <c r="I5" s="53">
        <v>6</v>
      </c>
      <c r="J5" s="59">
        <f>SQRT(H5*K5)*$J$10</f>
        <v>150</v>
      </c>
      <c r="K5" s="37">
        <f>B5</f>
        <v>50</v>
      </c>
      <c r="L5" s="53">
        <v>6</v>
      </c>
      <c r="M5" s="59">
        <f>SQRT(K5*N5)*$J$10</f>
        <v>150</v>
      </c>
      <c r="N5" s="38">
        <f>B5</f>
        <v>50</v>
      </c>
      <c r="O5" s="53">
        <v>6</v>
      </c>
      <c r="P5" s="59">
        <f>SQRT(N5*Q5)*$J$10</f>
        <v>30</v>
      </c>
      <c r="Q5" s="37">
        <v>2</v>
      </c>
      <c r="R5" s="39">
        <v>1</v>
      </c>
      <c r="X5" s="2"/>
    </row>
    <row r="6" spans="1:28" x14ac:dyDescent="0.35">
      <c r="A6" t="s">
        <v>15</v>
      </c>
      <c r="B6" s="40">
        <v>100</v>
      </c>
      <c r="C6" s="54">
        <v>6</v>
      </c>
      <c r="D6" s="43">
        <f>SQRT(B6*E6)*$J$10</f>
        <v>300</v>
      </c>
      <c r="E6" s="4">
        <f>B6</f>
        <v>100</v>
      </c>
      <c r="F6" s="54">
        <v>6</v>
      </c>
      <c r="G6" s="43">
        <f>SQRT(E6*H6)*$J$10</f>
        <v>300</v>
      </c>
      <c r="H6" s="4">
        <f>B6</f>
        <v>100</v>
      </c>
      <c r="I6" s="54">
        <v>6</v>
      </c>
      <c r="J6" s="43">
        <f>SQRT(H6*K6)*$J$10</f>
        <v>300</v>
      </c>
      <c r="K6" s="4">
        <f>B6</f>
        <v>100</v>
      </c>
      <c r="L6" s="54">
        <v>6</v>
      </c>
      <c r="M6" s="43">
        <f>SQRT(K6*N6)*$J$10</f>
        <v>300</v>
      </c>
      <c r="N6">
        <f>B6</f>
        <v>100</v>
      </c>
      <c r="O6" s="54">
        <v>6</v>
      </c>
      <c r="P6" s="43">
        <f>SQRT(N6*Q6)*$J$10</f>
        <v>42.426406871192853</v>
      </c>
      <c r="Q6" s="4">
        <v>2</v>
      </c>
      <c r="R6" s="6">
        <v>1</v>
      </c>
      <c r="X6" s="2"/>
    </row>
    <row r="7" spans="1:28" x14ac:dyDescent="0.35">
      <c r="A7" t="s">
        <v>16</v>
      </c>
      <c r="B7" s="40">
        <v>200</v>
      </c>
      <c r="C7" s="54">
        <v>6</v>
      </c>
      <c r="D7" s="43">
        <f>SQRT(B7*E7)*$J$10</f>
        <v>489.8979485566357</v>
      </c>
      <c r="E7" s="42">
        <f>(B7*2)/3</f>
        <v>133.33333333333334</v>
      </c>
      <c r="F7" s="54">
        <v>6</v>
      </c>
      <c r="G7" s="43">
        <f>SQRT(E7*H7)*$J$10</f>
        <v>326.59863237109045</v>
      </c>
      <c r="H7" s="42">
        <f>(E7*2)/3</f>
        <v>88.8888888888889</v>
      </c>
      <c r="I7" s="54">
        <v>6</v>
      </c>
      <c r="J7" s="43">
        <f>SQRT(H7*K7)*$J$10</f>
        <v>217.73242158072696</v>
      </c>
      <c r="K7" s="42">
        <f>(H7*2)/3</f>
        <v>59.259259259259267</v>
      </c>
      <c r="L7" s="54">
        <v>6</v>
      </c>
      <c r="M7" s="43">
        <f>SQRT(K7*N7)*$J$10</f>
        <v>145.15494772048464</v>
      </c>
      <c r="N7" s="2">
        <f>(K7*2)/3</f>
        <v>39.506172839506178</v>
      </c>
      <c r="O7" s="54">
        <v>6</v>
      </c>
      <c r="P7" s="43">
        <f>SQRT(N7*Q7)*$J$10</f>
        <v>26.666666666666668</v>
      </c>
      <c r="Q7" s="4">
        <v>2</v>
      </c>
      <c r="R7" s="6">
        <v>1</v>
      </c>
      <c r="X7" s="2"/>
    </row>
    <row r="8" spans="1:28" ht="15" thickBot="1" x14ac:dyDescent="0.4">
      <c r="A8" t="s">
        <v>17</v>
      </c>
      <c r="B8" s="41">
        <v>500</v>
      </c>
      <c r="C8" s="48">
        <v>6</v>
      </c>
      <c r="D8" s="46">
        <f>SQRT(B8*E8)*$J$10</f>
        <v>1224.744871391589</v>
      </c>
      <c r="E8" s="44">
        <f>(B8*2)/3</f>
        <v>333.33333333333331</v>
      </c>
      <c r="F8" s="48">
        <v>6</v>
      </c>
      <c r="G8" s="46">
        <f>SQRT(E8*H8)*$J$10</f>
        <v>816.49658092772597</v>
      </c>
      <c r="H8" s="44">
        <f>(E8*2)/3</f>
        <v>222.2222222222222</v>
      </c>
      <c r="I8" s="48">
        <v>6</v>
      </c>
      <c r="J8" s="46">
        <f>SQRT(H8*K8)*$J$10</f>
        <v>544.33105395181724</v>
      </c>
      <c r="K8" s="44">
        <f>(H8*2)/3</f>
        <v>148.14814814814812</v>
      </c>
      <c r="L8" s="48">
        <v>6</v>
      </c>
      <c r="M8" s="46">
        <f>SQRT(K8*N8)*$J$10</f>
        <v>362.88736930121149</v>
      </c>
      <c r="N8" s="45">
        <f>(K8*2)/3</f>
        <v>98.765432098765416</v>
      </c>
      <c r="O8" s="48">
        <v>6</v>
      </c>
      <c r="P8" s="46">
        <f>SQRT(N8*Q8)*$J$10</f>
        <v>42.16370213557839</v>
      </c>
      <c r="Q8" s="7">
        <v>2</v>
      </c>
      <c r="R8" s="9">
        <v>1</v>
      </c>
      <c r="X8" s="2"/>
    </row>
    <row r="9" spans="1:28" ht="15" thickBot="1" x14ac:dyDescent="0.4"/>
    <row r="10" spans="1:28" x14ac:dyDescent="0.35">
      <c r="B10" s="76" t="s">
        <v>45</v>
      </c>
      <c r="C10" s="77"/>
      <c r="D10" s="77"/>
      <c r="E10" s="78"/>
      <c r="G10" s="76" t="s">
        <v>46</v>
      </c>
      <c r="H10" s="77"/>
      <c r="I10" s="52" t="s">
        <v>12</v>
      </c>
      <c r="J10" s="36">
        <v>3</v>
      </c>
      <c r="L10" s="76" t="s">
        <v>61</v>
      </c>
      <c r="M10" s="77"/>
      <c r="N10" s="77"/>
      <c r="O10" s="78"/>
      <c r="Y10" s="60"/>
      <c r="Z10" s="60"/>
      <c r="AA10" s="60"/>
      <c r="AB10" s="60"/>
    </row>
    <row r="11" spans="1:28" x14ac:dyDescent="0.35">
      <c r="B11" s="4" t="s">
        <v>7</v>
      </c>
      <c r="C11" t="s">
        <v>8</v>
      </c>
      <c r="D11" t="s">
        <v>9</v>
      </c>
      <c r="E11" s="6" t="s">
        <v>10</v>
      </c>
      <c r="G11" s="4" t="s">
        <v>7</v>
      </c>
      <c r="H11" t="s">
        <v>8</v>
      </c>
      <c r="I11" t="s">
        <v>9</v>
      </c>
      <c r="J11" s="6" t="s">
        <v>10</v>
      </c>
      <c r="L11" s="4" t="s">
        <v>7</v>
      </c>
      <c r="M11" t="s">
        <v>8</v>
      </c>
      <c r="N11" t="s">
        <v>9</v>
      </c>
      <c r="O11" s="6" t="s">
        <v>10</v>
      </c>
      <c r="Y11" s="60"/>
      <c r="Z11" s="60"/>
      <c r="AA11" s="60"/>
      <c r="AB11" s="60"/>
    </row>
    <row r="12" spans="1:28" x14ac:dyDescent="0.35">
      <c r="B12" s="42">
        <f>(B5*C5*E5)+(E5*F5*Q5)</f>
        <v>15600</v>
      </c>
      <c r="C12" s="2">
        <f>(B5*C5*E5)+(E5*I5*H5)+(E5*F5*Q5)</f>
        <v>30600</v>
      </c>
      <c r="D12" s="2">
        <f>(B5*C5*E5)+(E5*L5*H5)+(H5*I5*K5)+(E5*F5*Q5)</f>
        <v>45600</v>
      </c>
      <c r="E12" s="43">
        <f>(B5*C5*E5)+(E5*O5*H5)+(H5*I5*K5)+(K5*L5*N5)+(E5*F5*Q5)</f>
        <v>60600</v>
      </c>
      <c r="G12" s="42">
        <f>($J$10*(B5+(B5*(C5/2))+D5))+($J$10*(E5+(E5*(F5/2))+G5))+($J$10*Q5)</f>
        <v>2106</v>
      </c>
      <c r="H12" s="2">
        <f>($J$10*(B5+(B5*(C5/2))+D5))+($J$10*(E5+(E5*(F5/2))+G5))+($J$10*(H5+(H5*(I5/2))+J5))+($J$10*Q5)</f>
        <v>3156</v>
      </c>
      <c r="I12" s="2">
        <f>($J$10*(B5+(B5*(C5/2))+D5))+($J$10*(E5+(E5*(F5/2))+G5))+($J$10*(H5+(H5*(I5/2))+J5))+($J$10*(K5+(K5*(L5/2))+M5))+($J$10*Q5)</f>
        <v>4206</v>
      </c>
      <c r="J12" s="43">
        <f>($J$10*(B5+(B5*(C5/2))+D5))+($J$10*(E5+(E5*(F5/2))+G5))+($J$10*(H5+(H5*(I5/2))+J5))+($J$10*(K5+(K5*(L5/2))+M5))+($J$10*(N5+(N5*(O5/2))+P5))+($J$10*Q5)</f>
        <v>4896</v>
      </c>
      <c r="L12" s="62">
        <f t="shared" ref="L12:O15" si="0">G12/B12</f>
        <v>0.13500000000000001</v>
      </c>
      <c r="M12" s="63">
        <f t="shared" si="0"/>
        <v>0.10313725490196078</v>
      </c>
      <c r="N12" s="63">
        <f t="shared" si="0"/>
        <v>9.2236842105263159E-2</v>
      </c>
      <c r="O12" s="57">
        <f t="shared" si="0"/>
        <v>8.0792079207920794E-2</v>
      </c>
    </row>
    <row r="13" spans="1:28" x14ac:dyDescent="0.35">
      <c r="B13" s="42">
        <f>(B6*C6*E6)+(E6*F6*Q6)</f>
        <v>61200</v>
      </c>
      <c r="C13" s="2">
        <f>(B6*C6*E6)+(E6*I6*H6)+(E6*F6*Q6)</f>
        <v>121200</v>
      </c>
      <c r="D13" s="2">
        <f>(B6*C6*E6)+(E6*L6*H6)+(H6*I6*K6)+(E6*F6*Q6)</f>
        <v>181200</v>
      </c>
      <c r="E13" s="43">
        <f>(B6*C6*E6)+(E6*O6*H6)+(H6*I6*K6)+(K6*L6*N6)+(E6*F6*Q6)</f>
        <v>241200</v>
      </c>
      <c r="G13" s="42">
        <f t="shared" ref="G13:G15" si="1">($J$10*(B6+(B6*(C6/2))+D6))+($J$10*(E6+(E6*(F6/2))+G6))+($J$10*Q6)</f>
        <v>4206</v>
      </c>
      <c r="H13" s="2">
        <f t="shared" ref="H13:H15" si="2">($J$10*(B6+(B6*(C6/2))+D6))+($J$10*(E6+(E6*(F6/2))+G6))+($J$10*(H6+(H6*(I6/2))+J6))+($J$10*Q6)</f>
        <v>6306</v>
      </c>
      <c r="I13" s="2">
        <f t="shared" ref="I13:I15" si="3">($J$10*(B6+(B6*(C6/2))+D6))+($J$10*(E6+(E6*(F6/2))+G6))+($J$10*(H6+(H6*(I6/2))+J6))+($J$10*(K6+(K6*(L6/2))+M6))+($J$10*Q6)</f>
        <v>8406</v>
      </c>
      <c r="J13" s="43">
        <f t="shared" ref="J13:J15" si="4">($J$10*(B6+(B6*(C6/2))+D6))+($J$10*(E6+(E6*(F6/2))+G6))+($J$10*(H6+(H6*(I6/2))+J6))+($J$10*(K6+(K6*(L6/2))+M6))+($J$10*(N6+(N6*(O6/2))+P6))+($J$10*Q6)</f>
        <v>9733.2792206135782</v>
      </c>
      <c r="L13" s="62">
        <f t="shared" si="0"/>
        <v>6.8725490196078431E-2</v>
      </c>
      <c r="M13" s="63">
        <f t="shared" si="0"/>
        <v>5.2029702970297027E-2</v>
      </c>
      <c r="N13" s="63">
        <f t="shared" si="0"/>
        <v>4.6390728476821193E-2</v>
      </c>
      <c r="O13" s="57">
        <f t="shared" si="0"/>
        <v>4.0353562274517321E-2</v>
      </c>
    </row>
    <row r="14" spans="1:28" x14ac:dyDescent="0.35">
      <c r="B14" s="42">
        <f>(B7*C7*E7)+(E7*F7*Q7)</f>
        <v>161600</v>
      </c>
      <c r="C14" s="2">
        <f>(B7*C7*E7)+(E7*I7*H7)+(E7*F7*Q7)</f>
        <v>232711.11111111112</v>
      </c>
      <c r="D14" s="2">
        <f>(B7*C7*E7)+(E7*L7*H7)+(H7*I7*K7)+(E7*F7*Q7)</f>
        <v>264316.04938271607</v>
      </c>
      <c r="E14" s="43">
        <f>(B7*C7*E7)+(E7*O7*H7)+(H7*I7*K7)+(K7*L7*N7)+(E7*F7*Q7)</f>
        <v>278362.6886145405</v>
      </c>
      <c r="G14" s="42">
        <f t="shared" si="1"/>
        <v>6455.4897427831784</v>
      </c>
      <c r="H14" s="2">
        <f t="shared" si="2"/>
        <v>8175.3536741920261</v>
      </c>
      <c r="I14" s="2">
        <f t="shared" si="3"/>
        <v>9321.9296284645916</v>
      </c>
      <c r="J14" s="43">
        <f t="shared" si="4"/>
        <v>9876.0037025386664</v>
      </c>
      <c r="L14" s="62">
        <f t="shared" si="0"/>
        <v>3.9947337517222639E-2</v>
      </c>
      <c r="M14" s="63">
        <f t="shared" si="0"/>
        <v>3.5130912465492853E-2</v>
      </c>
      <c r="N14" s="63">
        <f t="shared" si="0"/>
        <v>3.5268118036097446E-2</v>
      </c>
      <c r="O14" s="57">
        <f t="shared" si="0"/>
        <v>3.5478906141096903E-2</v>
      </c>
    </row>
    <row r="15" spans="1:28" ht="15" thickBot="1" x14ac:dyDescent="0.4">
      <c r="B15" s="44">
        <f>(B8*C8*E8)+(E8*F8*Q8)</f>
        <v>1004000</v>
      </c>
      <c r="C15" s="45">
        <f>(B8*C8*E8)+(E8*I8*H8)+(E8*F8*Q8)</f>
        <v>1448444.4444444445</v>
      </c>
      <c r="D15" s="45">
        <f>(B8*C8*E8)+(E8*L8*H8)+(H8*I8*K8)+(E8*F8*Q8)</f>
        <v>1645975.3086419753</v>
      </c>
      <c r="E15" s="46">
        <f>(B8*C8*E8)+(E8*O8*H8)+(H8*I8*K8)+(K8*L8*N8)+(E8*F8*Q8)</f>
        <v>1733766.803840878</v>
      </c>
      <c r="G15" s="44">
        <f t="shared" si="1"/>
        <v>16129.724356957946</v>
      </c>
      <c r="H15" s="45">
        <f t="shared" si="2"/>
        <v>20429.384185480063</v>
      </c>
      <c r="I15" s="45">
        <f t="shared" si="3"/>
        <v>23295.824071161474</v>
      </c>
      <c r="J15" s="46">
        <f t="shared" si="4"/>
        <v>24607.500362753395</v>
      </c>
      <c r="L15" s="64">
        <f t="shared" si="0"/>
        <v>1.6065462506930226E-2</v>
      </c>
      <c r="M15" s="65">
        <f t="shared" si="0"/>
        <v>1.4104361588625389E-2</v>
      </c>
      <c r="N15" s="65">
        <f t="shared" si="0"/>
        <v>1.4153203847499921E-2</v>
      </c>
      <c r="O15" s="58">
        <f t="shared" si="0"/>
        <v>1.4193085430081765E-2</v>
      </c>
    </row>
    <row r="16" spans="1:28" x14ac:dyDescent="0.35">
      <c r="C16" s="1"/>
    </row>
    <row r="18" spans="2:3" x14ac:dyDescent="0.35">
      <c r="B18" t="s">
        <v>55</v>
      </c>
    </row>
    <row r="19" spans="2:3" s="93" customFormat="1" x14ac:dyDescent="0.35">
      <c r="B19" s="93" t="s">
        <v>67</v>
      </c>
    </row>
    <row r="20" spans="2:3" s="93" customFormat="1" x14ac:dyDescent="0.35">
      <c r="B20" s="93" t="s">
        <v>59</v>
      </c>
    </row>
    <row r="21" spans="2:3" s="93" customFormat="1" x14ac:dyDescent="0.35">
      <c r="B21" s="93" t="s">
        <v>56</v>
      </c>
    </row>
    <row r="22" spans="2:3" s="93" customFormat="1" x14ac:dyDescent="0.35"/>
    <row r="23" spans="2:3" x14ac:dyDescent="0.35">
      <c r="B23" s="1" t="s">
        <v>37</v>
      </c>
    </row>
    <row r="24" spans="2:3" x14ac:dyDescent="0.35">
      <c r="B24" t="s">
        <v>93</v>
      </c>
    </row>
    <row r="27" spans="2:3" x14ac:dyDescent="0.35">
      <c r="B27" s="61"/>
      <c r="C27" s="47"/>
    </row>
    <row r="33" spans="2:3" x14ac:dyDescent="0.35">
      <c r="B33" s="61"/>
      <c r="C33" s="47"/>
    </row>
    <row r="36" spans="2:3" x14ac:dyDescent="0.35">
      <c r="B36" s="61"/>
      <c r="C36" s="47"/>
    </row>
  </sheetData>
  <mergeCells count="9">
    <mergeCell ref="Q3:R3"/>
    <mergeCell ref="G10:H10"/>
    <mergeCell ref="L10:O10"/>
    <mergeCell ref="B10:E10"/>
    <mergeCell ref="B3:D3"/>
    <mergeCell ref="E3:G3"/>
    <mergeCell ref="H3:J3"/>
    <mergeCell ref="K3:M3"/>
    <mergeCell ref="N3:P3"/>
  </mergeCells>
  <conditionalFormatting sqref="L12:O15">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EC2F7-00C6-41AB-AA6F-C358E0B35FC1}">
  <dimension ref="A1:V34"/>
  <sheetViews>
    <sheetView workbookViewId="0">
      <selection activeCell="A36" sqref="A36"/>
    </sheetView>
  </sheetViews>
  <sheetFormatPr defaultRowHeight="14.5" x14ac:dyDescent="0.35"/>
  <cols>
    <col min="1" max="1" width="18.54296875" customWidth="1"/>
    <col min="2" max="2" width="8" bestFit="1" customWidth="1"/>
    <col min="3" max="3" width="7.81640625" bestFit="1" customWidth="1"/>
    <col min="4" max="4" width="10.81640625" bestFit="1" customWidth="1"/>
    <col min="5" max="5" width="9.7265625" bestFit="1" customWidth="1"/>
    <col min="6" max="6" width="15" bestFit="1" customWidth="1"/>
    <col min="7" max="7" width="14.81640625" bestFit="1" customWidth="1"/>
    <col min="8" max="8" width="11" bestFit="1" customWidth="1"/>
    <col min="9" max="9" width="11" customWidth="1"/>
    <col min="10" max="10" width="11" bestFit="1" customWidth="1"/>
    <col min="11" max="11" width="13.81640625" customWidth="1"/>
    <col min="16" max="16" width="11.81640625" bestFit="1" customWidth="1"/>
    <col min="18" max="18" width="10.54296875" bestFit="1" customWidth="1"/>
    <col min="19" max="19" width="8.54296875" customWidth="1"/>
    <col min="20" max="20" width="13.1796875" bestFit="1" customWidth="1"/>
    <col min="21" max="21" width="12" bestFit="1" customWidth="1"/>
    <col min="22" max="22" width="11.7265625" customWidth="1"/>
  </cols>
  <sheetData>
    <row r="1" spans="1:22" x14ac:dyDescent="0.35">
      <c r="A1" t="s">
        <v>41</v>
      </c>
    </row>
    <row r="2" spans="1:22" ht="15" thickBot="1" x14ac:dyDescent="0.4"/>
    <row r="3" spans="1:22" ht="15" thickBot="1" x14ac:dyDescent="0.4">
      <c r="B3" s="76" t="s">
        <v>88</v>
      </c>
      <c r="C3" s="77"/>
      <c r="D3" s="77"/>
      <c r="E3" s="78"/>
      <c r="F3" s="76" t="s">
        <v>90</v>
      </c>
      <c r="G3" s="77"/>
      <c r="H3" s="77"/>
      <c r="I3" s="77"/>
      <c r="J3" s="77"/>
      <c r="K3" s="77"/>
      <c r="L3" s="77"/>
      <c r="M3" s="77"/>
      <c r="N3" s="77"/>
      <c r="O3" s="78"/>
      <c r="P3" s="3"/>
      <c r="U3" s="66" t="s">
        <v>78</v>
      </c>
      <c r="V3" s="67">
        <v>3</v>
      </c>
    </row>
    <row r="4" spans="1:22" ht="30.5" thickBot="1" x14ac:dyDescent="0.5">
      <c r="B4" s="4" t="s">
        <v>80</v>
      </c>
      <c r="C4" t="s">
        <v>81</v>
      </c>
      <c r="D4" t="s">
        <v>82</v>
      </c>
      <c r="E4" s="6" t="s">
        <v>89</v>
      </c>
      <c r="F4" s="4" t="s">
        <v>69</v>
      </c>
      <c r="G4" t="s">
        <v>70</v>
      </c>
      <c r="H4" t="s">
        <v>71</v>
      </c>
      <c r="I4" t="s">
        <v>72</v>
      </c>
      <c r="J4" t="s">
        <v>77</v>
      </c>
      <c r="K4" s="3" t="s">
        <v>68</v>
      </c>
      <c r="L4" s="3" t="s">
        <v>73</v>
      </c>
      <c r="M4" s="3" t="s">
        <v>74</v>
      </c>
      <c r="N4" s="3" t="s">
        <v>75</v>
      </c>
      <c r="O4" s="11" t="s">
        <v>76</v>
      </c>
      <c r="P4" s="3"/>
      <c r="Q4" s="3"/>
      <c r="R4" s="3"/>
      <c r="T4" s="12" t="s">
        <v>45</v>
      </c>
      <c r="U4" s="38" t="s">
        <v>46</v>
      </c>
      <c r="V4" s="71" t="s">
        <v>61</v>
      </c>
    </row>
    <row r="5" spans="1:22" x14ac:dyDescent="0.35">
      <c r="A5" s="37" t="s">
        <v>83</v>
      </c>
      <c r="B5" s="34">
        <v>128</v>
      </c>
      <c r="C5" s="35">
        <v>128</v>
      </c>
      <c r="D5" s="35">
        <v>1</v>
      </c>
      <c r="E5" s="36">
        <f>4*4</f>
        <v>16</v>
      </c>
      <c r="F5" s="68">
        <f>(B5*C5*D5)/E5</f>
        <v>1024</v>
      </c>
      <c r="G5" s="53">
        <v>500</v>
      </c>
      <c r="H5" s="69">
        <f>F5/8</f>
        <v>128</v>
      </c>
      <c r="I5" s="35">
        <v>16</v>
      </c>
      <c r="J5" s="35">
        <v>8</v>
      </c>
      <c r="K5" s="38">
        <f>F5*G5</f>
        <v>512000</v>
      </c>
      <c r="L5" s="69">
        <f>H5*F5</f>
        <v>131072</v>
      </c>
      <c r="M5" s="69">
        <f>H5*F5</f>
        <v>131072</v>
      </c>
      <c r="N5" s="69">
        <f>F5*H5</f>
        <v>131072</v>
      </c>
      <c r="O5" s="59">
        <f>H5*F5</f>
        <v>131072</v>
      </c>
      <c r="P5" s="72"/>
      <c r="Q5" s="72"/>
      <c r="R5" s="72"/>
      <c r="T5" s="42">
        <f>K5+(I5*J5*L5)+(I5*J5*M5)+(I5*J5*N5)+(I5*J5*O5)</f>
        <v>67620864</v>
      </c>
      <c r="U5">
        <f>K5+($V$3*(J5+1)*(L5+M5+N5+O5)*2)</f>
        <v>28823552</v>
      </c>
      <c r="V5" s="55">
        <f>U5/T5</f>
        <v>0.42625234720455507</v>
      </c>
    </row>
    <row r="6" spans="1:22" x14ac:dyDescent="0.35">
      <c r="A6" s="4" t="s">
        <v>84</v>
      </c>
      <c r="B6" s="40">
        <v>128</v>
      </c>
      <c r="C6" s="5">
        <v>512</v>
      </c>
      <c r="D6" s="5">
        <v>1</v>
      </c>
      <c r="E6" s="14">
        <f>5*5</f>
        <v>25</v>
      </c>
      <c r="F6" s="42">
        <f t="shared" ref="F6:F8" si="0">(B6*C6*D6)/E6</f>
        <v>2621.44</v>
      </c>
      <c r="G6" s="54">
        <v>500</v>
      </c>
      <c r="H6" s="2">
        <f t="shared" ref="H6:H9" si="1">F6/8</f>
        <v>327.68</v>
      </c>
      <c r="I6" s="54">
        <v>32</v>
      </c>
      <c r="J6" s="54">
        <v>16</v>
      </c>
      <c r="K6">
        <f>F6*G6</f>
        <v>1310720</v>
      </c>
      <c r="L6" s="2">
        <f>H6*F6</f>
        <v>858993.45920000004</v>
      </c>
      <c r="M6" s="2">
        <f>H6*F6</f>
        <v>858993.45920000004</v>
      </c>
      <c r="N6" s="2">
        <f>F6*H6</f>
        <v>858993.45920000004</v>
      </c>
      <c r="O6" s="43">
        <f>H6*F6</f>
        <v>858993.45920000004</v>
      </c>
      <c r="P6" s="72"/>
      <c r="Q6" s="72"/>
      <c r="R6" s="72"/>
      <c r="T6" s="42">
        <f>K6+(I6*J6*L6)+(I6*J6*M6)+(I6*J6*N6)+(I6*J6*O6)</f>
        <v>1760529324.4416001</v>
      </c>
      <c r="U6">
        <f>K6+($V$3*(J6+1)*(L6+M6+N6+O6)*2)</f>
        <v>351780051.35360003</v>
      </c>
      <c r="V6" s="55">
        <f t="shared" ref="V6:V8" si="2">U6/T6</f>
        <v>0.19981493433242112</v>
      </c>
    </row>
    <row r="7" spans="1:22" x14ac:dyDescent="0.35">
      <c r="A7" s="4" t="s">
        <v>86</v>
      </c>
      <c r="B7" s="40">
        <v>32</v>
      </c>
      <c r="C7" s="5">
        <v>32</v>
      </c>
      <c r="D7" s="5">
        <v>32</v>
      </c>
      <c r="E7" s="14">
        <f>4*4*4</f>
        <v>64</v>
      </c>
      <c r="F7" s="4">
        <f t="shared" si="0"/>
        <v>512</v>
      </c>
      <c r="G7" s="54">
        <v>1000</v>
      </c>
      <c r="H7" s="2">
        <f t="shared" si="1"/>
        <v>64</v>
      </c>
      <c r="I7" s="5">
        <v>64</v>
      </c>
      <c r="J7" s="5">
        <v>32</v>
      </c>
      <c r="K7">
        <f>F7*G7</f>
        <v>512000</v>
      </c>
      <c r="L7" s="2">
        <f>H7*F7</f>
        <v>32768</v>
      </c>
      <c r="M7" s="2">
        <f>H7*F7</f>
        <v>32768</v>
      </c>
      <c r="N7" s="2">
        <f>F7*H7</f>
        <v>32768</v>
      </c>
      <c r="O7" s="43">
        <f>H7*F7</f>
        <v>32768</v>
      </c>
      <c r="P7" s="72"/>
      <c r="Q7" s="72"/>
      <c r="R7" s="72"/>
      <c r="T7" s="42">
        <f>K7+(I7*J7*L7)+(I7*J7*M7)+(I7*J7*N7)+(I7*J7*O7)</f>
        <v>268947456</v>
      </c>
      <c r="U7">
        <f t="shared" ref="U7:U9" si="3">K7+($V$3*(J7+1)*(L7+M7+N7+O7)*2)</f>
        <v>26464256</v>
      </c>
      <c r="V7" s="55">
        <f t="shared" si="2"/>
        <v>9.8399354258996971E-2</v>
      </c>
    </row>
    <row r="8" spans="1:22" x14ac:dyDescent="0.35">
      <c r="A8" s="4" t="s">
        <v>85</v>
      </c>
      <c r="B8" s="40">
        <v>64</v>
      </c>
      <c r="C8" s="5">
        <v>64</v>
      </c>
      <c r="D8" s="5">
        <v>64</v>
      </c>
      <c r="E8" s="14">
        <f>5*5*5</f>
        <v>125</v>
      </c>
      <c r="F8" s="42">
        <f t="shared" si="0"/>
        <v>2097.152</v>
      </c>
      <c r="G8" s="54">
        <v>1000</v>
      </c>
      <c r="H8" s="2">
        <f t="shared" si="1"/>
        <v>262.14400000000001</v>
      </c>
      <c r="I8" s="54">
        <v>96</v>
      </c>
      <c r="J8" s="54">
        <v>64</v>
      </c>
      <c r="K8">
        <f>F8*G8</f>
        <v>2097152</v>
      </c>
      <c r="L8" s="2">
        <f>H8*F8</f>
        <v>549755.81388799998</v>
      </c>
      <c r="M8" s="2">
        <f>H8*F8</f>
        <v>549755.81388799998</v>
      </c>
      <c r="N8" s="2">
        <f>F8*H8</f>
        <v>549755.81388799998</v>
      </c>
      <c r="O8" s="43">
        <f>H8*F8</f>
        <v>549755.81388799998</v>
      </c>
      <c r="P8" s="72"/>
      <c r="Q8" s="72"/>
      <c r="R8" s="72"/>
      <c r="T8" s="42">
        <f>K8+(I8*J8*L8)+(I8*J8*M8)+(I8*J8*N8)+(I8*J8*O8)</f>
        <v>13512896034.111488</v>
      </c>
      <c r="U8">
        <f t="shared" si="3"/>
        <v>859716221.66527998</v>
      </c>
      <c r="V8" s="55">
        <f t="shared" si="2"/>
        <v>6.3621907509318662E-2</v>
      </c>
    </row>
    <row r="9" spans="1:22" ht="15" thickBot="1" x14ac:dyDescent="0.4">
      <c r="A9" s="7" t="s">
        <v>87</v>
      </c>
      <c r="B9" s="41">
        <v>128</v>
      </c>
      <c r="C9" s="19">
        <v>128</v>
      </c>
      <c r="D9" s="19">
        <v>128</v>
      </c>
      <c r="E9" s="70">
        <f>5*5*5</f>
        <v>125</v>
      </c>
      <c r="F9" s="44">
        <f t="shared" ref="F9" si="4">(B9*C9*D9)/E9</f>
        <v>16777.216</v>
      </c>
      <c r="G9" s="48">
        <v>1000</v>
      </c>
      <c r="H9" s="45">
        <f t="shared" si="1"/>
        <v>2097.152</v>
      </c>
      <c r="I9" s="48">
        <v>96</v>
      </c>
      <c r="J9" s="48">
        <v>64</v>
      </c>
      <c r="K9" s="8">
        <f>F9*G9</f>
        <v>16777216</v>
      </c>
      <c r="L9" s="45">
        <f>H9*F9</f>
        <v>35184372.088831998</v>
      </c>
      <c r="M9" s="45">
        <f>H9*F9</f>
        <v>35184372.088831998</v>
      </c>
      <c r="N9" s="45">
        <f>F9*H9</f>
        <v>35184372.088831998</v>
      </c>
      <c r="O9" s="46">
        <f>H9*F9</f>
        <v>35184372.088831998</v>
      </c>
      <c r="P9" s="72"/>
      <c r="Q9" s="72"/>
      <c r="R9" s="72"/>
      <c r="T9" s="44">
        <f>K9+(I9*J9*L9)+(I9*J9*M9)+(I9*J9*N9)+(I9*J9*O9)</f>
        <v>864707905671.13525</v>
      </c>
      <c r="U9" s="8">
        <f t="shared" si="3"/>
        <v>54904397674.577919</v>
      </c>
      <c r="V9" s="56">
        <f t="shared" ref="V9" si="5">U9/T9</f>
        <v>6.3494733093673247E-2</v>
      </c>
    </row>
    <row r="10" spans="1:22" x14ac:dyDescent="0.35">
      <c r="F10" s="2"/>
      <c r="G10" s="2"/>
      <c r="H10" s="2"/>
      <c r="I10" s="2"/>
      <c r="J10" s="2"/>
      <c r="L10" s="2"/>
      <c r="M10" s="2"/>
      <c r="N10" s="2"/>
      <c r="O10" s="2"/>
      <c r="P10" s="73"/>
      <c r="Q10" s="73"/>
      <c r="R10" s="73"/>
      <c r="T10" s="2"/>
      <c r="V10" s="60"/>
    </row>
    <row r="11" spans="1:22" ht="15" thickBot="1" x14ac:dyDescent="0.4">
      <c r="F11" s="2"/>
      <c r="G11" s="2"/>
      <c r="H11" s="2"/>
      <c r="I11" s="2"/>
      <c r="J11" s="2"/>
      <c r="L11" s="2"/>
      <c r="M11" s="2"/>
      <c r="N11" s="2"/>
      <c r="O11" s="2"/>
      <c r="P11" s="73"/>
      <c r="Q11" s="73"/>
      <c r="R11" s="73"/>
      <c r="T11" s="2"/>
      <c r="V11" s="60"/>
    </row>
    <row r="12" spans="1:22" ht="15" thickBot="1" x14ac:dyDescent="0.4">
      <c r="B12" s="76" t="s">
        <v>88</v>
      </c>
      <c r="C12" s="77"/>
      <c r="D12" s="77"/>
      <c r="E12" s="77"/>
      <c r="F12" s="76" t="s">
        <v>90</v>
      </c>
      <c r="G12" s="77"/>
      <c r="H12" s="77"/>
      <c r="I12" s="77"/>
      <c r="J12" s="77"/>
      <c r="K12" s="77"/>
      <c r="L12" s="77"/>
      <c r="M12" s="77"/>
      <c r="N12" s="77"/>
      <c r="O12" s="78"/>
      <c r="P12" s="90" t="s">
        <v>92</v>
      </c>
      <c r="Q12" s="91"/>
      <c r="R12" s="92"/>
      <c r="U12" s="66" t="s">
        <v>78</v>
      </c>
      <c r="V12" s="67">
        <v>3</v>
      </c>
    </row>
    <row r="13" spans="1:22" ht="30.5" thickBot="1" x14ac:dyDescent="0.5">
      <c r="B13" s="4" t="s">
        <v>80</v>
      </c>
      <c r="C13" t="s">
        <v>81</v>
      </c>
      <c r="D13" t="s">
        <v>82</v>
      </c>
      <c r="E13" t="s">
        <v>89</v>
      </c>
      <c r="F13" s="7" t="s">
        <v>69</v>
      </c>
      <c r="G13" s="8" t="s">
        <v>70</v>
      </c>
      <c r="H13" s="8" t="s">
        <v>71</v>
      </c>
      <c r="I13" s="8" t="s">
        <v>72</v>
      </c>
      <c r="J13" s="8" t="s">
        <v>77</v>
      </c>
      <c r="K13" s="74" t="s">
        <v>68</v>
      </c>
      <c r="L13" s="74" t="s">
        <v>73</v>
      </c>
      <c r="M13" s="74" t="s">
        <v>74</v>
      </c>
      <c r="N13" s="74" t="s">
        <v>75</v>
      </c>
      <c r="O13" s="18" t="s">
        <v>76</v>
      </c>
      <c r="P13" s="17" t="s">
        <v>91</v>
      </c>
      <c r="Q13" s="74" t="s">
        <v>1</v>
      </c>
      <c r="R13" s="18" t="s">
        <v>79</v>
      </c>
      <c r="T13" s="12" t="s">
        <v>45</v>
      </c>
      <c r="U13" s="38" t="s">
        <v>46</v>
      </c>
      <c r="V13" s="71" t="s">
        <v>61</v>
      </c>
    </row>
    <row r="14" spans="1:22" x14ac:dyDescent="0.35">
      <c r="A14" s="37" t="s">
        <v>83</v>
      </c>
      <c r="B14" s="34">
        <v>128</v>
      </c>
      <c r="C14" s="35">
        <v>128</v>
      </c>
      <c r="D14" s="35">
        <v>1</v>
      </c>
      <c r="E14" s="36">
        <f>4*4</f>
        <v>16</v>
      </c>
      <c r="F14" s="42">
        <f>(B14*C14*D14)/E14</f>
        <v>1024</v>
      </c>
      <c r="G14" s="54">
        <v>500</v>
      </c>
      <c r="H14" s="2">
        <f>F14/8</f>
        <v>128</v>
      </c>
      <c r="I14" s="5">
        <v>16</v>
      </c>
      <c r="J14" s="5">
        <v>8</v>
      </c>
      <c r="K14">
        <f>F14*G14</f>
        <v>512000</v>
      </c>
      <c r="L14" s="2">
        <f>H14*F14</f>
        <v>131072</v>
      </c>
      <c r="M14" s="2">
        <f>H14*F14</f>
        <v>131072</v>
      </c>
      <c r="N14" s="2">
        <f>F14*H14</f>
        <v>131072</v>
      </c>
      <c r="O14" s="43">
        <f>H14*F14</f>
        <v>131072</v>
      </c>
      <c r="P14" s="68">
        <f>$V$3*(F14+G14)*(1+Q14+R14)</f>
        <v>13716</v>
      </c>
      <c r="Q14" s="38">
        <v>1</v>
      </c>
      <c r="R14" s="39">
        <v>1</v>
      </c>
      <c r="T14" s="42">
        <f>K14+(I14*J14*L14)+(I14*J14*M14)+(I14*J14*N14)+(I14*J14*O14)</f>
        <v>67620864</v>
      </c>
      <c r="U14">
        <f>P14+($V$3*(J14+1)*(L14+M14+N14+O14)*2)</f>
        <v>28325268</v>
      </c>
      <c r="V14" s="55">
        <f>U14/T14</f>
        <v>0.41888355641241143</v>
      </c>
    </row>
    <row r="15" spans="1:22" x14ac:dyDescent="0.35">
      <c r="A15" s="4" t="s">
        <v>84</v>
      </c>
      <c r="B15" s="40">
        <v>128</v>
      </c>
      <c r="C15" s="5">
        <v>512</v>
      </c>
      <c r="D15" s="5">
        <v>1</v>
      </c>
      <c r="E15" s="14">
        <f>5*5</f>
        <v>25</v>
      </c>
      <c r="F15" s="42">
        <f t="shared" ref="F15:F18" si="6">(B15*C15*D15)/E15</f>
        <v>2621.44</v>
      </c>
      <c r="G15" s="54">
        <v>500</v>
      </c>
      <c r="H15" s="2">
        <f t="shared" ref="H15:H18" si="7">F15/8</f>
        <v>327.68</v>
      </c>
      <c r="I15" s="54">
        <v>32</v>
      </c>
      <c r="J15" s="54">
        <v>16</v>
      </c>
      <c r="K15">
        <f>F15*G15</f>
        <v>1310720</v>
      </c>
      <c r="L15" s="2">
        <f>H15*F15</f>
        <v>858993.45920000004</v>
      </c>
      <c r="M15" s="2">
        <f>H15*F15</f>
        <v>858993.45920000004</v>
      </c>
      <c r="N15" s="2">
        <f>F15*H15</f>
        <v>858993.45920000004</v>
      </c>
      <c r="O15" s="43">
        <f>H15*F15</f>
        <v>858993.45920000004</v>
      </c>
      <c r="P15" s="42">
        <f>$V$3*(F15+G15)*(1+Q15+R15)</f>
        <v>74914.559999999998</v>
      </c>
      <c r="Q15" s="2">
        <v>5</v>
      </c>
      <c r="R15" s="6">
        <v>2</v>
      </c>
      <c r="T15" s="42">
        <f>K15+(I15*J15*L15)+(I15*J15*M15)+(I15*J15*N15)+(I15*J15*O15)</f>
        <v>1760529324.4416001</v>
      </c>
      <c r="U15">
        <f t="shared" ref="U15:U18" si="8">P15+($V$3*(J15+1)*(L15+M15+N15+O15)*2)</f>
        <v>350544245.91360003</v>
      </c>
      <c r="V15" s="55">
        <f t="shared" ref="V15:V18" si="9">U15/T15</f>
        <v>0.19911298326415819</v>
      </c>
    </row>
    <row r="16" spans="1:22" x14ac:dyDescent="0.35">
      <c r="A16" s="4" t="s">
        <v>86</v>
      </c>
      <c r="B16" s="40">
        <v>32</v>
      </c>
      <c r="C16" s="5">
        <v>32</v>
      </c>
      <c r="D16" s="5">
        <v>32</v>
      </c>
      <c r="E16" s="14">
        <f>4*4*4</f>
        <v>64</v>
      </c>
      <c r="F16" s="4">
        <f t="shared" si="6"/>
        <v>512</v>
      </c>
      <c r="G16" s="54">
        <v>1000</v>
      </c>
      <c r="H16" s="2">
        <f t="shared" si="7"/>
        <v>64</v>
      </c>
      <c r="I16" s="5">
        <v>64</v>
      </c>
      <c r="J16" s="5">
        <v>32</v>
      </c>
      <c r="K16">
        <f>F16*G16</f>
        <v>512000</v>
      </c>
      <c r="L16" s="2">
        <f>H16*F16</f>
        <v>32768</v>
      </c>
      <c r="M16" s="2">
        <f>H16*F16</f>
        <v>32768</v>
      </c>
      <c r="N16" s="2">
        <f>F16*H16</f>
        <v>32768</v>
      </c>
      <c r="O16" s="43">
        <f>H16*F16</f>
        <v>32768</v>
      </c>
      <c r="P16" s="42">
        <f>$V$3*(F16+G16)*(1+Q16+R16)</f>
        <v>72576</v>
      </c>
      <c r="Q16" s="2">
        <v>10</v>
      </c>
      <c r="R16" s="6">
        <v>5</v>
      </c>
      <c r="T16" s="42">
        <f>K16+(I16*J16*L16)+(I16*J16*M16)+(I16*J16*N16)+(I16*J16*O16)</f>
        <v>268947456</v>
      </c>
      <c r="U16">
        <f t="shared" si="8"/>
        <v>26024832</v>
      </c>
      <c r="V16" s="55">
        <f t="shared" si="9"/>
        <v>9.6765488646228359E-2</v>
      </c>
    </row>
    <row r="17" spans="1:22" x14ac:dyDescent="0.35">
      <c r="A17" s="4" t="s">
        <v>85</v>
      </c>
      <c r="B17" s="40">
        <v>64</v>
      </c>
      <c r="C17" s="5">
        <v>64</v>
      </c>
      <c r="D17" s="5">
        <v>64</v>
      </c>
      <c r="E17" s="14">
        <f>5*5*5</f>
        <v>125</v>
      </c>
      <c r="F17" s="42">
        <f t="shared" si="6"/>
        <v>2097.152</v>
      </c>
      <c r="G17" s="54">
        <v>1000</v>
      </c>
      <c r="H17" s="2">
        <f t="shared" si="7"/>
        <v>262.14400000000001</v>
      </c>
      <c r="I17" s="54">
        <v>96</v>
      </c>
      <c r="J17" s="54">
        <v>64</v>
      </c>
      <c r="K17">
        <f>F17*G17</f>
        <v>2097152</v>
      </c>
      <c r="L17" s="2">
        <f>H17*F17</f>
        <v>549755.81388799998</v>
      </c>
      <c r="M17" s="2">
        <f>H17*F17</f>
        <v>549755.81388799998</v>
      </c>
      <c r="N17" s="2">
        <f>F17*H17</f>
        <v>549755.81388799998</v>
      </c>
      <c r="O17" s="43">
        <f>H17*F17</f>
        <v>549755.81388799998</v>
      </c>
      <c r="P17" s="42">
        <f>$V$3*(F17+G17)*(1+Q17+R17)</f>
        <v>334492.41600000003</v>
      </c>
      <c r="Q17" s="2">
        <v>25</v>
      </c>
      <c r="R17" s="6">
        <v>10</v>
      </c>
      <c r="T17" s="42">
        <f>K17+(I17*J17*L17)+(I17*J17*M17)+(I17*J17*N17)+(I17*J17*O17)</f>
        <v>13512896034.111488</v>
      </c>
      <c r="U17">
        <f t="shared" si="8"/>
        <v>857953562.08127999</v>
      </c>
      <c r="V17" s="55">
        <f t="shared" si="9"/>
        <v>6.3491464739719131E-2</v>
      </c>
    </row>
    <row r="18" spans="1:22" ht="15" thickBot="1" x14ac:dyDescent="0.4">
      <c r="A18" s="7" t="s">
        <v>87</v>
      </c>
      <c r="B18" s="41">
        <v>128</v>
      </c>
      <c r="C18" s="19">
        <v>128</v>
      </c>
      <c r="D18" s="19">
        <v>128</v>
      </c>
      <c r="E18" s="70">
        <f>5*5*5</f>
        <v>125</v>
      </c>
      <c r="F18" s="44">
        <f t="shared" si="6"/>
        <v>16777.216</v>
      </c>
      <c r="G18" s="48">
        <v>1000</v>
      </c>
      <c r="H18" s="45">
        <f t="shared" si="7"/>
        <v>2097.152</v>
      </c>
      <c r="I18" s="48">
        <v>96</v>
      </c>
      <c r="J18" s="48">
        <v>64</v>
      </c>
      <c r="K18" s="8">
        <f>F18*G18</f>
        <v>16777216</v>
      </c>
      <c r="L18" s="45">
        <f>H18*F18</f>
        <v>35184372.088831998</v>
      </c>
      <c r="M18" s="45">
        <f>H18*F18</f>
        <v>35184372.088831998</v>
      </c>
      <c r="N18" s="45">
        <f>F18*H18</f>
        <v>35184372.088831998</v>
      </c>
      <c r="O18" s="46">
        <f>H18*F18</f>
        <v>35184372.088831998</v>
      </c>
      <c r="P18" s="44">
        <f>$V$3*(F18+G18)*(1+Q18+R18)</f>
        <v>8053078.8480000002</v>
      </c>
      <c r="Q18" s="45">
        <v>100</v>
      </c>
      <c r="R18" s="9">
        <v>50</v>
      </c>
      <c r="T18" s="44">
        <f>K18+(I18*J18*L18)+(I18*J18*M18)+(I18*J18*N18)+(I18*J18*O18)</f>
        <v>864707905671.13525</v>
      </c>
      <c r="U18" s="8">
        <f t="shared" si="8"/>
        <v>54895673537.425919</v>
      </c>
      <c r="V18" s="56">
        <f t="shared" si="9"/>
        <v>6.3484643979077687E-2</v>
      </c>
    </row>
    <row r="21" spans="1:22" x14ac:dyDescent="0.35">
      <c r="A21" s="93" t="s">
        <v>50</v>
      </c>
      <c r="B21" s="93"/>
      <c r="C21" s="93"/>
      <c r="D21" s="93"/>
      <c r="E21" s="93"/>
      <c r="F21" s="93"/>
    </row>
    <row r="22" spans="1:22" ht="16.5" x14ac:dyDescent="0.45">
      <c r="A22" s="93" t="s">
        <v>94</v>
      </c>
      <c r="B22" s="93"/>
      <c r="C22" s="93"/>
      <c r="D22" s="93"/>
      <c r="E22" s="93"/>
      <c r="F22" s="93"/>
    </row>
    <row r="23" spans="1:22" ht="16.5" x14ac:dyDescent="0.45">
      <c r="A23" s="93" t="s">
        <v>95</v>
      </c>
      <c r="B23" s="93"/>
      <c r="C23" s="93"/>
      <c r="D23" s="93"/>
      <c r="E23" s="93"/>
      <c r="F23" s="93"/>
    </row>
    <row r="24" spans="1:22" ht="16.5" x14ac:dyDescent="0.45">
      <c r="A24" s="93" t="s">
        <v>96</v>
      </c>
      <c r="B24" s="93"/>
      <c r="C24" s="93"/>
      <c r="D24" s="93"/>
      <c r="E24" s="93"/>
      <c r="F24" s="93"/>
    </row>
    <row r="25" spans="1:22" ht="16.5" x14ac:dyDescent="0.45">
      <c r="A25" s="93" t="s">
        <v>97</v>
      </c>
      <c r="B25" s="93"/>
      <c r="C25" s="93"/>
      <c r="D25" s="93"/>
      <c r="E25" s="93"/>
      <c r="F25" s="93"/>
    </row>
    <row r="26" spans="1:22" ht="16.5" x14ac:dyDescent="0.45">
      <c r="A26" s="93" t="s">
        <v>98</v>
      </c>
      <c r="B26" s="93"/>
      <c r="C26" s="93"/>
      <c r="D26" s="93"/>
      <c r="E26" s="93"/>
      <c r="F26" s="93"/>
    </row>
    <row r="27" spans="1:22" ht="16.5" x14ac:dyDescent="0.45">
      <c r="A27" s="93" t="s">
        <v>99</v>
      </c>
      <c r="B27" s="93"/>
      <c r="C27" s="93"/>
      <c r="D27" s="93"/>
      <c r="E27" s="93"/>
      <c r="F27" s="93"/>
    </row>
    <row r="28" spans="1:22" ht="16.5" x14ac:dyDescent="0.45">
      <c r="A28" s="93" t="s">
        <v>100</v>
      </c>
      <c r="B28" s="93"/>
      <c r="C28" s="93"/>
      <c r="D28" s="93"/>
      <c r="E28" s="93"/>
      <c r="F28" s="93"/>
    </row>
    <row r="29" spans="1:22" x14ac:dyDescent="0.35">
      <c r="A29" s="93" t="s">
        <v>51</v>
      </c>
      <c r="B29" s="93"/>
      <c r="C29" s="93"/>
      <c r="D29" s="93"/>
      <c r="E29" s="93"/>
      <c r="F29" s="93"/>
    </row>
    <row r="30" spans="1:22" x14ac:dyDescent="0.35">
      <c r="A30" s="93"/>
      <c r="B30" s="93"/>
      <c r="C30" s="93"/>
      <c r="D30" s="93"/>
      <c r="E30" s="93"/>
      <c r="F30" s="93"/>
    </row>
    <row r="31" spans="1:22" x14ac:dyDescent="0.35">
      <c r="A31" s="93" t="s">
        <v>47</v>
      </c>
      <c r="B31" s="93"/>
      <c r="C31" s="93"/>
      <c r="D31" s="93"/>
      <c r="E31" s="93"/>
      <c r="F31" s="93"/>
    </row>
    <row r="32" spans="1:22" x14ac:dyDescent="0.35">
      <c r="A32" s="93" t="s">
        <v>48</v>
      </c>
      <c r="B32" s="93"/>
      <c r="C32" s="93"/>
      <c r="D32" s="93"/>
      <c r="E32" s="93"/>
      <c r="F32" s="93"/>
    </row>
    <row r="33" spans="1:6" x14ac:dyDescent="0.35">
      <c r="A33" s="93" t="s">
        <v>49</v>
      </c>
      <c r="B33" s="93"/>
      <c r="C33" s="93"/>
      <c r="D33" s="93"/>
      <c r="E33" s="93"/>
      <c r="F33" s="93"/>
    </row>
    <row r="34" spans="1:6" x14ac:dyDescent="0.35">
      <c r="A34" s="93" t="s">
        <v>52</v>
      </c>
      <c r="B34" s="93"/>
      <c r="C34" s="93"/>
      <c r="D34" s="93"/>
      <c r="E34" s="93"/>
      <c r="F34" s="93"/>
    </row>
  </sheetData>
  <mergeCells count="5">
    <mergeCell ref="B12:E12"/>
    <mergeCell ref="F12:O12"/>
    <mergeCell ref="P12:R12"/>
    <mergeCell ref="B3:E3"/>
    <mergeCell ref="F3:O3"/>
  </mergeCells>
  <conditionalFormatting sqref="V5:V9 V14:V18">
    <cfRule type="colorScale" priority="1">
      <colorScale>
        <cfvo type="min"/>
        <cfvo type="percentile" val="50"/>
        <cfvo type="max"/>
        <color rgb="FF63BE7B"/>
        <color rgb="FFFFEB84"/>
        <color rgb="FFF8696B"/>
      </colorScale>
    </cfRule>
  </conditionalFormatting>
  <conditionalFormatting sqref="V5:V11 V14:V18">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Convolutional (CNN, nnUnet)</vt:lpstr>
      <vt:lpstr>MLP (SKIP, Recurrent, spiking)</vt:lpstr>
      <vt:lpstr>Kolmogorov-Arnold (KAN)</vt:lpstr>
      <vt:lpstr>Attention (ATT)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Laszlo Papp</dc:creator>
  <cp:lastModifiedBy>László Papp</cp:lastModifiedBy>
  <dcterms:created xsi:type="dcterms:W3CDTF">2023-12-01T10:14:37Z</dcterms:created>
  <dcterms:modified xsi:type="dcterms:W3CDTF">2024-10-15T14:42:37Z</dcterms:modified>
</cp:coreProperties>
</file>