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7925a624fd38486b/Shared/Excelfiles/The Complete Financial Analyst Course/"/>
    </mc:Choice>
  </mc:AlternateContent>
  <xr:revisionPtr revIDLastSave="0" documentId="8_{D2705255-A144-46FA-A854-884C84152726}" xr6:coauthVersionLast="46" xr6:coauthVersionMax="46" xr10:uidLastSave="{00000000-0000-0000-0000-000000000000}"/>
  <bookViews>
    <workbookView xWindow="-108" yWindow="-108" windowWidth="23256" windowHeight="12576" firstSheet="14" activeTab="16" xr2:uid="{00000000-000D-0000-FFFF-FFFF00000000}"/>
  </bookViews>
  <sheets>
    <sheet name="P&amp;L Budgeting" sheetId="10" state="hidden" r:id="rId1"/>
    <sheet name="Sales Budget --&gt;" sheetId="1" state="hidden" r:id="rId2"/>
    <sheet name="Volume Forecast" sheetId="2" state="hidden" r:id="rId3"/>
    <sheet name="Revenue Forecast" sheetId="3" state="hidden" r:id="rId4"/>
    <sheet name="Production Budget --&gt;" sheetId="11" state="hidden" r:id="rId5"/>
    <sheet name="Production &amp; Direct Materials" sheetId="12" state="hidden" r:id="rId6"/>
    <sheet name="Direct Labour" sheetId="13" state="hidden" r:id="rId7"/>
    <sheet name="Overhead" sheetId="14" state="hidden" r:id="rId8"/>
    <sheet name="Cost of Goods Sold" sheetId="15" state="hidden" r:id="rId9"/>
    <sheet name="SG&amp;A Budget --&gt;" sheetId="16" state="hidden" r:id="rId10"/>
    <sheet name="SG&amp;A" sheetId="17" state="hidden" r:id="rId11"/>
    <sheet name="Balance Sheet Budgeting" sheetId="18" state="hidden" r:id="rId12"/>
    <sheet name="Working Capital" sheetId="19" state="hidden" r:id="rId13"/>
    <sheet name="Fixed Assets" sheetId="20" state="hidden" r:id="rId14"/>
    <sheet name="P&amp;L" sheetId="21" r:id="rId15"/>
    <sheet name="BS" sheetId="23" r:id="rId16"/>
    <sheet name="Cash Flow" sheetId="24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24" l="1"/>
  <c r="C5" i="24" l="1"/>
  <c r="D21" i="24" l="1"/>
  <c r="D15" i="24"/>
  <c r="D14" i="24"/>
  <c r="D12" i="24"/>
  <c r="D11" i="24"/>
  <c r="D10" i="24"/>
  <c r="D7" i="24" l="1"/>
  <c r="D5" i="23" l="1"/>
  <c r="C23" i="24" l="1"/>
  <c r="D13" i="23"/>
  <c r="C19" i="24"/>
  <c r="C13" i="23"/>
  <c r="C7" i="24"/>
  <c r="C16" i="24" s="1"/>
  <c r="D22" i="23"/>
  <c r="C22" i="23"/>
  <c r="G13" i="21"/>
  <c r="G14" i="21" s="1"/>
  <c r="G16" i="21" s="1"/>
  <c r="C26" i="24" l="1"/>
  <c r="L15" i="21"/>
  <c r="K15" i="21"/>
  <c r="J15" i="21"/>
  <c r="I15" i="21"/>
  <c r="H15" i="21"/>
  <c r="L14" i="20" l="1"/>
  <c r="K14" i="20"/>
  <c r="J14" i="20"/>
  <c r="I14" i="20"/>
  <c r="L11" i="20"/>
  <c r="K11" i="20"/>
  <c r="J11" i="20"/>
  <c r="I11" i="20"/>
  <c r="C13" i="20"/>
  <c r="C10" i="21" l="1"/>
  <c r="F16" i="19" l="1"/>
  <c r="E16" i="19"/>
  <c r="D16" i="19"/>
  <c r="C16" i="19"/>
  <c r="G6" i="17" l="1"/>
  <c r="F6" i="17"/>
  <c r="E6" i="17"/>
  <c r="D6" i="17"/>
  <c r="C6" i="17"/>
  <c r="F27" i="17"/>
  <c r="F8" i="21" s="1"/>
  <c r="E27" i="17"/>
  <c r="E8" i="21" s="1"/>
  <c r="D27" i="17"/>
  <c r="D8" i="21" s="1"/>
  <c r="C27" i="17"/>
  <c r="C8" i="21" s="1"/>
  <c r="L24" i="17"/>
  <c r="K24" i="17"/>
  <c r="J24" i="17"/>
  <c r="I24" i="17"/>
  <c r="G24" i="17"/>
  <c r="L21" i="17"/>
  <c r="M21" i="17" s="1"/>
  <c r="K21" i="17"/>
  <c r="J21" i="17"/>
  <c r="I21" i="17"/>
  <c r="G21" i="17"/>
  <c r="G18" i="17"/>
  <c r="G15" i="17"/>
  <c r="G12" i="17"/>
  <c r="G27" i="17" l="1"/>
  <c r="M24" i="17"/>
  <c r="F10" i="15" l="1"/>
  <c r="E10" i="15"/>
  <c r="D10" i="15"/>
  <c r="C10" i="15"/>
  <c r="B6" i="15" l="1"/>
  <c r="L20" i="14" l="1"/>
  <c r="L10" i="15" s="1"/>
  <c r="K20" i="14"/>
  <c r="K10" i="15" s="1"/>
  <c r="J20" i="14"/>
  <c r="J10" i="15" s="1"/>
  <c r="I20" i="14"/>
  <c r="I10" i="15" s="1"/>
  <c r="L16" i="14"/>
  <c r="K16" i="14"/>
  <c r="J16" i="14"/>
  <c r="I16" i="14"/>
  <c r="J13" i="14"/>
  <c r="J8" i="15" s="1"/>
  <c r="I13" i="14"/>
  <c r="I8" i="15" s="1"/>
  <c r="L11" i="14"/>
  <c r="L13" i="14" s="1"/>
  <c r="L8" i="15" s="1"/>
  <c r="K11" i="14"/>
  <c r="K13" i="14" s="1"/>
  <c r="K8" i="15" s="1"/>
  <c r="J11" i="14"/>
  <c r="I11" i="14"/>
  <c r="G22" i="14"/>
  <c r="F22" i="14"/>
  <c r="E22" i="14"/>
  <c r="D22" i="14"/>
  <c r="C22" i="14"/>
  <c r="G20" i="14"/>
  <c r="G10" i="15" s="1"/>
  <c r="F13" i="14"/>
  <c r="F8" i="15" s="1"/>
  <c r="E13" i="14"/>
  <c r="E8" i="15" s="1"/>
  <c r="D13" i="14"/>
  <c r="D8" i="15" s="1"/>
  <c r="C13" i="14"/>
  <c r="B8" i="14"/>
  <c r="B7" i="14"/>
  <c r="B6" i="14"/>
  <c r="G13" i="14" l="1"/>
  <c r="G8" i="15" s="1"/>
  <c r="C8" i="15"/>
  <c r="M20" i="14"/>
  <c r="M10" i="15" s="1"/>
  <c r="M13" i="14"/>
  <c r="M8" i="15" s="1"/>
  <c r="M42" i="12"/>
  <c r="M41" i="12"/>
  <c r="L42" i="12"/>
  <c r="K42" i="12"/>
  <c r="J42" i="12"/>
  <c r="I42" i="12"/>
  <c r="L41" i="12"/>
  <c r="K41" i="12"/>
  <c r="J41" i="12"/>
  <c r="I41" i="12"/>
  <c r="L38" i="12"/>
  <c r="K38" i="12"/>
  <c r="J38" i="12"/>
  <c r="I38" i="12"/>
  <c r="L37" i="12"/>
  <c r="K37" i="12"/>
  <c r="J37" i="12"/>
  <c r="I37" i="12"/>
  <c r="N12" i="13"/>
  <c r="N11" i="13"/>
  <c r="G8" i="13"/>
  <c r="F8" i="13"/>
  <c r="E8" i="13"/>
  <c r="D8" i="13"/>
  <c r="C8" i="13"/>
  <c r="G7" i="13"/>
  <c r="F7" i="13"/>
  <c r="E7" i="13"/>
  <c r="D7" i="13"/>
  <c r="C7" i="13"/>
  <c r="G5" i="13"/>
  <c r="F5" i="13"/>
  <c r="E5" i="13"/>
  <c r="D5" i="13"/>
  <c r="C5" i="13"/>
  <c r="B12" i="13"/>
  <c r="B11" i="13"/>
  <c r="B10" i="13"/>
  <c r="G38" i="12" l="1"/>
  <c r="M38" i="12" s="1"/>
  <c r="G37" i="12"/>
  <c r="M37" i="12" s="1"/>
  <c r="F10" i="12"/>
  <c r="D10" i="12"/>
  <c r="C10" i="12"/>
  <c r="G9" i="12"/>
  <c r="F9" i="12"/>
  <c r="E9" i="12"/>
  <c r="C9" i="12"/>
  <c r="F7" i="12"/>
  <c r="E7" i="12"/>
  <c r="D7" i="12"/>
  <c r="C7" i="12"/>
  <c r="G9" i="3"/>
  <c r="G10" i="12" s="1"/>
  <c r="F9" i="3"/>
  <c r="E9" i="3"/>
  <c r="E10" i="12" s="1"/>
  <c r="D9" i="3"/>
  <c r="C9" i="3"/>
  <c r="G8" i="3"/>
  <c r="F8" i="3"/>
  <c r="E8" i="3"/>
  <c r="D8" i="3"/>
  <c r="D9" i="12" s="1"/>
  <c r="C8" i="3"/>
  <c r="G6" i="3"/>
  <c r="G7" i="12" s="1"/>
  <c r="F6" i="3"/>
  <c r="E6" i="3"/>
  <c r="D6" i="3"/>
  <c r="C6" i="3"/>
  <c r="B34" i="12" l="1"/>
  <c r="B33" i="12"/>
  <c r="B32" i="12"/>
  <c r="F23" i="12"/>
  <c r="I19" i="12" s="1"/>
  <c r="E23" i="12"/>
  <c r="F19" i="12" s="1"/>
  <c r="D23" i="12"/>
  <c r="E19" i="12" s="1"/>
  <c r="E27" i="12" s="1"/>
  <c r="C23" i="12"/>
  <c r="C27" i="12" s="1"/>
  <c r="F22" i="12"/>
  <c r="I18" i="12" s="1"/>
  <c r="E22" i="12"/>
  <c r="D22" i="12"/>
  <c r="C22" i="12"/>
  <c r="D18" i="12" s="1"/>
  <c r="F18" i="12"/>
  <c r="E18" i="12"/>
  <c r="E34" i="12" l="1"/>
  <c r="E46" i="12" s="1"/>
  <c r="E8" i="14"/>
  <c r="E12" i="13"/>
  <c r="E20" i="13" s="1"/>
  <c r="E28" i="13" s="1"/>
  <c r="C8" i="14"/>
  <c r="C12" i="13"/>
  <c r="C20" i="13" s="1"/>
  <c r="C28" i="13" s="1"/>
  <c r="E26" i="12"/>
  <c r="F27" i="12"/>
  <c r="D26" i="12"/>
  <c r="C34" i="12"/>
  <c r="C46" i="12" s="1"/>
  <c r="F26" i="12"/>
  <c r="C26" i="12"/>
  <c r="D19" i="12"/>
  <c r="D27" i="12" s="1"/>
  <c r="D33" i="12" l="1"/>
  <c r="D45" i="12" s="1"/>
  <c r="D7" i="14"/>
  <c r="D11" i="13"/>
  <c r="D19" i="13" s="1"/>
  <c r="D27" i="13" s="1"/>
  <c r="D34" i="12"/>
  <c r="D46" i="12" s="1"/>
  <c r="D8" i="14"/>
  <c r="D15" i="14" s="1"/>
  <c r="D18" i="14" s="1"/>
  <c r="D9" i="15" s="1"/>
  <c r="D12" i="13"/>
  <c r="D20" i="13" s="1"/>
  <c r="D28" i="13" s="1"/>
  <c r="G28" i="13" s="1"/>
  <c r="F34" i="12"/>
  <c r="F46" i="12" s="1"/>
  <c r="G46" i="12" s="1"/>
  <c r="F8" i="14"/>
  <c r="F12" i="13"/>
  <c r="F20" i="13" s="1"/>
  <c r="F28" i="13" s="1"/>
  <c r="E33" i="12"/>
  <c r="E45" i="12" s="1"/>
  <c r="E6" i="15" s="1"/>
  <c r="E7" i="14"/>
  <c r="E15" i="14" s="1"/>
  <c r="E18" i="14" s="1"/>
  <c r="E9" i="15" s="1"/>
  <c r="E11" i="13"/>
  <c r="E19" i="13" s="1"/>
  <c r="E27" i="13" s="1"/>
  <c r="E7" i="15" s="1"/>
  <c r="C7" i="14"/>
  <c r="C15" i="14" s="1"/>
  <c r="C18" i="14" s="1"/>
  <c r="C11" i="13"/>
  <c r="C19" i="13" s="1"/>
  <c r="C27" i="13" s="1"/>
  <c r="F33" i="12"/>
  <c r="F45" i="12" s="1"/>
  <c r="F6" i="15" s="1"/>
  <c r="F11" i="15" s="1"/>
  <c r="F7" i="14"/>
  <c r="F15" i="14" s="1"/>
  <c r="F18" i="14" s="1"/>
  <c r="F9" i="15" s="1"/>
  <c r="F11" i="13"/>
  <c r="F19" i="13" s="1"/>
  <c r="F27" i="13" s="1"/>
  <c r="F7" i="15" s="1"/>
  <c r="C33" i="12"/>
  <c r="C45" i="12" s="1"/>
  <c r="G26" i="12"/>
  <c r="G27" i="12"/>
  <c r="F6" i="21" l="1"/>
  <c r="F7" i="19"/>
  <c r="C7" i="15"/>
  <c r="G27" i="13"/>
  <c r="G7" i="15" s="1"/>
  <c r="G45" i="12"/>
  <c r="G6" i="15" s="1"/>
  <c r="C6" i="15"/>
  <c r="D7" i="15"/>
  <c r="G7" i="14"/>
  <c r="G11" i="13"/>
  <c r="G33" i="12"/>
  <c r="E11" i="15"/>
  <c r="G8" i="14"/>
  <c r="G12" i="13"/>
  <c r="G34" i="12"/>
  <c r="C9" i="15"/>
  <c r="G18" i="14"/>
  <c r="G9" i="15" s="1"/>
  <c r="D6" i="15"/>
  <c r="L18" i="2"/>
  <c r="K18" i="2"/>
  <c r="J18" i="2"/>
  <c r="I18" i="2"/>
  <c r="L16" i="2"/>
  <c r="K16" i="2"/>
  <c r="J16" i="2"/>
  <c r="I16" i="2"/>
  <c r="L10" i="2"/>
  <c r="K10" i="2"/>
  <c r="L9" i="2"/>
  <c r="K9" i="2"/>
  <c r="J9" i="2"/>
  <c r="I9" i="2"/>
  <c r="L8" i="2"/>
  <c r="K8" i="2"/>
  <c r="J8" i="2"/>
  <c r="I8" i="2"/>
  <c r="L7" i="2"/>
  <c r="K7" i="2"/>
  <c r="J7" i="2"/>
  <c r="J10" i="2" s="1"/>
  <c r="I7" i="2"/>
  <c r="I10" i="2" s="1"/>
  <c r="G11" i="15" l="1"/>
  <c r="G7" i="19" s="1"/>
  <c r="C11" i="15"/>
  <c r="F13" i="19"/>
  <c r="F17" i="19"/>
  <c r="E6" i="21"/>
  <c r="E7" i="19"/>
  <c r="D11" i="15"/>
  <c r="C34" i="2"/>
  <c r="I34" i="2" s="1"/>
  <c r="I11" i="3" s="1"/>
  <c r="D34" i="2"/>
  <c r="J34" i="2" s="1"/>
  <c r="J11" i="3" s="1"/>
  <c r="E34" i="2"/>
  <c r="K34" i="2" s="1"/>
  <c r="K11" i="3" s="1"/>
  <c r="F34" i="2"/>
  <c r="L34" i="2" s="1"/>
  <c r="L11" i="3" s="1"/>
  <c r="G34" i="2"/>
  <c r="M34" i="2" s="1"/>
  <c r="M11" i="3" s="1"/>
  <c r="C35" i="2"/>
  <c r="I35" i="2" s="1"/>
  <c r="D35" i="2"/>
  <c r="J35" i="2" s="1"/>
  <c r="E35" i="2"/>
  <c r="K35" i="2" s="1"/>
  <c r="F35" i="2"/>
  <c r="L35" i="2" s="1"/>
  <c r="G35" i="2"/>
  <c r="M35" i="2" s="1"/>
  <c r="E13" i="19" l="1"/>
  <c r="E17" i="19"/>
  <c r="D6" i="21"/>
  <c r="D7" i="19"/>
  <c r="C6" i="21"/>
  <c r="C7" i="19"/>
  <c r="J12" i="3"/>
  <c r="L12" i="3"/>
  <c r="K12" i="3"/>
  <c r="M12" i="3"/>
  <c r="I12" i="3"/>
  <c r="F18" i="3"/>
  <c r="E18" i="3"/>
  <c r="E20" i="3" s="1"/>
  <c r="D18" i="3"/>
  <c r="F17" i="3"/>
  <c r="E17" i="3"/>
  <c r="D17" i="3"/>
  <c r="D20" i="3" s="1"/>
  <c r="C18" i="3"/>
  <c r="C17" i="3"/>
  <c r="C20" i="3" s="1"/>
  <c r="F12" i="3"/>
  <c r="E12" i="3"/>
  <c r="D12" i="3"/>
  <c r="C12" i="3"/>
  <c r="F11" i="3"/>
  <c r="E11" i="3"/>
  <c r="D11" i="3"/>
  <c r="C11" i="3"/>
  <c r="G18" i="3"/>
  <c r="G17" i="3"/>
  <c r="E5" i="21" l="1"/>
  <c r="E7" i="21" s="1"/>
  <c r="E9" i="21" s="1"/>
  <c r="E6" i="20"/>
  <c r="E10" i="20" s="1"/>
  <c r="E6" i="19"/>
  <c r="E10" i="19" s="1"/>
  <c r="E18" i="19" s="1"/>
  <c r="E7" i="17"/>
  <c r="C13" i="19"/>
  <c r="C17" i="19"/>
  <c r="D5" i="21"/>
  <c r="D7" i="21" s="1"/>
  <c r="D9" i="21" s="1"/>
  <c r="D6" i="20"/>
  <c r="D10" i="20" s="1"/>
  <c r="D6" i="19"/>
  <c r="D10" i="19" s="1"/>
  <c r="D7" i="17"/>
  <c r="D13" i="19"/>
  <c r="D17" i="19"/>
  <c r="F20" i="3"/>
  <c r="C5" i="21"/>
  <c r="C7" i="21" s="1"/>
  <c r="C9" i="21" s="1"/>
  <c r="C11" i="21" s="1"/>
  <c r="C6" i="20"/>
  <c r="C10" i="20" s="1"/>
  <c r="C6" i="19"/>
  <c r="C10" i="19" s="1"/>
  <c r="C7" i="17"/>
  <c r="G20" i="3"/>
  <c r="G12" i="3"/>
  <c r="G11" i="3"/>
  <c r="G9" i="2"/>
  <c r="M9" i="2" s="1"/>
  <c r="G8" i="2"/>
  <c r="M8" i="2" s="1"/>
  <c r="G7" i="2"/>
  <c r="M7" i="2" s="1"/>
  <c r="F10" i="2"/>
  <c r="E10" i="2"/>
  <c r="D10" i="2"/>
  <c r="C10" i="2"/>
  <c r="C14" i="21" l="1"/>
  <c r="C16" i="21"/>
  <c r="F5" i="21"/>
  <c r="F7" i="21" s="1"/>
  <c r="F9" i="21" s="1"/>
  <c r="F6" i="20"/>
  <c r="F10" i="20" s="1"/>
  <c r="F6" i="19"/>
  <c r="F10" i="19" s="1"/>
  <c r="F18" i="19" s="1"/>
  <c r="F7" i="17"/>
  <c r="C18" i="19"/>
  <c r="G6" i="20"/>
  <c r="G6" i="19"/>
  <c r="G7" i="17"/>
  <c r="E22" i="17"/>
  <c r="E19" i="17"/>
  <c r="K19" i="17" s="1"/>
  <c r="E13" i="17"/>
  <c r="E16" i="17"/>
  <c r="K16" i="17" s="1"/>
  <c r="E25" i="17"/>
  <c r="G10" i="20"/>
  <c r="C16" i="20"/>
  <c r="D8" i="20" s="1"/>
  <c r="D13" i="20" s="1"/>
  <c r="D25" i="17"/>
  <c r="D16" i="17"/>
  <c r="J16" i="17" s="1"/>
  <c r="D13" i="17"/>
  <c r="D19" i="17"/>
  <c r="J19" i="17" s="1"/>
  <c r="D22" i="17"/>
  <c r="M10" i="2"/>
  <c r="O10" i="2" s="1"/>
  <c r="C21" i="2" s="1"/>
  <c r="C22" i="17"/>
  <c r="C13" i="17"/>
  <c r="C16" i="17"/>
  <c r="I16" i="17" s="1"/>
  <c r="C19" i="17"/>
  <c r="I19" i="17" s="1"/>
  <c r="C25" i="17"/>
  <c r="D18" i="19"/>
  <c r="G10" i="2"/>
  <c r="F13" i="17" l="1"/>
  <c r="F25" i="17"/>
  <c r="F16" i="17"/>
  <c r="L16" i="17" s="1"/>
  <c r="F22" i="17"/>
  <c r="F19" i="17"/>
  <c r="L19" i="17" s="1"/>
  <c r="D16" i="20"/>
  <c r="E8" i="20" s="1"/>
  <c r="E13" i="20" s="1"/>
  <c r="D10" i="21"/>
  <c r="D11" i="21" s="1"/>
  <c r="G25" i="17"/>
  <c r="G19" i="17"/>
  <c r="G22" i="17"/>
  <c r="G16" i="17"/>
  <c r="G13" i="17"/>
  <c r="I13" i="17" s="1"/>
  <c r="F18" i="2"/>
  <c r="E18" i="2"/>
  <c r="E16" i="20" l="1"/>
  <c r="F8" i="20" s="1"/>
  <c r="E10" i="21"/>
  <c r="E11" i="21" s="1"/>
  <c r="D14" i="21"/>
  <c r="D16" i="21" s="1"/>
  <c r="J13" i="17"/>
  <c r="G16" i="2"/>
  <c r="M16" i="2" s="1"/>
  <c r="M18" i="2" s="1"/>
  <c r="C18" i="2"/>
  <c r="D18" i="2"/>
  <c r="E14" i="21" l="1"/>
  <c r="E16" i="21"/>
  <c r="K13" i="17"/>
  <c r="F13" i="20"/>
  <c r="F16" i="20" s="1"/>
  <c r="I8" i="20" s="1"/>
  <c r="G18" i="2"/>
  <c r="O18" i="2" s="1"/>
  <c r="C22" i="2" s="1"/>
  <c r="C23" i="2" s="1"/>
  <c r="I29" i="2" l="1"/>
  <c r="M29" i="2"/>
  <c r="L29" i="2"/>
  <c r="K29" i="2"/>
  <c r="J29" i="2"/>
  <c r="I13" i="20"/>
  <c r="L13" i="17"/>
  <c r="F10" i="21"/>
  <c r="F11" i="21" s="1"/>
  <c r="G13" i="20"/>
  <c r="J6" i="3" l="1"/>
  <c r="J7" i="12" s="1"/>
  <c r="J6" i="17"/>
  <c r="J5" i="13"/>
  <c r="J32" i="2"/>
  <c r="J31" i="2"/>
  <c r="K6" i="3"/>
  <c r="K7" i="12" s="1"/>
  <c r="K6" i="17"/>
  <c r="K5" i="13"/>
  <c r="K31" i="2"/>
  <c r="K32" i="2"/>
  <c r="H10" i="21"/>
  <c r="F14" i="21"/>
  <c r="F16" i="21"/>
  <c r="M6" i="3"/>
  <c r="M6" i="17"/>
  <c r="O6" i="17" s="1"/>
  <c r="M5" i="13"/>
  <c r="O5" i="13" s="1"/>
  <c r="O29" i="2"/>
  <c r="M32" i="2"/>
  <c r="M31" i="2"/>
  <c r="L6" i="3"/>
  <c r="L7" i="12" s="1"/>
  <c r="L6" i="17"/>
  <c r="L5" i="13"/>
  <c r="L31" i="2"/>
  <c r="L32" i="2"/>
  <c r="I6" i="3"/>
  <c r="I7" i="12" s="1"/>
  <c r="I6" i="17"/>
  <c r="I5" i="13"/>
  <c r="I31" i="2"/>
  <c r="I32" i="2"/>
  <c r="M7" i="12" l="1"/>
  <c r="O6" i="3"/>
  <c r="O7" i="12" s="1"/>
  <c r="J8" i="3"/>
  <c r="J7" i="13"/>
  <c r="M8" i="3"/>
  <c r="M7" i="13"/>
  <c r="M9" i="3"/>
  <c r="M8" i="13"/>
  <c r="J9" i="3"/>
  <c r="J8" i="13"/>
  <c r="L9" i="3"/>
  <c r="L8" i="13"/>
  <c r="K8" i="3"/>
  <c r="K7" i="13"/>
  <c r="I9" i="3"/>
  <c r="I8" i="13"/>
  <c r="I8" i="3"/>
  <c r="I7" i="13"/>
  <c r="K9" i="3"/>
  <c r="K8" i="13"/>
  <c r="L8" i="3"/>
  <c r="L7" i="13"/>
  <c r="K17" i="3" l="1"/>
  <c r="K9" i="12"/>
  <c r="M17" i="3"/>
  <c r="M20" i="3" s="1"/>
  <c r="M9" i="12"/>
  <c r="M18" i="3"/>
  <c r="M10" i="12"/>
  <c r="L17" i="3"/>
  <c r="L20" i="3" s="1"/>
  <c r="L9" i="12"/>
  <c r="K18" i="3"/>
  <c r="K10" i="12"/>
  <c r="L18" i="3"/>
  <c r="L10" i="12"/>
  <c r="J17" i="3"/>
  <c r="J9" i="12"/>
  <c r="I18" i="3"/>
  <c r="I10" i="12"/>
  <c r="I17" i="3"/>
  <c r="I9" i="12"/>
  <c r="J18" i="3"/>
  <c r="J10" i="12"/>
  <c r="L22" i="12" l="1"/>
  <c r="J22" i="12"/>
  <c r="K5" i="21"/>
  <c r="L6" i="20"/>
  <c r="L10" i="20" s="1"/>
  <c r="L6" i="19"/>
  <c r="L10" i="19" s="1"/>
  <c r="L7" i="17"/>
  <c r="J20" i="3"/>
  <c r="J23" i="12"/>
  <c r="K19" i="12" s="1"/>
  <c r="L23" i="12"/>
  <c r="L27" i="12" s="1"/>
  <c r="L5" i="21"/>
  <c r="M6" i="20"/>
  <c r="O6" i="20" s="1"/>
  <c r="M6" i="19"/>
  <c r="O6" i="19" s="1"/>
  <c r="M7" i="17"/>
  <c r="K23" i="12"/>
  <c r="L19" i="12" s="1"/>
  <c r="K22" i="12"/>
  <c r="I23" i="12"/>
  <c r="J19" i="12" s="1"/>
  <c r="I26" i="12"/>
  <c r="I22" i="12"/>
  <c r="I20" i="3"/>
  <c r="K20" i="3"/>
  <c r="L8" i="14" l="1"/>
  <c r="L12" i="13"/>
  <c r="L20" i="13" s="1"/>
  <c r="L28" i="13" s="1"/>
  <c r="L34" i="12"/>
  <c r="L46" i="12" s="1"/>
  <c r="L25" i="17"/>
  <c r="L22" i="17"/>
  <c r="L18" i="17"/>
  <c r="L15" i="17"/>
  <c r="L12" i="17"/>
  <c r="I7" i="14"/>
  <c r="I11" i="13"/>
  <c r="I19" i="13" s="1"/>
  <c r="I27" i="13" s="1"/>
  <c r="I33" i="12"/>
  <c r="I45" i="12" s="1"/>
  <c r="I27" i="12"/>
  <c r="K16" i="19"/>
  <c r="L18" i="12"/>
  <c r="L26" i="12" s="1"/>
  <c r="J5" i="21"/>
  <c r="K6" i="20"/>
  <c r="K10" i="20" s="1"/>
  <c r="K6" i="19"/>
  <c r="K10" i="19" s="1"/>
  <c r="K7" i="17"/>
  <c r="J16" i="19"/>
  <c r="K18" i="12"/>
  <c r="K26" i="12" s="1"/>
  <c r="H5" i="21"/>
  <c r="I6" i="20"/>
  <c r="I10" i="20" s="1"/>
  <c r="I6" i="19"/>
  <c r="I10" i="19" s="1"/>
  <c r="I7" i="17"/>
  <c r="K27" i="12"/>
  <c r="J27" i="12"/>
  <c r="I16" i="19"/>
  <c r="J18" i="12"/>
  <c r="J26" i="12" s="1"/>
  <c r="O7" i="17"/>
  <c r="M25" i="17"/>
  <c r="I5" i="21"/>
  <c r="J6" i="20"/>
  <c r="J10" i="20" s="1"/>
  <c r="J6" i="19"/>
  <c r="J10" i="19" s="1"/>
  <c r="J7" i="17"/>
  <c r="L16" i="19"/>
  <c r="J7" i="14" l="1"/>
  <c r="J11" i="13"/>
  <c r="J19" i="13" s="1"/>
  <c r="J27" i="13" s="1"/>
  <c r="J33" i="12"/>
  <c r="J45" i="12" s="1"/>
  <c r="M26" i="12"/>
  <c r="M10" i="20"/>
  <c r="I16" i="20"/>
  <c r="J8" i="20" s="1"/>
  <c r="J22" i="17"/>
  <c r="J25" i="17"/>
  <c r="J15" i="17"/>
  <c r="J18" i="17"/>
  <c r="J12" i="17"/>
  <c r="K22" i="17"/>
  <c r="K25" i="17"/>
  <c r="K15" i="17"/>
  <c r="K18" i="17"/>
  <c r="K12" i="17"/>
  <c r="K8" i="14"/>
  <c r="K12" i="13"/>
  <c r="K20" i="13" s="1"/>
  <c r="K28" i="13" s="1"/>
  <c r="K34" i="12"/>
  <c r="K46" i="12" s="1"/>
  <c r="I8" i="14"/>
  <c r="I12" i="13"/>
  <c r="I20" i="13" s="1"/>
  <c r="I28" i="13" s="1"/>
  <c r="M28" i="13" s="1"/>
  <c r="I34" i="12"/>
  <c r="I46" i="12" s="1"/>
  <c r="M27" i="12"/>
  <c r="I25" i="17"/>
  <c r="I22" i="17"/>
  <c r="I15" i="17"/>
  <c r="I18" i="17"/>
  <c r="I12" i="17"/>
  <c r="M12" i="17" s="1"/>
  <c r="M13" i="17" s="1"/>
  <c r="L7" i="14"/>
  <c r="L15" i="14" s="1"/>
  <c r="L18" i="14" s="1"/>
  <c r="L9" i="15" s="1"/>
  <c r="L11" i="13"/>
  <c r="L19" i="13" s="1"/>
  <c r="L27" i="13" s="1"/>
  <c r="L7" i="15" s="1"/>
  <c r="L33" i="12"/>
  <c r="L45" i="12" s="1"/>
  <c r="L6" i="15" s="1"/>
  <c r="J8" i="14"/>
  <c r="J12" i="13"/>
  <c r="J20" i="13" s="1"/>
  <c r="J28" i="13" s="1"/>
  <c r="J34" i="12"/>
  <c r="J46" i="12" s="1"/>
  <c r="I6" i="15"/>
  <c r="M27" i="13"/>
  <c r="I15" i="14"/>
  <c r="I18" i="14" s="1"/>
  <c r="K7" i="14"/>
  <c r="K11" i="13"/>
  <c r="K19" i="13" s="1"/>
  <c r="K27" i="13" s="1"/>
  <c r="K33" i="12"/>
  <c r="K45" i="12" s="1"/>
  <c r="L27" i="17"/>
  <c r="K8" i="21" s="1"/>
  <c r="M18" i="17" l="1"/>
  <c r="I27" i="17"/>
  <c r="H8" i="21" s="1"/>
  <c r="M7" i="15"/>
  <c r="M15" i="17"/>
  <c r="M16" i="17" s="1"/>
  <c r="J27" i="17"/>
  <c r="I8" i="21" s="1"/>
  <c r="J13" i="20"/>
  <c r="J16" i="20"/>
  <c r="K8" i="20" s="1"/>
  <c r="M7" i="14"/>
  <c r="M11" i="13"/>
  <c r="M33" i="12"/>
  <c r="M45" i="12" s="1"/>
  <c r="K6" i="15"/>
  <c r="L11" i="15"/>
  <c r="M8" i="14"/>
  <c r="M12" i="13"/>
  <c r="M34" i="12"/>
  <c r="M46" i="12" s="1"/>
  <c r="J7" i="15"/>
  <c r="I9" i="15"/>
  <c r="I7" i="15"/>
  <c r="I11" i="15" s="1"/>
  <c r="J6" i="15"/>
  <c r="K7" i="15"/>
  <c r="K15" i="14"/>
  <c r="K18" i="14" s="1"/>
  <c r="K9" i="15" s="1"/>
  <c r="K27" i="17"/>
  <c r="J8" i="21" s="1"/>
  <c r="J15" i="14"/>
  <c r="J18" i="14" s="1"/>
  <c r="J9" i="15" s="1"/>
  <c r="H6" i="21" l="1"/>
  <c r="H7" i="21" s="1"/>
  <c r="H9" i="21" s="1"/>
  <c r="H11" i="21" s="1"/>
  <c r="I7" i="19"/>
  <c r="K13" i="20"/>
  <c r="J10" i="21" s="1"/>
  <c r="I10" i="21"/>
  <c r="J11" i="15"/>
  <c r="K6" i="21"/>
  <c r="K7" i="21" s="1"/>
  <c r="K9" i="21" s="1"/>
  <c r="L7" i="19"/>
  <c r="M18" i="14"/>
  <c r="M9" i="15" s="1"/>
  <c r="M6" i="15"/>
  <c r="M11" i="15" s="1"/>
  <c r="K11" i="15"/>
  <c r="M19" i="17"/>
  <c r="M27" i="17"/>
  <c r="L8" i="21" s="1"/>
  <c r="I6" i="21" l="1"/>
  <c r="I7" i="21" s="1"/>
  <c r="I9" i="21" s="1"/>
  <c r="I11" i="21" s="1"/>
  <c r="J7" i="19"/>
  <c r="K16" i="20"/>
  <c r="L8" i="20" s="1"/>
  <c r="L6" i="21"/>
  <c r="L7" i="21" s="1"/>
  <c r="L9" i="21" s="1"/>
  <c r="M7" i="19"/>
  <c r="O7" i="19" s="1"/>
  <c r="J6" i="21"/>
  <c r="J7" i="21" s="1"/>
  <c r="J9" i="21" s="1"/>
  <c r="J11" i="21" s="1"/>
  <c r="K7" i="19"/>
  <c r="I13" i="19"/>
  <c r="I18" i="19" s="1"/>
  <c r="I17" i="19"/>
  <c r="L13" i="19"/>
  <c r="L18" i="19" s="1"/>
  <c r="L17" i="19"/>
  <c r="H14" i="21"/>
  <c r="H16" i="21"/>
  <c r="L13" i="20" l="1"/>
  <c r="L16" i="20"/>
  <c r="J14" i="21"/>
  <c r="J16" i="21" s="1"/>
  <c r="J13" i="19"/>
  <c r="J18" i="19" s="1"/>
  <c r="J17" i="19"/>
  <c r="I14" i="21"/>
  <c r="I16" i="21"/>
  <c r="D5" i="24"/>
  <c r="K13" i="19"/>
  <c r="K18" i="19" s="1"/>
  <c r="K17" i="19"/>
  <c r="K10" i="21" l="1"/>
  <c r="K11" i="21" s="1"/>
  <c r="M13" i="20"/>
  <c r="L10" i="21" s="1"/>
  <c r="D18" i="24" l="1"/>
  <c r="D19" i="24" s="1"/>
  <c r="L11" i="21"/>
  <c r="L13" i="21" s="1"/>
  <c r="K14" i="21"/>
  <c r="K16" i="21"/>
  <c r="L14" i="21" l="1"/>
  <c r="D8" i="24" s="1"/>
  <c r="D16" i="24" s="1"/>
  <c r="L16" i="21" l="1"/>
  <c r="D22" i="24" s="1"/>
  <c r="D23" i="24" s="1"/>
  <c r="D26" i="24" s="1"/>
  <c r="G5" i="23" s="1"/>
  <c r="E5" i="23" s="1"/>
</calcChain>
</file>

<file path=xl/sharedStrings.xml><?xml version="1.0" encoding="utf-8"?>
<sst xmlns="http://schemas.openxmlformats.org/spreadsheetml/2006/main" count="362" uniqueCount="133">
  <si>
    <t>P&amp;L Budgeting</t>
  </si>
  <si>
    <t>Sales Budget --&gt;</t>
  </si>
  <si>
    <t>Volume Forecast</t>
  </si>
  <si>
    <t>Last Year Actual Volume</t>
  </si>
  <si>
    <t>in '000</t>
  </si>
  <si>
    <t>Q1</t>
  </si>
  <si>
    <t>Q2</t>
  </si>
  <si>
    <t>Q3</t>
  </si>
  <si>
    <t>Q4</t>
  </si>
  <si>
    <t>FY</t>
  </si>
  <si>
    <t>Total</t>
  </si>
  <si>
    <t>Distributor A</t>
  </si>
  <si>
    <t>Distributor B</t>
  </si>
  <si>
    <t>Distributor C</t>
  </si>
  <si>
    <t>Bottom-Up Volume Forecast</t>
  </si>
  <si>
    <t>Bottom-Up</t>
  </si>
  <si>
    <t xml:space="preserve"> Growth %</t>
  </si>
  <si>
    <t>Top-Down</t>
  </si>
  <si>
    <t>Top-Down Volume Forecast</t>
  </si>
  <si>
    <t>Total Industry</t>
  </si>
  <si>
    <t>Henry's Hats Market Share</t>
  </si>
  <si>
    <t xml:space="preserve">Triangulaion </t>
  </si>
  <si>
    <t>Bottom-up</t>
  </si>
  <si>
    <t>Average Growth</t>
  </si>
  <si>
    <t>Forecasted Volume</t>
  </si>
  <si>
    <t>White Hats</t>
  </si>
  <si>
    <t>Red Hats</t>
  </si>
  <si>
    <t>Volume</t>
  </si>
  <si>
    <t>Revenue Forecast</t>
  </si>
  <si>
    <t>Price White Hats</t>
  </si>
  <si>
    <t>Price Red Hats</t>
  </si>
  <si>
    <t>Revenue White Hats</t>
  </si>
  <si>
    <t>Revenue Red Hats</t>
  </si>
  <si>
    <t>Total Revenue</t>
  </si>
  <si>
    <t>Production Budget --&gt;</t>
  </si>
  <si>
    <t>Production &amp; Direct Materials</t>
  </si>
  <si>
    <t>Target Warehouse Level:</t>
  </si>
  <si>
    <t>Beginning Inventory:</t>
  </si>
  <si>
    <t>Ending Inventory:</t>
  </si>
  <si>
    <t>Production:</t>
  </si>
  <si>
    <t>Direct Materials</t>
  </si>
  <si>
    <t>Price of 1 m² Fabric:</t>
  </si>
  <si>
    <t>Fabric Purchases</t>
  </si>
  <si>
    <t>Fabric per Hat (m²):</t>
  </si>
  <si>
    <t>Direct Labour</t>
  </si>
  <si>
    <t>Number of Direct Labour Hours per Hat:</t>
  </si>
  <si>
    <t>Hours of Direct Labour Needed:</t>
  </si>
  <si>
    <t>White Hats (000s)</t>
  </si>
  <si>
    <t>Red Hats (000s)</t>
  </si>
  <si>
    <t>Average Cost of Direct Labour:</t>
  </si>
  <si>
    <t>Direct Labour Expense:</t>
  </si>
  <si>
    <t>Last Year Actual Production</t>
  </si>
  <si>
    <t>Forecasted Production</t>
  </si>
  <si>
    <t>Overhead</t>
  </si>
  <si>
    <t>Indirect Personnel (number of people)</t>
  </si>
  <si>
    <t>Indirect Personnel Average Salary (000s)</t>
  </si>
  <si>
    <t>Indirect Labour Expense:</t>
  </si>
  <si>
    <t>Number of Hats to be Produced</t>
  </si>
  <si>
    <t>Average Utility Expense per Hat</t>
  </si>
  <si>
    <t>Utility Expense:</t>
  </si>
  <si>
    <t>Rent Expense:</t>
  </si>
  <si>
    <t>Depreciation:</t>
  </si>
  <si>
    <t>Cost of Goods Sold</t>
  </si>
  <si>
    <t>Indirect Labour</t>
  </si>
  <si>
    <t>Utility Expense (production)</t>
  </si>
  <si>
    <t>Rent Expense (production)</t>
  </si>
  <si>
    <t>SG&amp;A Budget --&gt;</t>
  </si>
  <si>
    <t>SG&amp;A</t>
  </si>
  <si>
    <t>Last Year Actuals</t>
  </si>
  <si>
    <t>Forecast</t>
  </si>
  <si>
    <t>Revenue</t>
  </si>
  <si>
    <t>Last Year Actual SG&amp;A</t>
  </si>
  <si>
    <t>Forecasted SG&amp;A</t>
  </si>
  <si>
    <t>Driver</t>
  </si>
  <si>
    <t>Selling Commissions</t>
  </si>
  <si>
    <t>% of Revenues</t>
  </si>
  <si>
    <t>as a % of Revenues</t>
  </si>
  <si>
    <t>Transportation</t>
  </si>
  <si>
    <t>External Services</t>
  </si>
  <si>
    <t>Administration</t>
  </si>
  <si>
    <t>Fixed Costs</t>
  </si>
  <si>
    <t>Office Rent</t>
  </si>
  <si>
    <t>Working Capital</t>
  </si>
  <si>
    <t>Accounts Receivable</t>
  </si>
  <si>
    <t>Days Sales Outstanding (DSO)</t>
  </si>
  <si>
    <t>Trade Payables</t>
  </si>
  <si>
    <t>Days Payables Outstanding (DPO)</t>
  </si>
  <si>
    <t>Inventory</t>
  </si>
  <si>
    <t>Days Inventory Outstanding (DIO)</t>
  </si>
  <si>
    <t>Balance Sheet Budgeting --&gt;</t>
  </si>
  <si>
    <t>Fixed Assets</t>
  </si>
  <si>
    <t>Beginning value of PP&amp;E</t>
  </si>
  <si>
    <t>CAPEX</t>
  </si>
  <si>
    <t>as a % of Revenue</t>
  </si>
  <si>
    <t>as a % of Beginning Value</t>
  </si>
  <si>
    <t>Property, Plant &amp; Equipment</t>
  </si>
  <si>
    <t>D&amp;A</t>
  </si>
  <si>
    <t>Income Statement</t>
  </si>
  <si>
    <t>Gross Profit</t>
  </si>
  <si>
    <t>SG&amp;A Expenses</t>
  </si>
  <si>
    <t>EBITDA</t>
  </si>
  <si>
    <t>EBIT</t>
  </si>
  <si>
    <t>Taxes</t>
  </si>
  <si>
    <t>Net Income</t>
  </si>
  <si>
    <t>Balance Sheet</t>
  </si>
  <si>
    <t>Cash</t>
  </si>
  <si>
    <t>Total Assets</t>
  </si>
  <si>
    <t>Tax Liabilities</t>
  </si>
  <si>
    <t>Financial Liabilities</t>
  </si>
  <si>
    <t>Equity</t>
  </si>
  <si>
    <t>Cash Flow</t>
  </si>
  <si>
    <t>Changes in Accounts Receivable</t>
  </si>
  <si>
    <t>Changes in Inventory</t>
  </si>
  <si>
    <t>Changes in Trade Payables</t>
  </si>
  <si>
    <t>Net Cash Flow</t>
  </si>
  <si>
    <t>31Dec
2015</t>
  </si>
  <si>
    <t>31Dec
2016</t>
  </si>
  <si>
    <t>Interest expenses</t>
  </si>
  <si>
    <t>EBT</t>
  </si>
  <si>
    <t>as a % of Operating Income (EBT)</t>
  </si>
  <si>
    <t>Changes in Other assets</t>
  </si>
  <si>
    <t>Changes in Other liabilties</t>
  </si>
  <si>
    <t>Other liabilities</t>
  </si>
  <si>
    <t>Other assets</t>
  </si>
  <si>
    <t>Cash Flow from Operating Activities</t>
  </si>
  <si>
    <t>Cash Flow from Investing Activities</t>
  </si>
  <si>
    <t>Cash Flow from Financing Activities</t>
  </si>
  <si>
    <t>Borrowings</t>
  </si>
  <si>
    <t>Changes in Equity and Dividends</t>
  </si>
  <si>
    <t>Total Liabilities &amp; Equity</t>
  </si>
  <si>
    <t>Net Cash</t>
  </si>
  <si>
    <t>Comments:</t>
  </si>
  <si>
    <t>Cash flow for 2015 is different than the one in the video because the value for Taxes was corrected (previously entered incorrectly)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</si>
</sst>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л_в_._-;\-* #,##0.00\ _л_в_._-;_-* &quot;-&quot;??\ _л_в_._-;_-@_-"/>
    <numFmt numFmtId="165" formatCode="0.0%"/>
    <numFmt numFmtId="166" formatCode="#,##0_ ;\-#,##0\ "/>
    <numFmt numFmtId="167" formatCode="0.0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30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10"/>
      <color rgb="FF002060"/>
      <name val="Arial"/>
      <family val="2"/>
      <charset val="204"/>
    </font>
    <font>
      <b/>
      <i/>
      <sz val="9"/>
      <color theme="1"/>
      <name val="Arial"/>
      <family val="2"/>
      <charset val="204"/>
    </font>
    <font>
      <i/>
      <sz val="8"/>
      <color theme="1"/>
      <name val="Arial"/>
      <family val="2"/>
      <charset val="204"/>
    </font>
    <font>
      <sz val="9"/>
      <color rgb="FF002060"/>
      <name val="Arial"/>
      <family val="2"/>
      <charset val="204"/>
    </font>
    <font>
      <sz val="8"/>
      <color theme="1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thin">
        <color rgb="FF002060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2" fillId="2" borderId="0" xfId="0" applyFont="1" applyFill="1" applyBorder="1" applyAlignment="1">
      <alignment wrapText="1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right"/>
    </xf>
    <xf numFmtId="9" fontId="2" fillId="2" borderId="0" xfId="2" applyFont="1" applyFill="1"/>
    <xf numFmtId="166" fontId="2" fillId="2" borderId="0" xfId="1" applyNumberFormat="1" applyFont="1" applyFill="1"/>
    <xf numFmtId="165" fontId="2" fillId="2" borderId="0" xfId="2" applyNumberFormat="1" applyFont="1" applyFill="1"/>
    <xf numFmtId="0" fontId="7" fillId="2" borderId="0" xfId="0" applyFont="1" applyFill="1"/>
    <xf numFmtId="9" fontId="7" fillId="2" borderId="0" xfId="2" applyFont="1" applyFill="1"/>
    <xf numFmtId="0" fontId="7" fillId="2" borderId="2" xfId="0" applyFont="1" applyFill="1" applyBorder="1"/>
    <xf numFmtId="166" fontId="7" fillId="2" borderId="2" xfId="1" applyNumberFormat="1" applyFont="1" applyFill="1" applyBorder="1"/>
    <xf numFmtId="165" fontId="7" fillId="2" borderId="2" xfId="2" applyNumberFormat="1" applyFont="1" applyFill="1" applyBorder="1"/>
    <xf numFmtId="0" fontId="7" fillId="2" borderId="1" xfId="0" applyFont="1" applyFill="1" applyBorder="1" applyAlignment="1">
      <alignment horizontal="right" wrapText="1"/>
    </xf>
    <xf numFmtId="0" fontId="2" fillId="2" borderId="0" xfId="0" applyFont="1" applyFill="1" applyBorder="1"/>
    <xf numFmtId="0" fontId="7" fillId="2" borderId="0" xfId="0" applyFont="1" applyFill="1" applyBorder="1" applyAlignment="1">
      <alignment horizontal="right"/>
    </xf>
    <xf numFmtId="166" fontId="2" fillId="2" borderId="0" xfId="1" applyNumberFormat="1" applyFont="1" applyFill="1" applyBorder="1"/>
    <xf numFmtId="166" fontId="7" fillId="2" borderId="0" xfId="1" applyNumberFormat="1" applyFont="1" applyFill="1" applyBorder="1"/>
    <xf numFmtId="165" fontId="2" fillId="2" borderId="0" xfId="0" applyNumberFormat="1" applyFont="1" applyFill="1"/>
    <xf numFmtId="0" fontId="7" fillId="2" borderId="3" xfId="0" applyFont="1" applyFill="1" applyBorder="1"/>
    <xf numFmtId="165" fontId="7" fillId="2" borderId="3" xfId="0" applyNumberFormat="1" applyFont="1" applyFill="1" applyBorder="1"/>
    <xf numFmtId="0" fontId="7" fillId="2" borderId="0" xfId="0" applyFont="1" applyFill="1" applyBorder="1"/>
    <xf numFmtId="165" fontId="7" fillId="2" borderId="0" xfId="0" applyNumberFormat="1" applyFont="1" applyFill="1" applyBorder="1"/>
    <xf numFmtId="1" fontId="2" fillId="2" borderId="0" xfId="0" applyNumberFormat="1" applyFont="1" applyFill="1"/>
    <xf numFmtId="0" fontId="8" fillId="2" borderId="0" xfId="0" applyFont="1" applyFill="1"/>
    <xf numFmtId="3" fontId="2" fillId="2" borderId="0" xfId="0" applyNumberFormat="1" applyFont="1" applyFill="1"/>
    <xf numFmtId="0" fontId="5" fillId="2" borderId="4" xfId="0" applyFont="1" applyFill="1" applyBorder="1"/>
    <xf numFmtId="3" fontId="5" fillId="2" borderId="4" xfId="0" applyNumberFormat="1" applyFont="1" applyFill="1" applyBorder="1"/>
    <xf numFmtId="3" fontId="5" fillId="2" borderId="0" xfId="0" applyNumberFormat="1" applyFont="1" applyFill="1"/>
    <xf numFmtId="3" fontId="7" fillId="2" borderId="2" xfId="0" applyNumberFormat="1" applyFont="1" applyFill="1" applyBorder="1"/>
    <xf numFmtId="3" fontId="7" fillId="2" borderId="0" xfId="0" applyNumberFormat="1" applyFont="1" applyFill="1"/>
    <xf numFmtId="0" fontId="9" fillId="2" borderId="0" xfId="0" applyFont="1" applyFill="1"/>
    <xf numFmtId="0" fontId="9" fillId="4" borderId="0" xfId="0" applyFont="1" applyFill="1"/>
    <xf numFmtId="0" fontId="2" fillId="4" borderId="0" xfId="0" applyFont="1" applyFill="1"/>
    <xf numFmtId="1" fontId="2" fillId="4" borderId="0" xfId="0" applyNumberFormat="1" applyFont="1" applyFill="1"/>
    <xf numFmtId="1" fontId="5" fillId="4" borderId="0" xfId="0" applyNumberFormat="1" applyFont="1" applyFill="1"/>
    <xf numFmtId="166" fontId="2" fillId="2" borderId="0" xfId="0" applyNumberFormat="1" applyFont="1" applyFill="1"/>
    <xf numFmtId="1" fontId="5" fillId="2" borderId="0" xfId="0" applyNumberFormat="1" applyFont="1" applyFill="1"/>
    <xf numFmtId="0" fontId="5" fillId="4" borderId="0" xfId="0" applyFont="1" applyFill="1"/>
    <xf numFmtId="0" fontId="2" fillId="2" borderId="2" xfId="0" applyFont="1" applyFill="1" applyBorder="1"/>
    <xf numFmtId="0" fontId="7" fillId="2" borderId="1" xfId="0" applyFont="1" applyFill="1" applyBorder="1" applyAlignment="1">
      <alignment horizontal="left" wrapText="1"/>
    </xf>
    <xf numFmtId="0" fontId="2" fillId="2" borderId="0" xfId="0" applyFont="1" applyFill="1" applyAlignment="1">
      <alignment horizontal="left"/>
    </xf>
    <xf numFmtId="0" fontId="10" fillId="2" borderId="0" xfId="0" applyFont="1" applyFill="1"/>
    <xf numFmtId="9" fontId="10" fillId="2" borderId="0" xfId="2" applyFont="1" applyFill="1"/>
    <xf numFmtId="9" fontId="10" fillId="2" borderId="0" xfId="0" applyNumberFormat="1" applyFont="1" applyFill="1"/>
    <xf numFmtId="9" fontId="10" fillId="2" borderId="0" xfId="2" applyNumberFormat="1" applyFont="1" applyFill="1"/>
    <xf numFmtId="1" fontId="7" fillId="2" borderId="2" xfId="0" applyNumberFormat="1" applyFont="1" applyFill="1" applyBorder="1"/>
    <xf numFmtId="0" fontId="7" fillId="2" borderId="0" xfId="0" applyFont="1" applyFill="1" applyBorder="1" applyAlignment="1">
      <alignment horizontal="left"/>
    </xf>
    <xf numFmtId="0" fontId="11" fillId="2" borderId="2" xfId="0" applyFont="1" applyFill="1" applyBorder="1"/>
    <xf numFmtId="0" fontId="12" fillId="2" borderId="0" xfId="0" applyFont="1" applyFill="1"/>
    <xf numFmtId="9" fontId="12" fillId="2" borderId="0" xfId="0" applyNumberFormat="1" applyFont="1" applyFill="1"/>
    <xf numFmtId="3" fontId="7" fillId="2" borderId="3" xfId="0" applyNumberFormat="1" applyFont="1" applyFill="1" applyBorder="1"/>
    <xf numFmtId="1" fontId="13" fillId="2" borderId="0" xfId="0" applyNumberFormat="1" applyFont="1" applyFill="1" applyBorder="1"/>
    <xf numFmtId="167" fontId="2" fillId="2" borderId="0" xfId="0" applyNumberFormat="1" applyFont="1" applyFill="1"/>
    <xf numFmtId="3" fontId="12" fillId="2" borderId="0" xfId="0" applyNumberFormat="1" applyFont="1" applyFill="1"/>
    <xf numFmtId="3" fontId="2" fillId="2" borderId="0" xfId="0" applyNumberFormat="1" applyFont="1" applyFill="1" applyAlignment="1">
      <alignment horizontal="right"/>
    </xf>
    <xf numFmtId="3" fontId="7" fillId="2" borderId="3" xfId="0" applyNumberFormat="1" applyFont="1" applyFill="1" applyBorder="1" applyAlignment="1">
      <alignment horizontal="right"/>
    </xf>
    <xf numFmtId="1" fontId="2" fillId="2" borderId="0" xfId="0" applyNumberFormat="1" applyFont="1" applyFill="1" applyAlignment="1">
      <alignment horizontal="right"/>
    </xf>
    <xf numFmtId="1" fontId="13" fillId="2" borderId="0" xfId="0" applyNumberFormat="1" applyFont="1" applyFill="1" applyBorder="1" applyAlignment="1">
      <alignment horizontal="right"/>
    </xf>
    <xf numFmtId="9" fontId="10" fillId="2" borderId="0" xfId="0" applyNumberFormat="1" applyFont="1" applyFill="1" applyAlignment="1">
      <alignment horizontal="right"/>
    </xf>
    <xf numFmtId="3" fontId="7" fillId="2" borderId="2" xfId="0" applyNumberFormat="1" applyFont="1" applyFill="1" applyBorder="1" applyAlignment="1">
      <alignment horizontal="right"/>
    </xf>
    <xf numFmtId="0" fontId="6" fillId="3" borderId="0" xfId="0" applyFont="1" applyFill="1" applyAlignment="1">
      <alignment horizontal="right"/>
    </xf>
    <xf numFmtId="3" fontId="7" fillId="2" borderId="0" xfId="0" applyNumberFormat="1" applyFont="1" applyFill="1" applyBorder="1" applyAlignment="1">
      <alignment horizontal="right"/>
    </xf>
    <xf numFmtId="3" fontId="7" fillId="2" borderId="0" xfId="0" applyNumberFormat="1" applyFont="1" applyFill="1" applyBorder="1"/>
    <xf numFmtId="3" fontId="14" fillId="2" borderId="4" xfId="0" applyNumberFormat="1" applyFont="1" applyFill="1" applyBorder="1"/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ewPC\Desktop\Courses\Video%20creating\FP&amp;A%20and%20Budgeting\Budge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 Budgeting"/>
      <sheetName val="Sales Budget --&gt;"/>
      <sheetName val="Volume Forecast"/>
      <sheetName val="Revenue Forecast"/>
      <sheetName val="Production Budget --&gt;"/>
      <sheetName val="Production &amp; Direct Materials"/>
      <sheetName val="Direct Labour"/>
      <sheetName val="Overhead"/>
      <sheetName val="Cost of Goods Sold"/>
      <sheetName val="SG&amp;A Budget --&gt;"/>
      <sheetName val="SG&amp;A"/>
      <sheetName val="Balance Sheet Budgeting"/>
      <sheetName val="Working Capital"/>
      <sheetName val="Fixed Assets"/>
      <sheetName val="Financial Statements"/>
      <sheetName val="Income Statement"/>
      <sheetName val="Balance Sheet"/>
      <sheetName val="Cash Flow"/>
    </sheetNames>
    <sheetDataSet>
      <sheetData sheetId="0"/>
      <sheetData sheetId="1"/>
      <sheetData sheetId="2"/>
      <sheetData sheetId="3"/>
      <sheetData sheetId="4"/>
      <sheetData sheetId="5">
        <row r="22">
          <cell r="C22">
            <v>20</v>
          </cell>
          <cell r="D22">
            <v>76</v>
          </cell>
          <cell r="E22">
            <v>82</v>
          </cell>
          <cell r="F22">
            <v>22</v>
          </cell>
        </row>
        <row r="23">
          <cell r="C23">
            <v>12</v>
          </cell>
          <cell r="D23">
            <v>45.6</v>
          </cell>
          <cell r="E23">
            <v>49.199999999999996</v>
          </cell>
          <cell r="F23">
            <v>13.2</v>
          </cell>
        </row>
        <row r="25">
          <cell r="B25" t="str">
            <v>Production:</v>
          </cell>
        </row>
        <row r="26">
          <cell r="B26" t="str">
            <v>White Hats</v>
          </cell>
        </row>
        <row r="27">
          <cell r="B27" t="str">
            <v>Red Hats</v>
          </cell>
        </row>
        <row r="44">
          <cell r="B44" t="str">
            <v>Fabric Purchases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>
        <row r="13">
          <cell r="C13">
            <v>-50</v>
          </cell>
          <cell r="D13">
            <v>-50.5</v>
          </cell>
          <cell r="E13">
            <v>-59.375</v>
          </cell>
          <cell r="F13">
            <v>-68.706249999999997</v>
          </cell>
          <cell r="G13">
            <v>-228.58125000000001</v>
          </cell>
        </row>
      </sheetData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1" tint="4.9989318521683403E-2"/>
  </sheetPr>
  <dimension ref="B1:B11"/>
  <sheetViews>
    <sheetView workbookViewId="0">
      <selection activeCell="I10" sqref="I10"/>
    </sheetView>
  </sheetViews>
  <sheetFormatPr defaultColWidth="9.109375" defaultRowHeight="11.4" x14ac:dyDescent="0.2"/>
  <cols>
    <col min="1" max="1" width="2" style="2" customWidth="1"/>
    <col min="2" max="16384" width="9.109375" style="2"/>
  </cols>
  <sheetData>
    <row r="1" spans="2:2" ht="15.6" x14ac:dyDescent="0.3">
      <c r="B1" s="3"/>
    </row>
    <row r="11" spans="2:2" ht="37.799999999999997" x14ac:dyDescent="0.65">
      <c r="B11" s="4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2060"/>
  </sheetPr>
  <dimension ref="B1:B11"/>
  <sheetViews>
    <sheetView zoomScale="160" zoomScaleNormal="160" workbookViewId="0">
      <selection activeCell="I10" sqref="I10"/>
    </sheetView>
  </sheetViews>
  <sheetFormatPr defaultColWidth="9.109375" defaultRowHeight="11.4" x14ac:dyDescent="0.2"/>
  <cols>
    <col min="1" max="1" width="2" style="2" customWidth="1"/>
    <col min="2" max="16384" width="9.109375" style="2"/>
  </cols>
  <sheetData>
    <row r="1" spans="2:2" ht="15.6" x14ac:dyDescent="0.3">
      <c r="B1" s="3"/>
    </row>
    <row r="11" spans="2:2" ht="37.799999999999997" x14ac:dyDescent="0.65">
      <c r="B11" s="4" t="s">
        <v>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O27"/>
  <sheetViews>
    <sheetView zoomScale="160" zoomScaleNormal="160" workbookViewId="0">
      <selection activeCell="I10" sqref="I10"/>
    </sheetView>
  </sheetViews>
  <sheetFormatPr defaultColWidth="9.109375" defaultRowHeight="11.4" x14ac:dyDescent="0.2"/>
  <cols>
    <col min="1" max="1" width="2" style="2" customWidth="1"/>
    <col min="2" max="2" width="22.109375" style="2" customWidth="1"/>
    <col min="3" max="7" width="9.109375" style="2"/>
    <col min="8" max="8" width="2" style="2" customWidth="1"/>
    <col min="9" max="13" width="9.109375" style="2"/>
    <col min="14" max="14" width="2.109375" style="2" customWidth="1"/>
    <col min="15" max="15" width="14.109375" style="2" customWidth="1"/>
    <col min="16" max="16384" width="9.109375" style="2"/>
  </cols>
  <sheetData>
    <row r="1" spans="2:15" ht="15.6" x14ac:dyDescent="0.3">
      <c r="B1" s="3" t="s">
        <v>67</v>
      </c>
    </row>
    <row r="4" spans="2:15" ht="12" x14ac:dyDescent="0.25">
      <c r="C4" s="69" t="s">
        <v>68</v>
      </c>
      <c r="D4" s="69"/>
      <c r="E4" s="69"/>
      <c r="F4" s="69"/>
      <c r="G4" s="69"/>
      <c r="H4" s="6"/>
      <c r="I4" s="69" t="s">
        <v>69</v>
      </c>
      <c r="J4" s="69"/>
      <c r="K4" s="69"/>
      <c r="L4" s="69"/>
      <c r="M4" s="69"/>
      <c r="N4" s="69"/>
      <c r="O4" s="69"/>
    </row>
    <row r="5" spans="2:15" ht="12.6" thickBot="1" x14ac:dyDescent="0.3">
      <c r="B5" s="7" t="s">
        <v>4</v>
      </c>
      <c r="C5" s="8" t="s">
        <v>5</v>
      </c>
      <c r="D5" s="8" t="s">
        <v>6</v>
      </c>
      <c r="E5" s="8" t="s">
        <v>7</v>
      </c>
      <c r="F5" s="8" t="s">
        <v>8</v>
      </c>
      <c r="G5" s="8" t="s">
        <v>9</v>
      </c>
      <c r="H5" s="6"/>
      <c r="I5" s="8" t="s">
        <v>5</v>
      </c>
      <c r="J5" s="8" t="s">
        <v>6</v>
      </c>
      <c r="K5" s="8" t="s">
        <v>7</v>
      </c>
      <c r="L5" s="8" t="s">
        <v>8</v>
      </c>
      <c r="M5" s="8" t="s">
        <v>9</v>
      </c>
      <c r="N5" s="19"/>
      <c r="O5" s="17" t="s">
        <v>16</v>
      </c>
    </row>
    <row r="6" spans="2:15" x14ac:dyDescent="0.2">
      <c r="B6" s="2" t="s">
        <v>27</v>
      </c>
      <c r="C6" s="10">
        <f>'Volume Forecast'!C29</f>
        <v>195</v>
      </c>
      <c r="D6" s="10">
        <f>'Volume Forecast'!D29</f>
        <v>456</v>
      </c>
      <c r="E6" s="10">
        <f>'Volume Forecast'!E29</f>
        <v>492</v>
      </c>
      <c r="F6" s="10">
        <f>'Volume Forecast'!F29</f>
        <v>233</v>
      </c>
      <c r="G6" s="10">
        <f>'Volume Forecast'!G29</f>
        <v>1376</v>
      </c>
      <c r="I6" s="10">
        <f>'Volume Forecast'!I29</f>
        <v>220.29996889534885</v>
      </c>
      <c r="J6" s="10">
        <f>'Volume Forecast'!J29</f>
        <v>515.16300418604658</v>
      </c>
      <c r="K6" s="10">
        <f>'Volume Forecast'!K29</f>
        <v>555.8337676744186</v>
      </c>
      <c r="L6" s="10">
        <f>'Volume Forecast'!L29</f>
        <v>263.23021924418606</v>
      </c>
      <c r="M6" s="10">
        <f>'Volume Forecast'!M29</f>
        <v>1554.5269600000001</v>
      </c>
      <c r="N6" s="18"/>
      <c r="O6" s="11">
        <f>M6/G6-1</f>
        <v>0.12974343023255819</v>
      </c>
    </row>
    <row r="7" spans="2:15" x14ac:dyDescent="0.2">
      <c r="B7" s="2" t="s">
        <v>70</v>
      </c>
      <c r="C7" s="10">
        <f>'Revenue Forecast'!C20</f>
        <v>1950</v>
      </c>
      <c r="D7" s="10">
        <f>'Revenue Forecast'!D20</f>
        <v>4560</v>
      </c>
      <c r="E7" s="10">
        <f>'Revenue Forecast'!E20</f>
        <v>4920</v>
      </c>
      <c r="F7" s="10">
        <f>'Revenue Forecast'!F20</f>
        <v>2329.9999999999995</v>
      </c>
      <c r="G7" s="10">
        <f>'Revenue Forecast'!G20</f>
        <v>13759.999999999998</v>
      </c>
      <c r="I7" s="10">
        <f>'Revenue Forecast'!I20</f>
        <v>2349.8663348837208</v>
      </c>
      <c r="J7" s="10">
        <f>'Revenue Forecast'!J20</f>
        <v>5495.0720446511632</v>
      </c>
      <c r="K7" s="10">
        <f>'Revenue Forecast'!K20</f>
        <v>5928.8935218604647</v>
      </c>
      <c r="L7" s="10">
        <f>'Revenue Forecast'!L20</f>
        <v>2807.7890052713178</v>
      </c>
      <c r="M7" s="10">
        <f>'Revenue Forecast'!M20</f>
        <v>16581.620906666667</v>
      </c>
      <c r="N7" s="18"/>
      <c r="O7" s="11">
        <f>M7/G7-1</f>
        <v>0.20505965891472888</v>
      </c>
    </row>
    <row r="10" spans="2:15" ht="12" x14ac:dyDescent="0.25">
      <c r="C10" s="69" t="s">
        <v>71</v>
      </c>
      <c r="D10" s="69"/>
      <c r="E10" s="69"/>
      <c r="F10" s="69"/>
      <c r="G10" s="69"/>
      <c r="H10" s="6"/>
      <c r="I10" s="69" t="s">
        <v>72</v>
      </c>
      <c r="J10" s="69"/>
      <c r="K10" s="69"/>
      <c r="L10" s="69"/>
      <c r="M10" s="69"/>
      <c r="N10" s="69"/>
      <c r="O10" s="69"/>
    </row>
    <row r="11" spans="2:15" ht="12.6" thickBot="1" x14ac:dyDescent="0.3">
      <c r="B11" s="7" t="s">
        <v>4</v>
      </c>
      <c r="C11" s="8" t="s">
        <v>5</v>
      </c>
      <c r="D11" s="8" t="s">
        <v>6</v>
      </c>
      <c r="E11" s="8" t="s">
        <v>7</v>
      </c>
      <c r="F11" s="8" t="s">
        <v>8</v>
      </c>
      <c r="G11" s="8" t="s">
        <v>9</v>
      </c>
      <c r="H11" s="6"/>
      <c r="I11" s="8" t="s">
        <v>5</v>
      </c>
      <c r="J11" s="8" t="s">
        <v>6</v>
      </c>
      <c r="K11" s="8" t="s">
        <v>7</v>
      </c>
      <c r="L11" s="8" t="s">
        <v>8</v>
      </c>
      <c r="M11" s="8" t="s">
        <v>9</v>
      </c>
      <c r="N11" s="19"/>
      <c r="O11" s="44" t="s">
        <v>73</v>
      </c>
    </row>
    <row r="12" spans="2:15" x14ac:dyDescent="0.2">
      <c r="B12" s="2" t="s">
        <v>74</v>
      </c>
      <c r="C12" s="2">
        <v>-60</v>
      </c>
      <c r="D12" s="2">
        <v>-228</v>
      </c>
      <c r="E12" s="2">
        <v>-246</v>
      </c>
      <c r="F12" s="2">
        <v>-66</v>
      </c>
      <c r="G12" s="2">
        <f>SUM(C12:F12)</f>
        <v>-600</v>
      </c>
      <c r="I12" s="27">
        <f>I13*I7</f>
        <v>-102.46510181179018</v>
      </c>
      <c r="J12" s="27">
        <f>J13*J7</f>
        <v>-239.61069962141704</v>
      </c>
      <c r="K12" s="27">
        <f>K13*K7</f>
        <v>-258.52733380205518</v>
      </c>
      <c r="L12" s="27">
        <f>L13*L7</f>
        <v>-122.43266011357493</v>
      </c>
      <c r="M12" s="27">
        <f>SUM(I12:L12)</f>
        <v>-723.03579534883738</v>
      </c>
      <c r="O12" s="45" t="s">
        <v>75</v>
      </c>
    </row>
    <row r="13" spans="2:15" x14ac:dyDescent="0.2">
      <c r="B13" s="46" t="s">
        <v>76</v>
      </c>
      <c r="C13" s="47">
        <f>C12/C7</f>
        <v>-3.0769230769230771E-2</v>
      </c>
      <c r="D13" s="47">
        <f>D12/D7</f>
        <v>-0.05</v>
      </c>
      <c r="E13" s="47">
        <f>E12/E7</f>
        <v>-0.05</v>
      </c>
      <c r="F13" s="47">
        <f>F12/F7</f>
        <v>-2.8326180257510734E-2</v>
      </c>
      <c r="G13" s="47">
        <f>G12/G7</f>
        <v>-4.3604651162790706E-2</v>
      </c>
      <c r="I13" s="48">
        <f>G13</f>
        <v>-4.3604651162790706E-2</v>
      </c>
      <c r="J13" s="48">
        <f>I13</f>
        <v>-4.3604651162790706E-2</v>
      </c>
      <c r="K13" s="48">
        <f>J13</f>
        <v>-4.3604651162790706E-2</v>
      </c>
      <c r="L13" s="48">
        <f>K13</f>
        <v>-4.3604651162790706E-2</v>
      </c>
      <c r="M13" s="48">
        <f>M12/M7</f>
        <v>-4.3604651162790706E-2</v>
      </c>
      <c r="O13" s="45"/>
    </row>
    <row r="14" spans="2:15" x14ac:dyDescent="0.2">
      <c r="B14" s="46"/>
      <c r="O14" s="45"/>
    </row>
    <row r="15" spans="2:15" x14ac:dyDescent="0.2">
      <c r="B15" s="2" t="s">
        <v>77</v>
      </c>
      <c r="C15" s="27">
        <v>-26</v>
      </c>
      <c r="D15" s="27">
        <v>-94</v>
      </c>
      <c r="E15" s="27">
        <v>-101</v>
      </c>
      <c r="F15" s="27">
        <v>-32</v>
      </c>
      <c r="G15" s="27">
        <f>SUM(C15:F15)</f>
        <v>-253</v>
      </c>
      <c r="I15" s="27">
        <f>I7*I16</f>
        <v>-31.331551131782945</v>
      </c>
      <c r="J15" s="27">
        <f>J7*J16</f>
        <v>-113.27560793798452</v>
      </c>
      <c r="K15" s="27">
        <f t="shared" ref="K15:L15" si="0">K7*K16</f>
        <v>-121.71102555038757</v>
      </c>
      <c r="L15" s="27">
        <f t="shared" si="0"/>
        <v>-38.561909085271324</v>
      </c>
      <c r="M15" s="27">
        <f>SUM(I15:L15)</f>
        <v>-304.88009370542642</v>
      </c>
      <c r="O15" s="45" t="s">
        <v>75</v>
      </c>
    </row>
    <row r="16" spans="2:15" x14ac:dyDescent="0.2">
      <c r="B16" s="46" t="s">
        <v>76</v>
      </c>
      <c r="C16" s="49">
        <f>C15/C7</f>
        <v>-1.3333333333333334E-2</v>
      </c>
      <c r="D16" s="47">
        <f>D15/D7</f>
        <v>-2.06140350877193E-2</v>
      </c>
      <c r="E16" s="47">
        <f>E15/E7</f>
        <v>-2.0528455284552844E-2</v>
      </c>
      <c r="F16" s="47">
        <f>F15/F7</f>
        <v>-1.3733905579399144E-2</v>
      </c>
      <c r="G16" s="49">
        <f>G15/G7</f>
        <v>-1.8386627906976746E-2</v>
      </c>
      <c r="I16" s="47">
        <f>C16</f>
        <v>-1.3333333333333334E-2</v>
      </c>
      <c r="J16" s="47">
        <f t="shared" ref="J16:L16" si="1">D16</f>
        <v>-2.06140350877193E-2</v>
      </c>
      <c r="K16" s="47">
        <f t="shared" si="1"/>
        <v>-2.0528455284552844E-2</v>
      </c>
      <c r="L16" s="47">
        <f t="shared" si="1"/>
        <v>-1.3733905579399144E-2</v>
      </c>
      <c r="M16" s="48">
        <f>M15/M7</f>
        <v>-1.8386627906976746E-2</v>
      </c>
      <c r="O16" s="45"/>
    </row>
    <row r="17" spans="2:15" x14ac:dyDescent="0.2">
      <c r="O17" s="45"/>
    </row>
    <row r="18" spans="2:15" x14ac:dyDescent="0.2">
      <c r="B18" s="2" t="s">
        <v>78</v>
      </c>
      <c r="C18" s="2">
        <v>-35</v>
      </c>
      <c r="D18" s="2">
        <v>-150</v>
      </c>
      <c r="E18" s="2">
        <v>-195</v>
      </c>
      <c r="F18" s="2">
        <v>-118</v>
      </c>
      <c r="G18" s="27">
        <f>SUM(C18:F18)</f>
        <v>-498</v>
      </c>
      <c r="I18" s="27">
        <f>I7*I19</f>
        <v>-42.1770880620155</v>
      </c>
      <c r="J18" s="27">
        <f>J7*J19</f>
        <v>-180.75894883720932</v>
      </c>
      <c r="K18" s="27">
        <f>K7*K19</f>
        <v>-234.98663348837209</v>
      </c>
      <c r="L18" s="27">
        <f>L7*L19</f>
        <v>-142.19703975193801</v>
      </c>
      <c r="M18" s="27">
        <f>SUM(I18:L18)</f>
        <v>-600.11971013953485</v>
      </c>
      <c r="O18" s="45" t="s">
        <v>75</v>
      </c>
    </row>
    <row r="19" spans="2:15" x14ac:dyDescent="0.2">
      <c r="B19" s="46" t="s">
        <v>76</v>
      </c>
      <c r="C19" s="49">
        <f>C18/C7</f>
        <v>-1.7948717948717947E-2</v>
      </c>
      <c r="D19" s="49">
        <f>D18/D7</f>
        <v>-3.2894736842105261E-2</v>
      </c>
      <c r="E19" s="49">
        <f>E18/E7</f>
        <v>-3.9634146341463415E-2</v>
      </c>
      <c r="F19" s="49">
        <f>F18/F7</f>
        <v>-5.0643776824034342E-2</v>
      </c>
      <c r="G19" s="49">
        <f>G18/G7</f>
        <v>-3.6191860465116285E-2</v>
      </c>
      <c r="I19" s="49">
        <f>C19</f>
        <v>-1.7948717948717947E-2</v>
      </c>
      <c r="J19" s="49">
        <f t="shared" ref="J19:L19" si="2">D19</f>
        <v>-3.2894736842105261E-2</v>
      </c>
      <c r="K19" s="49">
        <f t="shared" si="2"/>
        <v>-3.9634146341463415E-2</v>
      </c>
      <c r="L19" s="49">
        <f t="shared" si="2"/>
        <v>-5.0643776824034342E-2</v>
      </c>
      <c r="M19" s="49">
        <f>M18/M7</f>
        <v>-3.6191860465116278E-2</v>
      </c>
      <c r="O19" s="45"/>
    </row>
    <row r="20" spans="2:15" x14ac:dyDescent="0.2">
      <c r="O20" s="45"/>
    </row>
    <row r="21" spans="2:15" x14ac:dyDescent="0.2">
      <c r="B21" s="2" t="s">
        <v>79</v>
      </c>
      <c r="C21" s="2">
        <v>-300</v>
      </c>
      <c r="D21" s="2">
        <v>-300</v>
      </c>
      <c r="E21" s="2">
        <v>-300</v>
      </c>
      <c r="F21" s="2">
        <v>-300</v>
      </c>
      <c r="G21" s="2">
        <f>SUM(C21:F21)</f>
        <v>-1200</v>
      </c>
      <c r="I21" s="2">
        <f>C21</f>
        <v>-300</v>
      </c>
      <c r="J21" s="2">
        <f t="shared" ref="J21:L21" si="3">D21</f>
        <v>-300</v>
      </c>
      <c r="K21" s="2">
        <f t="shared" si="3"/>
        <v>-300</v>
      </c>
      <c r="L21" s="2">
        <f t="shared" si="3"/>
        <v>-300</v>
      </c>
      <c r="M21" s="27">
        <f>SUM(I21:L21)</f>
        <v>-1200</v>
      </c>
      <c r="O21" s="45" t="s">
        <v>80</v>
      </c>
    </row>
    <row r="22" spans="2:15" x14ac:dyDescent="0.2">
      <c r="B22" s="46" t="s">
        <v>76</v>
      </c>
      <c r="C22" s="49">
        <f>C21/C7</f>
        <v>-0.15384615384615385</v>
      </c>
      <c r="D22" s="49">
        <f>D21/D7</f>
        <v>-6.5789473684210523E-2</v>
      </c>
      <c r="E22" s="49">
        <f>E21/E7</f>
        <v>-6.097560975609756E-2</v>
      </c>
      <c r="F22" s="49">
        <f>F21/F7</f>
        <v>-0.12875536480686697</v>
      </c>
      <c r="G22" s="49">
        <f>G21/G7</f>
        <v>-8.7209302325581411E-2</v>
      </c>
      <c r="I22" s="49">
        <f>I21/I7</f>
        <v>-0.12766683600105494</v>
      </c>
      <c r="J22" s="49">
        <f>J21/J7</f>
        <v>-5.4594370658345853E-2</v>
      </c>
      <c r="K22" s="49">
        <f>K21/K7</f>
        <v>-5.0599660610174207E-2</v>
      </c>
      <c r="L22" s="49">
        <f>L21/L7</f>
        <v>-0.10684563527985283</v>
      </c>
      <c r="O22" s="45"/>
    </row>
    <row r="23" spans="2:15" x14ac:dyDescent="0.2">
      <c r="O23" s="45"/>
    </row>
    <row r="24" spans="2:15" x14ac:dyDescent="0.2">
      <c r="B24" s="2" t="s">
        <v>81</v>
      </c>
      <c r="C24" s="2">
        <v>-40</v>
      </c>
      <c r="D24" s="2">
        <v>-40</v>
      </c>
      <c r="E24" s="2">
        <v>-40</v>
      </c>
      <c r="F24" s="2">
        <v>-40</v>
      </c>
      <c r="G24" s="2">
        <f>SUM(C24:F24)</f>
        <v>-160</v>
      </c>
      <c r="I24" s="2">
        <f>C24</f>
        <v>-40</v>
      </c>
      <c r="J24" s="2">
        <f t="shared" ref="J24:L24" si="4">D24</f>
        <v>-40</v>
      </c>
      <c r="K24" s="2">
        <f t="shared" si="4"/>
        <v>-40</v>
      </c>
      <c r="L24" s="2">
        <f t="shared" si="4"/>
        <v>-40</v>
      </c>
      <c r="M24" s="2">
        <f>SUM(I24:L24)</f>
        <v>-160</v>
      </c>
      <c r="O24" s="45" t="s">
        <v>80</v>
      </c>
    </row>
    <row r="25" spans="2:15" x14ac:dyDescent="0.2">
      <c r="B25" s="46" t="s">
        <v>76</v>
      </c>
      <c r="C25" s="49">
        <f>C24/C7</f>
        <v>-2.0512820512820513E-2</v>
      </c>
      <c r="D25" s="49">
        <f>D24/D7</f>
        <v>-8.771929824561403E-3</v>
      </c>
      <c r="E25" s="49">
        <f>E24/E7</f>
        <v>-8.130081300813009E-3</v>
      </c>
      <c r="F25" s="49">
        <f>F24/F7</f>
        <v>-1.716738197424893E-2</v>
      </c>
      <c r="G25" s="49">
        <f>G24/G7</f>
        <v>-1.1627906976744188E-2</v>
      </c>
      <c r="I25" s="49">
        <f>I24/I7</f>
        <v>-1.7022244800140657E-2</v>
      </c>
      <c r="J25" s="49">
        <f t="shared" ref="J25:M25" si="5">J24/J7</f>
        <v>-7.2792494211127799E-3</v>
      </c>
      <c r="K25" s="49">
        <f t="shared" si="5"/>
        <v>-6.7466214146898948E-3</v>
      </c>
      <c r="L25" s="49">
        <f t="shared" si="5"/>
        <v>-1.4246084703980377E-2</v>
      </c>
      <c r="M25" s="49">
        <f t="shared" si="5"/>
        <v>-9.6492376047308953E-3</v>
      </c>
      <c r="O25" s="45"/>
    </row>
    <row r="26" spans="2:15" x14ac:dyDescent="0.2">
      <c r="O26" s="45"/>
    </row>
    <row r="27" spans="2:15" ht="12.6" thickBot="1" x14ac:dyDescent="0.3">
      <c r="B27" s="14" t="s">
        <v>67</v>
      </c>
      <c r="C27" s="50">
        <f>C24+C21+C18+C15+C12</f>
        <v>-461</v>
      </c>
      <c r="D27" s="50">
        <f>D24+D21+D18+D15+D12</f>
        <v>-812</v>
      </c>
      <c r="E27" s="50">
        <f>E24+E21+E18+E15+E12</f>
        <v>-882</v>
      </c>
      <c r="F27" s="50">
        <f>F24+F21+F18+F15+F12</f>
        <v>-556</v>
      </c>
      <c r="G27" s="33">
        <f>G24+G21+G18+G15+G12</f>
        <v>-2711</v>
      </c>
      <c r="H27" s="14"/>
      <c r="I27" s="33">
        <f>I24+I21+I18+I15+I12</f>
        <v>-515.97374100558864</v>
      </c>
      <c r="J27" s="33">
        <f>J24+J21+J18+J15+J12</f>
        <v>-873.64525639661088</v>
      </c>
      <c r="K27" s="33">
        <f>K24+K21+K18+K15+K12</f>
        <v>-955.22499284081482</v>
      </c>
      <c r="L27" s="33">
        <f>L24+L21+L18+L15+L12</f>
        <v>-643.19160895078426</v>
      </c>
      <c r="M27" s="33">
        <f>M24+M21+M18+M15+M12</f>
        <v>-2988.0355991937986</v>
      </c>
      <c r="N27" s="14"/>
      <c r="O27" s="51"/>
    </row>
  </sheetData>
  <mergeCells count="4">
    <mergeCell ref="C4:G4"/>
    <mergeCell ref="I4:O4"/>
    <mergeCell ref="C10:G10"/>
    <mergeCell ref="I10:O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1" tint="4.9989318521683403E-2"/>
  </sheetPr>
  <dimension ref="B1:B11"/>
  <sheetViews>
    <sheetView zoomScale="160" zoomScaleNormal="160" workbookViewId="0">
      <selection activeCell="I10" sqref="I10"/>
    </sheetView>
  </sheetViews>
  <sheetFormatPr defaultColWidth="9.109375" defaultRowHeight="11.4" x14ac:dyDescent="0.2"/>
  <cols>
    <col min="1" max="1" width="2" style="2" customWidth="1"/>
    <col min="2" max="16384" width="9.109375" style="2"/>
  </cols>
  <sheetData>
    <row r="1" spans="2:2" ht="15.6" x14ac:dyDescent="0.3">
      <c r="B1" s="3"/>
    </row>
    <row r="11" spans="2:2" ht="37.799999999999997" x14ac:dyDescent="0.65">
      <c r="B11" s="4" t="s">
        <v>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O22"/>
  <sheetViews>
    <sheetView zoomScale="160" zoomScaleNormal="160" workbookViewId="0">
      <selection activeCell="I10" sqref="I10"/>
    </sheetView>
  </sheetViews>
  <sheetFormatPr defaultColWidth="9.109375" defaultRowHeight="11.4" x14ac:dyDescent="0.2"/>
  <cols>
    <col min="1" max="1" width="2" style="2" customWidth="1"/>
    <col min="2" max="2" width="28.6640625" style="2" customWidth="1"/>
    <col min="3" max="6" width="9.109375" style="2"/>
    <col min="7" max="7" width="11.88671875" style="2" customWidth="1"/>
    <col min="8" max="8" width="2.109375" style="2" customWidth="1"/>
    <col min="9" max="13" width="9.109375" style="2"/>
    <col min="14" max="14" width="2.6640625" style="2" customWidth="1"/>
    <col min="15" max="16384" width="9.109375" style="2"/>
  </cols>
  <sheetData>
    <row r="1" spans="2:15" ht="15.6" x14ac:dyDescent="0.3">
      <c r="B1" s="3" t="s">
        <v>82</v>
      </c>
    </row>
    <row r="4" spans="2:15" ht="12" x14ac:dyDescent="0.25">
      <c r="C4" s="69" t="s">
        <v>68</v>
      </c>
      <c r="D4" s="69"/>
      <c r="E4" s="69"/>
      <c r="F4" s="69"/>
      <c r="G4" s="69"/>
      <c r="H4" s="6"/>
      <c r="I4" s="69" t="s">
        <v>69</v>
      </c>
      <c r="J4" s="69"/>
      <c r="K4" s="69"/>
      <c r="L4" s="69"/>
      <c r="M4" s="69"/>
      <c r="N4" s="69"/>
      <c r="O4" s="69"/>
    </row>
    <row r="5" spans="2:15" ht="12.6" thickBot="1" x14ac:dyDescent="0.3">
      <c r="B5" s="7" t="s">
        <v>4</v>
      </c>
      <c r="C5" s="8" t="s">
        <v>5</v>
      </c>
      <c r="D5" s="8" t="s">
        <v>6</v>
      </c>
      <c r="E5" s="8" t="s">
        <v>7</v>
      </c>
      <c r="F5" s="8" t="s">
        <v>8</v>
      </c>
      <c r="G5" s="8" t="s">
        <v>9</v>
      </c>
      <c r="H5" s="6"/>
      <c r="I5" s="8" t="s">
        <v>5</v>
      </c>
      <c r="J5" s="8" t="s">
        <v>6</v>
      </c>
      <c r="K5" s="8" t="s">
        <v>7</v>
      </c>
      <c r="L5" s="8" t="s">
        <v>8</v>
      </c>
      <c r="M5" s="8" t="s">
        <v>9</v>
      </c>
      <c r="N5" s="19"/>
      <c r="O5" s="17" t="s">
        <v>16</v>
      </c>
    </row>
    <row r="6" spans="2:15" x14ac:dyDescent="0.2">
      <c r="B6" s="2" t="s">
        <v>70</v>
      </c>
      <c r="C6" s="10">
        <f>'Revenue Forecast'!C20</f>
        <v>1950</v>
      </c>
      <c r="D6" s="10">
        <f>'Revenue Forecast'!D20</f>
        <v>4560</v>
      </c>
      <c r="E6" s="10">
        <f>'Revenue Forecast'!E20</f>
        <v>4920</v>
      </c>
      <c r="F6" s="10">
        <f>'Revenue Forecast'!F20</f>
        <v>2329.9999999999995</v>
      </c>
      <c r="G6" s="10">
        <f>'Revenue Forecast'!G20</f>
        <v>13759.999999999998</v>
      </c>
      <c r="I6" s="10">
        <f>'Revenue Forecast'!I20</f>
        <v>2349.8663348837208</v>
      </c>
      <c r="J6" s="10">
        <f>'Revenue Forecast'!J20</f>
        <v>5495.0720446511632</v>
      </c>
      <c r="K6" s="10">
        <f>'Revenue Forecast'!K20</f>
        <v>5928.8935218604647</v>
      </c>
      <c r="L6" s="10">
        <f>'Revenue Forecast'!L20</f>
        <v>2807.7890052713178</v>
      </c>
      <c r="M6" s="10">
        <f>'Revenue Forecast'!M20</f>
        <v>16581.620906666667</v>
      </c>
      <c r="N6" s="18"/>
      <c r="O6" s="11">
        <f>M6/G6-1</f>
        <v>0.20505965891472888</v>
      </c>
    </row>
    <row r="7" spans="2:15" x14ac:dyDescent="0.2">
      <c r="B7" s="2" t="s">
        <v>62</v>
      </c>
      <c r="C7" s="29">
        <f>'Cost of Goods Sold'!C11</f>
        <v>-1296.75</v>
      </c>
      <c r="D7" s="29">
        <f>'Cost of Goods Sold'!D11</f>
        <v>-2570.71</v>
      </c>
      <c r="E7" s="29">
        <f>'Cost of Goods Sold'!E11</f>
        <v>-2476.36</v>
      </c>
      <c r="F7" s="29">
        <f>'Cost of Goods Sold'!F11</f>
        <v>-1158.4766666666665</v>
      </c>
      <c r="G7" s="29">
        <f>'Cost of Goods Sold'!G11</f>
        <v>-7502.2966666666662</v>
      </c>
      <c r="I7" s="29">
        <f>'Cost of Goods Sold'!I11</f>
        <v>-1405.9195129060079</v>
      </c>
      <c r="J7" s="29">
        <f>'Cost of Goods Sold'!J11</f>
        <v>-2876.7761498122095</v>
      </c>
      <c r="K7" s="29">
        <f>'Cost of Goods Sold'!K11</f>
        <v>-2770.1848571697669</v>
      </c>
      <c r="L7" s="29">
        <f>'Cost of Goods Sold'!L11</f>
        <v>-1281.3148195234496</v>
      </c>
      <c r="M7" s="29">
        <f>'Cost of Goods Sold'!M11</f>
        <v>-8334.1953394114335</v>
      </c>
      <c r="O7" s="11">
        <f>M7/G7-1</f>
        <v>0.1108858673159332</v>
      </c>
    </row>
    <row r="10" spans="2:15" x14ac:dyDescent="0.2">
      <c r="B10" s="2" t="s">
        <v>83</v>
      </c>
      <c r="C10" s="27">
        <f>C11*C6/90</f>
        <v>650</v>
      </c>
      <c r="D10" s="27">
        <f>D11*D6/90</f>
        <v>1520</v>
      </c>
      <c r="E10" s="27">
        <f>E11*E6/90</f>
        <v>1640</v>
      </c>
      <c r="F10" s="27">
        <f>F11*F6/90</f>
        <v>776.66666666666652</v>
      </c>
      <c r="G10" s="27"/>
      <c r="I10" s="27">
        <f>I11*I6/90</f>
        <v>783.2887782945736</v>
      </c>
      <c r="J10" s="27">
        <f>J11*J6/90</f>
        <v>1831.6906815503876</v>
      </c>
      <c r="K10" s="27">
        <f>K11*K6/90</f>
        <v>1976.2978406201551</v>
      </c>
      <c r="L10" s="27">
        <f>L11*L6/90</f>
        <v>935.92966842377257</v>
      </c>
      <c r="M10" s="27"/>
      <c r="O10" s="11"/>
    </row>
    <row r="11" spans="2:15" x14ac:dyDescent="0.2">
      <c r="B11" s="2" t="s">
        <v>84</v>
      </c>
      <c r="C11" s="2">
        <v>30</v>
      </c>
      <c r="D11" s="2">
        <v>30</v>
      </c>
      <c r="E11" s="2">
        <v>30</v>
      </c>
      <c r="F11" s="2">
        <v>30</v>
      </c>
      <c r="I11" s="2">
        <v>30</v>
      </c>
      <c r="J11" s="2">
        <v>30</v>
      </c>
      <c r="K11" s="2">
        <v>30</v>
      </c>
      <c r="L11" s="2">
        <v>30</v>
      </c>
    </row>
    <row r="13" spans="2:15" x14ac:dyDescent="0.2">
      <c r="B13" s="2" t="s">
        <v>85</v>
      </c>
      <c r="C13" s="27">
        <f>-C14*C7/90</f>
        <v>288.16666666666669</v>
      </c>
      <c r="D13" s="27">
        <f>-D14*D7/90</f>
        <v>571.26888888888891</v>
      </c>
      <c r="E13" s="27">
        <f>-E14*E7/90</f>
        <v>550.30222222222233</v>
      </c>
      <c r="F13" s="27">
        <f>-F14*F7/90</f>
        <v>257.43925925925919</v>
      </c>
      <c r="G13" s="27"/>
      <c r="I13" s="27">
        <f>-I7*I14/90</f>
        <v>312.42655842355731</v>
      </c>
      <c r="J13" s="27">
        <f t="shared" ref="J13:L13" si="0">-J7*J14/90</f>
        <v>639.2835888471576</v>
      </c>
      <c r="K13" s="27">
        <f t="shared" si="0"/>
        <v>615.5966349266148</v>
      </c>
      <c r="L13" s="27">
        <f t="shared" si="0"/>
        <v>284.73662656076658</v>
      </c>
      <c r="M13" s="27"/>
      <c r="O13" s="11"/>
    </row>
    <row r="14" spans="2:15" x14ac:dyDescent="0.2">
      <c r="B14" s="2" t="s">
        <v>86</v>
      </c>
      <c r="C14" s="2">
        <v>20</v>
      </c>
      <c r="D14" s="2">
        <v>20</v>
      </c>
      <c r="E14" s="2">
        <v>20</v>
      </c>
      <c r="F14" s="2">
        <v>20</v>
      </c>
      <c r="I14" s="2">
        <v>20</v>
      </c>
      <c r="J14" s="2">
        <v>20</v>
      </c>
      <c r="K14" s="2">
        <v>20</v>
      </c>
      <c r="L14" s="2">
        <v>20</v>
      </c>
    </row>
    <row r="16" spans="2:15" x14ac:dyDescent="0.2">
      <c r="B16" s="2" t="s">
        <v>87</v>
      </c>
      <c r="C16" s="27">
        <f>'[1]Production &amp; Direct Materials'!C22+'[1]Production &amp; Direct Materials'!C23</f>
        <v>32</v>
      </c>
      <c r="D16" s="27">
        <f>'[1]Production &amp; Direct Materials'!D22+'[1]Production &amp; Direct Materials'!D23</f>
        <v>121.6</v>
      </c>
      <c r="E16" s="27">
        <f>'[1]Production &amp; Direct Materials'!E22+'[1]Production &amp; Direct Materials'!E23</f>
        <v>131.19999999999999</v>
      </c>
      <c r="F16" s="27">
        <f>'[1]Production &amp; Direct Materials'!F22+'[1]Production &amp; Direct Materials'!F23</f>
        <v>35.200000000000003</v>
      </c>
      <c r="I16" s="27">
        <f>'Production &amp; Direct Materials'!I22+'Production &amp; Direct Materials'!I23</f>
        <v>58.746658372093023</v>
      </c>
      <c r="J16" s="27">
        <f>'Production &amp; Direct Materials'!J22+'Production &amp; Direct Materials'!J23</f>
        <v>137.37680111627907</v>
      </c>
      <c r="K16" s="27">
        <f>'Production &amp; Direct Materials'!K22+'Production &amp; Direct Materials'!K23</f>
        <v>148.22233804651162</v>
      </c>
      <c r="L16" s="27">
        <f>'Production &amp; Direct Materials'!L22+'Production &amp; Direct Materials'!L23</f>
        <v>70.194725131782945</v>
      </c>
      <c r="M16" s="27"/>
      <c r="O16" s="11"/>
    </row>
    <row r="17" spans="2:15" x14ac:dyDescent="0.2">
      <c r="B17" s="2" t="s">
        <v>88</v>
      </c>
      <c r="C17" s="27">
        <f>-C16/C7*90</f>
        <v>2.2209369577790632</v>
      </c>
      <c r="D17" s="27">
        <f>-D16/D7*90</f>
        <v>4.2571896479960785</v>
      </c>
      <c r="E17" s="27">
        <f>-E16/E7*90</f>
        <v>4.7682889402187074</v>
      </c>
      <c r="F17" s="27">
        <f>-F16/F7*90</f>
        <v>2.7346256434455598</v>
      </c>
      <c r="I17" s="27">
        <f>-I16/I7*90</f>
        <v>3.760669942306893</v>
      </c>
      <c r="J17" s="27">
        <f>-J16/J7*90</f>
        <v>4.2978359999516158</v>
      </c>
      <c r="K17" s="27">
        <f>-K16/K7*90</f>
        <v>4.8155668708027024</v>
      </c>
      <c r="L17" s="27">
        <f>-L16/L7*90</f>
        <v>4.9305019856166945</v>
      </c>
      <c r="M17" s="27"/>
      <c r="O17" s="11"/>
    </row>
    <row r="18" spans="2:15" ht="12.6" thickBot="1" x14ac:dyDescent="0.3">
      <c r="B18" s="14" t="s">
        <v>82</v>
      </c>
      <c r="C18" s="50">
        <f>C10+C16-C13</f>
        <v>393.83333333333331</v>
      </c>
      <c r="D18" s="50">
        <f>D10+D16-D13</f>
        <v>1070.3311111111111</v>
      </c>
      <c r="E18" s="50">
        <f>E10+E16-E13</f>
        <v>1220.8977777777777</v>
      </c>
      <c r="F18" s="50">
        <f>F10+F16-F13</f>
        <v>554.42740740740737</v>
      </c>
      <c r="G18" s="52"/>
      <c r="H18" s="52"/>
      <c r="I18" s="50">
        <f t="shared" ref="I18:L18" si="1">I10+I16-I13</f>
        <v>529.6088782431093</v>
      </c>
      <c r="J18" s="50">
        <f t="shared" si="1"/>
        <v>1329.7838938195091</v>
      </c>
      <c r="K18" s="50">
        <f t="shared" si="1"/>
        <v>1508.9235437400519</v>
      </c>
      <c r="L18" s="50">
        <f t="shared" si="1"/>
        <v>721.38776699478899</v>
      </c>
      <c r="M18" s="52"/>
      <c r="N18" s="52"/>
      <c r="O18" s="52"/>
    </row>
    <row r="20" spans="2:15" x14ac:dyDescent="0.2">
      <c r="I20" s="27"/>
      <c r="J20" s="27"/>
      <c r="K20" s="27"/>
      <c r="L20" s="27"/>
    </row>
    <row r="22" spans="2:15" x14ac:dyDescent="0.2">
      <c r="C22" s="27"/>
      <c r="D22" s="27"/>
      <c r="E22" s="27"/>
      <c r="F22" s="27"/>
      <c r="I22" s="27"/>
      <c r="J22" s="27"/>
      <c r="K22" s="27"/>
      <c r="L22" s="27"/>
    </row>
  </sheetData>
  <mergeCells count="2">
    <mergeCell ref="C4:G4"/>
    <mergeCell ref="I4:O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P16"/>
  <sheetViews>
    <sheetView zoomScale="160" zoomScaleNormal="160" workbookViewId="0">
      <selection activeCell="I10" sqref="I10"/>
    </sheetView>
  </sheetViews>
  <sheetFormatPr defaultColWidth="9.109375" defaultRowHeight="11.4" x14ac:dyDescent="0.2"/>
  <cols>
    <col min="1" max="1" width="2" style="2" customWidth="1"/>
    <col min="2" max="2" width="26.88671875" style="2" customWidth="1"/>
    <col min="3" max="7" width="9.109375" style="2"/>
    <col min="8" max="8" width="1.33203125" style="2" customWidth="1"/>
    <col min="9" max="12" width="9.109375" style="2"/>
    <col min="13" max="13" width="9.109375" style="2" customWidth="1"/>
    <col min="14" max="14" width="1.109375" style="2" customWidth="1"/>
    <col min="15" max="16384" width="9.109375" style="2"/>
  </cols>
  <sheetData>
    <row r="1" spans="2:16" ht="15.6" x14ac:dyDescent="0.3">
      <c r="B1" s="3" t="s">
        <v>90</v>
      </c>
    </row>
    <row r="4" spans="2:16" ht="12" x14ac:dyDescent="0.25">
      <c r="C4" s="69" t="s">
        <v>68</v>
      </c>
      <c r="D4" s="69"/>
      <c r="E4" s="69"/>
      <c r="F4" s="69"/>
      <c r="G4" s="69"/>
      <c r="H4" s="6"/>
      <c r="I4" s="69" t="s">
        <v>69</v>
      </c>
      <c r="J4" s="69"/>
      <c r="K4" s="69"/>
      <c r="L4" s="69"/>
      <c r="M4" s="69"/>
      <c r="N4" s="69"/>
      <c r="O4" s="69"/>
    </row>
    <row r="5" spans="2:16" ht="12.6" thickBot="1" x14ac:dyDescent="0.3">
      <c r="B5" s="7" t="s">
        <v>4</v>
      </c>
      <c r="C5" s="8" t="s">
        <v>5</v>
      </c>
      <c r="D5" s="8" t="s">
        <v>6</v>
      </c>
      <c r="E5" s="8" t="s">
        <v>7</v>
      </c>
      <c r="F5" s="8" t="s">
        <v>8</v>
      </c>
      <c r="G5" s="8" t="s">
        <v>9</v>
      </c>
      <c r="H5" s="6"/>
      <c r="I5" s="8" t="s">
        <v>5</v>
      </c>
      <c r="J5" s="8" t="s">
        <v>6</v>
      </c>
      <c r="K5" s="8" t="s">
        <v>7</v>
      </c>
      <c r="L5" s="8" t="s">
        <v>8</v>
      </c>
      <c r="M5" s="8" t="s">
        <v>9</v>
      </c>
      <c r="N5" s="19"/>
      <c r="O5" s="17" t="s">
        <v>16</v>
      </c>
    </row>
    <row r="6" spans="2:16" x14ac:dyDescent="0.2">
      <c r="B6" s="2" t="s">
        <v>70</v>
      </c>
      <c r="C6" s="10">
        <f>'Revenue Forecast'!C20</f>
        <v>1950</v>
      </c>
      <c r="D6" s="10">
        <f>'Revenue Forecast'!D20</f>
        <v>4560</v>
      </c>
      <c r="E6" s="10">
        <f>'Revenue Forecast'!E20</f>
        <v>4920</v>
      </c>
      <c r="F6" s="10">
        <f>'Revenue Forecast'!F20</f>
        <v>2329.9999999999995</v>
      </c>
      <c r="G6" s="10">
        <f>'Revenue Forecast'!G20</f>
        <v>13759.999999999998</v>
      </c>
      <c r="I6" s="10">
        <f>'Revenue Forecast'!I20</f>
        <v>2349.8663348837208</v>
      </c>
      <c r="J6" s="10">
        <f>'Revenue Forecast'!J20</f>
        <v>5495.0720446511632</v>
      </c>
      <c r="K6" s="10">
        <f>'Revenue Forecast'!K20</f>
        <v>5928.8935218604647</v>
      </c>
      <c r="L6" s="10">
        <f>'Revenue Forecast'!L20</f>
        <v>2807.7890052713178</v>
      </c>
      <c r="M6" s="10">
        <f>'Revenue Forecast'!M20</f>
        <v>16581.620906666667</v>
      </c>
      <c r="N6" s="18"/>
      <c r="O6" s="11">
        <f>M6/G6-1</f>
        <v>0.20505965891472888</v>
      </c>
    </row>
    <row r="8" spans="2:16" x14ac:dyDescent="0.2">
      <c r="B8" s="2" t="s">
        <v>91</v>
      </c>
      <c r="C8" s="2">
        <v>1000</v>
      </c>
      <c r="D8" s="2">
        <f>C16</f>
        <v>1047.5</v>
      </c>
      <c r="E8" s="27">
        <f t="shared" ref="E8:F8" si="0">D16</f>
        <v>1223.125</v>
      </c>
      <c r="F8" s="27">
        <f t="shared" si="0"/>
        <v>1407.96875</v>
      </c>
      <c r="I8" s="29">
        <f>F16</f>
        <v>1454.0703125</v>
      </c>
      <c r="J8" s="29">
        <f>I16</f>
        <v>1498.8601136191862</v>
      </c>
      <c r="K8" s="29">
        <f>J16</f>
        <v>1698.6707101707852</v>
      </c>
      <c r="L8" s="29">
        <f>K16</f>
        <v>1910.1818507552691</v>
      </c>
    </row>
    <row r="10" spans="2:16" x14ac:dyDescent="0.2">
      <c r="B10" s="2" t="s">
        <v>92</v>
      </c>
      <c r="C10" s="27">
        <f>C11*C6</f>
        <v>97.5</v>
      </c>
      <c r="D10" s="27">
        <f t="shared" ref="D10:F10" si="1">D11*D6</f>
        <v>228</v>
      </c>
      <c r="E10" s="27">
        <f t="shared" si="1"/>
        <v>246</v>
      </c>
      <c r="F10" s="27">
        <f t="shared" si="1"/>
        <v>116.49999999999999</v>
      </c>
      <c r="G10" s="27">
        <f>SUM(C10:F10)</f>
        <v>688</v>
      </c>
      <c r="I10" s="27">
        <f>I6*I11</f>
        <v>117.49331674418605</v>
      </c>
      <c r="J10" s="27">
        <f t="shared" ref="J10:L10" si="2">J6*J11</f>
        <v>274.75360223255819</v>
      </c>
      <c r="K10" s="27">
        <f t="shared" si="2"/>
        <v>296.44467609302325</v>
      </c>
      <c r="L10" s="27">
        <f t="shared" si="2"/>
        <v>140.38945026356589</v>
      </c>
      <c r="M10" s="27">
        <f>SUM(I10:L10)</f>
        <v>829.08104533333346</v>
      </c>
      <c r="O10" s="11"/>
    </row>
    <row r="11" spans="2:16" x14ac:dyDescent="0.2">
      <c r="B11" s="53" t="s">
        <v>93</v>
      </c>
      <c r="C11" s="54">
        <v>0.05</v>
      </c>
      <c r="D11" s="54">
        <v>0.05</v>
      </c>
      <c r="E11" s="54">
        <v>0.05</v>
      </c>
      <c r="F11" s="54">
        <v>0.05</v>
      </c>
      <c r="G11" s="54"/>
      <c r="H11" s="53"/>
      <c r="I11" s="54">
        <f>C11</f>
        <v>0.05</v>
      </c>
      <c r="J11" s="54">
        <f t="shared" ref="J11:L11" si="3">D11</f>
        <v>0.05</v>
      </c>
      <c r="K11" s="54">
        <f t="shared" si="3"/>
        <v>0.05</v>
      </c>
      <c r="L11" s="54">
        <f t="shared" si="3"/>
        <v>0.05</v>
      </c>
      <c r="M11" s="54"/>
      <c r="N11" s="53"/>
      <c r="O11" s="53"/>
      <c r="P11" s="53"/>
    </row>
    <row r="13" spans="2:16" x14ac:dyDescent="0.2">
      <c r="B13" s="2" t="s">
        <v>96</v>
      </c>
      <c r="C13" s="27">
        <f>-C14*C8</f>
        <v>-50</v>
      </c>
      <c r="D13" s="27">
        <f t="shared" ref="D13:F13" si="4">-D14*D8</f>
        <v>-52.375</v>
      </c>
      <c r="E13" s="27">
        <f t="shared" si="4"/>
        <v>-61.15625</v>
      </c>
      <c r="F13" s="27">
        <f t="shared" si="4"/>
        <v>-70.3984375</v>
      </c>
      <c r="G13" s="27">
        <f>SUM(C13:F13)</f>
        <v>-233.9296875</v>
      </c>
      <c r="I13" s="27">
        <f>-I8*I14</f>
        <v>-72.703515625000009</v>
      </c>
      <c r="J13" s="27">
        <f>-J8*J14</f>
        <v>-74.943005680959317</v>
      </c>
      <c r="K13" s="27">
        <f>-K8*K14</f>
        <v>-84.933535508539265</v>
      </c>
      <c r="L13" s="27">
        <f>-L8*L14</f>
        <v>-95.509092537763465</v>
      </c>
      <c r="M13" s="27">
        <f>SUM(I13:L13)</f>
        <v>-328.08914935226204</v>
      </c>
    </row>
    <row r="14" spans="2:16" x14ac:dyDescent="0.2">
      <c r="B14" s="53" t="s">
        <v>94</v>
      </c>
      <c r="C14" s="54">
        <v>0.05</v>
      </c>
      <c r="D14" s="54">
        <v>0.05</v>
      </c>
      <c r="E14" s="54">
        <v>0.05</v>
      </c>
      <c r="F14" s="54">
        <v>0.05</v>
      </c>
      <c r="G14" s="54"/>
      <c r="I14" s="54">
        <f>C14</f>
        <v>0.05</v>
      </c>
      <c r="J14" s="54">
        <f t="shared" ref="J14:L14" si="5">D14</f>
        <v>0.05</v>
      </c>
      <c r="K14" s="54">
        <f t="shared" si="5"/>
        <v>0.05</v>
      </c>
      <c r="L14" s="54">
        <f t="shared" si="5"/>
        <v>0.05</v>
      </c>
      <c r="M14" s="54"/>
    </row>
    <row r="16" spans="2:16" ht="12.6" thickBot="1" x14ac:dyDescent="0.3">
      <c r="B16" s="14" t="s">
        <v>95</v>
      </c>
      <c r="C16" s="33">
        <f>C8+C10+C13</f>
        <v>1047.5</v>
      </c>
      <c r="D16" s="33">
        <f>D8+D10+D13</f>
        <v>1223.125</v>
      </c>
      <c r="E16" s="33">
        <f>E8+E10+E13</f>
        <v>1407.96875</v>
      </c>
      <c r="F16" s="33">
        <f>F8+F10+F13</f>
        <v>1454.0703125</v>
      </c>
      <c r="G16" s="14"/>
      <c r="H16" s="14"/>
      <c r="I16" s="33">
        <f>I8+I10+I13</f>
        <v>1498.8601136191862</v>
      </c>
      <c r="J16" s="33">
        <f>J8+J10+J13</f>
        <v>1698.6707101707852</v>
      </c>
      <c r="K16" s="33">
        <f>K8+K10+K13</f>
        <v>1910.1818507552691</v>
      </c>
      <c r="L16" s="33">
        <f>L8+L10+L13</f>
        <v>1955.0622084810716</v>
      </c>
      <c r="M16" s="14"/>
      <c r="N16" s="14"/>
      <c r="O16" s="14"/>
    </row>
  </sheetData>
  <mergeCells count="2">
    <mergeCell ref="C4:G4"/>
    <mergeCell ref="I4:O4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L16"/>
  <sheetViews>
    <sheetView zoomScale="160" zoomScaleNormal="160" workbookViewId="0">
      <selection activeCell="G5" sqref="G5"/>
    </sheetView>
  </sheetViews>
  <sheetFormatPr defaultColWidth="9.109375" defaultRowHeight="11.4" outlineLevelCol="1" x14ac:dyDescent="0.2"/>
  <cols>
    <col min="1" max="1" width="2" style="2" customWidth="1"/>
    <col min="2" max="2" width="29.33203125" style="2" customWidth="1"/>
    <col min="3" max="6" width="0" style="2" hidden="1" customWidth="1" outlineLevel="1"/>
    <col min="7" max="7" width="9.109375" style="2" collapsed="1"/>
    <col min="8" max="11" width="0" style="2" hidden="1" customWidth="1" outlineLevel="1"/>
    <col min="12" max="12" width="9.109375" style="2" collapsed="1"/>
    <col min="13" max="16384" width="9.109375" style="2"/>
  </cols>
  <sheetData>
    <row r="1" spans="2:12" ht="15.6" x14ac:dyDescent="0.3">
      <c r="B1" s="3" t="s">
        <v>97</v>
      </c>
    </row>
    <row r="3" spans="2:12" ht="12" x14ac:dyDescent="0.25">
      <c r="C3" s="70">
        <v>2015</v>
      </c>
      <c r="D3" s="70"/>
      <c r="E3" s="70"/>
      <c r="F3" s="70"/>
      <c r="G3" s="70"/>
      <c r="H3" s="70">
        <v>2016</v>
      </c>
      <c r="I3" s="70"/>
      <c r="J3" s="70"/>
      <c r="K3" s="70"/>
      <c r="L3" s="70"/>
    </row>
    <row r="4" spans="2:12" ht="12.6" thickBot="1" x14ac:dyDescent="0.3">
      <c r="B4" s="7" t="s">
        <v>4</v>
      </c>
      <c r="C4" s="8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8" t="s">
        <v>5</v>
      </c>
      <c r="I4" s="8" t="s">
        <v>6</v>
      </c>
      <c r="J4" s="8" t="s">
        <v>7</v>
      </c>
      <c r="K4" s="8" t="s">
        <v>8</v>
      </c>
      <c r="L4" s="8" t="s">
        <v>9</v>
      </c>
    </row>
    <row r="5" spans="2:12" x14ac:dyDescent="0.2">
      <c r="B5" s="2" t="s">
        <v>70</v>
      </c>
      <c r="C5" s="59">
        <f>'Revenue Forecast'!C20</f>
        <v>1950</v>
      </c>
      <c r="D5" s="59">
        <f>'Revenue Forecast'!D20</f>
        <v>4560</v>
      </c>
      <c r="E5" s="59">
        <f>'Revenue Forecast'!E20</f>
        <v>4920</v>
      </c>
      <c r="F5" s="59">
        <f>'Revenue Forecast'!F20</f>
        <v>2329.9999999999995</v>
      </c>
      <c r="G5" s="59">
        <v>13759.999999999998</v>
      </c>
      <c r="H5" s="29">
        <f>'Revenue Forecast'!I20</f>
        <v>2349.8663348837208</v>
      </c>
      <c r="I5" s="29">
        <f>'Revenue Forecast'!J20</f>
        <v>5495.0720446511632</v>
      </c>
      <c r="J5" s="29">
        <f>'Revenue Forecast'!K20</f>
        <v>5928.8935218604647</v>
      </c>
      <c r="K5" s="29">
        <f>'Revenue Forecast'!L20</f>
        <v>2807.7890052713178</v>
      </c>
      <c r="L5" s="29">
        <f>'Revenue Forecast'!M20</f>
        <v>16581.620906666667</v>
      </c>
    </row>
    <row r="6" spans="2:12" x14ac:dyDescent="0.2">
      <c r="B6" s="2" t="s">
        <v>62</v>
      </c>
      <c r="C6" s="59">
        <f>'Cost of Goods Sold'!C11</f>
        <v>-1296.75</v>
      </c>
      <c r="D6" s="59">
        <f>'Cost of Goods Sold'!D11</f>
        <v>-2570.71</v>
      </c>
      <c r="E6" s="59">
        <f>'Cost of Goods Sold'!E11</f>
        <v>-2476.36</v>
      </c>
      <c r="F6" s="59">
        <f>'Cost of Goods Sold'!F11</f>
        <v>-1158.4766666666665</v>
      </c>
      <c r="G6" s="59">
        <v>-7502.2966666666662</v>
      </c>
      <c r="H6" s="29">
        <f>'Cost of Goods Sold'!I11</f>
        <v>-1405.9195129060079</v>
      </c>
      <c r="I6" s="29">
        <f>'Cost of Goods Sold'!J11</f>
        <v>-2876.7761498122095</v>
      </c>
      <c r="J6" s="29">
        <f>'Cost of Goods Sold'!K11</f>
        <v>-2770.1848571697669</v>
      </c>
      <c r="K6" s="29">
        <f>'Cost of Goods Sold'!L11</f>
        <v>-1281.3148195234496</v>
      </c>
      <c r="L6" s="29">
        <f>'Cost of Goods Sold'!M11</f>
        <v>-8334.1953394114335</v>
      </c>
    </row>
    <row r="7" spans="2:12" ht="12" x14ac:dyDescent="0.25">
      <c r="B7" s="23" t="s">
        <v>98</v>
      </c>
      <c r="C7" s="60">
        <f>SUM(C5:C6)</f>
        <v>653.25</v>
      </c>
      <c r="D7" s="60">
        <f t="shared" ref="D7:F7" si="0">SUM(D5:D6)</f>
        <v>1989.29</v>
      </c>
      <c r="E7" s="60">
        <f t="shared" si="0"/>
        <v>2443.64</v>
      </c>
      <c r="F7" s="60">
        <f t="shared" si="0"/>
        <v>1171.5233333333331</v>
      </c>
      <c r="G7" s="60">
        <v>6257.703333333332</v>
      </c>
      <c r="H7" s="55">
        <f>H5+H6</f>
        <v>943.94682197771294</v>
      </c>
      <c r="I7" s="55">
        <f>I5+I6</f>
        <v>2618.2958948389537</v>
      </c>
      <c r="J7" s="55">
        <f>J5+J6</f>
        <v>3158.7086646906978</v>
      </c>
      <c r="K7" s="55">
        <f>K5+K6</f>
        <v>1526.4741857478682</v>
      </c>
      <c r="L7" s="55">
        <f>L5+L6</f>
        <v>8247.4255672552335</v>
      </c>
    </row>
    <row r="8" spans="2:12" x14ac:dyDescent="0.2">
      <c r="B8" s="2" t="s">
        <v>99</v>
      </c>
      <c r="C8" s="61">
        <f>'SG&amp;A'!C27</f>
        <v>-461</v>
      </c>
      <c r="D8" s="61">
        <f>'SG&amp;A'!D27</f>
        <v>-812</v>
      </c>
      <c r="E8" s="61">
        <f>'SG&amp;A'!E27</f>
        <v>-882</v>
      </c>
      <c r="F8" s="61">
        <f>'SG&amp;A'!F27</f>
        <v>-556</v>
      </c>
      <c r="G8" s="61">
        <v>-2711</v>
      </c>
      <c r="H8" s="27">
        <f>'SG&amp;A'!I27</f>
        <v>-515.97374100558864</v>
      </c>
      <c r="I8" s="27">
        <f>'SG&amp;A'!J27</f>
        <v>-873.64525639661088</v>
      </c>
      <c r="J8" s="27">
        <f>'SG&amp;A'!K27</f>
        <v>-955.22499284081482</v>
      </c>
      <c r="K8" s="27">
        <f>'SG&amp;A'!L27</f>
        <v>-643.19160895078426</v>
      </c>
      <c r="L8" s="27">
        <f>'SG&amp;A'!M27</f>
        <v>-2988.0355991937986</v>
      </c>
    </row>
    <row r="9" spans="2:12" ht="12" x14ac:dyDescent="0.25">
      <c r="B9" s="23" t="s">
        <v>100</v>
      </c>
      <c r="C9" s="60">
        <f>SUM(C7:C8)</f>
        <v>192.25</v>
      </c>
      <c r="D9" s="60">
        <f t="shared" ref="D9:F9" si="1">SUM(D7:D8)</f>
        <v>1177.29</v>
      </c>
      <c r="E9" s="60">
        <f t="shared" si="1"/>
        <v>1561.6399999999999</v>
      </c>
      <c r="F9" s="60">
        <f t="shared" si="1"/>
        <v>615.52333333333308</v>
      </c>
      <c r="G9" s="60">
        <v>3546.703333333332</v>
      </c>
      <c r="H9" s="55">
        <f>H7+H8</f>
        <v>427.97308097212431</v>
      </c>
      <c r="I9" s="55">
        <f>I7+I8</f>
        <v>1744.6506384423428</v>
      </c>
      <c r="J9" s="55">
        <f>J7+J8</f>
        <v>2203.4836718498827</v>
      </c>
      <c r="K9" s="55">
        <f>K7+K8</f>
        <v>883.28257679708395</v>
      </c>
      <c r="L9" s="55">
        <f>L7+L8</f>
        <v>5259.389968061435</v>
      </c>
    </row>
    <row r="10" spans="2:12" x14ac:dyDescent="0.2">
      <c r="B10" s="2" t="s">
        <v>96</v>
      </c>
      <c r="C10" s="62">
        <f>'Fixed Assets'!C13</f>
        <v>-50</v>
      </c>
      <c r="D10" s="62">
        <f>'Fixed Assets'!D13</f>
        <v>-52.375</v>
      </c>
      <c r="E10" s="62">
        <f>'Fixed Assets'!E13</f>
        <v>-61.15625</v>
      </c>
      <c r="F10" s="62">
        <f>'Fixed Assets'!F13</f>
        <v>-70.3984375</v>
      </c>
      <c r="G10" s="62">
        <v>-233.9296875</v>
      </c>
      <c r="H10" s="56">
        <f>'Fixed Assets'!I13</f>
        <v>-72.703515625000009</v>
      </c>
      <c r="I10" s="56">
        <f>'Fixed Assets'!J13</f>
        <v>-74.943005680959317</v>
      </c>
      <c r="J10" s="56">
        <f>'Fixed Assets'!K13</f>
        <v>-84.933535508539265</v>
      </c>
      <c r="K10" s="56">
        <f>'Fixed Assets'!L13</f>
        <v>-95.509092537763465</v>
      </c>
      <c r="L10" s="56">
        <f>'Fixed Assets'!M13</f>
        <v>-328.08914935226204</v>
      </c>
    </row>
    <row r="11" spans="2:12" ht="12" x14ac:dyDescent="0.25">
      <c r="B11" s="23" t="s">
        <v>101</v>
      </c>
      <c r="C11" s="60">
        <f>SUM(C9:C10)</f>
        <v>142.25</v>
      </c>
      <c r="D11" s="60">
        <f t="shared" ref="D11:F11" si="2">SUM(D9:D10)</f>
        <v>1124.915</v>
      </c>
      <c r="E11" s="60">
        <f t="shared" si="2"/>
        <v>1500.4837499999999</v>
      </c>
      <c r="F11" s="60">
        <f t="shared" si="2"/>
        <v>545.12489583333308</v>
      </c>
      <c r="G11" s="60">
        <v>3312.773645833332</v>
      </c>
      <c r="H11" s="55">
        <f>H9+H10</f>
        <v>355.26956534712428</v>
      </c>
      <c r="I11" s="55">
        <f>I9+I10</f>
        <v>1669.7076327613836</v>
      </c>
      <c r="J11" s="55">
        <f>J9+J10</f>
        <v>2118.5501363413437</v>
      </c>
      <c r="K11" s="55">
        <f>K9+K10</f>
        <v>787.77348425932053</v>
      </c>
      <c r="L11" s="55">
        <f>L9+L10</f>
        <v>4931.3008187091727</v>
      </c>
    </row>
    <row r="12" spans="2:12" ht="12" x14ac:dyDescent="0.25">
      <c r="B12" s="2" t="s">
        <v>117</v>
      </c>
      <c r="C12" s="66"/>
      <c r="D12" s="66"/>
      <c r="E12" s="66"/>
      <c r="F12" s="66"/>
      <c r="G12" s="61">
        <v>-10</v>
      </c>
      <c r="H12" s="67"/>
      <c r="I12" s="67"/>
      <c r="J12" s="67"/>
      <c r="K12" s="67"/>
      <c r="L12" s="61">
        <v>-15</v>
      </c>
    </row>
    <row r="13" spans="2:12" ht="12" x14ac:dyDescent="0.25">
      <c r="B13" s="23" t="s">
        <v>118</v>
      </c>
      <c r="C13" s="60"/>
      <c r="D13" s="60"/>
      <c r="E13" s="60"/>
      <c r="F13" s="60"/>
      <c r="G13" s="60">
        <f>SUM(G11:G12)</f>
        <v>3302.773645833332</v>
      </c>
      <c r="H13" s="55"/>
      <c r="I13" s="55"/>
      <c r="J13" s="55"/>
      <c r="K13" s="55"/>
      <c r="L13" s="60">
        <f>SUM(L11:L12)</f>
        <v>4916.3008187091727</v>
      </c>
    </row>
    <row r="14" spans="2:12" x14ac:dyDescent="0.2">
      <c r="B14" s="2" t="s">
        <v>102</v>
      </c>
      <c r="C14" s="61">
        <f>-C15*C11</f>
        <v>-21.337499999999999</v>
      </c>
      <c r="D14" s="61">
        <f>-D15*D11</f>
        <v>-168.73724999999999</v>
      </c>
      <c r="E14" s="61">
        <f>-E15*E11</f>
        <v>-225.07256249999998</v>
      </c>
      <c r="F14" s="61">
        <f>-F15*F11</f>
        <v>-81.768734374999966</v>
      </c>
      <c r="G14" s="61">
        <f>-0.15*G13</f>
        <v>-495.41604687499978</v>
      </c>
      <c r="H14" s="27">
        <f>-H11*H15</f>
        <v>-53.290434802068638</v>
      </c>
      <c r="I14" s="27">
        <f>-I11*I15</f>
        <v>-250.45614491420753</v>
      </c>
      <c r="J14" s="27">
        <f>-J11*J15</f>
        <v>-317.78252045120155</v>
      </c>
      <c r="K14" s="27">
        <f>-K11*K15</f>
        <v>-118.16602263889807</v>
      </c>
      <c r="L14" s="61">
        <f>-0.15*L13</f>
        <v>-737.44512280637593</v>
      </c>
    </row>
    <row r="15" spans="2:12" x14ac:dyDescent="0.2">
      <c r="B15" s="46" t="s">
        <v>119</v>
      </c>
      <c r="C15" s="63">
        <v>0.15</v>
      </c>
      <c r="D15" s="63">
        <v>0.15</v>
      </c>
      <c r="E15" s="63">
        <v>0.15</v>
      </c>
      <c r="F15" s="63">
        <v>0.15</v>
      </c>
      <c r="G15" s="63">
        <v>0.15</v>
      </c>
      <c r="H15" s="48">
        <f>C15</f>
        <v>0.15</v>
      </c>
      <c r="I15" s="48">
        <f>D15</f>
        <v>0.15</v>
      </c>
      <c r="J15" s="48">
        <f>E15</f>
        <v>0.15</v>
      </c>
      <c r="K15" s="48">
        <f>F15</f>
        <v>0.15</v>
      </c>
      <c r="L15" s="48">
        <f>G15</f>
        <v>0.15</v>
      </c>
    </row>
    <row r="16" spans="2:12" ht="12.6" thickBot="1" x14ac:dyDescent="0.3">
      <c r="B16" s="14" t="s">
        <v>103</v>
      </c>
      <c r="C16" s="64">
        <f>C11+C14</f>
        <v>120.91249999999999</v>
      </c>
      <c r="D16" s="64">
        <f>D11+D14</f>
        <v>956.17774999999995</v>
      </c>
      <c r="E16" s="64">
        <f>E11+E14</f>
        <v>1275.4111874999999</v>
      </c>
      <c r="F16" s="64">
        <f>F11+F14</f>
        <v>463.35616145833313</v>
      </c>
      <c r="G16" s="33">
        <f>G13+G14</f>
        <v>2807.3575989583323</v>
      </c>
      <c r="H16" s="33">
        <f>H11+H14</f>
        <v>301.97913054505563</v>
      </c>
      <c r="I16" s="33">
        <f>I11+I14</f>
        <v>1419.2514878471761</v>
      </c>
      <c r="J16" s="33">
        <f>J11+J14</f>
        <v>1800.7676158901422</v>
      </c>
      <c r="K16" s="33">
        <f>K11+K14</f>
        <v>669.60746162042244</v>
      </c>
      <c r="L16" s="33">
        <f>L13+L14</f>
        <v>4178.8556959027965</v>
      </c>
    </row>
  </sheetData>
  <mergeCells count="2">
    <mergeCell ref="C3:G3"/>
    <mergeCell ref="H3:L3"/>
  </mergeCells>
  <pageMargins left="0.7" right="0.7" top="0.75" bottom="0.75" header="0.3" footer="0.3"/>
  <ignoredErrors>
    <ignoredError sqref="G13" formulaRange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G25"/>
  <sheetViews>
    <sheetView topLeftCell="A4" zoomScale="160" zoomScaleNormal="160" workbookViewId="0">
      <selection activeCell="F6" sqref="F6"/>
    </sheetView>
  </sheetViews>
  <sheetFormatPr defaultColWidth="9.109375" defaultRowHeight="11.4" x14ac:dyDescent="0.2"/>
  <cols>
    <col min="1" max="1" width="2" style="2" customWidth="1"/>
    <col min="2" max="2" width="23.33203125" style="2" bestFit="1" customWidth="1"/>
    <col min="3" max="16384" width="9.109375" style="2"/>
  </cols>
  <sheetData>
    <row r="1" spans="2:7" ht="15.6" x14ac:dyDescent="0.3">
      <c r="B1" s="3" t="s">
        <v>104</v>
      </c>
    </row>
    <row r="2" spans="2:7" ht="15.6" x14ac:dyDescent="0.3">
      <c r="B2" s="3"/>
    </row>
    <row r="3" spans="2:7" ht="15.6" x14ac:dyDescent="0.3">
      <c r="B3" s="3"/>
    </row>
    <row r="4" spans="2:7" ht="24.6" thickBot="1" x14ac:dyDescent="0.3">
      <c r="B4" s="7" t="s">
        <v>4</v>
      </c>
      <c r="C4" s="17" t="s">
        <v>115</v>
      </c>
      <c r="D4" s="17" t="s">
        <v>116</v>
      </c>
    </row>
    <row r="5" spans="2:7" x14ac:dyDescent="0.2">
      <c r="B5" s="2" t="s">
        <v>105</v>
      </c>
      <c r="C5" s="29">
        <v>3418.3595123842601</v>
      </c>
      <c r="D5" s="29">
        <f>6901.0129527186+90+200+500-964</f>
        <v>6727.0129527186</v>
      </c>
      <c r="E5" s="29">
        <f>C5+G5</f>
        <v>6726.5496578574748</v>
      </c>
      <c r="F5" s="2" t="s">
        <v>130</v>
      </c>
      <c r="G5" s="29">
        <f>'Cash Flow'!D26</f>
        <v>3308.1901454732151</v>
      </c>
    </row>
    <row r="6" spans="2:7" x14ac:dyDescent="0.2">
      <c r="B6" s="2" t="s">
        <v>87</v>
      </c>
      <c r="C6" s="27">
        <v>35.200000000000003</v>
      </c>
      <c r="D6" s="27">
        <v>70.194725131782945</v>
      </c>
    </row>
    <row r="7" spans="2:7" ht="12" customHeight="1" x14ac:dyDescent="0.2">
      <c r="B7" s="2" t="s">
        <v>83</v>
      </c>
      <c r="C7" s="27">
        <v>776.66666666666652</v>
      </c>
      <c r="D7" s="27">
        <v>935.92966842377257</v>
      </c>
    </row>
    <row r="8" spans="2:7" ht="3.75" customHeight="1" x14ac:dyDescent="0.2"/>
    <row r="9" spans="2:7" ht="12" customHeight="1" x14ac:dyDescent="0.2">
      <c r="B9" s="2" t="s">
        <v>123</v>
      </c>
      <c r="C9" s="2">
        <v>420</v>
      </c>
      <c r="D9" s="2">
        <v>882</v>
      </c>
    </row>
    <row r="10" spans="2:7" ht="3.75" customHeight="1" x14ac:dyDescent="0.2"/>
    <row r="11" spans="2:7" x14ac:dyDescent="0.2">
      <c r="B11" s="2" t="s">
        <v>95</v>
      </c>
      <c r="C11" s="29">
        <v>1454.0703125</v>
      </c>
      <c r="D11" s="29">
        <v>1955.0622084810716</v>
      </c>
    </row>
    <row r="12" spans="2:7" ht="3.75" customHeight="1" x14ac:dyDescent="0.2"/>
    <row r="13" spans="2:7" ht="12.6" thickBot="1" x14ac:dyDescent="0.3">
      <c r="B13" s="14" t="s">
        <v>106</v>
      </c>
      <c r="C13" s="33">
        <f>SUM(C5:C11)</f>
        <v>6104.2964915509265</v>
      </c>
      <c r="D13" s="33">
        <f>SUM(D5:D11)</f>
        <v>10570.199554755227</v>
      </c>
    </row>
    <row r="15" spans="2:7" x14ac:dyDescent="0.2">
      <c r="B15" s="2" t="s">
        <v>85</v>
      </c>
      <c r="C15" s="27">
        <v>257.43925925925919</v>
      </c>
      <c r="D15" s="27">
        <v>284.73662656076658</v>
      </c>
    </row>
    <row r="16" spans="2:7" x14ac:dyDescent="0.2">
      <c r="B16" s="2" t="s">
        <v>107</v>
      </c>
      <c r="C16" s="2">
        <v>0</v>
      </c>
      <c r="D16" s="2">
        <v>0</v>
      </c>
    </row>
    <row r="17" spans="2:6" x14ac:dyDescent="0.2">
      <c r="B17" s="2" t="s">
        <v>122</v>
      </c>
      <c r="C17" s="2">
        <v>672</v>
      </c>
      <c r="D17" s="2">
        <v>1040</v>
      </c>
    </row>
    <row r="18" spans="2:6" x14ac:dyDescent="0.2">
      <c r="B18" s="2" t="s">
        <v>108</v>
      </c>
      <c r="C18" s="2">
        <v>159</v>
      </c>
      <c r="D18" s="2">
        <v>302</v>
      </c>
      <c r="F18" s="29"/>
    </row>
    <row r="19" spans="2:6" ht="3.75" customHeight="1" x14ac:dyDescent="0.2"/>
    <row r="20" spans="2:6" x14ac:dyDescent="0.2">
      <c r="B20" s="2" t="s">
        <v>109</v>
      </c>
      <c r="C20" s="29">
        <v>5015.8575989583323</v>
      </c>
      <c r="D20" s="29">
        <v>8943</v>
      </c>
      <c r="F20" s="29"/>
    </row>
    <row r="21" spans="2:6" ht="3.75" customHeight="1" x14ac:dyDescent="0.2"/>
    <row r="22" spans="2:6" ht="12.6" thickBot="1" x14ac:dyDescent="0.3">
      <c r="B22" s="14" t="s">
        <v>129</v>
      </c>
      <c r="C22" s="33">
        <f>SUM(C15:C20)</f>
        <v>6104.2968582175918</v>
      </c>
      <c r="D22" s="33">
        <f>SUM(D15:D20)</f>
        <v>10569.736626560767</v>
      </c>
    </row>
    <row r="24" spans="2:6" x14ac:dyDescent="0.2">
      <c r="C24" s="58"/>
      <c r="D24" s="58"/>
      <c r="E24" s="53"/>
    </row>
    <row r="25" spans="2:6" x14ac:dyDescent="0.2">
      <c r="C25" s="53"/>
      <c r="D25" s="53"/>
      <c r="E25" s="53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F30"/>
  <sheetViews>
    <sheetView tabSelected="1" zoomScale="160" zoomScaleNormal="160" workbookViewId="0">
      <selection activeCell="G13" sqref="G13"/>
    </sheetView>
  </sheetViews>
  <sheetFormatPr defaultColWidth="9.109375" defaultRowHeight="11.4" x14ac:dyDescent="0.2"/>
  <cols>
    <col min="1" max="1" width="2" style="2" customWidth="1"/>
    <col min="2" max="2" width="30.6640625" style="2" bestFit="1" customWidth="1"/>
    <col min="3" max="3" width="9.109375" style="2"/>
    <col min="4" max="4" width="8.5546875" style="2" customWidth="1"/>
    <col min="5" max="5" width="2" style="2" customWidth="1"/>
    <col min="6" max="16384" width="9.109375" style="2"/>
  </cols>
  <sheetData>
    <row r="1" spans="2:6" ht="15.6" x14ac:dyDescent="0.3">
      <c r="B1" s="3" t="s">
        <v>110</v>
      </c>
    </row>
    <row r="3" spans="2:6" ht="12" x14ac:dyDescent="0.25">
      <c r="C3" s="65">
        <v>2015</v>
      </c>
      <c r="D3" s="65">
        <v>2016</v>
      </c>
    </row>
    <row r="4" spans="2:6" ht="12.6" thickBot="1" x14ac:dyDescent="0.3">
      <c r="B4" s="7" t="s">
        <v>4</v>
      </c>
      <c r="C4" s="8" t="s">
        <v>9</v>
      </c>
      <c r="D4" s="8" t="s">
        <v>9</v>
      </c>
      <c r="F4" s="2" t="s">
        <v>131</v>
      </c>
    </row>
    <row r="5" spans="2:6" ht="12" x14ac:dyDescent="0.25">
      <c r="B5" s="12" t="s">
        <v>100</v>
      </c>
      <c r="C5" s="34">
        <f>'P&amp;L'!G9</f>
        <v>3546.703333333332</v>
      </c>
      <c r="D5" s="34">
        <f>'P&amp;L'!L9</f>
        <v>5259.389968061435</v>
      </c>
    </row>
    <row r="6" spans="2:6" ht="3.75" customHeight="1" x14ac:dyDescent="0.2"/>
    <row r="7" spans="2:6" ht="12" customHeight="1" x14ac:dyDescent="0.2">
      <c r="B7" s="2" t="s">
        <v>117</v>
      </c>
      <c r="C7" s="27">
        <f>'P&amp;L'!G12</f>
        <v>-10</v>
      </c>
      <c r="D7" s="27">
        <f>'P&amp;L'!L12</f>
        <v>-15</v>
      </c>
    </row>
    <row r="8" spans="2:6" ht="12" customHeight="1" x14ac:dyDescent="0.2">
      <c r="B8" s="2" t="s">
        <v>102</v>
      </c>
      <c r="C8" s="27">
        <f>'P&amp;L'!G14</f>
        <v>-495.41604687499978</v>
      </c>
      <c r="D8" s="27">
        <f>'P&amp;L'!L14</f>
        <v>-737.44512280637593</v>
      </c>
      <c r="F8" s="2" t="s">
        <v>132</v>
      </c>
    </row>
    <row r="9" spans="2:6" ht="3.75" customHeight="1" x14ac:dyDescent="0.2"/>
    <row r="10" spans="2:6" x14ac:dyDescent="0.2">
      <c r="B10" s="2" t="s">
        <v>112</v>
      </c>
      <c r="C10" s="27">
        <v>-99.199999999999989</v>
      </c>
      <c r="D10" s="27">
        <f>-(BS!D6-BS!C6)</f>
        <v>-34.994725131782943</v>
      </c>
    </row>
    <row r="11" spans="2:6" x14ac:dyDescent="0.2">
      <c r="B11" s="2" t="s">
        <v>111</v>
      </c>
      <c r="C11" s="27">
        <v>-990</v>
      </c>
      <c r="D11" s="27">
        <f>-(BS!D7-BS!C7)</f>
        <v>-159.26300175710605</v>
      </c>
    </row>
    <row r="12" spans="2:6" x14ac:dyDescent="0.2">
      <c r="B12" s="2" t="s">
        <v>113</v>
      </c>
      <c r="C12" s="27">
        <v>262.13555555555564</v>
      </c>
      <c r="D12" s="27">
        <f>BS!D15-BS!C15</f>
        <v>27.297367301507393</v>
      </c>
    </row>
    <row r="13" spans="2:6" x14ac:dyDescent="0.2">
      <c r="C13" s="27"/>
      <c r="D13" s="27"/>
    </row>
    <row r="14" spans="2:6" x14ac:dyDescent="0.2">
      <c r="B14" s="2" t="s">
        <v>120</v>
      </c>
      <c r="C14" s="27">
        <v>-41</v>
      </c>
      <c r="D14" s="27">
        <f>-(BS!D9-BS!C9)</f>
        <v>-462</v>
      </c>
    </row>
    <row r="15" spans="2:6" x14ac:dyDescent="0.2">
      <c r="B15" s="2" t="s">
        <v>121</v>
      </c>
      <c r="C15" s="27">
        <v>-87</v>
      </c>
      <c r="D15" s="27">
        <f>BS!D17-BS!C17</f>
        <v>368</v>
      </c>
    </row>
    <row r="16" spans="2:6" ht="12" x14ac:dyDescent="0.25">
      <c r="B16" s="30" t="s">
        <v>124</v>
      </c>
      <c r="C16" s="68">
        <f>SUM(C5:C15)</f>
        <v>2086.2228420138881</v>
      </c>
      <c r="D16" s="68">
        <f>SUM(D5:D15)</f>
        <v>4245.9844856676773</v>
      </c>
    </row>
    <row r="18" spans="2:4" x14ac:dyDescent="0.2">
      <c r="B18" s="2" t="s">
        <v>92</v>
      </c>
      <c r="C18" s="27">
        <v>-474</v>
      </c>
      <c r="D18" s="27">
        <f>-(BS!D11-BS!C11)+'P&amp;L'!L10</f>
        <v>-829.08104533333358</v>
      </c>
    </row>
    <row r="19" spans="2:4" ht="12" x14ac:dyDescent="0.25">
      <c r="B19" s="30" t="s">
        <v>125</v>
      </c>
      <c r="C19" s="68">
        <f>SUM(C18)</f>
        <v>-474</v>
      </c>
      <c r="D19" s="68">
        <f>SUM(D18)</f>
        <v>-829.08104533333358</v>
      </c>
    </row>
    <row r="20" spans="2:4" x14ac:dyDescent="0.2">
      <c r="C20" s="27"/>
      <c r="D20" s="27"/>
    </row>
    <row r="21" spans="2:4" x14ac:dyDescent="0.2">
      <c r="B21" s="2" t="s">
        <v>127</v>
      </c>
      <c r="C21" s="29">
        <v>43</v>
      </c>
      <c r="D21" s="29">
        <f>BS!D18-BS!C18</f>
        <v>143</v>
      </c>
    </row>
    <row r="22" spans="2:4" x14ac:dyDescent="0.2">
      <c r="B22" s="2" t="s">
        <v>128</v>
      </c>
      <c r="C22" s="29">
        <v>-580</v>
      </c>
      <c r="D22" s="29">
        <f>BS!D20-BS!C20-'P&amp;L'!L16</f>
        <v>-251.71329486112882</v>
      </c>
    </row>
    <row r="23" spans="2:4" ht="12" x14ac:dyDescent="0.25">
      <c r="B23" s="30" t="s">
        <v>126</v>
      </c>
      <c r="C23" s="68">
        <f>SUM(C21:C22)</f>
        <v>-537</v>
      </c>
      <c r="D23" s="68">
        <f>D21+D22</f>
        <v>-108.71329486112882</v>
      </c>
    </row>
    <row r="24" spans="2:4" x14ac:dyDescent="0.2">
      <c r="C24" s="29"/>
      <c r="D24" s="29"/>
    </row>
    <row r="25" spans="2:4" ht="3.75" customHeight="1" x14ac:dyDescent="0.2"/>
    <row r="26" spans="2:4" ht="12.6" thickBot="1" x14ac:dyDescent="0.3">
      <c r="B26" s="14" t="s">
        <v>114</v>
      </c>
      <c r="C26" s="33">
        <f>C16+C19+C23</f>
        <v>1075.2228420138881</v>
      </c>
      <c r="D26" s="33">
        <f>D23+D19+D16</f>
        <v>3308.1901454732151</v>
      </c>
    </row>
    <row r="28" spans="2:4" x14ac:dyDescent="0.2">
      <c r="C28" s="57"/>
    </row>
    <row r="29" spans="2:4" x14ac:dyDescent="0.2">
      <c r="C29" s="57"/>
    </row>
    <row r="30" spans="2:4" x14ac:dyDescent="0.2">
      <c r="C30" s="2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2060"/>
  </sheetPr>
  <dimension ref="B11"/>
  <sheetViews>
    <sheetView workbookViewId="0">
      <selection activeCell="I10" sqref="I10"/>
    </sheetView>
  </sheetViews>
  <sheetFormatPr defaultColWidth="9.109375" defaultRowHeight="14.4" x14ac:dyDescent="0.3"/>
  <cols>
    <col min="1" max="1" width="2" style="1" customWidth="1"/>
    <col min="2" max="16384" width="9.109375" style="1"/>
  </cols>
  <sheetData>
    <row r="11" spans="2:2" ht="37.799999999999997" x14ac:dyDescent="0.65">
      <c r="B11" s="4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O35"/>
  <sheetViews>
    <sheetView zoomScale="120" zoomScaleNormal="120" workbookViewId="0">
      <selection activeCell="I10" sqref="I10"/>
    </sheetView>
  </sheetViews>
  <sheetFormatPr defaultColWidth="9.109375" defaultRowHeight="11.4" x14ac:dyDescent="0.2"/>
  <cols>
    <col min="1" max="1" width="2" style="2" customWidth="1"/>
    <col min="2" max="2" width="24.33203125" style="2" customWidth="1"/>
    <col min="3" max="7" width="9.109375" style="2"/>
    <col min="8" max="8" width="1.5546875" style="2" customWidth="1"/>
    <col min="9" max="12" width="9.109375" style="2"/>
    <col min="13" max="13" width="9.109375" style="2" customWidth="1"/>
    <col min="14" max="14" width="3.109375" style="18" customWidth="1"/>
    <col min="15" max="16384" width="9.109375" style="2"/>
  </cols>
  <sheetData>
    <row r="1" spans="2:15" ht="15.6" x14ac:dyDescent="0.3">
      <c r="B1" s="3" t="s">
        <v>2</v>
      </c>
    </row>
    <row r="3" spans="2:15" ht="13.2" x14ac:dyDescent="0.25">
      <c r="B3" s="28" t="s">
        <v>15</v>
      </c>
    </row>
    <row r="4" spans="2:15" ht="12" x14ac:dyDescent="0.25">
      <c r="B4" s="5"/>
    </row>
    <row r="5" spans="2:15" ht="12" x14ac:dyDescent="0.25">
      <c r="C5" s="69" t="s">
        <v>3</v>
      </c>
      <c r="D5" s="69"/>
      <c r="E5" s="69"/>
      <c r="F5" s="69"/>
      <c r="G5" s="69"/>
      <c r="H5" s="6"/>
      <c r="I5" s="69" t="s">
        <v>14</v>
      </c>
      <c r="J5" s="69"/>
      <c r="K5" s="69"/>
      <c r="L5" s="69"/>
      <c r="M5" s="69"/>
      <c r="N5" s="69"/>
      <c r="O5" s="69"/>
    </row>
    <row r="6" spans="2:15" ht="12.6" thickBot="1" x14ac:dyDescent="0.3">
      <c r="B6" s="7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6"/>
      <c r="I6" s="8" t="s">
        <v>5</v>
      </c>
      <c r="J6" s="8" t="s">
        <v>6</v>
      </c>
      <c r="K6" s="8" t="s">
        <v>7</v>
      </c>
      <c r="L6" s="8" t="s">
        <v>8</v>
      </c>
      <c r="M6" s="8" t="s">
        <v>9</v>
      </c>
      <c r="N6" s="19"/>
      <c r="O6" s="17" t="s">
        <v>16</v>
      </c>
    </row>
    <row r="7" spans="2:15" x14ac:dyDescent="0.2">
      <c r="B7" s="2" t="s">
        <v>11</v>
      </c>
      <c r="C7" s="10">
        <v>100</v>
      </c>
      <c r="D7" s="10">
        <v>250</v>
      </c>
      <c r="E7" s="10">
        <v>280</v>
      </c>
      <c r="F7" s="10">
        <v>98</v>
      </c>
      <c r="G7" s="10">
        <f>SUM(C7:F7)</f>
        <v>728</v>
      </c>
      <c r="H7" s="9"/>
      <c r="I7" s="10">
        <f>(1+$O7)*C7</f>
        <v>105</v>
      </c>
      <c r="J7" s="10">
        <f t="shared" ref="J7:J9" si="0">(1+$O7)*D7</f>
        <v>262.5</v>
      </c>
      <c r="K7" s="10">
        <f t="shared" ref="K7:K9" si="1">(1+$O7)*E7</f>
        <v>294</v>
      </c>
      <c r="L7" s="10">
        <f t="shared" ref="L7:L9" si="2">(1+$O7)*F7</f>
        <v>102.9</v>
      </c>
      <c r="M7" s="10">
        <f t="shared" ref="M7:M9" si="3">(1+$O7)*G7</f>
        <v>764.4</v>
      </c>
      <c r="N7" s="20"/>
      <c r="O7" s="11">
        <v>0.05</v>
      </c>
    </row>
    <row r="8" spans="2:15" x14ac:dyDescent="0.2">
      <c r="B8" s="2" t="s">
        <v>12</v>
      </c>
      <c r="C8" s="10">
        <v>50</v>
      </c>
      <c r="D8" s="10">
        <v>86</v>
      </c>
      <c r="E8" s="10">
        <v>92</v>
      </c>
      <c r="F8" s="10">
        <v>65</v>
      </c>
      <c r="G8" s="10">
        <f t="shared" ref="G8:G9" si="4">SUM(C8:F8)</f>
        <v>293</v>
      </c>
      <c r="H8" s="9"/>
      <c r="I8" s="10">
        <f t="shared" ref="I8:I9" si="5">(1+$O8)*C8</f>
        <v>51.6</v>
      </c>
      <c r="J8" s="10">
        <f t="shared" si="0"/>
        <v>88.75200000000001</v>
      </c>
      <c r="K8" s="10">
        <f t="shared" si="1"/>
        <v>94.944000000000003</v>
      </c>
      <c r="L8" s="10">
        <f t="shared" si="2"/>
        <v>67.08</v>
      </c>
      <c r="M8" s="10">
        <f t="shared" si="3"/>
        <v>302.37600000000003</v>
      </c>
      <c r="N8" s="20"/>
      <c r="O8" s="11">
        <v>3.2000000000000001E-2</v>
      </c>
    </row>
    <row r="9" spans="2:15" x14ac:dyDescent="0.2">
      <c r="B9" s="2" t="s">
        <v>13</v>
      </c>
      <c r="C9" s="10">
        <v>45</v>
      </c>
      <c r="D9" s="10">
        <v>120</v>
      </c>
      <c r="E9" s="10">
        <v>120</v>
      </c>
      <c r="F9" s="10">
        <v>70</v>
      </c>
      <c r="G9" s="10">
        <f t="shared" si="4"/>
        <v>355</v>
      </c>
      <c r="H9" s="9"/>
      <c r="I9" s="10">
        <f t="shared" si="5"/>
        <v>49.500000000000007</v>
      </c>
      <c r="J9" s="10">
        <f t="shared" si="0"/>
        <v>132</v>
      </c>
      <c r="K9" s="10">
        <f t="shared" si="1"/>
        <v>132</v>
      </c>
      <c r="L9" s="10">
        <f t="shared" si="2"/>
        <v>77</v>
      </c>
      <c r="M9" s="10">
        <f t="shared" si="3"/>
        <v>390.50000000000006</v>
      </c>
      <c r="N9" s="20"/>
      <c r="O9" s="11">
        <v>0.1</v>
      </c>
    </row>
    <row r="10" spans="2:15" ht="12.6" thickBot="1" x14ac:dyDescent="0.3">
      <c r="B10" s="14" t="s">
        <v>10</v>
      </c>
      <c r="C10" s="15">
        <f>SUM(C7:C9)</f>
        <v>195</v>
      </c>
      <c r="D10" s="15">
        <f>SUM(D7:D9)</f>
        <v>456</v>
      </c>
      <c r="E10" s="15">
        <f>SUM(E7:E9)</f>
        <v>492</v>
      </c>
      <c r="F10" s="15">
        <f>SUM(F7:F9)</f>
        <v>233</v>
      </c>
      <c r="G10" s="15">
        <f>C10+D10+E10+F10</f>
        <v>1376</v>
      </c>
      <c r="H10" s="13"/>
      <c r="I10" s="15">
        <f>SUM(I7:I9)</f>
        <v>206.1</v>
      </c>
      <c r="J10" s="15">
        <f t="shared" ref="J10:M10" si="6">SUM(J7:J9)</f>
        <v>483.25200000000001</v>
      </c>
      <c r="K10" s="15">
        <f t="shared" si="6"/>
        <v>520.94399999999996</v>
      </c>
      <c r="L10" s="15">
        <f t="shared" si="6"/>
        <v>246.98000000000002</v>
      </c>
      <c r="M10" s="15">
        <f t="shared" si="6"/>
        <v>1457.2760000000001</v>
      </c>
      <c r="N10" s="21"/>
      <c r="O10" s="16">
        <f>M10/G10-1</f>
        <v>5.9066860465116333E-2</v>
      </c>
    </row>
    <row r="12" spans="2:15" ht="13.2" x14ac:dyDescent="0.25">
      <c r="B12" s="28" t="s">
        <v>17</v>
      </c>
    </row>
    <row r="14" spans="2:15" ht="12" x14ac:dyDescent="0.25">
      <c r="C14" s="69" t="s">
        <v>3</v>
      </c>
      <c r="D14" s="69"/>
      <c r="E14" s="69"/>
      <c r="F14" s="69"/>
      <c r="G14" s="69"/>
      <c r="H14" s="6"/>
      <c r="I14" s="69" t="s">
        <v>18</v>
      </c>
      <c r="J14" s="69"/>
      <c r="K14" s="69"/>
      <c r="L14" s="69"/>
      <c r="M14" s="69"/>
      <c r="N14" s="69"/>
      <c r="O14" s="69"/>
    </row>
    <row r="15" spans="2:15" ht="12.6" thickBot="1" x14ac:dyDescent="0.3">
      <c r="B15" s="7" t="s">
        <v>4</v>
      </c>
      <c r="C15" s="8" t="s">
        <v>5</v>
      </c>
      <c r="D15" s="8" t="s">
        <v>6</v>
      </c>
      <c r="E15" s="8" t="s">
        <v>7</v>
      </c>
      <c r="F15" s="8" t="s">
        <v>8</v>
      </c>
      <c r="G15" s="8" t="s">
        <v>9</v>
      </c>
      <c r="H15" s="6"/>
      <c r="I15" s="8" t="s">
        <v>5</v>
      </c>
      <c r="J15" s="8" t="s">
        <v>6</v>
      </c>
      <c r="K15" s="8" t="s">
        <v>7</v>
      </c>
      <c r="L15" s="8" t="s">
        <v>8</v>
      </c>
      <c r="M15" s="8" t="s">
        <v>9</v>
      </c>
      <c r="N15" s="19"/>
      <c r="O15" s="17" t="s">
        <v>16</v>
      </c>
    </row>
    <row r="16" spans="2:15" x14ac:dyDescent="0.2">
      <c r="B16" s="2" t="s">
        <v>19</v>
      </c>
      <c r="C16" s="10">
        <v>18525</v>
      </c>
      <c r="D16" s="10">
        <v>43320</v>
      </c>
      <c r="E16" s="10">
        <v>46740</v>
      </c>
      <c r="F16" s="10">
        <v>22135</v>
      </c>
      <c r="G16" s="10">
        <f>SUM(C16:F16)</f>
        <v>130720</v>
      </c>
      <c r="I16" s="10">
        <f>(1+$O$16)*C16</f>
        <v>19506.824999999997</v>
      </c>
      <c r="J16" s="10">
        <f t="shared" ref="J16:M16" si="7">(1+$O$16)*D16</f>
        <v>45615.96</v>
      </c>
      <c r="K16" s="10">
        <f t="shared" si="7"/>
        <v>49217.219999999994</v>
      </c>
      <c r="L16" s="10">
        <f t="shared" si="7"/>
        <v>23308.154999999999</v>
      </c>
      <c r="M16" s="10">
        <f t="shared" si="7"/>
        <v>137648.16</v>
      </c>
      <c r="O16" s="11">
        <v>5.2999999999999999E-2</v>
      </c>
    </row>
    <row r="17" spans="2:15" x14ac:dyDescent="0.2">
      <c r="B17" s="2" t="s">
        <v>20</v>
      </c>
      <c r="C17" s="22">
        <v>1.0526315789473684E-2</v>
      </c>
      <c r="D17" s="22">
        <v>1.0526315789473684E-2</v>
      </c>
      <c r="E17" s="22">
        <v>1.0526315789473684E-2</v>
      </c>
      <c r="F17" s="22">
        <v>1.0526315789473684E-2</v>
      </c>
      <c r="G17" s="22">
        <v>1.0526315789473684E-2</v>
      </c>
      <c r="I17" s="22">
        <v>1.2E-2</v>
      </c>
      <c r="J17" s="22">
        <v>1.2E-2</v>
      </c>
      <c r="K17" s="22">
        <v>1.2E-2</v>
      </c>
      <c r="L17" s="22">
        <v>1.2E-2</v>
      </c>
      <c r="M17" s="22">
        <v>1.2E-2</v>
      </c>
      <c r="O17" s="22"/>
    </row>
    <row r="18" spans="2:15" ht="12.6" thickBot="1" x14ac:dyDescent="0.3">
      <c r="B18" s="14" t="s">
        <v>10</v>
      </c>
      <c r="C18" s="15">
        <f>C16*C17</f>
        <v>195</v>
      </c>
      <c r="D18" s="15">
        <f t="shared" ref="D18:G18" si="8">D16*D17</f>
        <v>456</v>
      </c>
      <c r="E18" s="15">
        <f t="shared" si="8"/>
        <v>492</v>
      </c>
      <c r="F18" s="15">
        <f t="shared" si="8"/>
        <v>233</v>
      </c>
      <c r="G18" s="15">
        <f t="shared" si="8"/>
        <v>1376</v>
      </c>
      <c r="H18" s="13"/>
      <c r="I18" s="15">
        <f>I16*I17</f>
        <v>234.08189999999996</v>
      </c>
      <c r="J18" s="15">
        <f t="shared" ref="J18:M18" si="9">J16*J17</f>
        <v>547.39152000000001</v>
      </c>
      <c r="K18" s="15">
        <f t="shared" si="9"/>
        <v>590.60663999999997</v>
      </c>
      <c r="L18" s="15">
        <f t="shared" si="9"/>
        <v>279.69785999999999</v>
      </c>
      <c r="M18" s="15">
        <f t="shared" si="9"/>
        <v>1651.77792</v>
      </c>
      <c r="N18" s="21"/>
      <c r="O18" s="16">
        <f>M18/G18-1</f>
        <v>0.20042000000000004</v>
      </c>
    </row>
    <row r="20" spans="2:15" ht="12" x14ac:dyDescent="0.25">
      <c r="B20" s="12" t="s">
        <v>21</v>
      </c>
    </row>
    <row r="21" spans="2:15" x14ac:dyDescent="0.2">
      <c r="B21" s="2" t="s">
        <v>22</v>
      </c>
      <c r="C21" s="22">
        <f>O10</f>
        <v>5.9066860465116333E-2</v>
      </c>
    </row>
    <row r="22" spans="2:15" x14ac:dyDescent="0.2">
      <c r="B22" s="2" t="s">
        <v>17</v>
      </c>
      <c r="C22" s="22">
        <f>O18</f>
        <v>0.20042000000000004</v>
      </c>
    </row>
    <row r="23" spans="2:15" ht="12" x14ac:dyDescent="0.25">
      <c r="B23" s="23" t="s">
        <v>23</v>
      </c>
      <c r="C23" s="24">
        <f>AVERAGE(C21:C22)</f>
        <v>0.12974343023255819</v>
      </c>
    </row>
    <row r="24" spans="2:15" ht="12" x14ac:dyDescent="0.25">
      <c r="B24" s="25"/>
      <c r="C24" s="26"/>
    </row>
    <row r="25" spans="2:15" ht="13.2" x14ac:dyDescent="0.25">
      <c r="B25" s="28" t="s">
        <v>24</v>
      </c>
    </row>
    <row r="27" spans="2:15" ht="12" x14ac:dyDescent="0.25">
      <c r="C27" s="69" t="s">
        <v>3</v>
      </c>
      <c r="D27" s="69"/>
      <c r="E27" s="69"/>
      <c r="F27" s="69"/>
      <c r="G27" s="69"/>
      <c r="H27" s="6"/>
      <c r="I27" s="69" t="s">
        <v>24</v>
      </c>
      <c r="J27" s="69"/>
      <c r="K27" s="69"/>
      <c r="L27" s="69"/>
      <c r="M27" s="69"/>
      <c r="N27" s="69"/>
      <c r="O27" s="69"/>
    </row>
    <row r="28" spans="2:15" ht="12.6" thickBot="1" x14ac:dyDescent="0.3">
      <c r="B28" s="7" t="s">
        <v>4</v>
      </c>
      <c r="C28" s="8" t="s">
        <v>5</v>
      </c>
      <c r="D28" s="8" t="s">
        <v>6</v>
      </c>
      <c r="E28" s="8" t="s">
        <v>7</v>
      </c>
      <c r="F28" s="8" t="s">
        <v>8</v>
      </c>
      <c r="G28" s="8" t="s">
        <v>9</v>
      </c>
      <c r="H28" s="6"/>
      <c r="I28" s="8" t="s">
        <v>5</v>
      </c>
      <c r="J28" s="8" t="s">
        <v>6</v>
      </c>
      <c r="K28" s="8" t="s">
        <v>7</v>
      </c>
      <c r="L28" s="8" t="s">
        <v>8</v>
      </c>
      <c r="M28" s="8" t="s">
        <v>9</v>
      </c>
      <c r="N28" s="19"/>
      <c r="O28" s="17" t="s">
        <v>16</v>
      </c>
    </row>
    <row r="29" spans="2:15" x14ac:dyDescent="0.2">
      <c r="B29" s="2" t="s">
        <v>27</v>
      </c>
      <c r="C29" s="10">
        <v>195</v>
      </c>
      <c r="D29" s="10">
        <v>456</v>
      </c>
      <c r="E29" s="10">
        <v>492</v>
      </c>
      <c r="F29" s="10">
        <v>233</v>
      </c>
      <c r="G29" s="10">
        <v>1376</v>
      </c>
      <c r="I29" s="10">
        <f>(1+$C$23)*C29</f>
        <v>220.29996889534885</v>
      </c>
      <c r="J29" s="10">
        <f t="shared" ref="J29:M29" si="10">(1+$C$23)*D29</f>
        <v>515.16300418604658</v>
      </c>
      <c r="K29" s="10">
        <f t="shared" si="10"/>
        <v>555.8337676744186</v>
      </c>
      <c r="L29" s="10">
        <f t="shared" si="10"/>
        <v>263.23021924418606</v>
      </c>
      <c r="M29" s="10">
        <f t="shared" si="10"/>
        <v>1554.5269600000001</v>
      </c>
      <c r="O29" s="11">
        <f>M29/G29-1</f>
        <v>0.12974343023255819</v>
      </c>
    </row>
    <row r="30" spans="2:15" x14ac:dyDescent="0.2">
      <c r="C30" s="40"/>
      <c r="D30" s="40"/>
      <c r="E30" s="40"/>
      <c r="F30" s="40"/>
      <c r="G30" s="40"/>
    </row>
    <row r="31" spans="2:15" x14ac:dyDescent="0.2">
      <c r="B31" s="2" t="s">
        <v>25</v>
      </c>
      <c r="C31" s="40">
        <v>130</v>
      </c>
      <c r="D31" s="40">
        <v>304</v>
      </c>
      <c r="E31" s="40">
        <v>328</v>
      </c>
      <c r="F31" s="40">
        <v>155.33333333333331</v>
      </c>
      <c r="G31" s="10">
        <v>917.33333333333326</v>
      </c>
      <c r="I31" s="27">
        <f>I29*I34</f>
        <v>146.86664593023255</v>
      </c>
      <c r="J31" s="27">
        <f t="shared" ref="J31:M31" si="11">J29*J34</f>
        <v>343.4420027906977</v>
      </c>
      <c r="K31" s="27">
        <f t="shared" si="11"/>
        <v>370.55584511627904</v>
      </c>
      <c r="L31" s="27">
        <f t="shared" si="11"/>
        <v>175.48681282945736</v>
      </c>
      <c r="M31" s="27">
        <f t="shared" si="11"/>
        <v>1036.3513066666667</v>
      </c>
    </row>
    <row r="32" spans="2:15" x14ac:dyDescent="0.2">
      <c r="B32" s="2" t="s">
        <v>26</v>
      </c>
      <c r="C32" s="40">
        <v>65</v>
      </c>
      <c r="D32" s="40">
        <v>152</v>
      </c>
      <c r="E32" s="40">
        <v>164</v>
      </c>
      <c r="F32" s="40">
        <v>77.666666666666657</v>
      </c>
      <c r="G32" s="10">
        <v>458.66666666666663</v>
      </c>
      <c r="I32" s="27">
        <f>I35*I29</f>
        <v>73.433322965116275</v>
      </c>
      <c r="J32" s="27">
        <f t="shared" ref="J32:M32" si="12">J35*J29</f>
        <v>171.72100139534885</v>
      </c>
      <c r="K32" s="27">
        <f t="shared" si="12"/>
        <v>185.27792255813952</v>
      </c>
      <c r="L32" s="27">
        <f t="shared" si="12"/>
        <v>87.743406414728682</v>
      </c>
      <c r="M32" s="27">
        <f t="shared" si="12"/>
        <v>518.17565333333334</v>
      </c>
    </row>
    <row r="34" spans="2:13" x14ac:dyDescent="0.2">
      <c r="B34" s="2" t="s">
        <v>25</v>
      </c>
      <c r="C34" s="11">
        <f>C31/C$29</f>
        <v>0.66666666666666663</v>
      </c>
      <c r="D34" s="11">
        <f t="shared" ref="D34:G34" si="13">D31/D$29</f>
        <v>0.66666666666666663</v>
      </c>
      <c r="E34" s="11">
        <f t="shared" si="13"/>
        <v>0.66666666666666663</v>
      </c>
      <c r="F34" s="11">
        <f t="shared" si="13"/>
        <v>0.66666666666666663</v>
      </c>
      <c r="G34" s="11">
        <f t="shared" si="13"/>
        <v>0.66666666666666663</v>
      </c>
      <c r="I34" s="22">
        <f>C34</f>
        <v>0.66666666666666663</v>
      </c>
      <c r="J34" s="22">
        <f t="shared" ref="J34:J35" si="14">D34</f>
        <v>0.66666666666666663</v>
      </c>
      <c r="K34" s="22">
        <f t="shared" ref="K34:K35" si="15">E34</f>
        <v>0.66666666666666663</v>
      </c>
      <c r="L34" s="22">
        <f t="shared" ref="L34:L35" si="16">F34</f>
        <v>0.66666666666666663</v>
      </c>
      <c r="M34" s="22">
        <f t="shared" ref="M34:M35" si="17">G34</f>
        <v>0.66666666666666663</v>
      </c>
    </row>
    <row r="35" spans="2:13" x14ac:dyDescent="0.2">
      <c r="B35" s="2" t="s">
        <v>26</v>
      </c>
      <c r="C35" s="11">
        <f t="shared" ref="C35:G35" si="18">C32/C$29</f>
        <v>0.33333333333333331</v>
      </c>
      <c r="D35" s="11">
        <f t="shared" si="18"/>
        <v>0.33333333333333331</v>
      </c>
      <c r="E35" s="11">
        <f t="shared" si="18"/>
        <v>0.33333333333333331</v>
      </c>
      <c r="F35" s="11">
        <f t="shared" si="18"/>
        <v>0.33333333333333331</v>
      </c>
      <c r="G35" s="11">
        <f t="shared" si="18"/>
        <v>0.33333333333333331</v>
      </c>
      <c r="I35" s="22">
        <f t="shared" ref="I35" si="19">C35</f>
        <v>0.33333333333333331</v>
      </c>
      <c r="J35" s="22">
        <f t="shared" si="14"/>
        <v>0.33333333333333331</v>
      </c>
      <c r="K35" s="22">
        <f t="shared" si="15"/>
        <v>0.33333333333333331</v>
      </c>
      <c r="L35" s="22">
        <f t="shared" si="16"/>
        <v>0.33333333333333331</v>
      </c>
      <c r="M35" s="22">
        <f t="shared" si="17"/>
        <v>0.33333333333333331</v>
      </c>
    </row>
  </sheetData>
  <mergeCells count="6">
    <mergeCell ref="C5:G5"/>
    <mergeCell ref="I5:O5"/>
    <mergeCell ref="C14:G14"/>
    <mergeCell ref="I14:O14"/>
    <mergeCell ref="C27:G27"/>
    <mergeCell ref="I27:O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1:O20"/>
  <sheetViews>
    <sheetView zoomScale="160" zoomScaleNormal="160" workbookViewId="0">
      <selection activeCell="I10" sqref="I10"/>
    </sheetView>
  </sheetViews>
  <sheetFormatPr defaultColWidth="9.109375" defaultRowHeight="11.4" x14ac:dyDescent="0.2"/>
  <cols>
    <col min="1" max="1" width="2" style="2" customWidth="1"/>
    <col min="2" max="2" width="18.44140625" style="2" customWidth="1"/>
    <col min="3" max="7" width="9.109375" style="2"/>
    <col min="8" max="8" width="1.5546875" style="2" customWidth="1"/>
    <col min="9" max="16384" width="9.109375" style="2"/>
  </cols>
  <sheetData>
    <row r="1" spans="2:15" ht="15.6" x14ac:dyDescent="0.3">
      <c r="B1" s="3" t="s">
        <v>28</v>
      </c>
    </row>
    <row r="4" spans="2:15" ht="12" x14ac:dyDescent="0.25">
      <c r="C4" s="69" t="s">
        <v>3</v>
      </c>
      <c r="D4" s="69"/>
      <c r="E4" s="69"/>
      <c r="F4" s="69"/>
      <c r="G4" s="69"/>
      <c r="H4" s="6"/>
      <c r="I4" s="69" t="s">
        <v>24</v>
      </c>
      <c r="J4" s="69"/>
      <c r="K4" s="69"/>
      <c r="L4" s="69"/>
      <c r="M4" s="69"/>
      <c r="N4" s="69"/>
      <c r="O4" s="69"/>
    </row>
    <row r="5" spans="2:15" ht="12.6" thickBot="1" x14ac:dyDescent="0.3">
      <c r="B5" s="7" t="s">
        <v>4</v>
      </c>
      <c r="C5" s="8" t="s">
        <v>5</v>
      </c>
      <c r="D5" s="8" t="s">
        <v>6</v>
      </c>
      <c r="E5" s="8" t="s">
        <v>7</v>
      </c>
      <c r="F5" s="8" t="s">
        <v>8</v>
      </c>
      <c r="G5" s="8" t="s">
        <v>9</v>
      </c>
      <c r="H5" s="6"/>
      <c r="I5" s="8" t="s">
        <v>5</v>
      </c>
      <c r="J5" s="8" t="s">
        <v>6</v>
      </c>
      <c r="K5" s="8" t="s">
        <v>7</v>
      </c>
      <c r="L5" s="8" t="s">
        <v>8</v>
      </c>
      <c r="M5" s="8" t="s">
        <v>9</v>
      </c>
      <c r="N5" s="19"/>
      <c r="O5" s="17" t="s">
        <v>16</v>
      </c>
    </row>
    <row r="6" spans="2:15" x14ac:dyDescent="0.2">
      <c r="B6" s="2" t="s">
        <v>27</v>
      </c>
      <c r="C6" s="10">
        <f>'Volume Forecast'!C29</f>
        <v>195</v>
      </c>
      <c r="D6" s="10">
        <f>'Volume Forecast'!D29</f>
        <v>456</v>
      </c>
      <c r="E6" s="10">
        <f>'Volume Forecast'!E29</f>
        <v>492</v>
      </c>
      <c r="F6" s="10">
        <f>'Volume Forecast'!F29</f>
        <v>233</v>
      </c>
      <c r="G6" s="10">
        <f>'Volume Forecast'!G29</f>
        <v>1376</v>
      </c>
      <c r="I6" s="10">
        <f>'Volume Forecast'!I29</f>
        <v>220.29996889534885</v>
      </c>
      <c r="J6" s="10">
        <f>'Volume Forecast'!J29</f>
        <v>515.16300418604658</v>
      </c>
      <c r="K6" s="10">
        <f>'Volume Forecast'!K29</f>
        <v>555.8337676744186</v>
      </c>
      <c r="L6" s="10">
        <f>'Volume Forecast'!L29</f>
        <v>263.23021924418606</v>
      </c>
      <c r="M6" s="10">
        <f>'Volume Forecast'!M29</f>
        <v>1554.5269600000001</v>
      </c>
      <c r="N6" s="18"/>
      <c r="O6" s="11">
        <f>M6/G6-1</f>
        <v>0.12974343023255819</v>
      </c>
    </row>
    <row r="7" spans="2:15" x14ac:dyDescent="0.2">
      <c r="C7" s="10"/>
      <c r="D7" s="10"/>
      <c r="E7" s="10"/>
      <c r="F7" s="10"/>
      <c r="G7" s="10"/>
      <c r="N7" s="18"/>
    </row>
    <row r="8" spans="2:15" x14ac:dyDescent="0.2">
      <c r="B8" s="2" t="s">
        <v>25</v>
      </c>
      <c r="C8" s="10">
        <f>'Volume Forecast'!C31</f>
        <v>130</v>
      </c>
      <c r="D8" s="10">
        <f>'Volume Forecast'!D31</f>
        <v>304</v>
      </c>
      <c r="E8" s="10">
        <f>'Volume Forecast'!E31</f>
        <v>328</v>
      </c>
      <c r="F8" s="10">
        <f>'Volume Forecast'!F31</f>
        <v>155.33333333333331</v>
      </c>
      <c r="G8" s="10">
        <f>'Volume Forecast'!G31</f>
        <v>917.33333333333326</v>
      </c>
      <c r="I8" s="27">
        <f>'Volume Forecast'!I31</f>
        <v>146.86664593023255</v>
      </c>
      <c r="J8" s="27">
        <f>'Volume Forecast'!J31</f>
        <v>343.4420027906977</v>
      </c>
      <c r="K8" s="27">
        <f>'Volume Forecast'!K31</f>
        <v>370.55584511627904</v>
      </c>
      <c r="L8" s="27">
        <f>'Volume Forecast'!L31</f>
        <v>175.48681282945736</v>
      </c>
      <c r="M8" s="27">
        <f>'Volume Forecast'!M31</f>
        <v>1036.3513066666667</v>
      </c>
      <c r="N8" s="18"/>
    </row>
    <row r="9" spans="2:15" x14ac:dyDescent="0.2">
      <c r="B9" s="2" t="s">
        <v>26</v>
      </c>
      <c r="C9" s="10">
        <f>'Volume Forecast'!C32</f>
        <v>65</v>
      </c>
      <c r="D9" s="10">
        <f>'Volume Forecast'!D32</f>
        <v>152</v>
      </c>
      <c r="E9" s="10">
        <f>'Volume Forecast'!E32</f>
        <v>164</v>
      </c>
      <c r="F9" s="10">
        <f>'Volume Forecast'!F32</f>
        <v>77.666666666666657</v>
      </c>
      <c r="G9" s="10">
        <f>'Volume Forecast'!G32</f>
        <v>458.66666666666663</v>
      </c>
      <c r="I9" s="27">
        <f>'Volume Forecast'!I32</f>
        <v>73.433322965116275</v>
      </c>
      <c r="J9" s="27">
        <f>'Volume Forecast'!J32</f>
        <v>171.72100139534885</v>
      </c>
      <c r="K9" s="27">
        <f>'Volume Forecast'!K32</f>
        <v>185.27792255813952</v>
      </c>
      <c r="L9" s="27">
        <f>'Volume Forecast'!L32</f>
        <v>87.743406414728682</v>
      </c>
      <c r="M9" s="27">
        <f>'Volume Forecast'!M32</f>
        <v>518.17565333333334</v>
      </c>
      <c r="N9" s="18"/>
    </row>
    <row r="11" spans="2:15" x14ac:dyDescent="0.2">
      <c r="B11" s="2" t="s">
        <v>25</v>
      </c>
      <c r="C11" s="11">
        <f>C8/C$6</f>
        <v>0.66666666666666663</v>
      </c>
      <c r="D11" s="11">
        <f t="shared" ref="D11:G11" si="0">D8/D$6</f>
        <v>0.66666666666666663</v>
      </c>
      <c r="E11" s="11">
        <f t="shared" si="0"/>
        <v>0.66666666666666663</v>
      </c>
      <c r="F11" s="11">
        <f t="shared" si="0"/>
        <v>0.66666666666666663</v>
      </c>
      <c r="G11" s="11">
        <f t="shared" si="0"/>
        <v>0.66666666666666663</v>
      </c>
      <c r="I11" s="22">
        <f>'Volume Forecast'!I34</f>
        <v>0.66666666666666663</v>
      </c>
      <c r="J11" s="22">
        <f>'Volume Forecast'!J34</f>
        <v>0.66666666666666663</v>
      </c>
      <c r="K11" s="22">
        <f>'Volume Forecast'!K34</f>
        <v>0.66666666666666663</v>
      </c>
      <c r="L11" s="22">
        <f>'Volume Forecast'!L34</f>
        <v>0.66666666666666663</v>
      </c>
      <c r="M11" s="22">
        <f>'Volume Forecast'!M34</f>
        <v>0.66666666666666663</v>
      </c>
    </row>
    <row r="12" spans="2:15" x14ac:dyDescent="0.2">
      <c r="B12" s="2" t="s">
        <v>26</v>
      </c>
      <c r="C12" s="11">
        <f t="shared" ref="C12:G12" si="1">C9/C$6</f>
        <v>0.33333333333333331</v>
      </c>
      <c r="D12" s="11">
        <f t="shared" si="1"/>
        <v>0.33333333333333331</v>
      </c>
      <c r="E12" s="11">
        <f t="shared" si="1"/>
        <v>0.33333333333333331</v>
      </c>
      <c r="F12" s="11">
        <f t="shared" si="1"/>
        <v>0.33333333333333331</v>
      </c>
      <c r="G12" s="11">
        <f t="shared" si="1"/>
        <v>0.33333333333333331</v>
      </c>
      <c r="I12" s="22">
        <f>'Volume Forecast'!I35</f>
        <v>0.33333333333333331</v>
      </c>
      <c r="J12" s="22">
        <f>'Volume Forecast'!J35</f>
        <v>0.33333333333333331</v>
      </c>
      <c r="K12" s="22">
        <f>'Volume Forecast'!K35</f>
        <v>0.33333333333333331</v>
      </c>
      <c r="L12" s="22">
        <f>'Volume Forecast'!L35</f>
        <v>0.33333333333333331</v>
      </c>
      <c r="M12" s="22">
        <f>'Volume Forecast'!M35</f>
        <v>0.33333333333333331</v>
      </c>
    </row>
    <row r="14" spans="2:15" x14ac:dyDescent="0.2">
      <c r="B14" s="2" t="s">
        <v>29</v>
      </c>
      <c r="C14" s="2">
        <v>10</v>
      </c>
      <c r="D14" s="2">
        <v>10</v>
      </c>
      <c r="E14" s="2">
        <v>10</v>
      </c>
      <c r="F14" s="2">
        <v>10</v>
      </c>
      <c r="G14" s="2">
        <v>10</v>
      </c>
      <c r="I14" s="2">
        <v>10</v>
      </c>
      <c r="J14" s="2">
        <v>10</v>
      </c>
      <c r="K14" s="2">
        <v>10</v>
      </c>
      <c r="L14" s="2">
        <v>10</v>
      </c>
      <c r="M14" s="2">
        <v>10</v>
      </c>
    </row>
    <row r="15" spans="2:15" x14ac:dyDescent="0.2">
      <c r="B15" s="2" t="s">
        <v>30</v>
      </c>
      <c r="C15" s="2">
        <v>10</v>
      </c>
      <c r="D15" s="2">
        <v>10</v>
      </c>
      <c r="E15" s="2">
        <v>10</v>
      </c>
      <c r="F15" s="2">
        <v>10</v>
      </c>
      <c r="G15" s="2">
        <v>10</v>
      </c>
      <c r="I15" s="2">
        <v>12</v>
      </c>
      <c r="J15" s="2">
        <v>12</v>
      </c>
      <c r="K15" s="2">
        <v>12</v>
      </c>
      <c r="L15" s="2">
        <v>12</v>
      </c>
      <c r="M15" s="2">
        <v>12</v>
      </c>
    </row>
    <row r="17" spans="2:15" ht="12" x14ac:dyDescent="0.25">
      <c r="B17" s="30" t="s">
        <v>31</v>
      </c>
      <c r="C17" s="31">
        <f>C8*C14</f>
        <v>1300</v>
      </c>
      <c r="D17" s="31">
        <f t="shared" ref="D17:G17" si="2">D8*D14</f>
        <v>3040</v>
      </c>
      <c r="E17" s="31">
        <f t="shared" si="2"/>
        <v>3280</v>
      </c>
      <c r="F17" s="31">
        <f t="shared" si="2"/>
        <v>1553.333333333333</v>
      </c>
      <c r="G17" s="31">
        <f t="shared" si="2"/>
        <v>9173.3333333333321</v>
      </c>
      <c r="H17" s="29"/>
      <c r="I17" s="31">
        <f>I8*I14</f>
        <v>1468.6664593023256</v>
      </c>
      <c r="J17" s="31">
        <f t="shared" ref="J17:M17" si="3">J8*J14</f>
        <v>3434.4200279069769</v>
      </c>
      <c r="K17" s="31">
        <f t="shared" si="3"/>
        <v>3705.5584511627903</v>
      </c>
      <c r="L17" s="31">
        <f t="shared" si="3"/>
        <v>1754.8681282945736</v>
      </c>
      <c r="M17" s="31">
        <f t="shared" si="3"/>
        <v>10363.513066666666</v>
      </c>
    </row>
    <row r="18" spans="2:15" ht="12" x14ac:dyDescent="0.25">
      <c r="B18" s="5" t="s">
        <v>32</v>
      </c>
      <c r="C18" s="32">
        <f>C9*C15</f>
        <v>650</v>
      </c>
      <c r="D18" s="32">
        <f t="shared" ref="D18:G18" si="4">D9*D15</f>
        <v>1520</v>
      </c>
      <c r="E18" s="32">
        <f t="shared" si="4"/>
        <v>1640</v>
      </c>
      <c r="F18" s="32">
        <f t="shared" si="4"/>
        <v>776.66666666666652</v>
      </c>
      <c r="G18" s="32">
        <f t="shared" si="4"/>
        <v>4586.6666666666661</v>
      </c>
      <c r="H18" s="29"/>
      <c r="I18" s="32">
        <f>I9*I15</f>
        <v>881.1998755813953</v>
      </c>
      <c r="J18" s="32">
        <f t="shared" ref="J18:M18" si="5">J9*J15</f>
        <v>2060.6520167441863</v>
      </c>
      <c r="K18" s="32">
        <f t="shared" si="5"/>
        <v>2223.3350706976744</v>
      </c>
      <c r="L18" s="32">
        <f t="shared" si="5"/>
        <v>1052.9208769767442</v>
      </c>
      <c r="M18" s="32">
        <f t="shared" si="5"/>
        <v>6218.1078400000006</v>
      </c>
    </row>
    <row r="20" spans="2:15" ht="12.6" thickBot="1" x14ac:dyDescent="0.3">
      <c r="B20" s="14" t="s">
        <v>33</v>
      </c>
      <c r="C20" s="33">
        <f>C17+C18</f>
        <v>1950</v>
      </c>
      <c r="D20" s="33">
        <f t="shared" ref="D20:G20" si="6">D17+D18</f>
        <v>4560</v>
      </c>
      <c r="E20" s="33">
        <f t="shared" si="6"/>
        <v>4920</v>
      </c>
      <c r="F20" s="33">
        <f t="shared" si="6"/>
        <v>2329.9999999999995</v>
      </c>
      <c r="G20" s="33">
        <f t="shared" si="6"/>
        <v>13759.999999999998</v>
      </c>
      <c r="H20" s="34"/>
      <c r="I20" s="33">
        <f>I17+I18</f>
        <v>2349.8663348837208</v>
      </c>
      <c r="J20" s="33">
        <f t="shared" ref="J20:M20" si="7">J17+J18</f>
        <v>5495.0720446511632</v>
      </c>
      <c r="K20" s="33">
        <f t="shared" si="7"/>
        <v>5928.8935218604647</v>
      </c>
      <c r="L20" s="33">
        <f t="shared" si="7"/>
        <v>2807.7890052713178</v>
      </c>
      <c r="M20" s="33">
        <f t="shared" si="7"/>
        <v>16581.620906666667</v>
      </c>
      <c r="O20" s="11"/>
    </row>
  </sheetData>
  <mergeCells count="2">
    <mergeCell ref="C4:G4"/>
    <mergeCell ref="I4:O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:B11"/>
  <sheetViews>
    <sheetView workbookViewId="0">
      <selection activeCell="I10" sqref="I10"/>
    </sheetView>
  </sheetViews>
  <sheetFormatPr defaultColWidth="9.109375" defaultRowHeight="11.4" x14ac:dyDescent="0.2"/>
  <cols>
    <col min="1" max="1" width="2" style="2" customWidth="1"/>
    <col min="2" max="16384" width="9.109375" style="2"/>
  </cols>
  <sheetData>
    <row r="1" spans="2:2" ht="15.6" x14ac:dyDescent="0.3">
      <c r="B1" s="3"/>
    </row>
    <row r="11" spans="2:2" ht="37.799999999999997" x14ac:dyDescent="0.65">
      <c r="B11" s="4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O58"/>
  <sheetViews>
    <sheetView zoomScale="160" zoomScaleNormal="160" workbookViewId="0">
      <selection activeCell="I10" sqref="I10"/>
    </sheetView>
  </sheetViews>
  <sheetFormatPr defaultColWidth="9.109375" defaultRowHeight="11.4" x14ac:dyDescent="0.2"/>
  <cols>
    <col min="1" max="1" width="2" style="2" customWidth="1"/>
    <col min="2" max="2" width="11.44140625" style="2" customWidth="1"/>
    <col min="3" max="7" width="9.109375" style="2"/>
    <col min="8" max="8" width="1.5546875" style="2" customWidth="1"/>
    <col min="9" max="13" width="9.109375" style="2"/>
    <col min="14" max="14" width="1.5546875" style="2" customWidth="1"/>
    <col min="15" max="16384" width="9.109375" style="2"/>
  </cols>
  <sheetData>
    <row r="1" spans="2:15" ht="15.6" x14ac:dyDescent="0.3">
      <c r="B1" s="3" t="s">
        <v>35</v>
      </c>
    </row>
    <row r="3" spans="2:15" ht="13.2" x14ac:dyDescent="0.25">
      <c r="B3" s="28"/>
    </row>
    <row r="5" spans="2:15" ht="12" x14ac:dyDescent="0.25">
      <c r="C5" s="69" t="s">
        <v>3</v>
      </c>
      <c r="D5" s="69"/>
      <c r="E5" s="69"/>
      <c r="F5" s="69"/>
      <c r="G5" s="69"/>
      <c r="H5" s="6"/>
      <c r="I5" s="69" t="s">
        <v>24</v>
      </c>
      <c r="J5" s="69"/>
      <c r="K5" s="69"/>
      <c r="L5" s="69"/>
      <c r="M5" s="69"/>
      <c r="N5" s="69"/>
      <c r="O5" s="69"/>
    </row>
    <row r="6" spans="2:15" ht="12.6" thickBot="1" x14ac:dyDescent="0.3">
      <c r="B6" s="7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6"/>
      <c r="I6" s="8" t="s">
        <v>5</v>
      </c>
      <c r="J6" s="8" t="s">
        <v>6</v>
      </c>
      <c r="K6" s="8" t="s">
        <v>7</v>
      </c>
      <c r="L6" s="8" t="s">
        <v>8</v>
      </c>
      <c r="M6" s="8" t="s">
        <v>9</v>
      </c>
      <c r="N6" s="19"/>
      <c r="O6" s="17" t="s">
        <v>16</v>
      </c>
    </row>
    <row r="7" spans="2:15" x14ac:dyDescent="0.2">
      <c r="B7" s="2" t="s">
        <v>27</v>
      </c>
      <c r="C7" s="10">
        <f>'Revenue Forecast'!C6</f>
        <v>195</v>
      </c>
      <c r="D7" s="10">
        <f>'Revenue Forecast'!D6</f>
        <v>456</v>
      </c>
      <c r="E7" s="10">
        <f>'Revenue Forecast'!E6</f>
        <v>492</v>
      </c>
      <c r="F7" s="10">
        <f>'Revenue Forecast'!F6</f>
        <v>233</v>
      </c>
      <c r="G7" s="10">
        <f>'Revenue Forecast'!G6</f>
        <v>1376</v>
      </c>
      <c r="I7" s="10">
        <f>'Revenue Forecast'!I6</f>
        <v>220.29996889534885</v>
      </c>
      <c r="J7" s="10">
        <f>'Revenue Forecast'!J6</f>
        <v>515.16300418604658</v>
      </c>
      <c r="K7" s="10">
        <f>'Revenue Forecast'!K6</f>
        <v>555.8337676744186</v>
      </c>
      <c r="L7" s="10">
        <f>'Revenue Forecast'!L6</f>
        <v>263.23021924418606</v>
      </c>
      <c r="M7" s="10">
        <f>'Revenue Forecast'!M6</f>
        <v>1554.5269600000001</v>
      </c>
      <c r="N7" s="18"/>
      <c r="O7" s="9">
        <f>'Revenue Forecast'!O6</f>
        <v>0.12974343023255819</v>
      </c>
    </row>
    <row r="9" spans="2:15" x14ac:dyDescent="0.2">
      <c r="B9" s="2" t="s">
        <v>25</v>
      </c>
      <c r="C9" s="10">
        <f>'Revenue Forecast'!C8</f>
        <v>130</v>
      </c>
      <c r="D9" s="10">
        <f>'Revenue Forecast'!D8</f>
        <v>304</v>
      </c>
      <c r="E9" s="10">
        <f>'Revenue Forecast'!E8</f>
        <v>328</v>
      </c>
      <c r="F9" s="10">
        <f>'Revenue Forecast'!F8</f>
        <v>155.33333333333331</v>
      </c>
      <c r="G9" s="10">
        <f>'Revenue Forecast'!G8</f>
        <v>917.33333333333326</v>
      </c>
      <c r="H9" s="27"/>
      <c r="I9" s="10">
        <f>'Revenue Forecast'!I8</f>
        <v>146.86664593023255</v>
      </c>
      <c r="J9" s="10">
        <f>'Revenue Forecast'!J8</f>
        <v>343.4420027906977</v>
      </c>
      <c r="K9" s="10">
        <f>'Revenue Forecast'!K8</f>
        <v>370.55584511627904</v>
      </c>
      <c r="L9" s="10">
        <f>'Revenue Forecast'!L8</f>
        <v>175.48681282945736</v>
      </c>
      <c r="M9" s="10">
        <f>'Revenue Forecast'!M8</f>
        <v>1036.3513066666667</v>
      </c>
    </row>
    <row r="10" spans="2:15" x14ac:dyDescent="0.2">
      <c r="B10" s="2" t="s">
        <v>26</v>
      </c>
      <c r="C10" s="10">
        <f>'Revenue Forecast'!C9</f>
        <v>65</v>
      </c>
      <c r="D10" s="10">
        <f>'Revenue Forecast'!D9</f>
        <v>152</v>
      </c>
      <c r="E10" s="10">
        <f>'Revenue Forecast'!E9</f>
        <v>164</v>
      </c>
      <c r="F10" s="10">
        <f>'Revenue Forecast'!F9</f>
        <v>77.666666666666657</v>
      </c>
      <c r="G10" s="10">
        <f>'Revenue Forecast'!G9</f>
        <v>458.66666666666663</v>
      </c>
      <c r="H10" s="27"/>
      <c r="I10" s="10">
        <f>'Revenue Forecast'!I9</f>
        <v>73.433322965116275</v>
      </c>
      <c r="J10" s="10">
        <f>'Revenue Forecast'!J9</f>
        <v>171.72100139534885</v>
      </c>
      <c r="K10" s="10">
        <f>'Revenue Forecast'!K9</f>
        <v>185.27792255813952</v>
      </c>
      <c r="L10" s="10">
        <f>'Revenue Forecast'!L9</f>
        <v>87.743406414728682</v>
      </c>
      <c r="M10" s="10">
        <f>'Revenue Forecast'!M9</f>
        <v>518.17565333333334</v>
      </c>
    </row>
    <row r="13" spans="2:15" x14ac:dyDescent="0.2">
      <c r="B13" s="35" t="s">
        <v>36</v>
      </c>
    </row>
    <row r="14" spans="2:15" x14ac:dyDescent="0.2">
      <c r="B14" s="2" t="s">
        <v>25</v>
      </c>
      <c r="C14" s="9">
        <v>0.25</v>
      </c>
      <c r="D14" s="9">
        <v>0.25</v>
      </c>
      <c r="E14" s="9">
        <v>0.25</v>
      </c>
      <c r="F14" s="9">
        <v>0.25</v>
      </c>
      <c r="I14" s="9">
        <v>0.25</v>
      </c>
      <c r="J14" s="9">
        <v>0.25</v>
      </c>
      <c r="K14" s="9">
        <v>0.25</v>
      </c>
      <c r="L14" s="9">
        <v>0.25</v>
      </c>
    </row>
    <row r="15" spans="2:15" x14ac:dyDescent="0.2">
      <c r="B15" s="2" t="s">
        <v>26</v>
      </c>
      <c r="C15" s="9">
        <v>0.3</v>
      </c>
      <c r="D15" s="9">
        <v>0.3</v>
      </c>
      <c r="E15" s="9">
        <v>0.3</v>
      </c>
      <c r="F15" s="9">
        <v>0.3</v>
      </c>
      <c r="I15" s="9">
        <v>0.3</v>
      </c>
      <c r="J15" s="9">
        <v>0.3</v>
      </c>
      <c r="K15" s="9">
        <v>0.3</v>
      </c>
      <c r="L15" s="9">
        <v>0.3</v>
      </c>
    </row>
    <row r="17" spans="2:15" x14ac:dyDescent="0.2">
      <c r="B17" s="35" t="s">
        <v>37</v>
      </c>
    </row>
    <row r="18" spans="2:15" x14ac:dyDescent="0.2">
      <c r="B18" s="2" t="s">
        <v>25</v>
      </c>
      <c r="C18" s="27">
        <v>32</v>
      </c>
      <c r="D18" s="27">
        <f t="shared" ref="D18:F19" si="0">C22</f>
        <v>32.5</v>
      </c>
      <c r="E18" s="27">
        <f t="shared" si="0"/>
        <v>76</v>
      </c>
      <c r="F18" s="27">
        <f t="shared" si="0"/>
        <v>82</v>
      </c>
      <c r="I18" s="27">
        <f>F22</f>
        <v>38.833333333333329</v>
      </c>
      <c r="J18" s="27">
        <f>I22</f>
        <v>36.716661482558138</v>
      </c>
      <c r="K18" s="27">
        <f t="shared" ref="K18:L18" si="1">J22</f>
        <v>85.860500697674425</v>
      </c>
      <c r="L18" s="27">
        <f t="shared" si="1"/>
        <v>92.638961279069761</v>
      </c>
    </row>
    <row r="19" spans="2:15" x14ac:dyDescent="0.2">
      <c r="B19" s="2" t="s">
        <v>26</v>
      </c>
      <c r="C19" s="27">
        <v>16</v>
      </c>
      <c r="D19" s="27">
        <f t="shared" si="0"/>
        <v>19.5</v>
      </c>
      <c r="E19" s="27">
        <f t="shared" si="0"/>
        <v>45.6</v>
      </c>
      <c r="F19" s="27">
        <f t="shared" si="0"/>
        <v>49.199999999999996</v>
      </c>
      <c r="I19" s="27">
        <f>F23</f>
        <v>23.299999999999997</v>
      </c>
      <c r="J19" s="27">
        <f>I23</f>
        <v>22.029996889534882</v>
      </c>
      <c r="K19" s="27">
        <f t="shared" ref="K19:L19" si="2">J23</f>
        <v>51.516300418604651</v>
      </c>
      <c r="L19" s="27">
        <f t="shared" si="2"/>
        <v>55.583376767441855</v>
      </c>
    </row>
    <row r="21" spans="2:15" x14ac:dyDescent="0.2">
      <c r="B21" s="35" t="s">
        <v>38</v>
      </c>
    </row>
    <row r="22" spans="2:15" x14ac:dyDescent="0.2">
      <c r="B22" s="2" t="s">
        <v>25</v>
      </c>
      <c r="C22" s="27">
        <f>C14*C9</f>
        <v>32.5</v>
      </c>
      <c r="D22" s="27">
        <f t="shared" ref="C22:F23" si="3">D14*D9</f>
        <v>76</v>
      </c>
      <c r="E22" s="27">
        <f t="shared" si="3"/>
        <v>82</v>
      </c>
      <c r="F22" s="27">
        <f t="shared" si="3"/>
        <v>38.833333333333329</v>
      </c>
      <c r="I22" s="27">
        <f>I14*I9</f>
        <v>36.716661482558138</v>
      </c>
      <c r="J22" s="27">
        <f t="shared" ref="J22:L22" si="4">J14*J9</f>
        <v>85.860500697674425</v>
      </c>
      <c r="K22" s="27">
        <f t="shared" si="4"/>
        <v>92.638961279069761</v>
      </c>
      <c r="L22" s="27">
        <f t="shared" si="4"/>
        <v>43.871703207364341</v>
      </c>
    </row>
    <row r="23" spans="2:15" x14ac:dyDescent="0.2">
      <c r="B23" s="2" t="s">
        <v>26</v>
      </c>
      <c r="C23" s="27">
        <f t="shared" si="3"/>
        <v>19.5</v>
      </c>
      <c r="D23" s="27">
        <f t="shared" si="3"/>
        <v>45.6</v>
      </c>
      <c r="E23" s="27">
        <f t="shared" si="3"/>
        <v>49.199999999999996</v>
      </c>
      <c r="F23" s="27">
        <f t="shared" si="3"/>
        <v>23.299999999999997</v>
      </c>
      <c r="I23" s="27">
        <f t="shared" ref="I23:L23" si="5">I15*I10</f>
        <v>22.029996889534882</v>
      </c>
      <c r="J23" s="27">
        <f t="shared" si="5"/>
        <v>51.516300418604651</v>
      </c>
      <c r="K23" s="27">
        <f t="shared" si="5"/>
        <v>55.583376767441855</v>
      </c>
      <c r="L23" s="27">
        <f t="shared" si="5"/>
        <v>26.323021924418605</v>
      </c>
    </row>
    <row r="25" spans="2:15" x14ac:dyDescent="0.2">
      <c r="B25" s="36" t="s">
        <v>39</v>
      </c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</row>
    <row r="26" spans="2:15" ht="12" x14ac:dyDescent="0.25">
      <c r="B26" s="37" t="s">
        <v>25</v>
      </c>
      <c r="C26" s="38">
        <f t="shared" ref="C26:F27" si="6">C9+C22-C18</f>
        <v>130.5</v>
      </c>
      <c r="D26" s="38">
        <f t="shared" si="6"/>
        <v>347.5</v>
      </c>
      <c r="E26" s="38">
        <f t="shared" si="6"/>
        <v>334</v>
      </c>
      <c r="F26" s="38">
        <f t="shared" si="6"/>
        <v>112.16666666666663</v>
      </c>
      <c r="G26" s="39">
        <f>SUM(C26:F26)</f>
        <v>924.16666666666663</v>
      </c>
      <c r="H26" s="37"/>
      <c r="I26" s="38">
        <f>I9+I22-I18</f>
        <v>144.74997407945739</v>
      </c>
      <c r="J26" s="38">
        <f t="shared" ref="J26:L26" si="7">J9+J22-J18</f>
        <v>392.58584200581396</v>
      </c>
      <c r="K26" s="38">
        <f t="shared" si="7"/>
        <v>377.33430569767438</v>
      </c>
      <c r="L26" s="38">
        <f t="shared" si="7"/>
        <v>126.71955475775194</v>
      </c>
      <c r="M26" s="39">
        <f>SUM(I26:L26)</f>
        <v>1041.3896765406976</v>
      </c>
    </row>
    <row r="27" spans="2:15" ht="12" x14ac:dyDescent="0.25">
      <c r="B27" s="37" t="s">
        <v>26</v>
      </c>
      <c r="C27" s="38">
        <f t="shared" si="6"/>
        <v>68.5</v>
      </c>
      <c r="D27" s="38">
        <f t="shared" si="6"/>
        <v>178.1</v>
      </c>
      <c r="E27" s="38">
        <f t="shared" si="6"/>
        <v>167.6</v>
      </c>
      <c r="F27" s="38">
        <f t="shared" si="6"/>
        <v>51.766666666666659</v>
      </c>
      <c r="G27" s="39">
        <f>SUM(C27:F27)</f>
        <v>465.96666666666664</v>
      </c>
      <c r="H27" s="37"/>
      <c r="I27" s="38">
        <f>I10+I23-I19</f>
        <v>72.163319854651164</v>
      </c>
      <c r="J27" s="38">
        <f t="shared" ref="J27:L27" si="8">J10+J23-J19</f>
        <v>201.20730492441862</v>
      </c>
      <c r="K27" s="38">
        <f t="shared" si="8"/>
        <v>189.34499890697671</v>
      </c>
      <c r="L27" s="38">
        <f t="shared" si="8"/>
        <v>58.483051571705424</v>
      </c>
      <c r="M27" s="39">
        <f>SUM(I27:L27)</f>
        <v>521.19867525775192</v>
      </c>
    </row>
    <row r="29" spans="2:15" ht="15.6" x14ac:dyDescent="0.3">
      <c r="B29" s="3" t="s">
        <v>40</v>
      </c>
    </row>
    <row r="30" spans="2:15" ht="12.75" customHeight="1" x14ac:dyDescent="0.2"/>
    <row r="31" spans="2:15" ht="12" customHeight="1" x14ac:dyDescent="0.25">
      <c r="C31" s="69" t="s">
        <v>51</v>
      </c>
      <c r="D31" s="69"/>
      <c r="E31" s="69"/>
      <c r="F31" s="69"/>
      <c r="G31" s="69"/>
      <c r="H31" s="6"/>
      <c r="I31" s="69" t="s">
        <v>52</v>
      </c>
      <c r="J31" s="69"/>
      <c r="K31" s="69"/>
      <c r="L31" s="69"/>
      <c r="M31" s="69"/>
      <c r="N31" s="69"/>
      <c r="O31" s="69"/>
    </row>
    <row r="32" spans="2:15" ht="12" customHeight="1" x14ac:dyDescent="0.2">
      <c r="B32" s="35" t="str">
        <f>B25</f>
        <v>Production:</v>
      </c>
    </row>
    <row r="33" spans="2:14" ht="12" customHeight="1" x14ac:dyDescent="0.25">
      <c r="B33" s="2" t="str">
        <f t="shared" ref="B33:F34" si="9">B26</f>
        <v>White Hats</v>
      </c>
      <c r="C33" s="27">
        <f t="shared" si="9"/>
        <v>130.5</v>
      </c>
      <c r="D33" s="27">
        <f t="shared" si="9"/>
        <v>347.5</v>
      </c>
      <c r="E33" s="27">
        <f t="shared" si="9"/>
        <v>334</v>
      </c>
      <c r="F33" s="27">
        <f t="shared" si="9"/>
        <v>112.16666666666663</v>
      </c>
      <c r="G33" s="41">
        <f>G26</f>
        <v>924.16666666666663</v>
      </c>
      <c r="H33" s="27"/>
      <c r="I33" s="27">
        <f>I26</f>
        <v>144.74997407945739</v>
      </c>
      <c r="J33" s="27">
        <f t="shared" ref="J33:M33" si="10">J26</f>
        <v>392.58584200581396</v>
      </c>
      <c r="K33" s="27">
        <f t="shared" si="10"/>
        <v>377.33430569767438</v>
      </c>
      <c r="L33" s="27">
        <f t="shared" si="10"/>
        <v>126.71955475775194</v>
      </c>
      <c r="M33" s="41">
        <f t="shared" si="10"/>
        <v>1041.3896765406976</v>
      </c>
    </row>
    <row r="34" spans="2:14" ht="12" customHeight="1" x14ac:dyDescent="0.25">
      <c r="B34" s="2" t="str">
        <f t="shared" si="9"/>
        <v>Red Hats</v>
      </c>
      <c r="C34" s="27">
        <f t="shared" si="9"/>
        <v>68.5</v>
      </c>
      <c r="D34" s="27">
        <f t="shared" si="9"/>
        <v>178.1</v>
      </c>
      <c r="E34" s="27">
        <f t="shared" si="9"/>
        <v>167.6</v>
      </c>
      <c r="F34" s="27">
        <f t="shared" si="9"/>
        <v>51.766666666666659</v>
      </c>
      <c r="G34" s="41">
        <f>G27</f>
        <v>465.96666666666664</v>
      </c>
      <c r="H34" s="27"/>
      <c r="I34" s="27">
        <f t="shared" ref="I34:M34" si="11">I27</f>
        <v>72.163319854651164</v>
      </c>
      <c r="J34" s="27">
        <f t="shared" si="11"/>
        <v>201.20730492441862</v>
      </c>
      <c r="K34" s="27">
        <f t="shared" si="11"/>
        <v>189.34499890697671</v>
      </c>
      <c r="L34" s="27">
        <f t="shared" si="11"/>
        <v>58.483051571705424</v>
      </c>
      <c r="M34" s="41">
        <f t="shared" si="11"/>
        <v>521.19867525775192</v>
      </c>
    </row>
    <row r="35" spans="2:14" ht="12" customHeight="1" x14ac:dyDescent="0.2"/>
    <row r="36" spans="2:14" ht="12" customHeight="1" x14ac:dyDescent="0.2">
      <c r="B36" s="35" t="s">
        <v>43</v>
      </c>
    </row>
    <row r="37" spans="2:14" ht="12" customHeight="1" x14ac:dyDescent="0.2">
      <c r="B37" s="2" t="s">
        <v>25</v>
      </c>
      <c r="C37" s="2">
        <v>0.3</v>
      </c>
      <c r="D37" s="2">
        <v>0.3</v>
      </c>
      <c r="E37" s="2">
        <v>0.3</v>
      </c>
      <c r="F37" s="2">
        <v>0.3</v>
      </c>
      <c r="G37" s="2">
        <f>F37</f>
        <v>0.3</v>
      </c>
      <c r="I37" s="2">
        <f>C37</f>
        <v>0.3</v>
      </c>
      <c r="J37" s="2">
        <f t="shared" ref="J37:J38" si="12">D37</f>
        <v>0.3</v>
      </c>
      <c r="K37" s="2">
        <f t="shared" ref="K37:K38" si="13">E37</f>
        <v>0.3</v>
      </c>
      <c r="L37" s="2">
        <f t="shared" ref="L37:M38" si="14">F37</f>
        <v>0.3</v>
      </c>
      <c r="M37" s="2">
        <f t="shared" si="14"/>
        <v>0.3</v>
      </c>
    </row>
    <row r="38" spans="2:14" ht="12" customHeight="1" x14ac:dyDescent="0.2">
      <c r="B38" s="2" t="s">
        <v>26</v>
      </c>
      <c r="C38" s="2">
        <v>0.3</v>
      </c>
      <c r="D38" s="2">
        <v>0.3</v>
      </c>
      <c r="E38" s="2">
        <v>0.3</v>
      </c>
      <c r="F38" s="2">
        <v>0.3</v>
      </c>
      <c r="G38" s="2">
        <f>F38</f>
        <v>0.3</v>
      </c>
      <c r="I38" s="2">
        <f t="shared" ref="I38" si="15">C38</f>
        <v>0.3</v>
      </c>
      <c r="J38" s="2">
        <f t="shared" si="12"/>
        <v>0.3</v>
      </c>
      <c r="K38" s="2">
        <f t="shared" si="13"/>
        <v>0.3</v>
      </c>
      <c r="L38" s="2">
        <f t="shared" si="14"/>
        <v>0.3</v>
      </c>
      <c r="M38" s="2">
        <f t="shared" si="14"/>
        <v>0.3</v>
      </c>
    </row>
    <row r="39" spans="2:14" ht="12" customHeight="1" x14ac:dyDescent="0.2"/>
    <row r="40" spans="2:14" ht="12" customHeight="1" x14ac:dyDescent="0.2">
      <c r="B40" s="35" t="s">
        <v>41</v>
      </c>
    </row>
    <row r="41" spans="2:14" ht="12" customHeight="1" x14ac:dyDescent="0.2">
      <c r="B41" s="2" t="s">
        <v>25</v>
      </c>
      <c r="C41" s="2">
        <v>-4</v>
      </c>
      <c r="D41" s="2">
        <v>-4</v>
      </c>
      <c r="E41" s="2">
        <v>-4</v>
      </c>
      <c r="F41" s="2">
        <v>-4</v>
      </c>
      <c r="G41" s="2">
        <v>-4</v>
      </c>
      <c r="I41" s="2">
        <f t="shared" ref="I41:I42" si="16">C41</f>
        <v>-4</v>
      </c>
      <c r="J41" s="2">
        <f t="shared" ref="J41:J42" si="17">D41</f>
        <v>-4</v>
      </c>
      <c r="K41" s="2">
        <f t="shared" ref="K41:K42" si="18">E41</f>
        <v>-4</v>
      </c>
      <c r="L41" s="2">
        <f t="shared" ref="L41:M42" si="19">F41</f>
        <v>-4</v>
      </c>
      <c r="M41" s="2">
        <f t="shared" si="19"/>
        <v>-4</v>
      </c>
    </row>
    <row r="42" spans="2:14" ht="12" customHeight="1" x14ac:dyDescent="0.2">
      <c r="B42" s="2" t="s">
        <v>26</v>
      </c>
      <c r="C42" s="2">
        <v>-5</v>
      </c>
      <c r="D42" s="2">
        <v>-5</v>
      </c>
      <c r="E42" s="2">
        <v>-5</v>
      </c>
      <c r="F42" s="2">
        <v>-5</v>
      </c>
      <c r="G42" s="2">
        <v>-5</v>
      </c>
      <c r="I42" s="2">
        <f t="shared" si="16"/>
        <v>-5</v>
      </c>
      <c r="J42" s="2">
        <f t="shared" si="17"/>
        <v>-5</v>
      </c>
      <c r="K42" s="2">
        <f t="shared" si="18"/>
        <v>-5</v>
      </c>
      <c r="L42" s="2">
        <f t="shared" si="19"/>
        <v>-5</v>
      </c>
      <c r="M42" s="2">
        <f t="shared" si="19"/>
        <v>-5</v>
      </c>
    </row>
    <row r="43" spans="2:14" ht="12" customHeight="1" x14ac:dyDescent="0.2"/>
    <row r="44" spans="2:14" ht="12" customHeight="1" x14ac:dyDescent="0.2">
      <c r="B44" s="36" t="s">
        <v>42</v>
      </c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</row>
    <row r="45" spans="2:14" ht="12" customHeight="1" x14ac:dyDescent="0.25">
      <c r="B45" s="37" t="s">
        <v>25</v>
      </c>
      <c r="C45" s="38">
        <f>C41*C37*C33</f>
        <v>-156.6</v>
      </c>
      <c r="D45" s="38">
        <f t="shared" ref="D45:F45" si="20">D41*D37*D33</f>
        <v>-417</v>
      </c>
      <c r="E45" s="38">
        <f t="shared" si="20"/>
        <v>-400.8</v>
      </c>
      <c r="F45" s="38">
        <f t="shared" si="20"/>
        <v>-134.59999999999994</v>
      </c>
      <c r="G45" s="39">
        <f>SUM(C45:F45)</f>
        <v>-1109</v>
      </c>
      <c r="H45" s="38"/>
      <c r="I45" s="38">
        <f>I33*I37*I41</f>
        <v>-173.69996889534886</v>
      </c>
      <c r="J45" s="38">
        <f t="shared" ref="J45:M45" si="21">J33*J37*J41</f>
        <v>-471.10301040697675</v>
      </c>
      <c r="K45" s="38">
        <f t="shared" si="21"/>
        <v>-452.80116683720922</v>
      </c>
      <c r="L45" s="38">
        <f t="shared" si="21"/>
        <v>-152.06346570930231</v>
      </c>
      <c r="M45" s="39">
        <f t="shared" si="21"/>
        <v>-1249.6676118488369</v>
      </c>
      <c r="N45" s="37"/>
    </row>
    <row r="46" spans="2:14" ht="12" customHeight="1" x14ac:dyDescent="0.25">
      <c r="B46" s="37" t="s">
        <v>26</v>
      </c>
      <c r="C46" s="38">
        <f t="shared" ref="C46:F46" si="22">C42*C38*C34</f>
        <v>-102.75</v>
      </c>
      <c r="D46" s="38">
        <f t="shared" si="22"/>
        <v>-267.14999999999998</v>
      </c>
      <c r="E46" s="38">
        <f t="shared" si="22"/>
        <v>-251.39999999999998</v>
      </c>
      <c r="F46" s="38">
        <f t="shared" si="22"/>
        <v>-77.649999999999991</v>
      </c>
      <c r="G46" s="39">
        <f>SUM(C46:F46)</f>
        <v>-698.94999999999993</v>
      </c>
      <c r="H46" s="38"/>
      <c r="I46" s="38">
        <f t="shared" ref="I46:M46" si="23">I34*I38*I42</f>
        <v>-108.24497978197675</v>
      </c>
      <c r="J46" s="38">
        <f t="shared" si="23"/>
        <v>-301.81095738662793</v>
      </c>
      <c r="K46" s="38">
        <f t="shared" si="23"/>
        <v>-284.01749836046508</v>
      </c>
      <c r="L46" s="38">
        <f t="shared" si="23"/>
        <v>-87.724577357558132</v>
      </c>
      <c r="M46" s="39">
        <f t="shared" si="23"/>
        <v>-781.79801288662793</v>
      </c>
      <c r="N46" s="37"/>
    </row>
    <row r="47" spans="2:14" ht="12" customHeight="1" x14ac:dyDescent="0.2"/>
    <row r="48" spans="2:14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</sheetData>
  <mergeCells count="4">
    <mergeCell ref="C5:G5"/>
    <mergeCell ref="I5:O5"/>
    <mergeCell ref="C31:G31"/>
    <mergeCell ref="I31:O3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O28"/>
  <sheetViews>
    <sheetView zoomScale="160" zoomScaleNormal="160" workbookViewId="0">
      <selection activeCell="I10" sqref="I10"/>
    </sheetView>
  </sheetViews>
  <sheetFormatPr defaultColWidth="9.109375" defaultRowHeight="11.4" x14ac:dyDescent="0.2"/>
  <cols>
    <col min="1" max="1" width="2" style="2" customWidth="1"/>
    <col min="2" max="2" width="16.33203125" style="2" bestFit="1" customWidth="1"/>
    <col min="3" max="7" width="9.109375" style="2"/>
    <col min="8" max="8" width="1" style="2" customWidth="1"/>
    <col min="9" max="13" width="9.109375" style="2"/>
    <col min="14" max="14" width="1.44140625" style="2" customWidth="1"/>
    <col min="15" max="16384" width="9.109375" style="2"/>
  </cols>
  <sheetData>
    <row r="1" spans="2:15" ht="15.6" x14ac:dyDescent="0.3">
      <c r="B1" s="3" t="s">
        <v>44</v>
      </c>
    </row>
    <row r="3" spans="2:15" ht="12" x14ac:dyDescent="0.25">
      <c r="C3" s="69" t="s">
        <v>3</v>
      </c>
      <c r="D3" s="69"/>
      <c r="E3" s="69"/>
      <c r="F3" s="69"/>
      <c r="G3" s="69"/>
      <c r="H3" s="6"/>
      <c r="I3" s="69" t="s">
        <v>24</v>
      </c>
      <c r="J3" s="69"/>
      <c r="K3" s="69"/>
      <c r="L3" s="69"/>
      <c r="M3" s="69"/>
      <c r="N3" s="69"/>
      <c r="O3" s="69"/>
    </row>
    <row r="4" spans="2:15" ht="12.6" thickBot="1" x14ac:dyDescent="0.3">
      <c r="B4" s="7" t="s">
        <v>4</v>
      </c>
      <c r="C4" s="8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6"/>
      <c r="I4" s="8" t="s">
        <v>5</v>
      </c>
      <c r="J4" s="8" t="s">
        <v>6</v>
      </c>
      <c r="K4" s="8" t="s">
        <v>7</v>
      </c>
      <c r="L4" s="8" t="s">
        <v>8</v>
      </c>
      <c r="M4" s="8" t="s">
        <v>9</v>
      </c>
      <c r="N4" s="19"/>
      <c r="O4" s="17" t="s">
        <v>16</v>
      </c>
    </row>
    <row r="5" spans="2:15" x14ac:dyDescent="0.2">
      <c r="B5" s="2" t="s">
        <v>27</v>
      </c>
      <c r="C5" s="10">
        <f>'Volume Forecast'!C29</f>
        <v>195</v>
      </c>
      <c r="D5" s="10">
        <f>'Volume Forecast'!D29</f>
        <v>456</v>
      </c>
      <c r="E5" s="10">
        <f>'Volume Forecast'!E29</f>
        <v>492</v>
      </c>
      <c r="F5" s="10">
        <f>'Volume Forecast'!F29</f>
        <v>233</v>
      </c>
      <c r="G5" s="10">
        <f>'Volume Forecast'!G29</f>
        <v>1376</v>
      </c>
      <c r="I5" s="10">
        <f>'Volume Forecast'!I29</f>
        <v>220.29996889534885</v>
      </c>
      <c r="J5" s="10">
        <f>'Volume Forecast'!J29</f>
        <v>515.16300418604658</v>
      </c>
      <c r="K5" s="10">
        <f>'Volume Forecast'!K29</f>
        <v>555.8337676744186</v>
      </c>
      <c r="L5" s="10">
        <f>'Volume Forecast'!L29</f>
        <v>263.23021924418606</v>
      </c>
      <c r="M5" s="10">
        <f>'Volume Forecast'!M29</f>
        <v>1554.5269600000001</v>
      </c>
      <c r="N5" s="18"/>
      <c r="O5" s="11">
        <f>M5/G5-1</f>
        <v>0.12974343023255819</v>
      </c>
    </row>
    <row r="7" spans="2:15" x14ac:dyDescent="0.2">
      <c r="B7" s="2" t="s">
        <v>25</v>
      </c>
      <c r="C7" s="10">
        <f>'Volume Forecast'!C31</f>
        <v>130</v>
      </c>
      <c r="D7" s="10">
        <f>'Volume Forecast'!D31</f>
        <v>304</v>
      </c>
      <c r="E7" s="10">
        <f>'Volume Forecast'!E31</f>
        <v>328</v>
      </c>
      <c r="F7" s="10">
        <f>'Volume Forecast'!F31</f>
        <v>155.33333333333331</v>
      </c>
      <c r="G7" s="10">
        <f>'Volume Forecast'!G31</f>
        <v>917.33333333333326</v>
      </c>
      <c r="H7" s="27"/>
      <c r="I7" s="10">
        <f>'Volume Forecast'!I31</f>
        <v>146.86664593023255</v>
      </c>
      <c r="J7" s="10">
        <f>'Volume Forecast'!J31</f>
        <v>343.4420027906977</v>
      </c>
      <c r="K7" s="10">
        <f>'Volume Forecast'!K31</f>
        <v>370.55584511627904</v>
      </c>
      <c r="L7" s="10">
        <f>'Volume Forecast'!L31</f>
        <v>175.48681282945736</v>
      </c>
      <c r="M7" s="10">
        <f>'Volume Forecast'!M31</f>
        <v>1036.3513066666667</v>
      </c>
    </row>
    <row r="8" spans="2:15" x14ac:dyDescent="0.2">
      <c r="B8" s="2" t="s">
        <v>26</v>
      </c>
      <c r="C8" s="10">
        <f>'Volume Forecast'!C32</f>
        <v>65</v>
      </c>
      <c r="D8" s="10">
        <f>'Volume Forecast'!D32</f>
        <v>152</v>
      </c>
      <c r="E8" s="10">
        <f>'Volume Forecast'!E32</f>
        <v>164</v>
      </c>
      <c r="F8" s="10">
        <f>'Volume Forecast'!F32</f>
        <v>77.666666666666657</v>
      </c>
      <c r="G8" s="10">
        <f>'Volume Forecast'!G32</f>
        <v>458.66666666666663</v>
      </c>
      <c r="H8" s="27"/>
      <c r="I8" s="10">
        <f>'Volume Forecast'!I32</f>
        <v>73.433322965116275</v>
      </c>
      <c r="J8" s="10">
        <f>'Volume Forecast'!J32</f>
        <v>171.72100139534885</v>
      </c>
      <c r="K8" s="10">
        <f>'Volume Forecast'!K32</f>
        <v>185.27792255813952</v>
      </c>
      <c r="L8" s="10">
        <f>'Volume Forecast'!L32</f>
        <v>87.743406414728682</v>
      </c>
      <c r="M8" s="10">
        <f>'Volume Forecast'!M32</f>
        <v>518.17565333333334</v>
      </c>
    </row>
    <row r="10" spans="2:15" x14ac:dyDescent="0.2">
      <c r="B10" s="36" t="str">
        <f>'[1]Production &amp; Direct Materials'!B25</f>
        <v>Production:</v>
      </c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</row>
    <row r="11" spans="2:15" ht="12" x14ac:dyDescent="0.25">
      <c r="B11" s="37" t="str">
        <f>'[1]Production &amp; Direct Materials'!B26</f>
        <v>White Hats</v>
      </c>
      <c r="C11" s="38">
        <f>'Production &amp; Direct Materials'!C26</f>
        <v>130.5</v>
      </c>
      <c r="D11" s="38">
        <f>'Production &amp; Direct Materials'!D26</f>
        <v>347.5</v>
      </c>
      <c r="E11" s="38">
        <f>'Production &amp; Direct Materials'!E26</f>
        <v>334</v>
      </c>
      <c r="F11" s="38">
        <f>'Production &amp; Direct Materials'!F26</f>
        <v>112.16666666666663</v>
      </c>
      <c r="G11" s="39">
        <f>'Production &amp; Direct Materials'!G26</f>
        <v>924.16666666666663</v>
      </c>
      <c r="H11" s="38"/>
      <c r="I11" s="38">
        <f>'Production &amp; Direct Materials'!I26</f>
        <v>144.74997407945739</v>
      </c>
      <c r="J11" s="38">
        <f>'Production &amp; Direct Materials'!J26</f>
        <v>392.58584200581396</v>
      </c>
      <c r="K11" s="38">
        <f>'Production &amp; Direct Materials'!K26</f>
        <v>377.33430569767438</v>
      </c>
      <c r="L11" s="38">
        <f>'Production &amp; Direct Materials'!L26</f>
        <v>126.71955475775194</v>
      </c>
      <c r="M11" s="39">
        <f>'Production &amp; Direct Materials'!M26</f>
        <v>1041.3896765406976</v>
      </c>
      <c r="N11" s="27">
        <f>'Production &amp; Direct Materials'!N26</f>
        <v>0</v>
      </c>
    </row>
    <row r="12" spans="2:15" ht="12" x14ac:dyDescent="0.25">
      <c r="B12" s="37" t="str">
        <f>'[1]Production &amp; Direct Materials'!B27</f>
        <v>Red Hats</v>
      </c>
      <c r="C12" s="38">
        <f>'Production &amp; Direct Materials'!C27</f>
        <v>68.5</v>
      </c>
      <c r="D12" s="38">
        <f>'Production &amp; Direct Materials'!D27</f>
        <v>178.1</v>
      </c>
      <c r="E12" s="38">
        <f>'Production &amp; Direct Materials'!E27</f>
        <v>167.6</v>
      </c>
      <c r="F12" s="38">
        <f>'Production &amp; Direct Materials'!F27</f>
        <v>51.766666666666659</v>
      </c>
      <c r="G12" s="39">
        <f>'Production &amp; Direct Materials'!G27</f>
        <v>465.96666666666664</v>
      </c>
      <c r="H12" s="38"/>
      <c r="I12" s="38">
        <f>'Production &amp; Direct Materials'!I27</f>
        <v>72.163319854651164</v>
      </c>
      <c r="J12" s="38">
        <f>'Production &amp; Direct Materials'!J27</f>
        <v>201.20730492441862</v>
      </c>
      <c r="K12" s="38">
        <f>'Production &amp; Direct Materials'!K27</f>
        <v>189.34499890697671</v>
      </c>
      <c r="L12" s="38">
        <f>'Production &amp; Direct Materials'!L27</f>
        <v>58.483051571705424</v>
      </c>
      <c r="M12" s="39">
        <f>'Production &amp; Direct Materials'!M27</f>
        <v>521.19867525775192</v>
      </c>
      <c r="N12" s="27">
        <f>'Production &amp; Direct Materials'!N27</f>
        <v>0</v>
      </c>
    </row>
    <row r="14" spans="2:15" x14ac:dyDescent="0.2">
      <c r="B14" s="35" t="s">
        <v>45</v>
      </c>
    </row>
    <row r="15" spans="2:15" x14ac:dyDescent="0.2">
      <c r="B15" s="2" t="s">
        <v>25</v>
      </c>
      <c r="C15" s="2">
        <v>0.25</v>
      </c>
      <c r="D15" s="2">
        <v>0.25</v>
      </c>
      <c r="E15" s="2">
        <v>0.25</v>
      </c>
      <c r="F15" s="2">
        <v>0.25</v>
      </c>
      <c r="I15" s="2">
        <v>0.25</v>
      </c>
      <c r="J15" s="2">
        <v>0.25</v>
      </c>
      <c r="K15" s="2">
        <v>0.25</v>
      </c>
      <c r="L15" s="2">
        <v>0.25</v>
      </c>
    </row>
    <row r="16" spans="2:15" x14ac:dyDescent="0.2">
      <c r="B16" s="2" t="s">
        <v>26</v>
      </c>
      <c r="C16" s="2">
        <v>0.25</v>
      </c>
      <c r="D16" s="2">
        <v>0.25</v>
      </c>
      <c r="E16" s="2">
        <v>0.25</v>
      </c>
      <c r="F16" s="2">
        <v>0.25</v>
      </c>
      <c r="I16" s="2">
        <v>0.25</v>
      </c>
      <c r="J16" s="2">
        <v>0.25</v>
      </c>
      <c r="K16" s="2">
        <v>0.25</v>
      </c>
      <c r="L16" s="2">
        <v>0.25</v>
      </c>
    </row>
    <row r="18" spans="2:13" x14ac:dyDescent="0.2">
      <c r="B18" s="35" t="s">
        <v>46</v>
      </c>
    </row>
    <row r="19" spans="2:13" x14ac:dyDescent="0.2">
      <c r="B19" s="2" t="s">
        <v>47</v>
      </c>
      <c r="C19" s="27">
        <f t="shared" ref="C19:F20" si="0">C15*C11</f>
        <v>32.625</v>
      </c>
      <c r="D19" s="27">
        <f t="shared" si="0"/>
        <v>86.875</v>
      </c>
      <c r="E19" s="27">
        <f t="shared" si="0"/>
        <v>83.5</v>
      </c>
      <c r="F19" s="27">
        <f t="shared" si="0"/>
        <v>28.041666666666657</v>
      </c>
      <c r="I19" s="27">
        <f>I11*I15</f>
        <v>36.187493519864347</v>
      </c>
      <c r="J19" s="27">
        <f t="shared" ref="J19:L19" si="1">J11*J15</f>
        <v>98.14646050145349</v>
      </c>
      <c r="K19" s="27">
        <f t="shared" si="1"/>
        <v>94.333576424418595</v>
      </c>
      <c r="L19" s="27">
        <f t="shared" si="1"/>
        <v>31.679888689437984</v>
      </c>
    </row>
    <row r="20" spans="2:13" x14ac:dyDescent="0.2">
      <c r="B20" s="2" t="s">
        <v>48</v>
      </c>
      <c r="C20" s="27">
        <f t="shared" si="0"/>
        <v>17.125</v>
      </c>
      <c r="D20" s="27">
        <f t="shared" si="0"/>
        <v>44.524999999999999</v>
      </c>
      <c r="E20" s="27">
        <f t="shared" si="0"/>
        <v>41.9</v>
      </c>
      <c r="F20" s="27">
        <f t="shared" si="0"/>
        <v>12.941666666666665</v>
      </c>
      <c r="I20" s="27">
        <f t="shared" ref="I20:L20" si="2">I12*I16</f>
        <v>18.040829963662791</v>
      </c>
      <c r="J20" s="27">
        <f t="shared" si="2"/>
        <v>50.301826231104656</v>
      </c>
      <c r="K20" s="27">
        <f t="shared" si="2"/>
        <v>47.336249726744178</v>
      </c>
      <c r="L20" s="27">
        <f t="shared" si="2"/>
        <v>14.620762892926356</v>
      </c>
    </row>
    <row r="22" spans="2:13" x14ac:dyDescent="0.2">
      <c r="B22" s="35" t="s">
        <v>49</v>
      </c>
    </row>
    <row r="23" spans="2:13" x14ac:dyDescent="0.2">
      <c r="B23" s="2" t="s">
        <v>25</v>
      </c>
      <c r="C23" s="2">
        <v>-10</v>
      </c>
      <c r="D23" s="2">
        <v>-10</v>
      </c>
      <c r="E23" s="2">
        <v>-10</v>
      </c>
      <c r="F23" s="2">
        <v>-10</v>
      </c>
      <c r="I23" s="2">
        <v>-10</v>
      </c>
      <c r="J23" s="2">
        <v>-10</v>
      </c>
      <c r="K23" s="2">
        <v>-10</v>
      </c>
      <c r="L23" s="2">
        <v>-10</v>
      </c>
    </row>
    <row r="24" spans="2:13" x14ac:dyDescent="0.2">
      <c r="B24" s="2" t="s">
        <v>26</v>
      </c>
      <c r="C24" s="2">
        <v>-10</v>
      </c>
      <c r="D24" s="2">
        <v>-10</v>
      </c>
      <c r="E24" s="2">
        <v>-10</v>
      </c>
      <c r="F24" s="2">
        <v>-10</v>
      </c>
      <c r="I24" s="2">
        <v>-10</v>
      </c>
      <c r="J24" s="2">
        <v>-10</v>
      </c>
      <c r="K24" s="2">
        <v>-10</v>
      </c>
      <c r="L24" s="2">
        <v>-10</v>
      </c>
    </row>
    <row r="26" spans="2:13" x14ac:dyDescent="0.2">
      <c r="B26" s="36" t="s">
        <v>50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</row>
    <row r="27" spans="2:13" ht="12" x14ac:dyDescent="0.25">
      <c r="B27" s="37" t="s">
        <v>25</v>
      </c>
      <c r="C27" s="38">
        <f>C19*C23</f>
        <v>-326.25</v>
      </c>
      <c r="D27" s="38">
        <f t="shared" ref="D27:F27" si="3">D19*D23</f>
        <v>-868.75</v>
      </c>
      <c r="E27" s="38">
        <f t="shared" si="3"/>
        <v>-835</v>
      </c>
      <c r="F27" s="38">
        <f t="shared" si="3"/>
        <v>-280.41666666666657</v>
      </c>
      <c r="G27" s="39">
        <f>SUM(C27:F27)</f>
        <v>-2310.4166666666665</v>
      </c>
      <c r="H27" s="37"/>
      <c r="I27" s="38">
        <f>I19*I23</f>
        <v>-361.87493519864347</v>
      </c>
      <c r="J27" s="38">
        <f t="shared" ref="J27:L27" si="4">J19*J23</f>
        <v>-981.46460501453487</v>
      </c>
      <c r="K27" s="38">
        <f t="shared" si="4"/>
        <v>-943.33576424418595</v>
      </c>
      <c r="L27" s="38">
        <f t="shared" si="4"/>
        <v>-316.79888689437985</v>
      </c>
      <c r="M27" s="39">
        <f>SUM(I27:L27)</f>
        <v>-2603.4741913517441</v>
      </c>
    </row>
    <row r="28" spans="2:13" ht="12" x14ac:dyDescent="0.25">
      <c r="B28" s="37" t="s">
        <v>26</v>
      </c>
      <c r="C28" s="38">
        <f t="shared" ref="C28:F28" si="5">C20*C24</f>
        <v>-171.25</v>
      </c>
      <c r="D28" s="38">
        <f t="shared" si="5"/>
        <v>-445.25</v>
      </c>
      <c r="E28" s="38">
        <f t="shared" si="5"/>
        <v>-419</v>
      </c>
      <c r="F28" s="38">
        <f t="shared" si="5"/>
        <v>-129.41666666666666</v>
      </c>
      <c r="G28" s="39">
        <f>SUM(C28:F28)</f>
        <v>-1164.9166666666667</v>
      </c>
      <c r="H28" s="37"/>
      <c r="I28" s="38">
        <f t="shared" ref="I28:L28" si="6">I20*I24</f>
        <v>-180.4082996366279</v>
      </c>
      <c r="J28" s="38">
        <f t="shared" si="6"/>
        <v>-503.01826231104656</v>
      </c>
      <c r="K28" s="38">
        <f t="shared" si="6"/>
        <v>-473.36249726744177</v>
      </c>
      <c r="L28" s="38">
        <f t="shared" si="6"/>
        <v>-146.20762892926356</v>
      </c>
      <c r="M28" s="39">
        <f>SUM(I28:L28)</f>
        <v>-1302.9966881443797</v>
      </c>
    </row>
  </sheetData>
  <mergeCells count="2">
    <mergeCell ref="C3:G3"/>
    <mergeCell ref="I3:O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O22"/>
  <sheetViews>
    <sheetView zoomScale="160" zoomScaleNormal="160" workbookViewId="0">
      <selection activeCell="I10" sqref="I10"/>
    </sheetView>
  </sheetViews>
  <sheetFormatPr defaultColWidth="9.109375" defaultRowHeight="11.4" x14ac:dyDescent="0.2"/>
  <cols>
    <col min="1" max="1" width="2" style="2" customWidth="1"/>
    <col min="2" max="2" width="35.109375" style="2" bestFit="1" customWidth="1"/>
    <col min="3" max="3" width="9.109375" style="2" customWidth="1"/>
    <col min="4" max="7" width="9.109375" style="2"/>
    <col min="8" max="8" width="2" style="2" customWidth="1"/>
    <col min="9" max="10" width="9.109375" style="2"/>
    <col min="11" max="11" width="9.109375" style="2" customWidth="1"/>
    <col min="12" max="13" width="9.109375" style="2"/>
    <col min="14" max="14" width="1.44140625" style="2" customWidth="1"/>
    <col min="15" max="16384" width="9.109375" style="2"/>
  </cols>
  <sheetData>
    <row r="1" spans="2:15" ht="15.6" x14ac:dyDescent="0.3">
      <c r="B1" s="3" t="s">
        <v>53</v>
      </c>
    </row>
    <row r="4" spans="2:15" ht="12" x14ac:dyDescent="0.25">
      <c r="C4" s="69" t="s">
        <v>3</v>
      </c>
      <c r="D4" s="69"/>
      <c r="E4" s="69"/>
      <c r="F4" s="69"/>
      <c r="G4" s="69"/>
      <c r="H4" s="6"/>
      <c r="I4" s="69" t="s">
        <v>24</v>
      </c>
      <c r="J4" s="69"/>
      <c r="K4" s="69"/>
      <c r="L4" s="69"/>
      <c r="M4" s="69"/>
      <c r="N4" s="69"/>
      <c r="O4" s="69"/>
    </row>
    <row r="5" spans="2:15" ht="12.6" thickBot="1" x14ac:dyDescent="0.3">
      <c r="B5" s="7" t="s">
        <v>4</v>
      </c>
      <c r="C5" s="8" t="s">
        <v>5</v>
      </c>
      <c r="D5" s="8" t="s">
        <v>6</v>
      </c>
      <c r="E5" s="8" t="s">
        <v>7</v>
      </c>
      <c r="F5" s="8" t="s">
        <v>8</v>
      </c>
      <c r="G5" s="8" t="s">
        <v>9</v>
      </c>
      <c r="H5" s="6"/>
      <c r="I5" s="8" t="s">
        <v>5</v>
      </c>
      <c r="J5" s="8" t="s">
        <v>6</v>
      </c>
      <c r="K5" s="8" t="s">
        <v>7</v>
      </c>
      <c r="L5" s="8" t="s">
        <v>8</v>
      </c>
      <c r="M5" s="8" t="s">
        <v>9</v>
      </c>
      <c r="N5" s="19"/>
      <c r="O5" s="17" t="s">
        <v>16</v>
      </c>
    </row>
    <row r="6" spans="2:15" x14ac:dyDescent="0.2">
      <c r="B6" s="36" t="str">
        <f>'[1]Production &amp; Direct Materials'!B25</f>
        <v>Production: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</row>
    <row r="7" spans="2:15" ht="12" x14ac:dyDescent="0.25">
      <c r="B7" s="37" t="str">
        <f>'[1]Production &amp; Direct Materials'!B26</f>
        <v>White Hats</v>
      </c>
      <c r="C7" s="38">
        <f>'Production &amp; Direct Materials'!C26</f>
        <v>130.5</v>
      </c>
      <c r="D7" s="38">
        <f>'Production &amp; Direct Materials'!D26</f>
        <v>347.5</v>
      </c>
      <c r="E7" s="38">
        <f>'Production &amp; Direct Materials'!E26</f>
        <v>334</v>
      </c>
      <c r="F7" s="38">
        <f>'Production &amp; Direct Materials'!F26</f>
        <v>112.16666666666663</v>
      </c>
      <c r="G7" s="39">
        <f>'Production &amp; Direct Materials'!G26</f>
        <v>924.16666666666663</v>
      </c>
      <c r="H7" s="38"/>
      <c r="I7" s="38">
        <f>'Production &amp; Direct Materials'!I26</f>
        <v>144.74997407945739</v>
      </c>
      <c r="J7" s="38">
        <f>'Production &amp; Direct Materials'!J26</f>
        <v>392.58584200581396</v>
      </c>
      <c r="K7" s="38">
        <f>'Production &amp; Direct Materials'!K26</f>
        <v>377.33430569767438</v>
      </c>
      <c r="L7" s="38">
        <f>'Production &amp; Direct Materials'!L26</f>
        <v>126.71955475775194</v>
      </c>
      <c r="M7" s="39">
        <f>'Production &amp; Direct Materials'!M26</f>
        <v>1041.3896765406976</v>
      </c>
      <c r="N7" s="38"/>
    </row>
    <row r="8" spans="2:15" ht="12" x14ac:dyDescent="0.25">
      <c r="B8" s="37" t="str">
        <f>'[1]Production &amp; Direct Materials'!B27</f>
        <v>Red Hats</v>
      </c>
      <c r="C8" s="38">
        <f>'Production &amp; Direct Materials'!C27</f>
        <v>68.5</v>
      </c>
      <c r="D8" s="38">
        <f>'Production &amp; Direct Materials'!D27</f>
        <v>178.1</v>
      </c>
      <c r="E8" s="38">
        <f>'Production &amp; Direct Materials'!E27</f>
        <v>167.6</v>
      </c>
      <c r="F8" s="38">
        <f>'Production &amp; Direct Materials'!F27</f>
        <v>51.766666666666659</v>
      </c>
      <c r="G8" s="39">
        <f>'Production &amp; Direct Materials'!G27</f>
        <v>465.96666666666664</v>
      </c>
      <c r="H8" s="38"/>
      <c r="I8" s="38">
        <f>'Production &amp; Direct Materials'!I27</f>
        <v>72.163319854651164</v>
      </c>
      <c r="J8" s="38">
        <f>'Production &amp; Direct Materials'!J27</f>
        <v>201.20730492441862</v>
      </c>
      <c r="K8" s="38">
        <f>'Production &amp; Direct Materials'!K27</f>
        <v>189.34499890697671</v>
      </c>
      <c r="L8" s="38">
        <f>'Production &amp; Direct Materials'!L27</f>
        <v>58.483051571705424</v>
      </c>
      <c r="M8" s="39">
        <f>'Production &amp; Direct Materials'!M27</f>
        <v>521.19867525775192</v>
      </c>
      <c r="N8" s="38"/>
    </row>
    <row r="10" spans="2:15" x14ac:dyDescent="0.2">
      <c r="B10" s="2" t="s">
        <v>54</v>
      </c>
      <c r="C10" s="2">
        <v>3</v>
      </c>
      <c r="D10" s="2">
        <v>3</v>
      </c>
      <c r="E10" s="2">
        <v>3</v>
      </c>
      <c r="F10" s="2">
        <v>3</v>
      </c>
      <c r="I10" s="2">
        <v>4</v>
      </c>
      <c r="J10" s="2">
        <v>4</v>
      </c>
      <c r="K10" s="2">
        <v>4</v>
      </c>
      <c r="L10" s="2">
        <v>4</v>
      </c>
    </row>
    <row r="11" spans="2:15" x14ac:dyDescent="0.2">
      <c r="B11" s="2" t="s">
        <v>55</v>
      </c>
      <c r="C11" s="2">
        <v>-40</v>
      </c>
      <c r="D11" s="2">
        <v>-40</v>
      </c>
      <c r="E11" s="2">
        <v>-40</v>
      </c>
      <c r="F11" s="2">
        <v>-40</v>
      </c>
      <c r="I11" s="2">
        <f>C11</f>
        <v>-40</v>
      </c>
      <c r="J11" s="2">
        <f t="shared" ref="J11:L11" si="0">D11</f>
        <v>-40</v>
      </c>
      <c r="K11" s="2">
        <f t="shared" si="0"/>
        <v>-40</v>
      </c>
      <c r="L11" s="2">
        <f t="shared" si="0"/>
        <v>-40</v>
      </c>
    </row>
    <row r="13" spans="2:15" ht="12" x14ac:dyDescent="0.25">
      <c r="B13" s="36" t="s">
        <v>56</v>
      </c>
      <c r="C13" s="37">
        <f>C10*C11</f>
        <v>-120</v>
      </c>
      <c r="D13" s="37">
        <f t="shared" ref="D13:F13" si="1">D10*D11</f>
        <v>-120</v>
      </c>
      <c r="E13" s="37">
        <f t="shared" si="1"/>
        <v>-120</v>
      </c>
      <c r="F13" s="37">
        <f t="shared" si="1"/>
        <v>-120</v>
      </c>
      <c r="G13" s="42">
        <f>SUM(C13:F13)</f>
        <v>-480</v>
      </c>
      <c r="H13" s="37"/>
      <c r="I13" s="37">
        <f>I10*I11</f>
        <v>-160</v>
      </c>
      <c r="J13" s="37">
        <f t="shared" ref="J13:L13" si="2">J10*J11</f>
        <v>-160</v>
      </c>
      <c r="K13" s="37">
        <f t="shared" si="2"/>
        <v>-160</v>
      </c>
      <c r="L13" s="37">
        <f t="shared" si="2"/>
        <v>-160</v>
      </c>
      <c r="M13" s="42">
        <f>SUM(I13:L13)</f>
        <v>-640</v>
      </c>
    </row>
    <row r="15" spans="2:15" x14ac:dyDescent="0.2">
      <c r="B15" s="2" t="s">
        <v>57</v>
      </c>
      <c r="C15" s="27">
        <f>C7+C8</f>
        <v>199</v>
      </c>
      <c r="D15" s="27">
        <f>D7+D8</f>
        <v>525.6</v>
      </c>
      <c r="E15" s="27">
        <f>E7+E8</f>
        <v>501.6</v>
      </c>
      <c r="F15" s="27">
        <f>F7+F8</f>
        <v>163.93333333333328</v>
      </c>
      <c r="I15" s="27">
        <f>I7+I8</f>
        <v>216.91329393410854</v>
      </c>
      <c r="J15" s="27">
        <f>J7+J8</f>
        <v>593.79314693023252</v>
      </c>
      <c r="K15" s="27">
        <f>K7+K8</f>
        <v>566.67930460465107</v>
      </c>
      <c r="L15" s="27">
        <f>L7+L8</f>
        <v>185.20260632945735</v>
      </c>
    </row>
    <row r="16" spans="2:15" x14ac:dyDescent="0.2">
      <c r="B16" s="2" t="s">
        <v>58</v>
      </c>
      <c r="C16" s="2">
        <v>-0.1</v>
      </c>
      <c r="D16" s="2">
        <v>-0.1</v>
      </c>
      <c r="E16" s="2">
        <v>-0.1</v>
      </c>
      <c r="F16" s="2">
        <v>-0.1</v>
      </c>
      <c r="I16" s="2">
        <f>C16</f>
        <v>-0.1</v>
      </c>
      <c r="J16" s="2">
        <f>D16</f>
        <v>-0.1</v>
      </c>
      <c r="K16" s="2">
        <f>E16</f>
        <v>-0.1</v>
      </c>
      <c r="L16" s="2">
        <f>F16</f>
        <v>-0.1</v>
      </c>
    </row>
    <row r="18" spans="2:13" ht="12" x14ac:dyDescent="0.25">
      <c r="B18" s="36" t="s">
        <v>59</v>
      </c>
      <c r="C18" s="38">
        <f>C15*C16</f>
        <v>-19.900000000000002</v>
      </c>
      <c r="D18" s="38">
        <f t="shared" ref="D18:F18" si="3">D15*D16</f>
        <v>-52.56</v>
      </c>
      <c r="E18" s="38">
        <f t="shared" si="3"/>
        <v>-50.160000000000004</v>
      </c>
      <c r="F18" s="38">
        <f t="shared" si="3"/>
        <v>-16.393333333333327</v>
      </c>
      <c r="G18" s="39">
        <f>SUM(C18:F18)</f>
        <v>-139.01333333333332</v>
      </c>
      <c r="H18" s="38"/>
      <c r="I18" s="38">
        <f>I15*I16</f>
        <v>-21.691329393410854</v>
      </c>
      <c r="J18" s="38">
        <f>J15*J16</f>
        <v>-59.379314693023254</v>
      </c>
      <c r="K18" s="38">
        <f>K15*K16</f>
        <v>-56.667930460465108</v>
      </c>
      <c r="L18" s="38">
        <f>L15*L16</f>
        <v>-18.520260632945735</v>
      </c>
      <c r="M18" s="39">
        <f>SUM(I18:L18)</f>
        <v>-156.25883517984494</v>
      </c>
    </row>
    <row r="20" spans="2:13" ht="12" x14ac:dyDescent="0.25">
      <c r="B20" s="36" t="s">
        <v>60</v>
      </c>
      <c r="C20" s="37">
        <v>-400</v>
      </c>
      <c r="D20" s="37">
        <v>-400</v>
      </c>
      <c r="E20" s="37">
        <v>-400</v>
      </c>
      <c r="F20" s="37">
        <v>-400</v>
      </c>
      <c r="G20" s="42">
        <f>SUM(C20:F20)</f>
        <v>-1600</v>
      </c>
      <c r="H20" s="37"/>
      <c r="I20" s="37">
        <f>C20</f>
        <v>-400</v>
      </c>
      <c r="J20" s="37">
        <f t="shared" ref="J20:L20" si="4">D20</f>
        <v>-400</v>
      </c>
      <c r="K20" s="37">
        <f t="shared" si="4"/>
        <v>-400</v>
      </c>
      <c r="L20" s="37">
        <f t="shared" si="4"/>
        <v>-400</v>
      </c>
      <c r="M20" s="42">
        <f>SUM(I20:L20)</f>
        <v>-1600</v>
      </c>
    </row>
    <row r="22" spans="2:13" ht="12" x14ac:dyDescent="0.25">
      <c r="B22" s="36" t="s">
        <v>61</v>
      </c>
      <c r="C22" s="38">
        <f>'[1]Fixed Assets'!C13</f>
        <v>-50</v>
      </c>
      <c r="D22" s="38">
        <f>'[1]Fixed Assets'!D13</f>
        <v>-50.5</v>
      </c>
      <c r="E22" s="38">
        <f>'[1]Fixed Assets'!E13</f>
        <v>-59.375</v>
      </c>
      <c r="F22" s="38">
        <f>'[1]Fixed Assets'!F13</f>
        <v>-68.706249999999997</v>
      </c>
      <c r="G22" s="39">
        <f>'[1]Fixed Assets'!G13</f>
        <v>-228.58125000000001</v>
      </c>
      <c r="H22" s="37"/>
      <c r="I22" s="38"/>
      <c r="J22" s="38"/>
      <c r="K22" s="38"/>
      <c r="L22" s="38"/>
      <c r="M22" s="39"/>
    </row>
  </sheetData>
  <mergeCells count="2">
    <mergeCell ref="C4:G4"/>
    <mergeCell ref="I4:O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O11"/>
  <sheetViews>
    <sheetView zoomScale="160" zoomScaleNormal="160" workbookViewId="0">
      <selection activeCell="I10" sqref="I10"/>
    </sheetView>
  </sheetViews>
  <sheetFormatPr defaultColWidth="9.109375" defaultRowHeight="11.4" x14ac:dyDescent="0.2"/>
  <cols>
    <col min="1" max="1" width="2" style="2" customWidth="1"/>
    <col min="2" max="2" width="23" style="2" bestFit="1" customWidth="1"/>
    <col min="3" max="7" width="9.109375" style="2"/>
    <col min="8" max="8" width="1.5546875" style="2" customWidth="1"/>
    <col min="9" max="13" width="9.109375" style="2"/>
    <col min="14" max="14" width="2.33203125" style="2" customWidth="1"/>
    <col min="15" max="16384" width="9.109375" style="2"/>
  </cols>
  <sheetData>
    <row r="1" spans="2:15" ht="15.6" x14ac:dyDescent="0.3">
      <c r="B1" s="3" t="s">
        <v>62</v>
      </c>
    </row>
    <row r="4" spans="2:15" ht="12" x14ac:dyDescent="0.25">
      <c r="C4" s="69" t="s">
        <v>3</v>
      </c>
      <c r="D4" s="69"/>
      <c r="E4" s="69"/>
      <c r="F4" s="69"/>
      <c r="G4" s="69"/>
      <c r="H4" s="6"/>
      <c r="I4" s="69" t="s">
        <v>24</v>
      </c>
      <c r="J4" s="69"/>
      <c r="K4" s="69"/>
      <c r="L4" s="69"/>
      <c r="M4" s="69"/>
      <c r="N4" s="69"/>
      <c r="O4" s="69"/>
    </row>
    <row r="5" spans="2:15" ht="12.6" thickBot="1" x14ac:dyDescent="0.3">
      <c r="B5" s="7" t="s">
        <v>4</v>
      </c>
      <c r="C5" s="8" t="s">
        <v>5</v>
      </c>
      <c r="D5" s="8" t="s">
        <v>6</v>
      </c>
      <c r="E5" s="8" t="s">
        <v>7</v>
      </c>
      <c r="F5" s="8" t="s">
        <v>8</v>
      </c>
      <c r="G5" s="8" t="s">
        <v>9</v>
      </c>
      <c r="H5" s="6"/>
      <c r="I5" s="8" t="s">
        <v>5</v>
      </c>
      <c r="J5" s="8" t="s">
        <v>6</v>
      </c>
      <c r="K5" s="8" t="s">
        <v>7</v>
      </c>
      <c r="L5" s="8" t="s">
        <v>8</v>
      </c>
      <c r="M5" s="8" t="s">
        <v>9</v>
      </c>
      <c r="N5" s="19"/>
      <c r="O5" s="17" t="s">
        <v>16</v>
      </c>
    </row>
    <row r="6" spans="2:15" x14ac:dyDescent="0.2">
      <c r="B6" s="2" t="str">
        <f>'[1]Production &amp; Direct Materials'!B44</f>
        <v>Fabric Purchases</v>
      </c>
      <c r="C6" s="27">
        <f>'Production &amp; Direct Materials'!C45+'Production &amp; Direct Materials'!C46</f>
        <v>-259.35000000000002</v>
      </c>
      <c r="D6" s="27">
        <f>'Production &amp; Direct Materials'!D45+'Production &amp; Direct Materials'!D46</f>
        <v>-684.15</v>
      </c>
      <c r="E6" s="27">
        <f>'Production &amp; Direct Materials'!E45+'Production &amp; Direct Materials'!E46</f>
        <v>-652.20000000000005</v>
      </c>
      <c r="F6" s="27">
        <f>'Production &amp; Direct Materials'!F45+'Production &amp; Direct Materials'!F46</f>
        <v>-212.24999999999994</v>
      </c>
      <c r="G6" s="27">
        <f>'Production &amp; Direct Materials'!G45+'Production &amp; Direct Materials'!G46</f>
        <v>-1807.9499999999998</v>
      </c>
      <c r="I6" s="27">
        <f>'Production &amp; Direct Materials'!I45+'Production &amp; Direct Materials'!I46</f>
        <v>-281.94494867732561</v>
      </c>
      <c r="J6" s="27">
        <f>'Production &amp; Direct Materials'!J45+'Production &amp; Direct Materials'!J46</f>
        <v>-772.91396779360468</v>
      </c>
      <c r="K6" s="27">
        <f>'Production &amp; Direct Materials'!K45+'Production &amp; Direct Materials'!K46</f>
        <v>-736.81866519767436</v>
      </c>
      <c r="L6" s="27">
        <f>'Production &amp; Direct Materials'!L45+'Production &amp; Direct Materials'!L46</f>
        <v>-239.78804306686044</v>
      </c>
      <c r="M6" s="27">
        <f>'Production &amp; Direct Materials'!M45+'Production &amp; Direct Materials'!M46</f>
        <v>-2031.4656247354649</v>
      </c>
      <c r="N6" s="18"/>
      <c r="O6" s="9"/>
    </row>
    <row r="7" spans="2:15" x14ac:dyDescent="0.2">
      <c r="B7" s="2" t="s">
        <v>44</v>
      </c>
      <c r="C7" s="27">
        <f>'Direct Labour'!C27+'Direct Labour'!C28</f>
        <v>-497.5</v>
      </c>
      <c r="D7" s="27">
        <f>'Direct Labour'!D27+'Direct Labour'!D28</f>
        <v>-1314</v>
      </c>
      <c r="E7" s="27">
        <f>'Direct Labour'!E27+'Direct Labour'!E28</f>
        <v>-1254</v>
      </c>
      <c r="F7" s="27">
        <f>'Direct Labour'!F27+'Direct Labour'!F28</f>
        <v>-409.83333333333326</v>
      </c>
      <c r="G7" s="27">
        <f>'Direct Labour'!G27+'Direct Labour'!G28</f>
        <v>-3475.333333333333</v>
      </c>
      <c r="I7" s="27">
        <f>'Direct Labour'!I27+'Direct Labour'!I28</f>
        <v>-542.2832348352714</v>
      </c>
      <c r="J7" s="27">
        <f>'Direct Labour'!J27+'Direct Labour'!J28</f>
        <v>-1484.4828673255815</v>
      </c>
      <c r="K7" s="27">
        <f>'Direct Labour'!K27+'Direct Labour'!K28</f>
        <v>-1416.6982615116276</v>
      </c>
      <c r="L7" s="27">
        <f>'Direct Labour'!L27+'Direct Labour'!L28</f>
        <v>-463.00651582364344</v>
      </c>
      <c r="M7" s="27">
        <f>'Direct Labour'!M27+'Direct Labour'!M28</f>
        <v>-3906.4708794961239</v>
      </c>
      <c r="O7" s="9"/>
    </row>
    <row r="8" spans="2:15" x14ac:dyDescent="0.2">
      <c r="B8" s="2" t="s">
        <v>63</v>
      </c>
      <c r="C8" s="2">
        <f>Overhead!C13</f>
        <v>-120</v>
      </c>
      <c r="D8" s="2">
        <f>Overhead!D13</f>
        <v>-120</v>
      </c>
      <c r="E8" s="2">
        <f>Overhead!E13</f>
        <v>-120</v>
      </c>
      <c r="F8" s="2">
        <f>Overhead!F13</f>
        <v>-120</v>
      </c>
      <c r="G8" s="2">
        <f>Overhead!G13</f>
        <v>-480</v>
      </c>
      <c r="I8" s="2">
        <f>Overhead!I13</f>
        <v>-160</v>
      </c>
      <c r="J8" s="2">
        <f>Overhead!J13</f>
        <v>-160</v>
      </c>
      <c r="K8" s="2">
        <f>Overhead!K13</f>
        <v>-160</v>
      </c>
      <c r="L8" s="2">
        <f>Overhead!L13</f>
        <v>-160</v>
      </c>
      <c r="M8" s="2">
        <f>Overhead!M13</f>
        <v>-640</v>
      </c>
      <c r="O8" s="9"/>
    </row>
    <row r="9" spans="2:15" x14ac:dyDescent="0.2">
      <c r="B9" s="2" t="s">
        <v>64</v>
      </c>
      <c r="C9" s="27">
        <f>Overhead!C18</f>
        <v>-19.900000000000002</v>
      </c>
      <c r="D9" s="27">
        <f>Overhead!D18</f>
        <v>-52.56</v>
      </c>
      <c r="E9" s="27">
        <f>Overhead!E18</f>
        <v>-50.160000000000004</v>
      </c>
      <c r="F9" s="27">
        <f>Overhead!F18</f>
        <v>-16.393333333333327</v>
      </c>
      <c r="G9" s="27">
        <f>Overhead!G18</f>
        <v>-139.01333333333332</v>
      </c>
      <c r="I9" s="27">
        <f>Overhead!I18</f>
        <v>-21.691329393410854</v>
      </c>
      <c r="J9" s="27">
        <f>Overhead!J18</f>
        <v>-59.379314693023254</v>
      </c>
      <c r="K9" s="27">
        <f>Overhead!K18</f>
        <v>-56.667930460465108</v>
      </c>
      <c r="L9" s="27">
        <f>Overhead!L18</f>
        <v>-18.520260632945735</v>
      </c>
      <c r="M9" s="27">
        <f>Overhead!M18</f>
        <v>-156.25883517984494</v>
      </c>
      <c r="O9" s="9"/>
    </row>
    <row r="10" spans="2:15" x14ac:dyDescent="0.2">
      <c r="B10" s="2" t="s">
        <v>65</v>
      </c>
      <c r="C10" s="2">
        <f>Overhead!C20</f>
        <v>-400</v>
      </c>
      <c r="D10" s="2">
        <f>Overhead!D20</f>
        <v>-400</v>
      </c>
      <c r="E10" s="2">
        <f>Overhead!E20</f>
        <v>-400</v>
      </c>
      <c r="F10" s="2">
        <f>Overhead!F20</f>
        <v>-400</v>
      </c>
      <c r="G10" s="2">
        <f>Overhead!G20</f>
        <v>-1600</v>
      </c>
      <c r="I10" s="2">
        <f>Overhead!I20</f>
        <v>-400</v>
      </c>
      <c r="J10" s="2">
        <f>Overhead!J20</f>
        <v>-400</v>
      </c>
      <c r="K10" s="2">
        <f>Overhead!K20</f>
        <v>-400</v>
      </c>
      <c r="L10" s="2">
        <f>Overhead!L20</f>
        <v>-400</v>
      </c>
      <c r="M10" s="2">
        <f>Overhead!M20</f>
        <v>-1600</v>
      </c>
      <c r="O10" s="9"/>
    </row>
    <row r="11" spans="2:15" ht="12.6" thickBot="1" x14ac:dyDescent="0.3">
      <c r="B11" s="14" t="s">
        <v>62</v>
      </c>
      <c r="C11" s="33">
        <f>SUM(C6:C10)</f>
        <v>-1296.75</v>
      </c>
      <c r="D11" s="33">
        <f>SUM(D6:D10)</f>
        <v>-2570.71</v>
      </c>
      <c r="E11" s="33">
        <f>SUM(E6:E10)</f>
        <v>-2476.36</v>
      </c>
      <c r="F11" s="33">
        <f>SUM(F6:F10)</f>
        <v>-1158.4766666666665</v>
      </c>
      <c r="G11" s="33">
        <f>SUM(G6:G10)</f>
        <v>-7502.2966666666662</v>
      </c>
      <c r="H11" s="43"/>
      <c r="I11" s="33">
        <f>SUM(I6:I10)</f>
        <v>-1405.9195129060079</v>
      </c>
      <c r="J11" s="33">
        <f t="shared" ref="J11:M11" si="0">SUM(J6:J10)</f>
        <v>-2876.7761498122095</v>
      </c>
      <c r="K11" s="33">
        <f t="shared" si="0"/>
        <v>-2770.1848571697669</v>
      </c>
      <c r="L11" s="33">
        <f t="shared" si="0"/>
        <v>-1281.3148195234496</v>
      </c>
      <c r="M11" s="33">
        <f t="shared" si="0"/>
        <v>-8334.1953394114335</v>
      </c>
      <c r="N11" s="43"/>
      <c r="O11" s="16"/>
    </row>
  </sheetData>
  <mergeCells count="2">
    <mergeCell ref="C4:G4"/>
    <mergeCell ref="I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P&amp;L Budgeting</vt:lpstr>
      <vt:lpstr>Sales Budget --&gt;</vt:lpstr>
      <vt:lpstr>Volume Forecast</vt:lpstr>
      <vt:lpstr>Revenue Forecast</vt:lpstr>
      <vt:lpstr>Production Budget --&gt;</vt:lpstr>
      <vt:lpstr>Production &amp; Direct Materials</vt:lpstr>
      <vt:lpstr>Direct Labour</vt:lpstr>
      <vt:lpstr>Overhead</vt:lpstr>
      <vt:lpstr>Cost of Goods Sold</vt:lpstr>
      <vt:lpstr>SG&amp;A Budget --&gt;</vt:lpstr>
      <vt:lpstr>SG&amp;A</vt:lpstr>
      <vt:lpstr>Balance Sheet Budgeting</vt:lpstr>
      <vt:lpstr>Working Capital</vt:lpstr>
      <vt:lpstr>Fixed Assets</vt:lpstr>
      <vt:lpstr>P&amp;L</vt:lpstr>
      <vt:lpstr>BS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Logan Parra Fonseca</cp:lastModifiedBy>
  <dcterms:created xsi:type="dcterms:W3CDTF">2016-04-07T21:15:22Z</dcterms:created>
  <dcterms:modified xsi:type="dcterms:W3CDTF">2021-03-19T00:57:35Z</dcterms:modified>
</cp:coreProperties>
</file>