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7925a624fd38486b/Shared/Excelfiles/The Complete Financial Analyst Course/"/>
    </mc:Choice>
  </mc:AlternateContent>
  <xr:revisionPtr revIDLastSave="86" documentId="13_ncr:1_{96A5C105-EDAB-4DBD-B5CD-02AB20D3BCFC}" xr6:coauthVersionLast="46" xr6:coauthVersionMax="46" xr10:uidLastSave="{2D0B142E-D3C2-41C5-ACFE-5E83F4586E36}"/>
  <bookViews>
    <workbookView xWindow="-108" yWindow="-108" windowWidth="23256" windowHeight="12576" xr2:uid="{00000000-000D-0000-FFFF-FFFF00000000}"/>
  </bookViews>
  <sheets>
    <sheet name="Case Study --&gt;" sheetId="15" r:id="rId1"/>
    <sheet name="Transactions" sheetId="1" r:id="rId2"/>
    <sheet name="Historical Data --&gt;" sheetId="13" r:id="rId3"/>
    <sheet name="Historical BS" sheetId="2" r:id="rId4"/>
    <sheet name="Historical P&amp;L" sheetId="12" r:id="rId5"/>
    <sheet name="2015 Data --&gt;" sheetId="14" r:id="rId6"/>
    <sheet name="Debits &amp; Credits" sheetId="3" r:id="rId7"/>
    <sheet name="T-accounts BS" sheetId="4" r:id="rId8"/>
    <sheet name="T-accounts P&amp;L" sheetId="10" r:id="rId9"/>
    <sheet name="Output --&gt;" sheetId="16" r:id="rId10"/>
    <sheet name="P&amp;L 2015" sheetId="6" r:id="rId11"/>
    <sheet name="BS 2015" sheetId="9" r:id="rId12"/>
  </sheets>
  <definedNames>
    <definedName name="_xlnm._FilterDatabase" localSheetId="6" hidden="1">'Debits &amp; Credits'!$B$4:$F$31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I4" i="6"/>
  <c r="H4" i="6"/>
  <c r="I23" i="9"/>
  <c r="I22" i="9"/>
  <c r="H22" i="9"/>
  <c r="H23" i="9"/>
  <c r="I21" i="9"/>
  <c r="H21" i="9"/>
  <c r="I19" i="9"/>
  <c r="H19" i="9"/>
  <c r="O14" i="9"/>
  <c r="I20" i="9" s="1"/>
  <c r="N14" i="9"/>
  <c r="S9" i="9"/>
  <c r="S14" i="9" s="1"/>
  <c r="R9" i="9"/>
  <c r="R14" i="9" s="1"/>
  <c r="D26" i="6"/>
  <c r="C26" i="6"/>
  <c r="D25" i="6"/>
  <c r="C25" i="6"/>
  <c r="D24" i="6"/>
  <c r="E24" i="6"/>
  <c r="C24" i="6"/>
  <c r="D27" i="6"/>
  <c r="E27" i="6"/>
  <c r="C27" i="6"/>
  <c r="J13" i="9"/>
  <c r="E26" i="6" s="1"/>
  <c r="D5" i="6"/>
  <c r="D6" i="6"/>
  <c r="D7" i="6"/>
  <c r="D8" i="6"/>
  <c r="D9" i="6"/>
  <c r="D10" i="6"/>
  <c r="D11" i="6"/>
  <c r="D12" i="6"/>
  <c r="D13" i="6"/>
  <c r="D14" i="6"/>
  <c r="D15" i="6"/>
  <c r="D16" i="6"/>
  <c r="D28" i="6" s="1"/>
  <c r="D17" i="6"/>
  <c r="D18" i="6"/>
  <c r="D19" i="6"/>
  <c r="D20" i="6"/>
  <c r="D21" i="6"/>
  <c r="D29" i="6" s="1"/>
  <c r="D4" i="6"/>
  <c r="C12" i="6"/>
  <c r="C13" i="6"/>
  <c r="C14" i="6"/>
  <c r="C15" i="6"/>
  <c r="C16" i="6"/>
  <c r="C28" i="6" s="1"/>
  <c r="C17" i="6"/>
  <c r="C18" i="6"/>
  <c r="C19" i="6"/>
  <c r="C20" i="6"/>
  <c r="C21" i="6"/>
  <c r="C29" i="6" s="1"/>
  <c r="C5" i="6"/>
  <c r="C6" i="6"/>
  <c r="C7" i="6"/>
  <c r="C8" i="6"/>
  <c r="C9" i="6"/>
  <c r="C10" i="6"/>
  <c r="C11" i="6"/>
  <c r="C4" i="6"/>
  <c r="H7" i="9"/>
  <c r="J21" i="9" s="1"/>
  <c r="I9" i="4"/>
  <c r="E21" i="10"/>
  <c r="E9" i="10"/>
  <c r="Q24" i="4"/>
  <c r="Q9" i="4"/>
  <c r="I10" i="4"/>
  <c r="H9" i="4"/>
  <c r="D15" i="4"/>
  <c r="D16" i="4" s="1"/>
  <c r="C15" i="4"/>
  <c r="H24" i="9" l="1"/>
  <c r="H20" i="9"/>
  <c r="I24" i="9"/>
  <c r="S10" i="4"/>
  <c r="Q16" i="4"/>
  <c r="J7" i="9" s="1"/>
  <c r="M17" i="4"/>
  <c r="J5" i="9" s="1"/>
  <c r="J23" i="9" s="1"/>
  <c r="H6" i="9"/>
  <c r="J22" i="9" s="1"/>
  <c r="J24" i="9" s="1"/>
  <c r="F13" i="6"/>
  <c r="E13" i="6" s="1"/>
  <c r="F10" i="6"/>
  <c r="E10" i="6" s="1"/>
  <c r="Q14" i="10"/>
  <c r="F5" i="6" s="1"/>
  <c r="E5" i="6" s="1"/>
  <c r="Q8" i="10"/>
  <c r="F4" i="6" s="1"/>
  <c r="E4" i="6" s="1"/>
  <c r="M14" i="10"/>
  <c r="M9" i="10"/>
  <c r="R28" i="4" l="1"/>
  <c r="E27" i="10"/>
  <c r="F17" i="6" s="1"/>
  <c r="E17" i="6" s="1"/>
  <c r="I28" i="10"/>
  <c r="F15" i="6" s="1"/>
  <c r="E15" i="6" s="1"/>
  <c r="I21" i="10"/>
  <c r="F18" i="6" s="1"/>
  <c r="E18" i="6" s="1"/>
  <c r="I14" i="10"/>
  <c r="F11" i="6" s="1"/>
  <c r="E11" i="6" s="1"/>
  <c r="I9" i="10"/>
  <c r="F12" i="6" s="1"/>
  <c r="E12" i="6" s="1"/>
  <c r="E14" i="10"/>
  <c r="F9" i="6" s="1"/>
  <c r="E9" i="6" s="1"/>
  <c r="F7" i="6"/>
  <c r="E7" i="6" s="1"/>
  <c r="M10" i="4"/>
  <c r="J6" i="9" s="1"/>
  <c r="M23" i="4"/>
  <c r="J9" i="9" s="1"/>
  <c r="I22" i="4"/>
  <c r="H22" i="4"/>
  <c r="I29" i="3"/>
  <c r="I28" i="3"/>
  <c r="D9" i="4"/>
  <c r="C9" i="4"/>
  <c r="O15" i="3"/>
  <c r="O17" i="3" s="1"/>
  <c r="O12" i="3"/>
  <c r="I23" i="4" l="1"/>
  <c r="H5" i="9" s="1"/>
  <c r="J19" i="9" s="1"/>
  <c r="D10" i="4"/>
  <c r="J11" i="9"/>
  <c r="D28" i="4" l="1"/>
  <c r="R29" i="4" s="1"/>
  <c r="H11" i="9"/>
  <c r="C6" i="12"/>
  <c r="C8" i="12" s="1"/>
  <c r="C14" i="12" s="1"/>
  <c r="C16" i="12" s="1"/>
  <c r="C19" i="12" s="1"/>
  <c r="C21" i="12" s="1"/>
  <c r="G10" i="2" l="1"/>
  <c r="G15" i="2" s="1"/>
  <c r="C15" i="2"/>
  <c r="D6" i="12" l="1"/>
  <c r="D8" i="12" l="1"/>
  <c r="D15" i="2"/>
  <c r="H10" i="2"/>
  <c r="H15" i="2" s="1"/>
  <c r="D14" i="12" l="1"/>
  <c r="D16" i="12" s="1"/>
  <c r="D19" i="12" s="1"/>
  <c r="D21" i="12" s="1"/>
  <c r="D18" i="2"/>
  <c r="F6" i="6"/>
  <c r="F8" i="6" l="1"/>
  <c r="E6" i="6"/>
  <c r="H15" i="9"/>
  <c r="E25" i="6" l="1"/>
  <c r="J20" i="9"/>
  <c r="F14" i="6"/>
  <c r="E8" i="6"/>
  <c r="F16" i="6" l="1"/>
  <c r="E14" i="6"/>
  <c r="F19" i="6" l="1"/>
  <c r="E16" i="6"/>
  <c r="E28" i="6" s="1"/>
  <c r="I31" i="3"/>
  <c r="F20" i="6" l="1"/>
  <c r="E20" i="6" s="1"/>
  <c r="E19" i="6"/>
  <c r="F21" i="6"/>
  <c r="J15" i="9" l="1"/>
  <c r="H18" i="9" s="1"/>
  <c r="E21" i="6"/>
  <c r="E29" i="6" s="1"/>
</calcChain>
</file>

<file path=xl/sharedStrings.xml><?xml version="1.0" encoding="utf-8"?>
<sst xmlns="http://schemas.openxmlformats.org/spreadsheetml/2006/main" count="321" uniqueCount="118">
  <si>
    <t>Assets</t>
  </si>
  <si>
    <t>Liabilities</t>
  </si>
  <si>
    <t>T-Accounts</t>
  </si>
  <si>
    <t>Debits &amp; Credits</t>
  </si>
  <si>
    <t>Balance Sheet</t>
  </si>
  <si>
    <t>Income Statement</t>
  </si>
  <si>
    <t>Account</t>
  </si>
  <si>
    <t>Debit</t>
  </si>
  <si>
    <t>Credit</t>
  </si>
  <si>
    <t>Liabilities &amp; Equity</t>
  </si>
  <si>
    <t>Expenses</t>
  </si>
  <si>
    <t>Income</t>
  </si>
  <si>
    <t>Equity</t>
  </si>
  <si>
    <t>Cash</t>
  </si>
  <si>
    <t>Asset/Liability</t>
  </si>
  <si>
    <t>Income/Expense</t>
  </si>
  <si>
    <t>Employee Payables</t>
  </si>
  <si>
    <t>Raw Materials</t>
  </si>
  <si>
    <t>Fixed Assets</t>
  </si>
  <si>
    <t>Cost of Services</t>
  </si>
  <si>
    <t>Cost of Personnel</t>
  </si>
  <si>
    <t>Cost of Goods Sold</t>
  </si>
  <si>
    <t>Trade Payables</t>
  </si>
  <si>
    <t>Accounts Receivable</t>
  </si>
  <si>
    <t>Logistic Expenses</t>
  </si>
  <si>
    <t>Utility Expenses</t>
  </si>
  <si>
    <t>Debt</t>
  </si>
  <si>
    <t>Other Liabilities</t>
  </si>
  <si>
    <t>Income Taxes</t>
  </si>
  <si>
    <t>Interest Expense</t>
  </si>
  <si>
    <t>Provision</t>
  </si>
  <si>
    <t>Provision for Expenses</t>
  </si>
  <si>
    <t>Inventory</t>
  </si>
  <si>
    <t>FY15</t>
  </si>
  <si>
    <t>Cost of goods sold</t>
  </si>
  <si>
    <t>Gross Profit</t>
  </si>
  <si>
    <t>D&amp;A</t>
  </si>
  <si>
    <t>Net Income</t>
  </si>
  <si>
    <t>P&amp;L</t>
  </si>
  <si>
    <t>Earnings before Taxes</t>
  </si>
  <si>
    <t>in 000's</t>
  </si>
  <si>
    <t>Provisions</t>
  </si>
  <si>
    <t>EBITDA</t>
  </si>
  <si>
    <t>Taxes (15% of EBT)</t>
  </si>
  <si>
    <t>Total Assets</t>
  </si>
  <si>
    <t>Total Liabilities &amp; Equity</t>
  </si>
  <si>
    <t>Check</t>
  </si>
  <si>
    <t>BS 2014</t>
  </si>
  <si>
    <t>BS 2015</t>
  </si>
  <si>
    <t>As of 31st of December 2015</t>
  </si>
  <si>
    <t>Total Liabilities</t>
  </si>
  <si>
    <t>Transaction ID</t>
  </si>
  <si>
    <t>Other Revenue</t>
  </si>
  <si>
    <t>Revenue</t>
  </si>
  <si>
    <t>Total Debits</t>
  </si>
  <si>
    <t>Total Credits</t>
  </si>
  <si>
    <t>Difference</t>
  </si>
  <si>
    <t>Other Opex</t>
  </si>
  <si>
    <t>Other operating expenses</t>
  </si>
  <si>
    <t>Total Revenue</t>
  </si>
  <si>
    <t>EBIT</t>
  </si>
  <si>
    <t>FY14</t>
  </si>
  <si>
    <t>Historical Data --&gt;</t>
  </si>
  <si>
    <t>2015 Data --&gt;</t>
  </si>
  <si>
    <t>Case Study --&gt;</t>
  </si>
  <si>
    <t>Dec 31
2014</t>
  </si>
  <si>
    <t>Dec 31
2013</t>
  </si>
  <si>
    <t>FY13</t>
  </si>
  <si>
    <t>KPIs</t>
  </si>
  <si>
    <t>Output --&gt;</t>
  </si>
  <si>
    <t xml:space="preserve">Starting from the Balance Sheet at 31st December 2014, consider the accounting impact of the following transactions that occurred in 
</t>
  </si>
  <si>
    <t>2015 and complete the empty sheets “Debits &amp; Credits”, “T-accounts BS”, “T-accounts P&amp;L”, “BS 2015” and “P&amp;L 2015”</t>
  </si>
  <si>
    <t>1</t>
  </si>
  <si>
    <t>2</t>
  </si>
  <si>
    <t>Value</t>
  </si>
  <si>
    <t>Salvage</t>
  </si>
  <si>
    <t>Annual D&amp;A</t>
  </si>
  <si>
    <t>Current D&amp;A</t>
  </si>
  <si>
    <t>3</t>
  </si>
  <si>
    <t>Expense</t>
  </si>
  <si>
    <t>4</t>
  </si>
  <si>
    <t>5</t>
  </si>
  <si>
    <t>6</t>
  </si>
  <si>
    <t>Trade Payable</t>
  </si>
  <si>
    <t>Asset</t>
  </si>
  <si>
    <t>Liability</t>
  </si>
  <si>
    <t>7</t>
  </si>
  <si>
    <t>9</t>
  </si>
  <si>
    <t>10</t>
  </si>
  <si>
    <t>11</t>
  </si>
  <si>
    <t>12</t>
  </si>
  <si>
    <t>13</t>
  </si>
  <si>
    <t>14</t>
  </si>
  <si>
    <t>15</t>
  </si>
  <si>
    <t>Total</t>
  </si>
  <si>
    <t>Employees Payable</t>
  </si>
  <si>
    <t>COGS</t>
  </si>
  <si>
    <t>8</t>
  </si>
  <si>
    <t>Logistic Services</t>
  </si>
  <si>
    <t>Utilities</t>
  </si>
  <si>
    <t>Provision Expense</t>
  </si>
  <si>
    <t>Opex</t>
  </si>
  <si>
    <t>taxes</t>
  </si>
  <si>
    <t>Other liabilities</t>
  </si>
  <si>
    <t>Interest Coverage</t>
  </si>
  <si>
    <t>ROA</t>
  </si>
  <si>
    <t>ROE</t>
  </si>
  <si>
    <t>EBIT %</t>
  </si>
  <si>
    <t>Net Income %</t>
  </si>
  <si>
    <t>Gross Profit %</t>
  </si>
  <si>
    <t>Current Ratio</t>
  </si>
  <si>
    <t>DSO</t>
  </si>
  <si>
    <t>DPO</t>
  </si>
  <si>
    <t>DIO</t>
  </si>
  <si>
    <t>Debt Ratio</t>
  </si>
  <si>
    <t>Net Trading Cycle</t>
  </si>
  <si>
    <t>Growth Y - O - Y
2014</t>
  </si>
  <si>
    <t>Growth Y - O - Y
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</si>
</sst>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л_в_._-;\-* #,##0.00\ _л_в_._-;_-* &quot;-&quot;??\ _л_в_._-;_-@_-"/>
    <numFmt numFmtId="165" formatCode="#,##0.0_ ;\-#,##0.0\ "/>
    <numFmt numFmtId="166" formatCode="0.0"/>
    <numFmt numFmtId="167" formatCode="#,##0.0"/>
    <numFmt numFmtId="168" formatCode="#,##0_ ;\-#,##0\ "/>
    <numFmt numFmtId="169" formatCode="_(&quot;$&quot;* #,##0_);_(&quot;$&quot;* \(#,##0\);_(&quot;$&quot;* &quot;-&quot;??_);_(@_)"/>
    <numFmt numFmtId="170" formatCode="_-* #,##0\ _л_в_._-;\-* #,##0\ _л_в_._-;_-* &quot;-&quot;??\ _л_в_._-;_-@_-"/>
    <numFmt numFmtId="171" formatCode="_(* #,##0_);_(* \(#,##0\);_(* &quot;-&quot;??_);_(@_)"/>
    <numFmt numFmtId="174" formatCode="0.0%"/>
  </numFmts>
  <fonts count="29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9"/>
      <color theme="1"/>
      <name val="Arial"/>
      <family val="2"/>
    </font>
    <font>
      <sz val="8"/>
      <name val="Calibri"/>
      <family val="2"/>
      <charset val="204"/>
      <scheme val="minor"/>
    </font>
    <font>
      <b/>
      <sz val="9"/>
      <name val="Arial"/>
      <family val="2"/>
      <charset val="204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/>
    <xf numFmtId="0" fontId="0" fillId="2" borderId="0" xfId="0" applyFill="1"/>
    <xf numFmtId="0" fontId="5" fillId="2" borderId="0" xfId="0" applyFont="1" applyFill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1" fillId="2" borderId="5" xfId="0" applyFont="1" applyFill="1" applyBorder="1"/>
    <xf numFmtId="0" fontId="6" fillId="2" borderId="4" xfId="0" applyFont="1" applyFill="1" applyBorder="1" applyAlignment="1">
      <alignment horizontal="right"/>
    </xf>
    <xf numFmtId="3" fontId="1" fillId="2" borderId="0" xfId="1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8" fontId="1" fillId="2" borderId="2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68" fontId="1" fillId="2" borderId="3" xfId="1" applyNumberFormat="1" applyFont="1" applyFill="1" applyBorder="1" applyAlignment="1">
      <alignment horizontal="center"/>
    </xf>
    <xf numFmtId="168" fontId="1" fillId="2" borderId="0" xfId="1" applyNumberFormat="1" applyFont="1" applyFill="1"/>
    <xf numFmtId="168" fontId="1" fillId="2" borderId="3" xfId="1" applyNumberFormat="1" applyFont="1" applyFill="1" applyBorder="1"/>
    <xf numFmtId="1" fontId="1" fillId="2" borderId="0" xfId="0" applyNumberFormat="1" applyFont="1" applyFill="1"/>
    <xf numFmtId="1" fontId="1" fillId="2" borderId="3" xfId="0" applyNumberFormat="1" applyFont="1" applyFill="1" applyBorder="1"/>
    <xf numFmtId="1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0" fontId="8" fillId="2" borderId="0" xfId="2" applyFont="1" applyFill="1"/>
    <xf numFmtId="0" fontId="5" fillId="2" borderId="0" xfId="2" applyFont="1" applyFill="1"/>
    <xf numFmtId="0" fontId="9" fillId="2" borderId="0" xfId="2" applyFont="1" applyFill="1" applyBorder="1"/>
    <xf numFmtId="3" fontId="9" fillId="2" borderId="0" xfId="2" applyNumberFormat="1" applyFont="1" applyFill="1" applyBorder="1"/>
    <xf numFmtId="0" fontId="9" fillId="2" borderId="0" xfId="2" applyFont="1" applyFill="1"/>
    <xf numFmtId="166" fontId="9" fillId="2" borderId="0" xfId="3" applyNumberFormat="1" applyFont="1" applyFill="1" applyBorder="1" applyAlignment="1">
      <alignment horizontal="left"/>
    </xf>
    <xf numFmtId="166" fontId="9" fillId="2" borderId="0" xfId="2" applyNumberFormat="1" applyFont="1" applyFill="1" applyBorder="1"/>
    <xf numFmtId="166" fontId="9" fillId="2" borderId="0" xfId="2" applyNumberFormat="1" applyFont="1" applyFill="1"/>
    <xf numFmtId="3" fontId="1" fillId="2" borderId="0" xfId="0" applyNumberFormat="1" applyFont="1" applyFill="1" applyBorder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6" xfId="0" applyFont="1" applyFill="1" applyBorder="1"/>
    <xf numFmtId="3" fontId="11" fillId="2" borderId="6" xfId="0" applyNumberFormat="1" applyFon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1" fillId="2" borderId="8" xfId="1" applyNumberFormat="1" applyFont="1" applyFill="1" applyBorder="1" applyAlignment="1">
      <alignment horizontal="right"/>
    </xf>
    <xf numFmtId="3" fontId="1" fillId="2" borderId="8" xfId="0" applyNumberFormat="1" applyFont="1" applyFill="1" applyBorder="1"/>
    <xf numFmtId="3" fontId="11" fillId="2" borderId="9" xfId="0" applyNumberFormat="1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right"/>
    </xf>
    <xf numFmtId="0" fontId="14" fillId="2" borderId="0" xfId="0" applyFont="1" applyFill="1"/>
    <xf numFmtId="0" fontId="15" fillId="4" borderId="0" xfId="0" applyFont="1" applyFill="1"/>
    <xf numFmtId="3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/>
    <xf numFmtId="0" fontId="13" fillId="2" borderId="0" xfId="0" applyFont="1" applyFill="1"/>
    <xf numFmtId="3" fontId="13" fillId="2" borderId="0" xfId="0" applyNumberFormat="1" applyFont="1" applyFill="1" applyAlignment="1">
      <alignment horizontal="right"/>
    </xf>
    <xf numFmtId="3" fontId="13" fillId="2" borderId="0" xfId="1" applyNumberFormat="1" applyFont="1" applyFill="1" applyAlignment="1">
      <alignment horizontal="right"/>
    </xf>
    <xf numFmtId="168" fontId="1" fillId="2" borderId="0" xfId="1" applyNumberFormat="1" applyFont="1" applyFill="1" applyBorder="1"/>
    <xf numFmtId="49" fontId="1" fillId="2" borderId="3" xfId="0" applyNumberFormat="1" applyFont="1" applyFill="1" applyBorder="1"/>
    <xf numFmtId="168" fontId="1" fillId="2" borderId="0" xfId="1" applyNumberFormat="1" applyFont="1" applyFill="1" applyBorder="1" applyAlignment="1">
      <alignment horizontal="right"/>
    </xf>
    <xf numFmtId="168" fontId="16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center"/>
    </xf>
    <xf numFmtId="1" fontId="1" fillId="2" borderId="0" xfId="0" applyNumberFormat="1" applyFont="1" applyFill="1" applyBorder="1"/>
    <xf numFmtId="1" fontId="1" fillId="2" borderId="3" xfId="0" applyNumberFormat="1" applyFont="1" applyFill="1" applyBorder="1" applyAlignment="1"/>
    <xf numFmtId="49" fontId="1" fillId="2" borderId="0" xfId="0" applyNumberFormat="1" applyFont="1" applyFill="1" applyBorder="1"/>
    <xf numFmtId="0" fontId="17" fillId="2" borderId="0" xfId="0" applyFont="1" applyFill="1" applyBorder="1" applyAlignment="1">
      <alignment horizontal="center"/>
    </xf>
    <xf numFmtId="168" fontId="1" fillId="2" borderId="2" xfId="1" applyNumberFormat="1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horizontal="right"/>
    </xf>
    <xf numFmtId="168" fontId="11" fillId="2" borderId="6" xfId="0" applyNumberFormat="1" applyFont="1" applyFill="1" applyBorder="1"/>
    <xf numFmtId="168" fontId="1" fillId="2" borderId="0" xfId="1" applyNumberFormat="1" applyFont="1" applyFill="1" applyAlignment="1">
      <alignment horizontal="right"/>
    </xf>
    <xf numFmtId="168" fontId="1" fillId="2" borderId="3" xfId="1" applyNumberFormat="1" applyFont="1" applyFill="1" applyBorder="1" applyAlignment="1">
      <alignment horizontal="left"/>
    </xf>
    <xf numFmtId="165" fontId="1" fillId="2" borderId="3" xfId="1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3" fontId="1" fillId="2" borderId="0" xfId="0" applyNumberFormat="1" applyFont="1" applyFill="1" applyAlignment="1">
      <alignment horizontal="left"/>
    </xf>
    <xf numFmtId="0" fontId="6" fillId="2" borderId="0" xfId="0" applyFont="1" applyFill="1" applyBorder="1"/>
    <xf numFmtId="49" fontId="11" fillId="2" borderId="0" xfId="0" applyNumberFormat="1" applyFont="1" applyFill="1"/>
    <xf numFmtId="3" fontId="16" fillId="3" borderId="0" xfId="0" applyNumberFormat="1" applyFont="1" applyFill="1"/>
    <xf numFmtId="49" fontId="18" fillId="2" borderId="0" xfId="0" applyNumberFormat="1" applyFont="1" applyFill="1"/>
    <xf numFmtId="3" fontId="18" fillId="2" borderId="0" xfId="0" applyNumberFormat="1" applyFont="1" applyFill="1"/>
    <xf numFmtId="0" fontId="1" fillId="2" borderId="0" xfId="0" applyFont="1" applyFill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0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0" fontId="1" fillId="2" borderId="0" xfId="0" applyFont="1" applyFill="1" applyAlignment="1"/>
    <xf numFmtId="3" fontId="1" fillId="2" borderId="0" xfId="0" applyNumberFormat="1" applyFont="1" applyFill="1" applyAlignment="1"/>
    <xf numFmtId="3" fontId="1" fillId="2" borderId="0" xfId="0" applyNumberFormat="1" applyFont="1" applyFill="1" applyBorder="1" applyAlignment="1"/>
    <xf numFmtId="0" fontId="6" fillId="2" borderId="4" xfId="2" applyFont="1" applyFill="1" applyBorder="1" applyAlignment="1"/>
    <xf numFmtId="0" fontId="6" fillId="2" borderId="4" xfId="2" applyFont="1" applyFill="1" applyBorder="1" applyAlignment="1">
      <alignment horizontal="right"/>
    </xf>
    <xf numFmtId="0" fontId="11" fillId="2" borderId="6" xfId="2" applyFont="1" applyFill="1" applyBorder="1"/>
    <xf numFmtId="3" fontId="11" fillId="2" borderId="6" xfId="2" applyNumberFormat="1" applyFont="1" applyFill="1" applyBorder="1"/>
    <xf numFmtId="0" fontId="11" fillId="2" borderId="10" xfId="2" applyFont="1" applyFill="1" applyBorder="1"/>
    <xf numFmtId="3" fontId="11" fillId="2" borderId="10" xfId="2" applyNumberFormat="1" applyFont="1" applyFill="1" applyBorder="1"/>
    <xf numFmtId="0" fontId="19" fillId="2" borderId="0" xfId="0" applyFont="1" applyFill="1"/>
    <xf numFmtId="0" fontId="11" fillId="2" borderId="4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left"/>
    </xf>
    <xf numFmtId="3" fontId="11" fillId="2" borderId="6" xfId="0" applyNumberFormat="1" applyFont="1" applyFill="1" applyBorder="1"/>
    <xf numFmtId="3" fontId="13" fillId="2" borderId="8" xfId="0" applyNumberFormat="1" applyFont="1" applyFill="1" applyBorder="1" applyAlignment="1">
      <alignment horizontal="right"/>
    </xf>
    <xf numFmtId="3" fontId="12" fillId="2" borderId="8" xfId="0" applyNumberFormat="1" applyFont="1" applyFill="1" applyBorder="1" applyAlignment="1">
      <alignment horizontal="right"/>
    </xf>
    <xf numFmtId="3" fontId="13" fillId="2" borderId="8" xfId="1" applyNumberFormat="1" applyFont="1" applyFill="1" applyBorder="1" applyAlignment="1">
      <alignment horizontal="right"/>
    </xf>
    <xf numFmtId="3" fontId="1" fillId="2" borderId="8" xfId="0" applyNumberFormat="1" applyFont="1" applyFill="1" applyBorder="1" applyAlignment="1">
      <alignment horizontal="right"/>
    </xf>
    <xf numFmtId="3" fontId="11" fillId="2" borderId="9" xfId="0" applyNumberFormat="1" applyFont="1" applyFill="1" applyBorder="1" applyAlignment="1">
      <alignment horizontal="right"/>
    </xf>
    <xf numFmtId="0" fontId="1" fillId="2" borderId="11" xfId="0" applyFont="1" applyFill="1" applyBorder="1"/>
    <xf numFmtId="0" fontId="1" fillId="2" borderId="12" xfId="0" applyFont="1" applyFill="1" applyBorder="1"/>
    <xf numFmtId="0" fontId="11" fillId="2" borderId="13" xfId="0" applyFont="1" applyFill="1" applyBorder="1"/>
    <xf numFmtId="168" fontId="1" fillId="2" borderId="0" xfId="1" applyNumberFormat="1" applyFont="1" applyFill="1" applyBorder="1" applyAlignment="1">
      <alignment horizontal="left"/>
    </xf>
    <xf numFmtId="168" fontId="1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right"/>
    </xf>
    <xf numFmtId="165" fontId="1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Border="1" applyAlignment="1">
      <alignment horizontal="right"/>
    </xf>
    <xf numFmtId="0" fontId="0" fillId="2" borderId="0" xfId="0" applyFill="1" applyBorder="1"/>
    <xf numFmtId="0" fontId="20" fillId="5" borderId="0" xfId="2" applyFont="1" applyFill="1"/>
    <xf numFmtId="3" fontId="21" fillId="5" borderId="0" xfId="2" applyNumberFormat="1" applyFont="1" applyFill="1" applyBorder="1"/>
    <xf numFmtId="0" fontId="21" fillId="5" borderId="0" xfId="2" applyFont="1" applyFill="1"/>
    <xf numFmtId="166" fontId="21" fillId="5" borderId="0" xfId="3" applyNumberFormat="1" applyFont="1" applyFill="1" applyBorder="1" applyAlignment="1">
      <alignment horizontal="left"/>
    </xf>
    <xf numFmtId="0" fontId="15" fillId="5" borderId="0" xfId="0" applyFont="1" applyFill="1"/>
    <xf numFmtId="167" fontId="15" fillId="5" borderId="0" xfId="0" applyNumberFormat="1" applyFont="1" applyFill="1"/>
    <xf numFmtId="3" fontId="15" fillId="5" borderId="0" xfId="0" applyNumberFormat="1" applyFont="1" applyFill="1" applyAlignment="1">
      <alignment horizontal="right"/>
    </xf>
    <xf numFmtId="0" fontId="22" fillId="5" borderId="0" xfId="0" applyFont="1" applyFill="1"/>
    <xf numFmtId="0" fontId="23" fillId="5" borderId="0" xfId="0" applyFont="1" applyFill="1"/>
    <xf numFmtId="168" fontId="16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Alignment="1"/>
    <xf numFmtId="168" fontId="17" fillId="2" borderId="1" xfId="1" applyNumberFormat="1" applyFont="1" applyFill="1" applyBorder="1" applyAlignment="1">
      <alignment horizontal="center"/>
    </xf>
    <xf numFmtId="164" fontId="1" fillId="2" borderId="0" xfId="1" applyFont="1" applyFill="1"/>
    <xf numFmtId="169" fontId="1" fillId="2" borderId="0" xfId="4" applyNumberFormat="1" applyFont="1" applyFill="1"/>
    <xf numFmtId="169" fontId="1" fillId="2" borderId="0" xfId="0" applyNumberFormat="1" applyFont="1" applyFill="1"/>
    <xf numFmtId="170" fontId="1" fillId="2" borderId="0" xfId="1" applyNumberFormat="1" applyFont="1" applyFill="1" applyAlignment="1">
      <alignment horizontal="right"/>
    </xf>
    <xf numFmtId="43" fontId="1" fillId="2" borderId="0" xfId="0" applyNumberFormat="1" applyFont="1" applyFill="1"/>
    <xf numFmtId="171" fontId="1" fillId="2" borderId="0" xfId="0" applyNumberFormat="1" applyFont="1" applyFill="1"/>
    <xf numFmtId="168" fontId="1" fillId="2" borderId="15" xfId="1" applyNumberFormat="1" applyFont="1" applyFill="1" applyBorder="1" applyAlignment="1">
      <alignment horizontal="left"/>
    </xf>
    <xf numFmtId="168" fontId="1" fillId="2" borderId="14" xfId="1" applyNumberFormat="1" applyFont="1" applyFill="1" applyBorder="1" applyAlignment="1">
      <alignment horizontal="right"/>
    </xf>
    <xf numFmtId="170" fontId="1" fillId="2" borderId="2" xfId="1" applyNumberFormat="1" applyFont="1" applyFill="1" applyBorder="1"/>
    <xf numFmtId="170" fontId="1" fillId="2" borderId="15" xfId="1" applyNumberFormat="1" applyFont="1" applyFill="1" applyBorder="1"/>
    <xf numFmtId="168" fontId="27" fillId="2" borderId="0" xfId="1" applyNumberFormat="1" applyFont="1" applyFill="1" applyAlignment="1">
      <alignment horizontal="center"/>
    </xf>
    <xf numFmtId="168" fontId="27" fillId="2" borderId="0" xfId="1" applyNumberFormat="1" applyFont="1" applyFill="1" applyBorder="1" applyAlignment="1"/>
    <xf numFmtId="170" fontId="1" fillId="2" borderId="14" xfId="1" applyNumberFormat="1" applyFont="1" applyFill="1" applyBorder="1" applyAlignment="1">
      <alignment horizontal="right"/>
    </xf>
    <xf numFmtId="170" fontId="1" fillId="2" borderId="3" xfId="1" applyNumberFormat="1" applyFont="1" applyFill="1" applyBorder="1" applyAlignment="1">
      <alignment horizontal="left"/>
    </xf>
    <xf numFmtId="0" fontId="11" fillId="2" borderId="10" xfId="0" applyFont="1" applyFill="1" applyBorder="1"/>
    <xf numFmtId="168" fontId="1" fillId="2" borderId="0" xfId="0" applyNumberFormat="1" applyFont="1" applyFill="1" applyBorder="1"/>
    <xf numFmtId="168" fontId="1" fillId="2" borderId="14" xfId="1" applyNumberFormat="1" applyFont="1" applyFill="1" applyBorder="1" applyAlignment="1"/>
    <xf numFmtId="168" fontId="1" fillId="2" borderId="0" xfId="0" applyNumberFormat="1" applyFont="1" applyFill="1"/>
    <xf numFmtId="168" fontId="27" fillId="2" borderId="3" xfId="1" applyNumberFormat="1" applyFont="1" applyFill="1" applyBorder="1" applyAlignment="1"/>
    <xf numFmtId="3" fontId="1" fillId="2" borderId="15" xfId="0" applyNumberFormat="1" applyFont="1" applyFill="1" applyBorder="1" applyAlignment="1">
      <alignment horizontal="left"/>
    </xf>
    <xf numFmtId="1" fontId="1" fillId="2" borderId="14" xfId="0" applyNumberFormat="1" applyFont="1" applyFill="1" applyBorder="1" applyAlignment="1">
      <alignment horizontal="right"/>
    </xf>
    <xf numFmtId="1" fontId="1" fillId="2" borderId="15" xfId="0" applyNumberFormat="1" applyFont="1" applyFill="1" applyBorder="1"/>
    <xf numFmtId="1" fontId="1" fillId="2" borderId="14" xfId="0" applyNumberFormat="1" applyFont="1" applyFill="1" applyBorder="1"/>
    <xf numFmtId="3" fontId="1" fillId="2" borderId="18" xfId="0" applyNumberFormat="1" applyFont="1" applyFill="1" applyBorder="1" applyAlignment="1">
      <alignment horizontal="left"/>
    </xf>
    <xf numFmtId="3" fontId="1" fillId="2" borderId="16" xfId="0" applyNumberFormat="1" applyFont="1" applyFill="1" applyBorder="1"/>
    <xf numFmtId="170" fontId="25" fillId="2" borderId="16" xfId="1" applyNumberFormat="1" applyFont="1" applyFill="1" applyBorder="1" applyAlignment="1">
      <alignment horizontal="right"/>
    </xf>
    <xf numFmtId="3" fontId="1" fillId="2" borderId="16" xfId="0" applyNumberFormat="1" applyFont="1" applyFill="1" applyBorder="1" applyAlignment="1"/>
    <xf numFmtId="167" fontId="1" fillId="2" borderId="18" xfId="0" applyNumberFormat="1" applyFont="1" applyFill="1" applyBorder="1"/>
    <xf numFmtId="3" fontId="25" fillId="2" borderId="16" xfId="0" applyNumberFormat="1" applyFont="1" applyFill="1" applyBorder="1"/>
    <xf numFmtId="164" fontId="1" fillId="2" borderId="16" xfId="1" applyFont="1" applyFill="1" applyBorder="1" applyAlignment="1">
      <alignment horizontal="right"/>
    </xf>
    <xf numFmtId="3" fontId="1" fillId="2" borderId="14" xfId="0" applyNumberFormat="1" applyFont="1" applyFill="1" applyBorder="1" applyAlignment="1"/>
    <xf numFmtId="170" fontId="1" fillId="2" borderId="19" xfId="1" applyNumberFormat="1" applyFont="1" applyFill="1" applyBorder="1"/>
    <xf numFmtId="170" fontId="1" fillId="2" borderId="17" xfId="1" applyNumberFormat="1" applyFont="1" applyFill="1" applyBorder="1" applyAlignment="1">
      <alignment horizontal="right"/>
    </xf>
    <xf numFmtId="0" fontId="24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68" fontId="17" fillId="2" borderId="0" xfId="1" applyNumberFormat="1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3" fontId="1" fillId="2" borderId="2" xfId="0" applyNumberFormat="1" applyFont="1" applyFill="1" applyBorder="1"/>
    <xf numFmtId="164" fontId="1" fillId="2" borderId="2" xfId="1" applyFont="1" applyFill="1" applyBorder="1" applyAlignment="1">
      <alignment horizontal="left"/>
    </xf>
    <xf numFmtId="170" fontId="1" fillId="2" borderId="2" xfId="1" applyNumberFormat="1" applyFont="1" applyFill="1" applyBorder="1" applyAlignment="1">
      <alignment horizontal="left"/>
    </xf>
    <xf numFmtId="170" fontId="9" fillId="2" borderId="0" xfId="1" applyNumberFormat="1" applyFont="1" applyFill="1" applyBorder="1" applyAlignment="1">
      <alignment horizontal="left"/>
    </xf>
    <xf numFmtId="170" fontId="1" fillId="2" borderId="0" xfId="1" applyNumberFormat="1" applyFont="1" applyFill="1" applyAlignment="1">
      <alignment horizontal="left"/>
    </xf>
    <xf numFmtId="170" fontId="6" fillId="2" borderId="0" xfId="1" applyNumberFormat="1" applyFont="1" applyFill="1" applyBorder="1" applyAlignment="1">
      <alignment horizontal="left"/>
    </xf>
    <xf numFmtId="170" fontId="1" fillId="2" borderId="0" xfId="1" applyNumberFormat="1" applyFont="1" applyFill="1"/>
    <xf numFmtId="170" fontId="1" fillId="2" borderId="2" xfId="1" applyNumberFormat="1" applyFont="1" applyFill="1" applyBorder="1" applyAlignment="1">
      <alignment horizontal="right"/>
    </xf>
    <xf numFmtId="170" fontId="1" fillId="2" borderId="16" xfId="1" applyNumberFormat="1" applyFont="1" applyFill="1" applyBorder="1" applyAlignment="1">
      <alignment horizontal="right"/>
    </xf>
    <xf numFmtId="170" fontId="28" fillId="2" borderId="0" xfId="1" applyNumberFormat="1" applyFont="1" applyFill="1" applyBorder="1" applyAlignment="1">
      <alignment horizontal="right"/>
    </xf>
    <xf numFmtId="168" fontId="28" fillId="2" borderId="0" xfId="1" applyNumberFormat="1" applyFont="1" applyFill="1" applyBorder="1" applyAlignment="1">
      <alignment horizontal="right"/>
    </xf>
    <xf numFmtId="170" fontId="1" fillId="2" borderId="0" xfId="1" applyNumberFormat="1" applyFont="1" applyFill="1" applyBorder="1"/>
    <xf numFmtId="174" fontId="21" fillId="5" borderId="0" xfId="5" applyNumberFormat="1" applyFont="1" applyFill="1" applyAlignment="1">
      <alignment horizontal="right"/>
    </xf>
    <xf numFmtId="10" fontId="21" fillId="5" borderId="0" xfId="5" applyNumberFormat="1" applyFont="1" applyFill="1" applyAlignment="1">
      <alignment horizontal="right"/>
    </xf>
    <xf numFmtId="166" fontId="21" fillId="5" borderId="0" xfId="1" applyNumberFormat="1" applyFont="1" applyFill="1" applyAlignment="1">
      <alignment horizontal="right"/>
    </xf>
    <xf numFmtId="0" fontId="22" fillId="5" borderId="0" xfId="0" applyNumberFormat="1" applyFont="1" applyFill="1"/>
    <xf numFmtId="4" fontId="22" fillId="5" borderId="0" xfId="0" applyNumberFormat="1" applyFont="1" applyFill="1"/>
    <xf numFmtId="2" fontId="22" fillId="5" borderId="0" xfId="0" applyNumberFormat="1" applyFont="1" applyFill="1"/>
    <xf numFmtId="2" fontId="22" fillId="5" borderId="0" xfId="1" applyNumberFormat="1" applyFont="1" applyFill="1"/>
    <xf numFmtId="9" fontId="9" fillId="2" borderId="0" xfId="5" applyFont="1" applyFill="1" applyBorder="1"/>
    <xf numFmtId="9" fontId="11" fillId="2" borderId="10" xfId="5" applyFont="1" applyFill="1" applyBorder="1"/>
    <xf numFmtId="9" fontId="11" fillId="2" borderId="6" xfId="5" applyFont="1" applyFill="1" applyBorder="1"/>
    <xf numFmtId="0" fontId="6" fillId="2" borderId="4" xfId="2" applyFont="1" applyFill="1" applyBorder="1" applyAlignment="1">
      <alignment horizontal="right" wrapText="1"/>
    </xf>
  </cellXfs>
  <cellStyles count="6">
    <cellStyle name="Comma" xfId="1" builtinId="3"/>
    <cellStyle name="Comma 2" xfId="3" xr:uid="{00000000-0005-0000-0000-000001000000}"/>
    <cellStyle name="Currency" xfId="4" builtinId="4"/>
    <cellStyle name="Normal" xfId="0" builtinId="0"/>
    <cellStyle name="Normal 2" xfId="2" xr:uid="{00000000-0005-0000-0000-000003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66675</xdr:rowOff>
    </xdr:from>
    <xdr:to>
      <xdr:col>8</xdr:col>
      <xdr:colOff>424366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584201</xdr:colOff>
      <xdr:row>5</xdr:row>
      <xdr:rowOff>42335</xdr:rowOff>
    </xdr:from>
    <xdr:to>
      <xdr:col>16</xdr:col>
      <xdr:colOff>98426</xdr:colOff>
      <xdr:row>22</xdr:row>
      <xdr:rowOff>72095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7268" y="973668"/>
          <a:ext cx="8522758" cy="3196294"/>
        </a:xfrm>
        <a:prstGeom prst="rect">
          <a:avLst/>
        </a:prstGeom>
      </xdr:spPr>
    </xdr:pic>
    <xdr:clientData/>
  </xdr:twoCellAnchor>
  <xdr:twoCellAnchor editAs="oneCell">
    <xdr:from>
      <xdr:col>2</xdr:col>
      <xdr:colOff>518584</xdr:colOff>
      <xdr:row>38</xdr:row>
      <xdr:rowOff>146046</xdr:rowOff>
    </xdr:from>
    <xdr:to>
      <xdr:col>16</xdr:col>
      <xdr:colOff>116418</xdr:colOff>
      <xdr:row>55</xdr:row>
      <xdr:rowOff>135234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7385046"/>
          <a:ext cx="8413750" cy="3227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476252</xdr:colOff>
      <xdr:row>55</xdr:row>
      <xdr:rowOff>103708</xdr:rowOff>
    </xdr:from>
    <xdr:to>
      <xdr:col>16</xdr:col>
      <xdr:colOff>115846</xdr:colOff>
      <xdr:row>68</xdr:row>
      <xdr:rowOff>188383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9" y="10581208"/>
          <a:ext cx="8455510" cy="2561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412751</xdr:colOff>
      <xdr:row>11</xdr:row>
      <xdr:rowOff>188384</xdr:rowOff>
    </xdr:from>
    <xdr:to>
      <xdr:col>19</xdr:col>
      <xdr:colOff>571780</xdr:colOff>
      <xdr:row>15</xdr:row>
      <xdr:rowOff>150385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334" y="2283884"/>
          <a:ext cx="2000529" cy="7240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533358</xdr:colOff>
      <xdr:row>21</xdr:row>
      <xdr:rowOff>179918</xdr:rowOff>
    </xdr:from>
    <xdr:to>
      <xdr:col>16</xdr:col>
      <xdr:colOff>47626</xdr:colOff>
      <xdr:row>38</xdr:row>
      <xdr:rowOff>181743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AE540-7DBB-47BD-B52C-CE0AB4F2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25" y="4180418"/>
          <a:ext cx="8330184" cy="324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J13"/>
  <sheetViews>
    <sheetView tabSelected="1" workbookViewId="0">
      <selection activeCell="N6" sqref="N6"/>
    </sheetView>
  </sheetViews>
  <sheetFormatPr defaultColWidth="9.109375" defaultRowHeight="11.4" x14ac:dyDescent="0.2"/>
  <cols>
    <col min="1" max="16384" width="9.109375" style="1"/>
  </cols>
  <sheetData>
    <row r="13" spans="10:10" ht="43.8" x14ac:dyDescent="0.75">
      <c r="J13" s="95" t="s">
        <v>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2"/>
  <sheetViews>
    <sheetView workbookViewId="0">
      <selection activeCell="C12" sqref="C12"/>
    </sheetView>
  </sheetViews>
  <sheetFormatPr defaultColWidth="9.109375" defaultRowHeight="11.4" x14ac:dyDescent="0.2"/>
  <cols>
    <col min="1" max="1" width="2" style="1" customWidth="1"/>
    <col min="2" max="16384" width="9.109375" style="1"/>
  </cols>
  <sheetData>
    <row r="12" spans="2:2" ht="43.8" x14ac:dyDescent="0.75">
      <c r="B12" s="95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42"/>
  <sheetViews>
    <sheetView workbookViewId="0">
      <selection activeCell="H25" sqref="H25"/>
    </sheetView>
  </sheetViews>
  <sheetFormatPr defaultColWidth="9.109375" defaultRowHeight="11.4" outlineLevelCol="1" x14ac:dyDescent="0.2"/>
  <cols>
    <col min="1" max="1" width="2" style="27" customWidth="1"/>
    <col min="2" max="5" width="21.88671875" style="27" customWidth="1"/>
    <col min="6" max="6" width="11.6640625" style="27" hidden="1" customWidth="1" outlineLevel="1"/>
    <col min="7" max="7" width="9.109375" style="27" collapsed="1"/>
    <col min="8" max="8" width="13.44140625" style="27" customWidth="1"/>
    <col min="9" max="9" width="14.109375" style="27" customWidth="1"/>
    <col min="10" max="16384" width="9.109375" style="27"/>
  </cols>
  <sheetData>
    <row r="1" spans="2:19" ht="15.6" x14ac:dyDescent="0.3">
      <c r="B1" s="26" t="s">
        <v>38</v>
      </c>
      <c r="C1" s="26"/>
      <c r="D1" s="26"/>
      <c r="E1" s="26"/>
    </row>
    <row r="3" spans="2:19" ht="36.6" thickBot="1" x14ac:dyDescent="0.3">
      <c r="B3" s="89" t="s">
        <v>40</v>
      </c>
      <c r="C3" s="90" t="s">
        <v>67</v>
      </c>
      <c r="D3" s="90" t="s">
        <v>61</v>
      </c>
      <c r="E3" s="90" t="s">
        <v>33</v>
      </c>
      <c r="F3" s="90" t="s">
        <v>33</v>
      </c>
      <c r="H3" s="190" t="s">
        <v>116</v>
      </c>
      <c r="I3" s="190" t="s">
        <v>117</v>
      </c>
    </row>
    <row r="4" spans="2:19" x14ac:dyDescent="0.2">
      <c r="B4" s="28" t="s">
        <v>53</v>
      </c>
      <c r="C4" s="29">
        <f>VLOOKUP($B4,'Historical P&amp;L'!$B:$D,2,0)</f>
        <v>363881.20929999999</v>
      </c>
      <c r="D4" s="29">
        <f>VLOOKUP($B4,'Historical P&amp;L'!$B:$D,3,0)</f>
        <v>455746.18100000004</v>
      </c>
      <c r="E4" s="29">
        <f>F4/1000</f>
        <v>524449</v>
      </c>
      <c r="F4" s="29">
        <f>'T-accounts P&amp;L'!Q8</f>
        <v>524449000</v>
      </c>
      <c r="G4" s="30"/>
      <c r="H4" s="187">
        <f>IFERROR(D4/C4-1,0)</f>
        <v>0.25245868528556659</v>
      </c>
      <c r="I4" s="187">
        <f>IFERROR(E4/D4-1,0)</f>
        <v>0.15074798619102414</v>
      </c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2:19" x14ac:dyDescent="0.2">
      <c r="B5" s="28" t="s">
        <v>52</v>
      </c>
      <c r="C5" s="29">
        <f>VLOOKUP($B5,'Historical P&amp;L'!$B:$D,2,0)</f>
        <v>2000</v>
      </c>
      <c r="D5" s="29">
        <f>VLOOKUP($B5,'Historical P&amp;L'!$B:$D,3,0)</f>
        <v>2000</v>
      </c>
      <c r="E5" s="29">
        <f t="shared" ref="E5:E21" si="0">F5/1000</f>
        <v>2000</v>
      </c>
      <c r="F5" s="29">
        <f>'T-accounts P&amp;L'!Q14</f>
        <v>2000000</v>
      </c>
      <c r="G5" s="30"/>
      <c r="H5" s="187">
        <f t="shared" ref="H5:H21" si="1">IFERROR(D5/C5-1,0)</f>
        <v>0</v>
      </c>
      <c r="I5" s="187">
        <f t="shared" ref="I5:I21" si="2">IFERROR(E5/D5-1,0)</f>
        <v>0</v>
      </c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2:19" ht="12" x14ac:dyDescent="0.25">
      <c r="B6" s="93" t="s">
        <v>59</v>
      </c>
      <c r="C6" s="94">
        <f>VLOOKUP($B6,'Historical P&amp;L'!$B:$D,2,0)</f>
        <v>365881.20929999999</v>
      </c>
      <c r="D6" s="94">
        <f>VLOOKUP($B6,'Historical P&amp;L'!$B:$D,3,0)</f>
        <v>457746.18100000004</v>
      </c>
      <c r="E6" s="94">
        <f t="shared" si="0"/>
        <v>526449</v>
      </c>
      <c r="F6" s="94">
        <f>+SUM(F4:F5)</f>
        <v>526449000</v>
      </c>
      <c r="G6" s="30"/>
      <c r="H6" s="188">
        <f t="shared" si="1"/>
        <v>0.25107868172775283</v>
      </c>
      <c r="I6" s="188">
        <f t="shared" si="2"/>
        <v>0.15008933302274774</v>
      </c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2:19" x14ac:dyDescent="0.2">
      <c r="B7" s="28" t="s">
        <v>34</v>
      </c>
      <c r="C7" s="29">
        <f>VLOOKUP($B7,'Historical P&amp;L'!$B:$D,2,0)</f>
        <v>-267080.35853000003</v>
      </c>
      <c r="D7" s="29">
        <f>VLOOKUP($B7,'Historical P&amp;L'!$B:$D,3,0)</f>
        <v>-297495</v>
      </c>
      <c r="E7" s="29">
        <f t="shared" si="0"/>
        <v>-270450</v>
      </c>
      <c r="F7" s="29">
        <f>-'T-accounts P&amp;L'!E9</f>
        <v>-270450000</v>
      </c>
      <c r="G7" s="30"/>
      <c r="H7" s="187">
        <f t="shared" si="1"/>
        <v>0.11387824113087541</v>
      </c>
      <c r="I7" s="187">
        <f t="shared" si="2"/>
        <v>-9.0909090909090939E-2</v>
      </c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2:19" ht="12" x14ac:dyDescent="0.25">
      <c r="B8" s="93" t="s">
        <v>35</v>
      </c>
      <c r="C8" s="94">
        <f>VLOOKUP($B8,'Historical P&amp;L'!$B:$D,2,0)</f>
        <v>98800.850769999961</v>
      </c>
      <c r="D8" s="94">
        <f>VLOOKUP($B8,'Historical P&amp;L'!$B:$D,3,0)</f>
        <v>160251.18100000004</v>
      </c>
      <c r="E8" s="94">
        <f t="shared" si="0"/>
        <v>255999</v>
      </c>
      <c r="F8" s="94">
        <f>SUM(F6:F7)</f>
        <v>255999000</v>
      </c>
      <c r="G8" s="30"/>
      <c r="H8" s="188">
        <f t="shared" si="1"/>
        <v>0.62196154943089765</v>
      </c>
      <c r="I8" s="188">
        <f t="shared" si="2"/>
        <v>0.59748588685908</v>
      </c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2:19" x14ac:dyDescent="0.2">
      <c r="B9" s="30" t="s">
        <v>20</v>
      </c>
      <c r="C9" s="29">
        <f>VLOOKUP($B9,'Historical P&amp;L'!$B:$D,2,0)</f>
        <v>-12375.000000000002</v>
      </c>
      <c r="D9" s="29">
        <f>VLOOKUP($B9,'Historical P&amp;L'!$B:$D,3,0)</f>
        <v>-12375.000000000002</v>
      </c>
      <c r="E9" s="29">
        <f t="shared" si="0"/>
        <v>-12500</v>
      </c>
      <c r="F9" s="29">
        <f>-'T-accounts P&amp;L'!E14</f>
        <v>-12500000</v>
      </c>
      <c r="G9" s="30"/>
      <c r="H9" s="187">
        <f t="shared" si="1"/>
        <v>0</v>
      </c>
      <c r="I9" s="187">
        <f t="shared" si="2"/>
        <v>1.0101010101009944E-2</v>
      </c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2:19" x14ac:dyDescent="0.2">
      <c r="B10" s="30" t="s">
        <v>19</v>
      </c>
      <c r="C10" s="29">
        <f>VLOOKUP($B10,'Historical P&amp;L'!$B:$D,2,0)</f>
        <v>-5929.0000000000009</v>
      </c>
      <c r="D10" s="29">
        <f>VLOOKUP($B10,'Historical P&amp;L'!$B:$D,3,0)</f>
        <v>-6050.0000000000009</v>
      </c>
      <c r="E10" s="29">
        <f t="shared" si="0"/>
        <v>-5500</v>
      </c>
      <c r="F10" s="29">
        <f>-'T-accounts P&amp;L'!E21</f>
        <v>-5500000</v>
      </c>
      <c r="G10" s="30"/>
      <c r="H10" s="187">
        <f t="shared" si="1"/>
        <v>2.0408163265306145E-2</v>
      </c>
      <c r="I10" s="187">
        <f t="shared" si="2"/>
        <v>-9.090909090909105E-2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</row>
    <row r="11" spans="2:19" x14ac:dyDescent="0.2">
      <c r="B11" s="30" t="s">
        <v>24</v>
      </c>
      <c r="C11" s="29">
        <f>VLOOKUP($B11,'Historical P&amp;L'!$B:$D,2,0)</f>
        <v>-2707.25</v>
      </c>
      <c r="D11" s="29">
        <f>VLOOKUP($B11,'Historical P&amp;L'!$B:$D,3,0)</f>
        <v>-3570</v>
      </c>
      <c r="E11" s="29">
        <f t="shared" si="0"/>
        <v>-35000</v>
      </c>
      <c r="F11" s="29">
        <f>-'T-accounts P&amp;L'!I14</f>
        <v>-35000000</v>
      </c>
      <c r="G11" s="30"/>
      <c r="H11" s="187">
        <f t="shared" si="1"/>
        <v>0.31868131868131866</v>
      </c>
      <c r="I11" s="187">
        <f t="shared" si="2"/>
        <v>8.8039215686274517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2:19" x14ac:dyDescent="0.2">
      <c r="B12" s="30" t="s">
        <v>25</v>
      </c>
      <c r="C12" s="29">
        <f>VLOOKUP($B12,'Historical P&amp;L'!$B:$D,2,0)</f>
        <v>-11875</v>
      </c>
      <c r="D12" s="29">
        <f>VLOOKUP($B12,'Historical P&amp;L'!$B:$D,3,0)</f>
        <v>-19000</v>
      </c>
      <c r="E12" s="29">
        <f t="shared" si="0"/>
        <v>-10000</v>
      </c>
      <c r="F12" s="29">
        <f>-'T-accounts P&amp;L'!I9</f>
        <v>-10000000</v>
      </c>
      <c r="G12" s="30"/>
      <c r="H12" s="187">
        <f t="shared" si="1"/>
        <v>0.60000000000000009</v>
      </c>
      <c r="I12" s="187">
        <f t="shared" si="2"/>
        <v>-0.47368421052631582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2:19" x14ac:dyDescent="0.2">
      <c r="B13" s="30" t="s">
        <v>58</v>
      </c>
      <c r="C13" s="29">
        <f>VLOOKUP($B13,'Historical P&amp;L'!$B:$D,2,0)</f>
        <v>-32760</v>
      </c>
      <c r="D13" s="29">
        <f>VLOOKUP($B13,'Historical P&amp;L'!$B:$D,3,0)</f>
        <v>-42000</v>
      </c>
      <c r="E13" s="29">
        <f t="shared" si="0"/>
        <v>-35000</v>
      </c>
      <c r="F13" s="29">
        <f>-'T-accounts P&amp;L'!M9</f>
        <v>-35000000</v>
      </c>
      <c r="G13" s="30"/>
      <c r="H13" s="187">
        <f t="shared" si="1"/>
        <v>0.28205128205128216</v>
      </c>
      <c r="I13" s="187">
        <f t="shared" si="2"/>
        <v>-0.16666666666666663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2:19" ht="12" x14ac:dyDescent="0.25">
      <c r="B14" s="93" t="s">
        <v>42</v>
      </c>
      <c r="C14" s="94">
        <f>VLOOKUP($B14,'Historical P&amp;L'!$B:$D,2,0)</f>
        <v>33154.600769999961</v>
      </c>
      <c r="D14" s="94">
        <f>VLOOKUP($B14,'Historical P&amp;L'!$B:$D,3,0)</f>
        <v>77256.181000000041</v>
      </c>
      <c r="E14" s="94">
        <f t="shared" si="0"/>
        <v>157999</v>
      </c>
      <c r="F14" s="94">
        <f>SUM(F8:F13)</f>
        <v>157999000</v>
      </c>
      <c r="G14" s="30"/>
      <c r="H14" s="188">
        <f t="shared" si="1"/>
        <v>1.3301798002618548</v>
      </c>
      <c r="I14" s="188">
        <f t="shared" si="2"/>
        <v>1.0451308614387749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2:19" x14ac:dyDescent="0.2">
      <c r="B15" s="28" t="s">
        <v>36</v>
      </c>
      <c r="C15" s="29">
        <f>VLOOKUP($B15,'Historical P&amp;L'!$B:$D,2,0)</f>
        <v>-16500</v>
      </c>
      <c r="D15" s="29">
        <f>VLOOKUP($B15,'Historical P&amp;L'!$B:$D,3,0)</f>
        <v>-15000</v>
      </c>
      <c r="E15" s="29">
        <f t="shared" si="0"/>
        <v>-20000</v>
      </c>
      <c r="F15" s="29">
        <f>-'T-accounts P&amp;L'!I28</f>
        <v>-20000000</v>
      </c>
      <c r="G15" s="30"/>
      <c r="H15" s="187">
        <f t="shared" si="1"/>
        <v>-9.0909090909090939E-2</v>
      </c>
      <c r="I15" s="187">
        <f t="shared" si="2"/>
        <v>0.33333333333333326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2:19" ht="12" x14ac:dyDescent="0.25">
      <c r="B16" s="93" t="s">
        <v>60</v>
      </c>
      <c r="C16" s="94">
        <f>VLOOKUP($B16,'Historical P&amp;L'!$B:$D,2,0)</f>
        <v>16654.600769999961</v>
      </c>
      <c r="D16" s="94">
        <f>VLOOKUP($B16,'Historical P&amp;L'!$B:$D,3,0)</f>
        <v>62256.181000000041</v>
      </c>
      <c r="E16" s="94">
        <f t="shared" si="0"/>
        <v>137999</v>
      </c>
      <c r="F16" s="94">
        <f>SUM(F14:F15)</f>
        <v>137999000</v>
      </c>
      <c r="G16" s="30"/>
      <c r="H16" s="188">
        <f t="shared" si="1"/>
        <v>2.7380770550887354</v>
      </c>
      <c r="I16" s="188">
        <f t="shared" si="2"/>
        <v>1.2166313092671057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2:19" x14ac:dyDescent="0.2">
      <c r="B17" s="30" t="s">
        <v>29</v>
      </c>
      <c r="C17" s="29">
        <f>VLOOKUP($B17,'Historical P&amp;L'!$B:$D,2,0)</f>
        <v>-6720</v>
      </c>
      <c r="D17" s="29">
        <f>VLOOKUP($B17,'Historical P&amp;L'!$B:$D,3,0)</f>
        <v>-5600</v>
      </c>
      <c r="E17" s="29">
        <f t="shared" si="0"/>
        <v>-5600</v>
      </c>
      <c r="F17" s="29">
        <f>-'T-accounts P&amp;L'!E27</f>
        <v>-5600000</v>
      </c>
      <c r="G17" s="30"/>
      <c r="H17" s="187">
        <f t="shared" si="1"/>
        <v>-0.16666666666666663</v>
      </c>
      <c r="I17" s="187">
        <f t="shared" si="2"/>
        <v>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2:19" x14ac:dyDescent="0.2">
      <c r="B18" s="28" t="s">
        <v>41</v>
      </c>
      <c r="C18" s="29">
        <f>VLOOKUP($B18,'Historical P&amp;L'!$B:$D,2,0)</f>
        <v>0</v>
      </c>
      <c r="D18" s="29">
        <f>VLOOKUP($B18,'Historical P&amp;L'!$B:$D,3,0)</f>
        <v>0</v>
      </c>
      <c r="E18" s="29">
        <f t="shared" si="0"/>
        <v>-3000</v>
      </c>
      <c r="F18" s="29">
        <f>-'T-accounts P&amp;L'!I21</f>
        <v>-3000000</v>
      </c>
      <c r="G18" s="30"/>
      <c r="H18" s="187">
        <f t="shared" si="1"/>
        <v>0</v>
      </c>
      <c r="I18" s="187">
        <f t="shared" si="2"/>
        <v>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2:19" ht="12" x14ac:dyDescent="0.25">
      <c r="B19" s="93" t="s">
        <v>39</v>
      </c>
      <c r="C19" s="94">
        <f>VLOOKUP($B19,'Historical P&amp;L'!$B:$D,2,0)</f>
        <v>9934.6007699999609</v>
      </c>
      <c r="D19" s="94">
        <f>VLOOKUP($B19,'Historical P&amp;L'!$B:$D,3,0)</f>
        <v>56656.181000000041</v>
      </c>
      <c r="E19" s="94">
        <f t="shared" si="0"/>
        <v>129399</v>
      </c>
      <c r="F19" s="94">
        <f>SUM(F16:F18)</f>
        <v>129399000</v>
      </c>
      <c r="G19" s="30"/>
      <c r="H19" s="188">
        <f t="shared" si="1"/>
        <v>4.7029147231650921</v>
      </c>
      <c r="I19" s="188">
        <f t="shared" si="2"/>
        <v>1.2839343866117612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2:19" x14ac:dyDescent="0.2">
      <c r="B20" s="28" t="s">
        <v>43</v>
      </c>
      <c r="C20" s="29">
        <f>VLOOKUP($B20,'Historical P&amp;L'!$B:$D,2,0)</f>
        <v>-2541.706500000003</v>
      </c>
      <c r="D20" s="29">
        <f>VLOOKUP($B20,'Historical P&amp;L'!$B:$D,3,0)</f>
        <v>-8498.427150000005</v>
      </c>
      <c r="E20" s="29">
        <f t="shared" si="0"/>
        <v>-19409.849999999999</v>
      </c>
      <c r="F20" s="29">
        <f>-F19*15%</f>
        <v>-19409850</v>
      </c>
      <c r="G20" s="30"/>
      <c r="H20" s="187">
        <f t="shared" si="1"/>
        <v>2.3435910676547409</v>
      </c>
      <c r="I20" s="187">
        <f t="shared" si="2"/>
        <v>1.2839343866117612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2:19" ht="12.6" thickBot="1" x14ac:dyDescent="0.3">
      <c r="B21" s="91" t="s">
        <v>37</v>
      </c>
      <c r="C21" s="92">
        <f>VLOOKUP($B21,'Historical P&amp;L'!$B:$D,2,0)</f>
        <v>7392.8942699999579</v>
      </c>
      <c r="D21" s="92">
        <f>VLOOKUP($B21,'Historical P&amp;L'!$B:$D,3,0)</f>
        <v>48157.753850000037</v>
      </c>
      <c r="E21" s="92">
        <f t="shared" si="0"/>
        <v>109989.15</v>
      </c>
      <c r="F21" s="92">
        <f>SUM(F19:F20)</f>
        <v>109989150</v>
      </c>
      <c r="G21" s="30"/>
      <c r="H21" s="189">
        <f t="shared" si="1"/>
        <v>5.5140595944165058</v>
      </c>
      <c r="I21" s="189">
        <f t="shared" si="2"/>
        <v>1.2839343866117607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2:19" x14ac:dyDescent="0.2">
      <c r="B22" s="28"/>
      <c r="C22" s="28"/>
      <c r="D22" s="28"/>
      <c r="E22" s="28"/>
      <c r="F22" s="29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2:19" x14ac:dyDescent="0.2">
      <c r="B23" s="113" t="s">
        <v>68</v>
      </c>
      <c r="C23" s="113"/>
      <c r="D23" s="113"/>
      <c r="E23" s="113"/>
      <c r="F23" s="11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2:19" x14ac:dyDescent="0.2">
      <c r="B24" s="115" t="s">
        <v>104</v>
      </c>
      <c r="C24" s="182">
        <f>-C16/C17</f>
        <v>2.4783632098214228</v>
      </c>
      <c r="D24" s="182">
        <f t="shared" ref="D24:E24" si="3">-D16/D17</f>
        <v>11.117175178571436</v>
      </c>
      <c r="E24" s="182">
        <f t="shared" si="3"/>
        <v>24.642678571428572</v>
      </c>
      <c r="F24" s="11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2:19" x14ac:dyDescent="0.2">
      <c r="B25" s="115" t="s">
        <v>105</v>
      </c>
      <c r="C25" s="180">
        <f>C16*1000/'Historical BS'!C15</f>
        <v>5.7694255620604706E-2</v>
      </c>
      <c r="D25" s="180">
        <f>D16*1000/'Historical BS'!D15</f>
        <v>0.23492898490566053</v>
      </c>
      <c r="E25" s="180">
        <f>E16*1000/'BS 2015'!H15</f>
        <v>0.32439897602015988</v>
      </c>
      <c r="F25" s="11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2:19" x14ac:dyDescent="0.2">
      <c r="B26" s="115" t="s">
        <v>106</v>
      </c>
      <c r="C26" s="181">
        <f>C21*1000/'Historical BS'!G13</f>
        <v>8.2143269666666199E-2</v>
      </c>
      <c r="D26" s="181">
        <f>D21*1000/'Historical BS'!H13</f>
        <v>0.53508615388888936</v>
      </c>
      <c r="E26" s="181">
        <f>E21*1000/'BS 2015'!J13</f>
        <v>0.47823625592772528</v>
      </c>
      <c r="F26" s="114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2:19" x14ac:dyDescent="0.2">
      <c r="B27" s="115" t="s">
        <v>109</v>
      </c>
      <c r="C27" s="180">
        <f>C8/C6</f>
        <v>0.27003532364787108</v>
      </c>
      <c r="D27" s="180">
        <f t="shared" ref="D27:E27" si="4">D8/D6</f>
        <v>0.35008742323073588</v>
      </c>
      <c r="E27" s="180">
        <f t="shared" si="4"/>
        <v>0.48627502379147836</v>
      </c>
      <c r="F27" s="114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2:19" x14ac:dyDescent="0.2">
      <c r="B28" s="115" t="s">
        <v>107</v>
      </c>
      <c r="C28" s="180">
        <f>C16/C6</f>
        <v>4.5519147599471878E-2</v>
      </c>
      <c r="D28" s="180">
        <f t="shared" ref="D28:E28" si="5">D16/D6</f>
        <v>0.13600589930426976</v>
      </c>
      <c r="E28" s="180">
        <f t="shared" si="5"/>
        <v>0.26213175445294795</v>
      </c>
      <c r="F28" s="116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2:19" x14ac:dyDescent="0.2">
      <c r="B29" s="115" t="s">
        <v>108</v>
      </c>
      <c r="C29" s="180">
        <f>C21/C6</f>
        <v>2.0205722737562729E-2</v>
      </c>
      <c r="D29" s="180">
        <f t="shared" ref="D29:E29" si="6">D21/D6</f>
        <v>0.10520623841097657</v>
      </c>
      <c r="E29" s="180">
        <f t="shared" si="6"/>
        <v>0.20892650570140697</v>
      </c>
      <c r="F29" s="3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2:19" x14ac:dyDescent="0.2">
      <c r="B30" s="30"/>
      <c r="C30" s="30"/>
      <c r="D30" s="30"/>
      <c r="E30" s="30"/>
      <c r="F30" s="32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2:19" x14ac:dyDescent="0.2">
      <c r="B31" s="30"/>
      <c r="C31" s="30"/>
      <c r="D31" s="30"/>
      <c r="E31" s="30"/>
      <c r="F31" s="33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2:19" x14ac:dyDescent="0.2">
      <c r="B32" s="30"/>
      <c r="C32" s="30"/>
      <c r="D32" s="30"/>
      <c r="E32" s="30"/>
      <c r="F32" s="3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pans="2:19" x14ac:dyDescent="0.2">
      <c r="B33" s="30"/>
      <c r="C33" s="30"/>
      <c r="D33" s="30"/>
      <c r="E33" s="30"/>
      <c r="F33" s="33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</row>
    <row r="34" spans="2:19" x14ac:dyDescent="0.2">
      <c r="B34" s="30"/>
      <c r="C34" s="30"/>
      <c r="D34" s="30"/>
      <c r="E34" s="30"/>
      <c r="F34" s="33"/>
    </row>
    <row r="35" spans="2:19" x14ac:dyDescent="0.2">
      <c r="B35" s="30"/>
      <c r="C35" s="30"/>
      <c r="D35" s="30"/>
      <c r="E35" s="30"/>
      <c r="F35" s="33"/>
    </row>
    <row r="36" spans="2:19" x14ac:dyDescent="0.2">
      <c r="B36" s="30"/>
      <c r="C36" s="30"/>
      <c r="D36" s="30"/>
      <c r="E36" s="30"/>
      <c r="F36" s="33"/>
    </row>
    <row r="37" spans="2:19" x14ac:dyDescent="0.2">
      <c r="B37" s="30"/>
      <c r="C37" s="30"/>
      <c r="D37" s="30"/>
      <c r="E37" s="30"/>
      <c r="F37" s="30"/>
    </row>
    <row r="38" spans="2:19" x14ac:dyDescent="0.2">
      <c r="B38" s="30"/>
      <c r="C38" s="30"/>
      <c r="D38" s="30"/>
      <c r="E38" s="30"/>
      <c r="F38" s="30"/>
    </row>
    <row r="39" spans="2:19" x14ac:dyDescent="0.2">
      <c r="B39" s="30"/>
      <c r="C39" s="30"/>
      <c r="D39" s="30"/>
      <c r="E39" s="30"/>
      <c r="F39" s="30"/>
    </row>
    <row r="40" spans="2:19" x14ac:dyDescent="0.2">
      <c r="B40" s="30"/>
      <c r="C40" s="30"/>
      <c r="D40" s="30"/>
      <c r="E40" s="30"/>
      <c r="F40" s="30"/>
    </row>
    <row r="41" spans="2:19" x14ac:dyDescent="0.2">
      <c r="B41" s="30"/>
      <c r="C41" s="30"/>
      <c r="D41" s="30"/>
      <c r="E41" s="30"/>
      <c r="F41" s="30"/>
    </row>
    <row r="42" spans="2:19" x14ac:dyDescent="0.2">
      <c r="B42" s="30"/>
      <c r="C42" s="30"/>
      <c r="D42" s="30"/>
      <c r="E42" s="30"/>
      <c r="F42" s="30"/>
    </row>
  </sheetData>
  <phoneticPr fontId="2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G1:S33"/>
  <sheetViews>
    <sheetView workbookViewId="0">
      <selection activeCell="M19" sqref="M19"/>
    </sheetView>
  </sheetViews>
  <sheetFormatPr defaultColWidth="9.109375" defaultRowHeight="11.4" outlineLevelRow="1" x14ac:dyDescent="0.2"/>
  <cols>
    <col min="1" max="6" width="2" style="1" customWidth="1"/>
    <col min="7" max="7" width="19.88671875" style="1" customWidth="1"/>
    <col min="8" max="8" width="13.5546875" style="1" customWidth="1"/>
    <col min="9" max="9" width="20.44140625" style="1" bestFit="1" customWidth="1"/>
    <col min="10" max="10" width="15.6640625" style="1" bestFit="1" customWidth="1"/>
    <col min="11" max="11" width="9.109375" style="1"/>
    <col min="12" max="12" width="15.77734375" style="1" bestFit="1" customWidth="1"/>
    <col min="13" max="13" width="16.109375" style="1" bestFit="1" customWidth="1"/>
    <col min="14" max="15" width="9.6640625" style="1" bestFit="1" customWidth="1"/>
    <col min="16" max="16" width="9.109375" style="1"/>
    <col min="17" max="17" width="20" style="1" bestFit="1" customWidth="1"/>
    <col min="18" max="19" width="10.109375" style="1" bestFit="1" customWidth="1"/>
    <col min="20" max="16384" width="9.109375" style="1"/>
  </cols>
  <sheetData>
    <row r="1" spans="7:19" ht="15.6" x14ac:dyDescent="0.3">
      <c r="G1" s="2" t="s">
        <v>48</v>
      </c>
    </row>
    <row r="3" spans="7:19" ht="24.6" thickBot="1" x14ac:dyDescent="0.3">
      <c r="G3" s="167" t="s">
        <v>49</v>
      </c>
      <c r="H3" s="167"/>
      <c r="I3" s="167"/>
      <c r="J3" s="167"/>
      <c r="M3" s="35" t="s">
        <v>0</v>
      </c>
      <c r="N3" s="96" t="s">
        <v>66</v>
      </c>
      <c r="O3" s="96" t="s">
        <v>65</v>
      </c>
      <c r="P3" s="36"/>
      <c r="Q3" s="97" t="s">
        <v>1</v>
      </c>
      <c r="R3" s="96" t="s">
        <v>66</v>
      </c>
      <c r="S3" s="96" t="s">
        <v>65</v>
      </c>
    </row>
    <row r="4" spans="7:19" ht="12.6" thickBot="1" x14ac:dyDescent="0.3">
      <c r="G4" s="35" t="s">
        <v>0</v>
      </c>
      <c r="H4" s="36"/>
      <c r="I4" s="36"/>
      <c r="J4" s="37" t="s">
        <v>1</v>
      </c>
      <c r="M4" s="104" t="s">
        <v>13</v>
      </c>
      <c r="N4" s="11">
        <v>43000000</v>
      </c>
      <c r="O4" s="40">
        <v>65000000</v>
      </c>
      <c r="Q4" s="1" t="s">
        <v>22</v>
      </c>
      <c r="R4" s="11">
        <v>27500000</v>
      </c>
      <c r="S4" s="40">
        <v>20000000</v>
      </c>
    </row>
    <row r="5" spans="7:19" x14ac:dyDescent="0.2">
      <c r="G5" s="1" t="s">
        <v>13</v>
      </c>
      <c r="H5" s="40">
        <f>'T-accounts BS'!I23</f>
        <v>147914000</v>
      </c>
      <c r="I5" s="1" t="s">
        <v>22</v>
      </c>
      <c r="J5" s="11">
        <f>'T-accounts BS'!M17</f>
        <v>35500000</v>
      </c>
      <c r="M5" s="105" t="s">
        <v>17</v>
      </c>
      <c r="N5" s="11">
        <v>48000000</v>
      </c>
      <c r="O5" s="41">
        <v>32000000</v>
      </c>
      <c r="Q5" s="1" t="s">
        <v>16</v>
      </c>
      <c r="R5" s="11">
        <v>5000000</v>
      </c>
      <c r="S5" s="41">
        <v>0</v>
      </c>
    </row>
    <row r="6" spans="7:19" x14ac:dyDescent="0.2">
      <c r="G6" s="1" t="s">
        <v>32</v>
      </c>
      <c r="H6" s="41">
        <f>'T-accounts BS'!D16</f>
        <v>34000000</v>
      </c>
      <c r="I6" s="1" t="s">
        <v>16</v>
      </c>
      <c r="J6" s="11">
        <f>'T-accounts BS'!M10</f>
        <v>2500000</v>
      </c>
      <c r="M6" s="105" t="s">
        <v>23</v>
      </c>
      <c r="N6" s="11">
        <v>31000000</v>
      </c>
      <c r="O6" s="41">
        <v>18000000</v>
      </c>
      <c r="Q6" s="1" t="s">
        <v>27</v>
      </c>
      <c r="R6" s="11">
        <v>26170000</v>
      </c>
      <c r="S6" s="41">
        <v>15000000</v>
      </c>
    </row>
    <row r="7" spans="7:19" x14ac:dyDescent="0.2">
      <c r="G7" s="1" t="s">
        <v>23</v>
      </c>
      <c r="H7" s="41">
        <f>'T-accounts BS'!I10</f>
        <v>33485000</v>
      </c>
      <c r="I7" s="1" t="s">
        <v>27</v>
      </c>
      <c r="J7" s="11">
        <f>'T-accounts BS'!Q16</f>
        <v>34409850</v>
      </c>
      <c r="M7" s="105"/>
      <c r="N7" s="11"/>
      <c r="O7" s="41"/>
      <c r="R7" s="11"/>
      <c r="S7" s="41"/>
    </row>
    <row r="8" spans="7:19" x14ac:dyDescent="0.2">
      <c r="H8" s="41"/>
      <c r="J8" s="11"/>
      <c r="M8" s="105"/>
      <c r="N8" s="11"/>
      <c r="O8" s="41"/>
      <c r="Q8" s="1" t="s">
        <v>26</v>
      </c>
      <c r="R8" s="11">
        <v>140000000</v>
      </c>
      <c r="S8" s="41">
        <v>140000000</v>
      </c>
    </row>
    <row r="9" spans="7:19" x14ac:dyDescent="0.2">
      <c r="H9" s="41"/>
      <c r="I9" s="1" t="s">
        <v>30</v>
      </c>
      <c r="J9" s="11">
        <f>'T-accounts BS'!M23</f>
        <v>3000000</v>
      </c>
      <c r="M9" s="105"/>
      <c r="N9" s="51"/>
      <c r="O9" s="41"/>
      <c r="Q9" s="50" t="s">
        <v>1</v>
      </c>
      <c r="R9" s="51">
        <f>SUM(R4:R8)</f>
        <v>198670000</v>
      </c>
      <c r="S9" s="99">
        <f>SUM(S4:S8)</f>
        <v>175000000</v>
      </c>
    </row>
    <row r="10" spans="7:19" x14ac:dyDescent="0.2">
      <c r="H10" s="41"/>
      <c r="I10" s="1" t="s">
        <v>26</v>
      </c>
      <c r="J10" s="11">
        <v>120000000</v>
      </c>
      <c r="M10" s="105" t="s">
        <v>18</v>
      </c>
      <c r="N10" s="11">
        <v>166670000</v>
      </c>
      <c r="O10" s="41">
        <v>150000000</v>
      </c>
      <c r="Q10" s="50"/>
      <c r="R10" s="51"/>
      <c r="S10" s="99"/>
    </row>
    <row r="11" spans="7:19" x14ac:dyDescent="0.2">
      <c r="G11" s="1" t="s">
        <v>18</v>
      </c>
      <c r="H11" s="41">
        <f>'T-accounts BS'!D10</f>
        <v>210000000</v>
      </c>
      <c r="I11" s="50" t="s">
        <v>1</v>
      </c>
      <c r="J11" s="51">
        <f>SUM(J5:J10)</f>
        <v>195409850</v>
      </c>
      <c r="M11" s="105"/>
      <c r="N11" s="45"/>
      <c r="O11" s="42"/>
      <c r="Q11" s="44"/>
      <c r="R11" s="45"/>
      <c r="S11" s="100"/>
    </row>
    <row r="12" spans="7:19" x14ac:dyDescent="0.2">
      <c r="H12" s="42"/>
      <c r="I12" s="44"/>
      <c r="J12" s="45"/>
      <c r="M12" s="105"/>
      <c r="N12" s="52"/>
      <c r="O12" s="42"/>
      <c r="Q12" s="50" t="s">
        <v>12</v>
      </c>
      <c r="R12" s="52">
        <v>90000000</v>
      </c>
      <c r="S12" s="101">
        <v>90000000</v>
      </c>
    </row>
    <row r="13" spans="7:19" x14ac:dyDescent="0.2">
      <c r="H13" s="42"/>
      <c r="I13" s="50" t="s">
        <v>12</v>
      </c>
      <c r="J13" s="52">
        <f>'T-accounts BS'!Q24</f>
        <v>229989150</v>
      </c>
      <c r="M13" s="105"/>
      <c r="N13" s="12"/>
      <c r="O13" s="42"/>
      <c r="R13" s="12"/>
      <c r="S13" s="102"/>
    </row>
    <row r="14" spans="7:19" ht="12.6" thickBot="1" x14ac:dyDescent="0.3">
      <c r="H14" s="42"/>
      <c r="J14" s="12"/>
      <c r="M14" s="106" t="s">
        <v>44</v>
      </c>
      <c r="N14" s="98">
        <f>SUM(N4:N13)</f>
        <v>288670000</v>
      </c>
      <c r="O14" s="43">
        <f>SUM(O10,O4:O6)</f>
        <v>265000000</v>
      </c>
      <c r="P14" s="38"/>
      <c r="Q14" s="38" t="s">
        <v>45</v>
      </c>
      <c r="R14" s="39">
        <f>SUM(R12,R9)</f>
        <v>288670000</v>
      </c>
      <c r="S14" s="103">
        <f>SUM(S12,S9)</f>
        <v>265000000</v>
      </c>
    </row>
    <row r="15" spans="7:19" ht="12.6" thickBot="1" x14ac:dyDescent="0.3">
      <c r="G15" s="38" t="s">
        <v>44</v>
      </c>
      <c r="H15" s="43">
        <f>SUM(H11,H5:H7)</f>
        <v>425399000</v>
      </c>
      <c r="I15" s="38" t="s">
        <v>45</v>
      </c>
      <c r="J15" s="39">
        <f>SUM(J13,J11)</f>
        <v>425399000</v>
      </c>
      <c r="L15" s="25"/>
    </row>
    <row r="16" spans="7:19" x14ac:dyDescent="0.2">
      <c r="H16" s="34"/>
      <c r="J16" s="12"/>
    </row>
    <row r="17" spans="7:13" x14ac:dyDescent="0.2">
      <c r="G17" s="121" t="s">
        <v>68</v>
      </c>
      <c r="H17" s="183">
        <v>2013</v>
      </c>
      <c r="I17" s="183">
        <v>2014</v>
      </c>
      <c r="J17" s="183">
        <v>2015</v>
      </c>
    </row>
    <row r="18" spans="7:13" s="46" customFormat="1" ht="10.199999999999999" hidden="1" outlineLevel="1" x14ac:dyDescent="0.2">
      <c r="G18" s="117" t="s">
        <v>46</v>
      </c>
      <c r="H18" s="118">
        <f>H15-J15</f>
        <v>0</v>
      </c>
      <c r="I18" s="117"/>
      <c r="J18" s="119"/>
    </row>
    <row r="19" spans="7:13" ht="14.4" collapsed="1" x14ac:dyDescent="0.3">
      <c r="G19" s="120" t="s">
        <v>110</v>
      </c>
      <c r="H19" s="184">
        <f>SUM(N4:N6)/SUM(R4:R6)</f>
        <v>2.079427305266746</v>
      </c>
      <c r="I19" s="184">
        <f>SUM(O4:O6)/SUM(S4:S6)</f>
        <v>3.2857142857142856</v>
      </c>
      <c r="J19" s="184">
        <f>SUM(H5:H7)/SUM(J5:J7)</f>
        <v>2.9747195996124836</v>
      </c>
      <c r="M19" s="4"/>
    </row>
    <row r="20" spans="7:13" ht="14.4" x14ac:dyDescent="0.3">
      <c r="G20" s="120" t="s">
        <v>114</v>
      </c>
      <c r="H20" s="184">
        <f>N14/R9</f>
        <v>1.4530125333467558</v>
      </c>
      <c r="I20" s="184">
        <f>O14/S9</f>
        <v>1.5142857142857142</v>
      </c>
      <c r="J20" s="184">
        <f>H15/J11</f>
        <v>2.1769578145625719</v>
      </c>
      <c r="L20" s="125"/>
      <c r="M20" s="4"/>
    </row>
    <row r="21" spans="7:13" ht="14.4" x14ac:dyDescent="0.3">
      <c r="G21" s="120" t="s">
        <v>111</v>
      </c>
      <c r="H21" s="185">
        <f>N6/('P&amp;L 2015'!C4*1000)*360</f>
        <v>30.66934954258436</v>
      </c>
      <c r="I21" s="185">
        <f>O6/('P&amp;L 2015'!D4*1000)*360</f>
        <v>14.218440592922924</v>
      </c>
      <c r="J21" s="185">
        <f>H7/('P&amp;L 2015'!E4*1000)*360</f>
        <v>22.985266441541505</v>
      </c>
      <c r="L21" s="129"/>
      <c r="M21" s="4"/>
    </row>
    <row r="22" spans="7:13" ht="14.4" x14ac:dyDescent="0.3">
      <c r="G22" s="120" t="s">
        <v>113</v>
      </c>
      <c r="H22" s="185">
        <f>N5/(-1000*'P&amp;L 2015'!C7)*360</f>
        <v>64.699628587846945</v>
      </c>
      <c r="I22" s="185">
        <f>O5/(-1000*'P&amp;L 2015'!D7)*360</f>
        <v>38.723339888065347</v>
      </c>
      <c r="J22" s="185">
        <f>H6/(-1000*'P&amp;L 2015'!E7)*360</f>
        <v>45.257903494176368</v>
      </c>
      <c r="M22" s="4"/>
    </row>
    <row r="23" spans="7:13" ht="14.4" x14ac:dyDescent="0.3">
      <c r="G23" s="120" t="s">
        <v>112</v>
      </c>
      <c r="H23" s="186">
        <f>R4/(-'P&amp;L 2015'!C7*1000)*360</f>
        <v>37.067495545120643</v>
      </c>
      <c r="I23" s="186">
        <f>S4/(-'P&amp;L 2015'!D7*1000)*360</f>
        <v>24.202087430040841</v>
      </c>
      <c r="J23" s="186">
        <f>J5/('P&amp;L 2015'!E7*-1000)*360</f>
        <v>47.25457570715475</v>
      </c>
      <c r="M23" s="4"/>
    </row>
    <row r="24" spans="7:13" ht="14.4" x14ac:dyDescent="0.3">
      <c r="G24" s="120" t="s">
        <v>115</v>
      </c>
      <c r="H24" s="185">
        <f>H21+H22-H23</f>
        <v>58.301482585310659</v>
      </c>
      <c r="I24" s="185">
        <f>I21+I22-I23</f>
        <v>28.73969305094743</v>
      </c>
      <c r="J24" s="185">
        <f>J21+J22-J23</f>
        <v>20.988594228563123</v>
      </c>
      <c r="M24" s="4"/>
    </row>
    <row r="25" spans="7:13" ht="14.4" x14ac:dyDescent="0.3">
      <c r="M25" s="4"/>
    </row>
    <row r="26" spans="7:13" ht="14.4" x14ac:dyDescent="0.3">
      <c r="M26" s="4"/>
    </row>
    <row r="27" spans="7:13" ht="14.4" x14ac:dyDescent="0.3">
      <c r="M27" s="4"/>
    </row>
    <row r="28" spans="7:13" ht="14.4" x14ac:dyDescent="0.3">
      <c r="M28" s="4"/>
    </row>
    <row r="29" spans="7:13" ht="14.4" x14ac:dyDescent="0.3">
      <c r="M29" s="4"/>
    </row>
    <row r="30" spans="7:13" ht="14.4" x14ac:dyDescent="0.3">
      <c r="M30" s="4"/>
    </row>
    <row r="31" spans="7:13" ht="14.4" x14ac:dyDescent="0.3">
      <c r="M31" s="4"/>
    </row>
    <row r="32" spans="7:13" ht="14.4" x14ac:dyDescent="0.3">
      <c r="M32" s="4"/>
    </row>
    <row r="33" spans="13:13" ht="14.4" x14ac:dyDescent="0.3">
      <c r="M33" s="4"/>
    </row>
  </sheetData>
  <mergeCells count="1">
    <mergeCell ref="G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3"/>
  <sheetViews>
    <sheetView topLeftCell="A46" zoomScale="90" zoomScaleNormal="90" workbookViewId="0">
      <selection activeCell="V6" sqref="V6"/>
    </sheetView>
  </sheetViews>
  <sheetFormatPr defaultColWidth="9.109375" defaultRowHeight="14.4" x14ac:dyDescent="0.3"/>
  <cols>
    <col min="1" max="4" width="9.109375" style="4"/>
    <col min="5" max="5" width="12.5546875" style="4" bestFit="1" customWidth="1"/>
    <col min="6" max="16384" width="9.109375" style="4"/>
  </cols>
  <sheetData>
    <row r="2" spans="2:16" x14ac:dyDescent="0.3">
      <c r="B2" s="1"/>
    </row>
    <row r="3" spans="2:16" x14ac:dyDescent="0.3">
      <c r="B3" s="1"/>
    </row>
    <row r="4" spans="2:16" x14ac:dyDescent="0.3">
      <c r="B4" s="1"/>
      <c r="D4" s="158" t="s">
        <v>70</v>
      </c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</row>
    <row r="5" spans="2:16" x14ac:dyDescent="0.3">
      <c r="B5" s="1"/>
      <c r="D5" s="158" t="s">
        <v>71</v>
      </c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</row>
    <row r="6" spans="2:16" x14ac:dyDescent="0.3">
      <c r="B6" s="1"/>
    </row>
    <row r="7" spans="2:16" x14ac:dyDescent="0.3">
      <c r="B7" s="1"/>
    </row>
    <row r="8" spans="2:16" x14ac:dyDescent="0.3">
      <c r="B8" s="1"/>
    </row>
    <row r="9" spans="2:16" x14ac:dyDescent="0.3">
      <c r="B9" s="1"/>
    </row>
    <row r="10" spans="2:16" x14ac:dyDescent="0.3">
      <c r="B10" s="1"/>
    </row>
    <row r="11" spans="2:16" x14ac:dyDescent="0.3">
      <c r="B11" s="1"/>
    </row>
    <row r="12" spans="2:16" x14ac:dyDescent="0.3">
      <c r="B12" s="1"/>
    </row>
    <row r="13" spans="2:16" x14ac:dyDescent="0.3">
      <c r="B13" s="1"/>
    </row>
  </sheetData>
  <mergeCells count="2">
    <mergeCell ref="D4:P4"/>
    <mergeCell ref="D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2"/>
  <sheetViews>
    <sheetView workbookViewId="0">
      <selection activeCell="G23" sqref="G23"/>
    </sheetView>
  </sheetViews>
  <sheetFormatPr defaultColWidth="9.109375" defaultRowHeight="11.4" x14ac:dyDescent="0.2"/>
  <cols>
    <col min="1" max="1" width="2" style="1" customWidth="1"/>
    <col min="2" max="16384" width="9.109375" style="1"/>
  </cols>
  <sheetData>
    <row r="12" spans="2:2" ht="43.8" x14ac:dyDescent="0.75">
      <c r="B12" s="9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2"/>
  <sheetViews>
    <sheetView workbookViewId="0">
      <selection activeCell="B4" sqref="B4:H15"/>
    </sheetView>
  </sheetViews>
  <sheetFormatPr defaultColWidth="9.109375" defaultRowHeight="11.4" outlineLevelRow="1" x14ac:dyDescent="0.2"/>
  <cols>
    <col min="1" max="1" width="2" style="1" customWidth="1"/>
    <col min="2" max="2" width="19.88671875" style="1" customWidth="1"/>
    <col min="3" max="4" width="10.88671875" style="1" customWidth="1"/>
    <col min="5" max="5" width="1.5546875" style="1" customWidth="1"/>
    <col min="6" max="6" width="20.44140625" style="1" bestFit="1" customWidth="1"/>
    <col min="7" max="8" width="11.44140625" style="1" customWidth="1"/>
    <col min="9" max="16384" width="9.109375" style="1"/>
  </cols>
  <sheetData>
    <row r="1" spans="2:8" ht="15.6" x14ac:dyDescent="0.3">
      <c r="B1" s="2" t="s">
        <v>47</v>
      </c>
      <c r="C1" s="2"/>
    </row>
    <row r="3" spans="2:8" x14ac:dyDescent="0.2">
      <c r="B3" s="159"/>
      <c r="C3" s="159"/>
      <c r="D3" s="159"/>
      <c r="E3" s="159"/>
      <c r="F3" s="159"/>
      <c r="G3" s="159"/>
      <c r="H3" s="159"/>
    </row>
    <row r="4" spans="2:8" ht="24.6" thickBot="1" x14ac:dyDescent="0.3">
      <c r="B4" s="35" t="s">
        <v>0</v>
      </c>
      <c r="C4" s="96" t="s">
        <v>66</v>
      </c>
      <c r="D4" s="96" t="s">
        <v>65</v>
      </c>
      <c r="E4" s="36"/>
      <c r="F4" s="97" t="s">
        <v>1</v>
      </c>
      <c r="G4" s="96" t="s">
        <v>66</v>
      </c>
      <c r="H4" s="96" t="s">
        <v>65</v>
      </c>
    </row>
    <row r="5" spans="2:8" x14ac:dyDescent="0.2">
      <c r="B5" s="104" t="s">
        <v>13</v>
      </c>
      <c r="C5" s="11">
        <v>43000000</v>
      </c>
      <c r="D5" s="40">
        <v>65000000</v>
      </c>
      <c r="F5" s="1" t="s">
        <v>22</v>
      </c>
      <c r="G5" s="11">
        <v>27500000</v>
      </c>
      <c r="H5" s="40">
        <v>20000000</v>
      </c>
    </row>
    <row r="6" spans="2:8" x14ac:dyDescent="0.2">
      <c r="B6" s="105" t="s">
        <v>17</v>
      </c>
      <c r="C6" s="11">
        <v>48000000</v>
      </c>
      <c r="D6" s="41">
        <v>32000000</v>
      </c>
      <c r="F6" s="1" t="s">
        <v>16</v>
      </c>
      <c r="G6" s="11">
        <v>5000000</v>
      </c>
      <c r="H6" s="41">
        <v>0</v>
      </c>
    </row>
    <row r="7" spans="2:8" x14ac:dyDescent="0.2">
      <c r="B7" s="105" t="s">
        <v>23</v>
      </c>
      <c r="C7" s="11">
        <v>31000000</v>
      </c>
      <c r="D7" s="41">
        <v>18000000</v>
      </c>
      <c r="F7" s="1" t="s">
        <v>27</v>
      </c>
      <c r="G7" s="11">
        <v>26170000</v>
      </c>
      <c r="H7" s="41">
        <v>15000000</v>
      </c>
    </row>
    <row r="8" spans="2:8" x14ac:dyDescent="0.2">
      <c r="B8" s="105"/>
      <c r="C8" s="11"/>
      <c r="D8" s="41"/>
      <c r="G8" s="11"/>
      <c r="H8" s="41"/>
    </row>
    <row r="9" spans="2:8" x14ac:dyDescent="0.2">
      <c r="B9" s="105"/>
      <c r="C9" s="11"/>
      <c r="D9" s="41"/>
      <c r="F9" s="1" t="s">
        <v>26</v>
      </c>
      <c r="G9" s="11">
        <v>140000000</v>
      </c>
      <c r="H9" s="41">
        <v>140000000</v>
      </c>
    </row>
    <row r="10" spans="2:8" x14ac:dyDescent="0.2">
      <c r="B10" s="105"/>
      <c r="C10" s="51"/>
      <c r="D10" s="41"/>
      <c r="F10" s="50" t="s">
        <v>1</v>
      </c>
      <c r="G10" s="51">
        <f>SUM(G5:G9)</f>
        <v>198670000</v>
      </c>
      <c r="H10" s="99">
        <f>SUM(H5:H9)</f>
        <v>175000000</v>
      </c>
    </row>
    <row r="11" spans="2:8" x14ac:dyDescent="0.2">
      <c r="B11" s="105" t="s">
        <v>18</v>
      </c>
      <c r="C11" s="11">
        <v>166670000</v>
      </c>
      <c r="D11" s="41">
        <v>150000000</v>
      </c>
      <c r="F11" s="50"/>
      <c r="G11" s="51"/>
      <c r="H11" s="99"/>
    </row>
    <row r="12" spans="2:8" x14ac:dyDescent="0.2">
      <c r="B12" s="105"/>
      <c r="C12" s="45"/>
      <c r="D12" s="42"/>
      <c r="F12" s="44"/>
      <c r="G12" s="45"/>
      <c r="H12" s="100"/>
    </row>
    <row r="13" spans="2:8" x14ac:dyDescent="0.2">
      <c r="B13" s="105"/>
      <c r="C13" s="52"/>
      <c r="D13" s="42"/>
      <c r="F13" s="50" t="s">
        <v>12</v>
      </c>
      <c r="G13" s="52">
        <v>90000000</v>
      </c>
      <c r="H13" s="101">
        <v>90000000</v>
      </c>
    </row>
    <row r="14" spans="2:8" x14ac:dyDescent="0.2">
      <c r="B14" s="105"/>
      <c r="C14" s="12"/>
      <c r="D14" s="42"/>
      <c r="G14" s="12"/>
      <c r="H14" s="102"/>
    </row>
    <row r="15" spans="2:8" ht="12.6" thickBot="1" x14ac:dyDescent="0.3">
      <c r="B15" s="106" t="s">
        <v>44</v>
      </c>
      <c r="C15" s="98">
        <f>SUM(C5:C14)</f>
        <v>288670000</v>
      </c>
      <c r="D15" s="43">
        <f>SUM(D11,D5:D7)</f>
        <v>265000000</v>
      </c>
      <c r="E15" s="38"/>
      <c r="F15" s="38" t="s">
        <v>45</v>
      </c>
      <c r="G15" s="39">
        <f>SUM(G13,G10)</f>
        <v>288670000</v>
      </c>
      <c r="H15" s="103">
        <f>SUM(H13,H10)</f>
        <v>265000000</v>
      </c>
    </row>
    <row r="16" spans="2:8" x14ac:dyDescent="0.2">
      <c r="D16" s="34"/>
      <c r="E16" s="14"/>
      <c r="H16" s="12"/>
    </row>
    <row r="17" spans="2:11" x14ac:dyDescent="0.2">
      <c r="D17" s="25"/>
      <c r="H17" s="12"/>
    </row>
    <row r="18" spans="2:11" s="46" customFormat="1" ht="10.199999999999999" hidden="1" outlineLevel="1" x14ac:dyDescent="0.2">
      <c r="B18" s="47" t="s">
        <v>46</v>
      </c>
      <c r="C18" s="47"/>
      <c r="D18" s="49">
        <f>D15-H15</f>
        <v>0</v>
      </c>
      <c r="E18" s="47"/>
      <c r="F18" s="47"/>
      <c r="G18" s="47"/>
      <c r="H18" s="48"/>
    </row>
    <row r="19" spans="2:11" ht="14.4" collapsed="1" x14ac:dyDescent="0.3">
      <c r="K19" s="4"/>
    </row>
    <row r="20" spans="2:11" ht="14.4" x14ac:dyDescent="0.3">
      <c r="K20" s="4"/>
    </row>
    <row r="21" spans="2:11" ht="14.4" x14ac:dyDescent="0.3">
      <c r="K21" s="4"/>
    </row>
    <row r="22" spans="2:11" ht="14.4" x14ac:dyDescent="0.3">
      <c r="K22" s="4"/>
    </row>
    <row r="23" spans="2:11" ht="14.4" x14ac:dyDescent="0.3">
      <c r="K23" s="4"/>
    </row>
    <row r="24" spans="2:11" ht="14.4" x14ac:dyDescent="0.3">
      <c r="K24" s="4"/>
    </row>
    <row r="25" spans="2:11" ht="14.4" x14ac:dyDescent="0.3">
      <c r="K25" s="4"/>
    </row>
    <row r="26" spans="2:11" ht="14.4" x14ac:dyDescent="0.3">
      <c r="K26" s="4"/>
    </row>
    <row r="27" spans="2:11" ht="14.4" x14ac:dyDescent="0.3">
      <c r="K27" s="4"/>
    </row>
    <row r="28" spans="2:11" ht="14.4" x14ac:dyDescent="0.3">
      <c r="K28" s="4"/>
    </row>
    <row r="29" spans="2:11" ht="14.4" x14ac:dyDescent="0.3">
      <c r="K29" s="4"/>
    </row>
    <row r="30" spans="2:11" ht="14.4" x14ac:dyDescent="0.3">
      <c r="K30" s="4"/>
    </row>
    <row r="31" spans="2:11" ht="14.4" x14ac:dyDescent="0.3">
      <c r="K31" s="4"/>
    </row>
    <row r="32" spans="2:11" ht="14.4" x14ac:dyDescent="0.3">
      <c r="K32" s="4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1"/>
  <sheetViews>
    <sheetView workbookViewId="0">
      <selection activeCell="C3" sqref="C3:D3"/>
    </sheetView>
  </sheetViews>
  <sheetFormatPr defaultColWidth="9.109375" defaultRowHeight="11.4" x14ac:dyDescent="0.2"/>
  <cols>
    <col min="1" max="1" width="2" style="27" customWidth="1"/>
    <col min="2" max="2" width="26.33203125" style="27" customWidth="1"/>
    <col min="3" max="3" width="14.6640625" style="27" customWidth="1"/>
    <col min="4" max="4" width="14.109375" style="27" bestFit="1" customWidth="1"/>
    <col min="5" max="16384" width="9.109375" style="27"/>
  </cols>
  <sheetData>
    <row r="1" spans="2:18" ht="15.6" x14ac:dyDescent="0.3">
      <c r="B1" s="26" t="s">
        <v>38</v>
      </c>
      <c r="C1" s="26"/>
    </row>
    <row r="3" spans="2:18" ht="12.6" thickBot="1" x14ac:dyDescent="0.3">
      <c r="B3" s="89" t="s">
        <v>40</v>
      </c>
      <c r="C3" s="90" t="s">
        <v>67</v>
      </c>
      <c r="D3" s="90" t="s">
        <v>61</v>
      </c>
    </row>
    <row r="4" spans="2:18" x14ac:dyDescent="0.2">
      <c r="B4" s="28" t="s">
        <v>53</v>
      </c>
      <c r="C4" s="29">
        <v>363881.20929999999</v>
      </c>
      <c r="D4" s="29">
        <v>455746.18100000004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2:18" x14ac:dyDescent="0.2">
      <c r="B5" s="28" t="s">
        <v>52</v>
      </c>
      <c r="C5" s="29">
        <v>2000</v>
      </c>
      <c r="D5" s="29">
        <v>2000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2:18" ht="12" x14ac:dyDescent="0.25">
      <c r="B6" s="93" t="s">
        <v>59</v>
      </c>
      <c r="C6" s="94">
        <f>+SUM(C4:C5)</f>
        <v>365881.20929999999</v>
      </c>
      <c r="D6" s="94">
        <f>+SUM(D4:D5)</f>
        <v>457746.18100000004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2:18" x14ac:dyDescent="0.2">
      <c r="B7" s="28" t="s">
        <v>34</v>
      </c>
      <c r="C7" s="29">
        <v>-267080.35853000003</v>
      </c>
      <c r="D7" s="29">
        <v>-297495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2:18" ht="12" x14ac:dyDescent="0.25">
      <c r="B8" s="93" t="s">
        <v>35</v>
      </c>
      <c r="C8" s="94">
        <f>SUM(C6:C7)</f>
        <v>98800.850769999961</v>
      </c>
      <c r="D8" s="94">
        <f>SUM(D6:D7)</f>
        <v>160251.18100000004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2:18" x14ac:dyDescent="0.2">
      <c r="B9" s="30" t="s">
        <v>20</v>
      </c>
      <c r="C9" s="29">
        <v>-12375.000000000002</v>
      </c>
      <c r="D9" s="29">
        <v>-12375.000000000002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2:18" x14ac:dyDescent="0.2">
      <c r="B10" s="30" t="s">
        <v>19</v>
      </c>
      <c r="C10" s="29">
        <v>-5929.0000000000009</v>
      </c>
      <c r="D10" s="29">
        <v>-6050.0000000000009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2:18" x14ac:dyDescent="0.2">
      <c r="B11" s="30" t="s">
        <v>24</v>
      </c>
      <c r="C11" s="29">
        <v>-2707.25</v>
      </c>
      <c r="D11" s="29">
        <v>-3570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2:18" x14ac:dyDescent="0.2">
      <c r="B12" s="30" t="s">
        <v>25</v>
      </c>
      <c r="C12" s="29">
        <v>-11875</v>
      </c>
      <c r="D12" s="29">
        <v>-19000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2:18" x14ac:dyDescent="0.2">
      <c r="B13" s="30" t="s">
        <v>58</v>
      </c>
      <c r="C13" s="29">
        <v>-32760</v>
      </c>
      <c r="D13" s="29">
        <v>-42000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2:18" ht="12" x14ac:dyDescent="0.25">
      <c r="B14" s="93" t="s">
        <v>42</v>
      </c>
      <c r="C14" s="94">
        <f>SUM(C8:C13)</f>
        <v>33154.600769999961</v>
      </c>
      <c r="D14" s="94">
        <f>SUM(D8:D13)</f>
        <v>77256.181000000041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2:18" x14ac:dyDescent="0.2">
      <c r="B15" s="28" t="s">
        <v>36</v>
      </c>
      <c r="C15" s="29">
        <v>-16500</v>
      </c>
      <c r="D15" s="29">
        <v>-15000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2:18" ht="12" x14ac:dyDescent="0.25">
      <c r="B16" s="93" t="s">
        <v>60</v>
      </c>
      <c r="C16" s="94">
        <f>SUM(C14:C15)</f>
        <v>16654.600769999961</v>
      </c>
      <c r="D16" s="94">
        <f>SUM(D14:D15)</f>
        <v>62256.181000000041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2:18" x14ac:dyDescent="0.2">
      <c r="B17" s="30" t="s">
        <v>29</v>
      </c>
      <c r="C17" s="29">
        <v>-6720</v>
      </c>
      <c r="D17" s="29">
        <v>-5600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2:18" x14ac:dyDescent="0.2">
      <c r="B18" s="28" t="s">
        <v>41</v>
      </c>
      <c r="C18" s="29">
        <v>0</v>
      </c>
      <c r="D18" s="29">
        <v>0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2:18" ht="12" x14ac:dyDescent="0.25">
      <c r="B19" s="93" t="s">
        <v>39</v>
      </c>
      <c r="C19" s="94">
        <f>SUM(C16:C18)</f>
        <v>9934.6007699999609</v>
      </c>
      <c r="D19" s="94">
        <f>SUM(D16:D18)</f>
        <v>56656.181000000041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2:18" x14ac:dyDescent="0.2">
      <c r="B20" s="28" t="s">
        <v>43</v>
      </c>
      <c r="C20" s="29">
        <v>-2541.706500000003</v>
      </c>
      <c r="D20" s="29">
        <v>-8498.427150000005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2:18" ht="12.6" thickBot="1" x14ac:dyDescent="0.3">
      <c r="B21" s="91" t="s">
        <v>37</v>
      </c>
      <c r="C21" s="92">
        <f>SUM(C19:C20)</f>
        <v>7392.8942699999579</v>
      </c>
      <c r="D21" s="92">
        <f>SUM(D19:D20)</f>
        <v>48157.753850000037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2:18" x14ac:dyDescent="0.2">
      <c r="B22" s="28"/>
      <c r="C22" s="28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2:18" x14ac:dyDescent="0.2">
      <c r="B23" s="30"/>
      <c r="C23" s="30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2:18" x14ac:dyDescent="0.2">
      <c r="B24" s="30"/>
      <c r="C24" s="30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8" x14ac:dyDescent="0.2">
      <c r="B25" s="30"/>
      <c r="C25" s="30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2:18" x14ac:dyDescent="0.2">
      <c r="B26" s="30"/>
      <c r="C26" s="30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2:18" x14ac:dyDescent="0.2">
      <c r="B27" s="30"/>
      <c r="C27" s="30"/>
      <c r="D27" s="31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2:18" x14ac:dyDescent="0.2">
      <c r="B28" s="30"/>
      <c r="C28" s="30"/>
      <c r="D28" s="31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2:18" x14ac:dyDescent="0.2">
      <c r="B29" s="30"/>
      <c r="C29" s="30"/>
      <c r="D29" s="32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2:18" x14ac:dyDescent="0.2">
      <c r="B30" s="30"/>
      <c r="C30" s="30"/>
      <c r="D30" s="33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2:18" x14ac:dyDescent="0.2">
      <c r="B31" s="30"/>
      <c r="C31" s="30"/>
      <c r="D31" s="33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2:18" x14ac:dyDescent="0.2">
      <c r="B32" s="30"/>
      <c r="C32" s="30"/>
      <c r="D32" s="33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x14ac:dyDescent="0.2">
      <c r="B33" s="30"/>
      <c r="C33" s="30"/>
      <c r="D33" s="33"/>
    </row>
    <row r="34" spans="2:18" x14ac:dyDescent="0.2">
      <c r="B34" s="30"/>
      <c r="C34" s="30"/>
      <c r="D34" s="33"/>
    </row>
    <row r="35" spans="2:18" x14ac:dyDescent="0.2">
      <c r="B35" s="30"/>
      <c r="C35" s="30"/>
      <c r="D35" s="33"/>
    </row>
    <row r="36" spans="2:18" x14ac:dyDescent="0.2">
      <c r="B36" s="30"/>
      <c r="C36" s="30"/>
      <c r="D36" s="30"/>
    </row>
    <row r="37" spans="2:18" x14ac:dyDescent="0.2">
      <c r="B37" s="30"/>
      <c r="C37" s="30"/>
      <c r="D37" s="30"/>
    </row>
    <row r="38" spans="2:18" x14ac:dyDescent="0.2">
      <c r="B38" s="30"/>
      <c r="C38" s="30"/>
      <c r="D38" s="30"/>
    </row>
    <row r="39" spans="2:18" x14ac:dyDescent="0.2">
      <c r="B39" s="30"/>
      <c r="C39" s="30"/>
      <c r="D39" s="30"/>
    </row>
    <row r="40" spans="2:18" x14ac:dyDescent="0.2">
      <c r="B40" s="30"/>
      <c r="C40" s="30"/>
      <c r="D40" s="30"/>
    </row>
    <row r="41" spans="2:18" x14ac:dyDescent="0.2">
      <c r="B41" s="30"/>
      <c r="C41" s="30"/>
      <c r="D41" s="30"/>
      <c r="R41" s="27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B12"/>
  <sheetViews>
    <sheetView workbookViewId="0">
      <selection activeCell="C33" sqref="C33"/>
    </sheetView>
  </sheetViews>
  <sheetFormatPr defaultColWidth="9.109375" defaultRowHeight="11.4" x14ac:dyDescent="0.2"/>
  <cols>
    <col min="1" max="1" width="2" style="1" customWidth="1"/>
    <col min="2" max="16384" width="9.109375" style="1"/>
  </cols>
  <sheetData>
    <row r="12" spans="2:2" ht="43.8" x14ac:dyDescent="0.75">
      <c r="B12" s="95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37"/>
  <sheetViews>
    <sheetView workbookViewId="0">
      <selection activeCell="H20" sqref="H20:H21"/>
    </sheetView>
  </sheetViews>
  <sheetFormatPr defaultColWidth="9.109375" defaultRowHeight="11.4" x14ac:dyDescent="0.2"/>
  <cols>
    <col min="1" max="1" width="2" style="1" customWidth="1"/>
    <col min="2" max="2" width="18.33203125" style="1" bestFit="1" customWidth="1"/>
    <col min="3" max="3" width="18.5546875" style="1" customWidth="1"/>
    <col min="4" max="4" width="17.6640625" style="1" customWidth="1"/>
    <col min="5" max="5" width="13.33203125" style="1" customWidth="1"/>
    <col min="6" max="6" width="13.88671875" style="1" customWidth="1"/>
    <col min="7" max="7" width="2.44140625" style="1" customWidth="1"/>
    <col min="8" max="8" width="18" style="1" bestFit="1" customWidth="1"/>
    <col min="9" max="9" width="21.6640625" style="1" bestFit="1" customWidth="1"/>
    <col min="10" max="10" width="19.33203125" style="1" bestFit="1" customWidth="1"/>
    <col min="11" max="11" width="15.77734375" style="1" bestFit="1" customWidth="1"/>
    <col min="12" max="12" width="13.88671875" style="1" customWidth="1"/>
    <col min="13" max="13" width="9.109375" style="1"/>
    <col min="14" max="14" width="13.33203125" style="1" customWidth="1"/>
    <col min="15" max="15" width="15.77734375" style="1" bestFit="1" customWidth="1"/>
    <col min="16" max="16384" width="9.109375" style="1"/>
  </cols>
  <sheetData>
    <row r="1" spans="2:15" ht="15.6" x14ac:dyDescent="0.3">
      <c r="B1" s="2" t="s">
        <v>3</v>
      </c>
      <c r="C1" s="2"/>
    </row>
    <row r="2" spans="2:15" ht="3.75" customHeight="1" x14ac:dyDescent="0.2"/>
    <row r="3" spans="2:15" ht="12" x14ac:dyDescent="0.25">
      <c r="B3" s="160" t="s">
        <v>4</v>
      </c>
      <c r="C3" s="160"/>
      <c r="D3" s="160"/>
      <c r="E3" s="160"/>
      <c r="F3" s="160"/>
      <c r="G3" s="5"/>
      <c r="H3" s="160" t="s">
        <v>5</v>
      </c>
      <c r="I3" s="160"/>
      <c r="J3" s="160"/>
      <c r="K3" s="160"/>
      <c r="L3" s="160"/>
    </row>
    <row r="4" spans="2:15" ht="12.6" thickBot="1" x14ac:dyDescent="0.3">
      <c r="B4" s="6" t="s">
        <v>51</v>
      </c>
      <c r="C4" s="6" t="s">
        <v>6</v>
      </c>
      <c r="D4" s="6" t="s">
        <v>14</v>
      </c>
      <c r="E4" s="7" t="s">
        <v>7</v>
      </c>
      <c r="F4" s="7" t="s">
        <v>8</v>
      </c>
      <c r="G4" s="70"/>
      <c r="H4" s="6" t="s">
        <v>51</v>
      </c>
      <c r="I4" s="6" t="s">
        <v>6</v>
      </c>
      <c r="J4" s="6" t="s">
        <v>15</v>
      </c>
      <c r="K4" s="7" t="s">
        <v>7</v>
      </c>
      <c r="L4" s="7" t="s">
        <v>8</v>
      </c>
    </row>
    <row r="5" spans="2:15" x14ac:dyDescent="0.2">
      <c r="B5" s="15" t="s">
        <v>72</v>
      </c>
      <c r="C5" s="1" t="s">
        <v>13</v>
      </c>
      <c r="D5" s="1" t="s">
        <v>84</v>
      </c>
      <c r="E5" s="172">
        <v>30000000</v>
      </c>
      <c r="F5" s="174"/>
      <c r="H5" s="15" t="s">
        <v>73</v>
      </c>
      <c r="I5" s="1" t="s">
        <v>36</v>
      </c>
      <c r="J5" s="1" t="s">
        <v>79</v>
      </c>
      <c r="K5" s="172">
        <v>5000000</v>
      </c>
      <c r="L5" s="171"/>
    </row>
    <row r="6" spans="2:15" ht="12" x14ac:dyDescent="0.25">
      <c r="B6" s="15" t="s">
        <v>72</v>
      </c>
      <c r="C6" s="1" t="s">
        <v>12</v>
      </c>
      <c r="D6" s="1" t="s">
        <v>12</v>
      </c>
      <c r="E6" s="172"/>
      <c r="F6" s="172">
        <v>30000000</v>
      </c>
      <c r="H6" s="15" t="s">
        <v>73</v>
      </c>
      <c r="I6" s="1" t="s">
        <v>36</v>
      </c>
      <c r="J6" s="1" t="s">
        <v>79</v>
      </c>
      <c r="K6" s="172">
        <v>15000000</v>
      </c>
      <c r="L6" s="173"/>
    </row>
    <row r="7" spans="2:15" x14ac:dyDescent="0.2">
      <c r="B7" s="15" t="s">
        <v>73</v>
      </c>
      <c r="C7" s="1" t="s">
        <v>13</v>
      </c>
      <c r="D7" s="1" t="s">
        <v>84</v>
      </c>
      <c r="E7" s="172"/>
      <c r="F7" s="172">
        <v>80000000</v>
      </c>
      <c r="H7" s="15" t="s">
        <v>78</v>
      </c>
      <c r="I7" s="1" t="s">
        <v>20</v>
      </c>
      <c r="J7" s="1" t="s">
        <v>79</v>
      </c>
      <c r="K7" s="172">
        <v>12500000</v>
      </c>
      <c r="L7" s="172"/>
    </row>
    <row r="8" spans="2:15" x14ac:dyDescent="0.2">
      <c r="B8" s="15" t="s">
        <v>73</v>
      </c>
      <c r="C8" s="1" t="s">
        <v>18</v>
      </c>
      <c r="D8" s="1" t="s">
        <v>84</v>
      </c>
      <c r="E8" s="172">
        <v>80000000</v>
      </c>
      <c r="F8" s="172"/>
      <c r="H8" s="15" t="s">
        <v>80</v>
      </c>
      <c r="I8" s="1" t="s">
        <v>19</v>
      </c>
      <c r="J8" s="1" t="s">
        <v>79</v>
      </c>
      <c r="K8" s="172">
        <v>5500000</v>
      </c>
      <c r="L8" s="172"/>
    </row>
    <row r="9" spans="2:15" x14ac:dyDescent="0.2">
      <c r="B9" s="15" t="s">
        <v>73</v>
      </c>
      <c r="C9" s="1" t="s">
        <v>18</v>
      </c>
      <c r="D9" s="1" t="s">
        <v>84</v>
      </c>
      <c r="E9" s="172"/>
      <c r="F9" s="172">
        <v>5000000</v>
      </c>
      <c r="H9" s="15" t="s">
        <v>81</v>
      </c>
      <c r="I9" s="1" t="s">
        <v>53</v>
      </c>
      <c r="J9" s="1" t="s">
        <v>11</v>
      </c>
      <c r="K9" s="172"/>
      <c r="L9" s="172">
        <v>524449000</v>
      </c>
    </row>
    <row r="10" spans="2:15" x14ac:dyDescent="0.2">
      <c r="B10" s="15" t="s">
        <v>73</v>
      </c>
      <c r="C10" s="1" t="s">
        <v>18</v>
      </c>
      <c r="D10" s="1" t="s">
        <v>84</v>
      </c>
      <c r="E10" s="172"/>
      <c r="F10" s="172">
        <v>15000000</v>
      </c>
      <c r="H10" s="15" t="s">
        <v>86</v>
      </c>
      <c r="I10" s="1" t="s">
        <v>96</v>
      </c>
      <c r="J10" s="1" t="s">
        <v>79</v>
      </c>
      <c r="K10" s="172">
        <v>32450000</v>
      </c>
      <c r="L10" s="172"/>
      <c r="N10" s="1" t="s">
        <v>74</v>
      </c>
      <c r="O10" s="126">
        <v>80000000</v>
      </c>
    </row>
    <row r="11" spans="2:15" x14ac:dyDescent="0.2">
      <c r="B11" s="15" t="s">
        <v>78</v>
      </c>
      <c r="C11" s="1" t="s">
        <v>13</v>
      </c>
      <c r="D11" s="1" t="s">
        <v>84</v>
      </c>
      <c r="E11" s="174"/>
      <c r="F11" s="172">
        <v>10000000</v>
      </c>
      <c r="H11" s="15" t="s">
        <v>97</v>
      </c>
      <c r="I11" s="1" t="s">
        <v>96</v>
      </c>
      <c r="J11" s="1" t="s">
        <v>79</v>
      </c>
      <c r="K11" s="172">
        <v>238000000</v>
      </c>
      <c r="L11" s="172"/>
      <c r="N11" s="1" t="s">
        <v>75</v>
      </c>
      <c r="O11" s="126">
        <v>5000000</v>
      </c>
    </row>
    <row r="12" spans="2:15" x14ac:dyDescent="0.2">
      <c r="B12" s="15" t="s">
        <v>78</v>
      </c>
      <c r="C12" s="1" t="s">
        <v>95</v>
      </c>
      <c r="D12" s="1" t="s">
        <v>85</v>
      </c>
      <c r="E12" s="172"/>
      <c r="F12" s="172">
        <v>2500000</v>
      </c>
      <c r="H12" s="15" t="s">
        <v>87</v>
      </c>
      <c r="I12" s="1" t="s">
        <v>52</v>
      </c>
      <c r="J12" s="1" t="s">
        <v>11</v>
      </c>
      <c r="K12" s="172"/>
      <c r="L12" s="172">
        <v>2000000</v>
      </c>
      <c r="N12" s="1" t="s">
        <v>76</v>
      </c>
      <c r="O12" s="127">
        <f>(O10-O11)/15</f>
        <v>5000000</v>
      </c>
    </row>
    <row r="13" spans="2:15" x14ac:dyDescent="0.2">
      <c r="B13" s="15" t="s">
        <v>80</v>
      </c>
      <c r="C13" s="1" t="s">
        <v>13</v>
      </c>
      <c r="D13" s="1" t="s">
        <v>84</v>
      </c>
      <c r="E13" s="172"/>
      <c r="F13" s="172">
        <v>5500000</v>
      </c>
      <c r="H13" s="15" t="s">
        <v>88</v>
      </c>
      <c r="I13" s="1" t="s">
        <v>98</v>
      </c>
      <c r="J13" s="1" t="s">
        <v>79</v>
      </c>
      <c r="K13" s="172">
        <v>35000000</v>
      </c>
      <c r="L13" s="174"/>
    </row>
    <row r="14" spans="2:15" x14ac:dyDescent="0.2">
      <c r="B14" s="15" t="s">
        <v>81</v>
      </c>
      <c r="C14" s="1" t="s">
        <v>13</v>
      </c>
      <c r="D14" s="1" t="s">
        <v>84</v>
      </c>
      <c r="E14" s="172">
        <v>508964000</v>
      </c>
      <c r="F14" s="174"/>
      <c r="H14" s="15" t="s">
        <v>89</v>
      </c>
      <c r="I14" s="1" t="s">
        <v>99</v>
      </c>
      <c r="J14" s="1" t="s">
        <v>79</v>
      </c>
      <c r="K14" s="172">
        <v>10000000</v>
      </c>
      <c r="L14" s="128"/>
    </row>
    <row r="15" spans="2:15" x14ac:dyDescent="0.2">
      <c r="B15" s="15" t="s">
        <v>81</v>
      </c>
      <c r="C15" s="1" t="s">
        <v>23</v>
      </c>
      <c r="D15" s="1" t="s">
        <v>84</v>
      </c>
      <c r="E15" s="172">
        <v>15485000</v>
      </c>
      <c r="F15" s="174"/>
      <c r="H15" s="15" t="s">
        <v>90</v>
      </c>
      <c r="I15" s="1" t="s">
        <v>29</v>
      </c>
      <c r="J15" s="1" t="s">
        <v>79</v>
      </c>
      <c r="K15" s="172">
        <v>5600000</v>
      </c>
      <c r="L15" s="172"/>
      <c r="N15" s="1" t="s">
        <v>77</v>
      </c>
      <c r="O15" s="127">
        <f>150000000/10</f>
        <v>15000000</v>
      </c>
    </row>
    <row r="16" spans="2:15" x14ac:dyDescent="0.2">
      <c r="B16" s="15" t="s">
        <v>82</v>
      </c>
      <c r="C16" s="1" t="s">
        <v>17</v>
      </c>
      <c r="D16" s="1" t="s">
        <v>84</v>
      </c>
      <c r="E16" s="172">
        <v>240000000</v>
      </c>
      <c r="F16" s="174"/>
      <c r="H16" s="15" t="s">
        <v>91</v>
      </c>
      <c r="I16" s="1" t="s">
        <v>100</v>
      </c>
      <c r="J16" s="1" t="s">
        <v>79</v>
      </c>
      <c r="K16" s="172">
        <v>3000000</v>
      </c>
      <c r="L16" s="172"/>
      <c r="O16" s="125">
        <v>150000000</v>
      </c>
    </row>
    <row r="17" spans="2:15" x14ac:dyDescent="0.2">
      <c r="B17" s="15" t="s">
        <v>82</v>
      </c>
      <c r="C17" s="1" t="s">
        <v>83</v>
      </c>
      <c r="D17" s="1" t="s">
        <v>85</v>
      </c>
      <c r="E17" s="172"/>
      <c r="F17" s="172">
        <v>10000000</v>
      </c>
      <c r="H17" s="15" t="s">
        <v>92</v>
      </c>
      <c r="I17" s="1" t="s">
        <v>101</v>
      </c>
      <c r="J17" s="1" t="s">
        <v>79</v>
      </c>
      <c r="K17" s="172">
        <v>35000000</v>
      </c>
      <c r="L17" s="172"/>
      <c r="O17" s="129">
        <f>O16-O15</f>
        <v>135000000</v>
      </c>
    </row>
    <row r="18" spans="2:15" x14ac:dyDescent="0.2">
      <c r="B18" s="15" t="s">
        <v>82</v>
      </c>
      <c r="C18" s="1" t="s">
        <v>13</v>
      </c>
      <c r="D18" s="1" t="s">
        <v>84</v>
      </c>
      <c r="E18" s="172"/>
      <c r="F18" s="172">
        <v>230000000</v>
      </c>
      <c r="H18" s="15" t="s">
        <v>93</v>
      </c>
      <c r="I18" s="1" t="s">
        <v>102</v>
      </c>
      <c r="J18" s="1" t="s">
        <v>79</v>
      </c>
      <c r="K18" s="172">
        <v>19409850</v>
      </c>
      <c r="L18" s="172"/>
    </row>
    <row r="19" spans="2:15" x14ac:dyDescent="0.2">
      <c r="B19" s="15" t="s">
        <v>86</v>
      </c>
      <c r="C19" s="1" t="s">
        <v>13</v>
      </c>
      <c r="D19" s="1" t="s">
        <v>84</v>
      </c>
      <c r="E19" s="172"/>
      <c r="F19" s="172">
        <v>32450000</v>
      </c>
      <c r="H19" s="15"/>
      <c r="K19" s="172"/>
      <c r="L19" s="172"/>
    </row>
    <row r="20" spans="2:15" x14ac:dyDescent="0.2">
      <c r="B20" s="15" t="s">
        <v>97</v>
      </c>
      <c r="C20" s="1" t="s">
        <v>17</v>
      </c>
      <c r="D20" s="1" t="s">
        <v>84</v>
      </c>
      <c r="E20" s="172"/>
      <c r="F20" s="172">
        <v>238000000</v>
      </c>
      <c r="H20" s="15"/>
      <c r="K20" s="172"/>
      <c r="L20" s="172"/>
    </row>
    <row r="21" spans="2:15" x14ac:dyDescent="0.2">
      <c r="B21" s="15" t="s">
        <v>87</v>
      </c>
      <c r="C21" s="1" t="s">
        <v>13</v>
      </c>
      <c r="D21" s="1" t="s">
        <v>84</v>
      </c>
      <c r="E21" s="172">
        <v>2000000</v>
      </c>
      <c r="F21" s="172"/>
      <c r="H21" s="15"/>
      <c r="K21" s="172"/>
      <c r="L21" s="172"/>
    </row>
    <row r="22" spans="2:15" x14ac:dyDescent="0.2">
      <c r="B22" s="15" t="s">
        <v>88</v>
      </c>
      <c r="C22" s="1" t="s">
        <v>13</v>
      </c>
      <c r="D22" s="1" t="s">
        <v>84</v>
      </c>
      <c r="E22" s="172"/>
      <c r="F22" s="172">
        <v>35000000</v>
      </c>
      <c r="H22" s="15"/>
      <c r="K22" s="172"/>
      <c r="L22" s="172"/>
    </row>
    <row r="23" spans="2:15" x14ac:dyDescent="0.2">
      <c r="B23" s="15" t="s">
        <v>89</v>
      </c>
      <c r="C23" s="1" t="s">
        <v>13</v>
      </c>
      <c r="D23" s="1" t="s">
        <v>84</v>
      </c>
      <c r="E23" s="172"/>
      <c r="F23" s="172">
        <v>9500000</v>
      </c>
      <c r="K23" s="172"/>
      <c r="L23" s="172"/>
    </row>
    <row r="24" spans="2:15" x14ac:dyDescent="0.2">
      <c r="B24" s="15" t="s">
        <v>89</v>
      </c>
      <c r="C24" s="1" t="s">
        <v>83</v>
      </c>
      <c r="D24" s="1" t="s">
        <v>85</v>
      </c>
      <c r="E24" s="172"/>
      <c r="F24" s="172">
        <v>500000</v>
      </c>
      <c r="K24" s="172"/>
      <c r="L24" s="172"/>
    </row>
    <row r="25" spans="2:15" x14ac:dyDescent="0.2">
      <c r="B25" s="15" t="s">
        <v>90</v>
      </c>
      <c r="C25" s="1" t="s">
        <v>26</v>
      </c>
      <c r="D25" s="1" t="s">
        <v>85</v>
      </c>
      <c r="E25" s="172">
        <v>20000000</v>
      </c>
      <c r="F25" s="172"/>
      <c r="L25" s="11"/>
    </row>
    <row r="26" spans="2:15" x14ac:dyDescent="0.2">
      <c r="B26" s="15" t="s">
        <v>90</v>
      </c>
      <c r="C26" s="15" t="s">
        <v>13</v>
      </c>
      <c r="D26" s="1" t="s">
        <v>84</v>
      </c>
      <c r="E26" s="172"/>
      <c r="F26" s="172">
        <v>20000000</v>
      </c>
      <c r="L26" s="11"/>
    </row>
    <row r="27" spans="2:15" x14ac:dyDescent="0.2">
      <c r="B27" s="15" t="s">
        <v>90</v>
      </c>
      <c r="C27" s="15" t="s">
        <v>13</v>
      </c>
      <c r="D27" s="1" t="s">
        <v>84</v>
      </c>
      <c r="E27" s="172"/>
      <c r="F27" s="172">
        <v>5600000</v>
      </c>
      <c r="H27" s="15"/>
      <c r="L27" s="11"/>
    </row>
    <row r="28" spans="2:15" ht="12" x14ac:dyDescent="0.25">
      <c r="B28" s="15" t="s">
        <v>91</v>
      </c>
      <c r="C28" s="1" t="s">
        <v>30</v>
      </c>
      <c r="D28" s="1" t="s">
        <v>85</v>
      </c>
      <c r="E28" s="172"/>
      <c r="F28" s="172">
        <v>3000000</v>
      </c>
      <c r="H28" s="71" t="s">
        <v>54</v>
      </c>
      <c r="I28" s="72">
        <f>SUM(E5:E65)+SUM(K5:K26)</f>
        <v>1312908850</v>
      </c>
      <c r="L28" s="11"/>
    </row>
    <row r="29" spans="2:15" ht="12" x14ac:dyDescent="0.25">
      <c r="B29" s="15" t="s">
        <v>92</v>
      </c>
      <c r="C29" s="15" t="s">
        <v>13</v>
      </c>
      <c r="D29" s="1" t="s">
        <v>84</v>
      </c>
      <c r="E29" s="172"/>
      <c r="F29" s="172">
        <v>30000000</v>
      </c>
      <c r="H29" s="71" t="s">
        <v>55</v>
      </c>
      <c r="I29" s="72">
        <f>SUM(F6:F65)+SUM(L5:L26)</f>
        <v>1312908850</v>
      </c>
    </row>
    <row r="30" spans="2:15" x14ac:dyDescent="0.2">
      <c r="B30" s="15" t="s">
        <v>92</v>
      </c>
      <c r="C30" s="1" t="s">
        <v>83</v>
      </c>
      <c r="D30" s="1" t="s">
        <v>85</v>
      </c>
      <c r="E30" s="172"/>
      <c r="F30" s="172">
        <v>5000000</v>
      </c>
      <c r="H30" s="15"/>
    </row>
    <row r="31" spans="2:15" x14ac:dyDescent="0.2">
      <c r="B31" s="15" t="s">
        <v>93</v>
      </c>
      <c r="C31" s="15" t="s">
        <v>103</v>
      </c>
      <c r="D31" s="1" t="s">
        <v>85</v>
      </c>
      <c r="E31" s="172"/>
      <c r="F31" s="172">
        <v>19409850</v>
      </c>
      <c r="H31" s="73" t="s">
        <v>56</v>
      </c>
      <c r="I31" s="74">
        <f>I28-I29</f>
        <v>0</v>
      </c>
    </row>
    <row r="32" spans="2:15" x14ac:dyDescent="0.2">
      <c r="B32" s="15"/>
      <c r="E32" s="172"/>
      <c r="F32" s="172"/>
    </row>
    <row r="33" spans="2:6" x14ac:dyDescent="0.2">
      <c r="B33" s="15"/>
      <c r="E33" s="172"/>
      <c r="F33" s="172"/>
    </row>
    <row r="34" spans="2:6" x14ac:dyDescent="0.2">
      <c r="B34" s="15"/>
      <c r="E34" s="172"/>
      <c r="F34" s="172"/>
    </row>
    <row r="35" spans="2:6" x14ac:dyDescent="0.2">
      <c r="B35" s="15"/>
      <c r="E35" s="172"/>
      <c r="F35" s="172"/>
    </row>
    <row r="36" spans="2:6" x14ac:dyDescent="0.2">
      <c r="E36" s="172"/>
      <c r="F36" s="172"/>
    </row>
    <row r="37" spans="2:6" x14ac:dyDescent="0.2">
      <c r="F37" s="25"/>
    </row>
  </sheetData>
  <autoFilter ref="B4:F31" xr:uid="{6DE7FA1F-465A-4F68-924D-544AF432D18C}"/>
  <mergeCells count="2">
    <mergeCell ref="B3:F3"/>
    <mergeCell ref="H3:L3"/>
  </mergeCells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48576"/>
  <sheetViews>
    <sheetView topLeftCell="B1" zoomScale="90" zoomScaleNormal="90" workbookViewId="0">
      <selection activeCell="M38" sqref="M38"/>
    </sheetView>
  </sheetViews>
  <sheetFormatPr defaultColWidth="9.109375" defaultRowHeight="11.4" x14ac:dyDescent="0.2"/>
  <cols>
    <col min="1" max="1" width="2" style="1" customWidth="1"/>
    <col min="2" max="2" width="3.88671875" style="1" customWidth="1"/>
    <col min="3" max="3" width="19.5546875" style="1" bestFit="1" customWidth="1"/>
    <col min="4" max="4" width="16.33203125" style="1" bestFit="1" customWidth="1"/>
    <col min="5" max="7" width="4.109375" style="1" customWidth="1"/>
    <col min="8" max="8" width="19.5546875" style="1" bestFit="1" customWidth="1"/>
    <col min="9" max="9" width="13.77734375" style="1" bestFit="1" customWidth="1"/>
    <col min="10" max="10" width="8.5546875" style="14" customWidth="1"/>
    <col min="11" max="11" width="5.33203125" style="1" customWidth="1"/>
    <col min="12" max="12" width="18.109375" style="1" bestFit="1" customWidth="1"/>
    <col min="13" max="13" width="17.5546875" style="1" customWidth="1"/>
    <col min="14" max="14" width="7.88671875" style="1" customWidth="1"/>
    <col min="15" max="15" width="4.109375" style="1" customWidth="1"/>
    <col min="16" max="16" width="17.44140625" style="1" bestFit="1" customWidth="1"/>
    <col min="17" max="17" width="16.44140625" style="1" bestFit="1" customWidth="1"/>
    <col min="18" max="18" width="17.109375" style="1" bestFit="1" customWidth="1"/>
    <col min="19" max="19" width="17.44140625" style="1" bestFit="1" customWidth="1"/>
    <col min="20" max="16384" width="9.109375" style="1"/>
  </cols>
  <sheetData>
    <row r="1" spans="1:19" ht="15.6" x14ac:dyDescent="0.3">
      <c r="B1" s="2" t="s">
        <v>2</v>
      </c>
      <c r="J1" s="1"/>
    </row>
    <row r="2" spans="1:19" ht="3.75" customHeight="1" x14ac:dyDescent="0.2">
      <c r="A2" s="1">
        <v>1</v>
      </c>
      <c r="J2" s="1"/>
    </row>
    <row r="3" spans="1:19" ht="12" x14ac:dyDescent="0.25">
      <c r="B3" s="160" t="s">
        <v>4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</row>
    <row r="4" spans="1:19" ht="12.6" thickBot="1" x14ac:dyDescent="0.3"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/>
      <c r="O4" s="8"/>
      <c r="P4" s="8"/>
      <c r="Q4" s="8"/>
      <c r="R4" s="10" t="s">
        <v>9</v>
      </c>
    </row>
    <row r="5" spans="1:19" ht="3.75" customHeight="1" x14ac:dyDescent="0.2">
      <c r="J5" s="54"/>
    </row>
    <row r="6" spans="1:19" ht="15" customHeight="1" x14ac:dyDescent="0.25">
      <c r="B6" s="16"/>
      <c r="C6" s="162" t="s">
        <v>18</v>
      </c>
      <c r="D6" s="162"/>
      <c r="E6" s="61"/>
      <c r="F6" s="61"/>
      <c r="G6" s="16"/>
      <c r="H6" s="161" t="s">
        <v>23</v>
      </c>
      <c r="I6" s="161"/>
      <c r="J6" s="54"/>
      <c r="K6" s="16"/>
      <c r="L6" s="162" t="s">
        <v>16</v>
      </c>
      <c r="M6" s="162"/>
      <c r="N6" s="15"/>
      <c r="O6" s="16"/>
      <c r="P6" s="161" t="s">
        <v>26</v>
      </c>
      <c r="Q6" s="161"/>
      <c r="R6" s="15"/>
    </row>
    <row r="7" spans="1:19" x14ac:dyDescent="0.2">
      <c r="B7" s="16"/>
      <c r="C7" s="133">
        <v>150000000</v>
      </c>
      <c r="D7" s="128">
        <v>5000000</v>
      </c>
      <c r="E7" s="18"/>
      <c r="F7" s="18"/>
      <c r="G7" s="16"/>
      <c r="H7" s="66">
        <v>18000000</v>
      </c>
      <c r="I7" s="55"/>
      <c r="J7" s="54"/>
      <c r="K7" s="16"/>
      <c r="L7" s="169"/>
      <c r="M7" s="55">
        <v>2500000</v>
      </c>
      <c r="N7" s="15"/>
      <c r="O7" s="16"/>
      <c r="P7" s="62">
        <v>20000000</v>
      </c>
      <c r="Q7" s="55">
        <v>140000000</v>
      </c>
      <c r="R7" s="15"/>
    </row>
    <row r="8" spans="1:19" ht="12" thickBot="1" x14ac:dyDescent="0.25">
      <c r="B8" s="16"/>
      <c r="C8" s="134">
        <v>80000000</v>
      </c>
      <c r="D8" s="137">
        <v>15000000</v>
      </c>
      <c r="E8" s="60"/>
      <c r="F8" s="60"/>
      <c r="G8" s="16"/>
      <c r="H8" s="131">
        <v>15485000</v>
      </c>
      <c r="I8" s="132"/>
      <c r="J8" s="3"/>
      <c r="K8" s="16"/>
      <c r="L8" s="3"/>
      <c r="N8" s="15"/>
      <c r="O8" s="16"/>
      <c r="R8" s="15"/>
    </row>
    <row r="9" spans="1:19" ht="12" x14ac:dyDescent="0.25">
      <c r="B9" s="16"/>
      <c r="C9" s="138">
        <f>SUM(C7:C8)</f>
        <v>230000000</v>
      </c>
      <c r="D9" s="138">
        <f>SUM(D7:D8)</f>
        <v>20000000</v>
      </c>
      <c r="E9" s="60"/>
      <c r="F9" s="60"/>
      <c r="G9" s="16"/>
      <c r="H9" s="66">
        <f>SUM(H7:H8)</f>
        <v>33485000</v>
      </c>
      <c r="I9" s="66">
        <f>SUM(I7:I8)</f>
        <v>0</v>
      </c>
      <c r="J9" s="3"/>
      <c r="K9" s="16"/>
      <c r="L9" s="67"/>
      <c r="M9" s="55"/>
      <c r="N9" s="15"/>
      <c r="O9" s="16"/>
      <c r="P9" s="136" t="s">
        <v>94</v>
      </c>
      <c r="Q9" s="65">
        <f>Q7-P7</f>
        <v>120000000</v>
      </c>
      <c r="R9" s="60"/>
      <c r="S9" s="125">
        <v>140000000</v>
      </c>
    </row>
    <row r="10" spans="1:19" ht="12" x14ac:dyDescent="0.25">
      <c r="B10" s="16"/>
      <c r="C10" s="136" t="s">
        <v>94</v>
      </c>
      <c r="D10" s="135">
        <f>C9-D9</f>
        <v>210000000</v>
      </c>
      <c r="E10" s="60"/>
      <c r="F10" s="60"/>
      <c r="G10" s="16"/>
      <c r="H10" s="136" t="s">
        <v>94</v>
      </c>
      <c r="I10" s="135">
        <f>H9-I9</f>
        <v>33485000</v>
      </c>
      <c r="J10" s="3"/>
      <c r="K10" s="16"/>
      <c r="L10" s="136" t="s">
        <v>94</v>
      </c>
      <c r="M10" s="65">
        <f>SUM(M7)</f>
        <v>2500000</v>
      </c>
      <c r="N10" s="15"/>
      <c r="O10" s="16"/>
      <c r="P10" s="56"/>
      <c r="Q10" s="111"/>
      <c r="R10" s="60"/>
      <c r="S10" s="130">
        <f>S9*4%</f>
        <v>5600000</v>
      </c>
    </row>
    <row r="11" spans="1:19" x14ac:dyDescent="0.2">
      <c r="B11" s="16"/>
      <c r="C11" s="20"/>
      <c r="D11" s="20"/>
      <c r="E11" s="60"/>
      <c r="F11" s="60"/>
      <c r="G11" s="60"/>
      <c r="H11" s="60"/>
      <c r="I11" s="60"/>
      <c r="J11" s="3"/>
      <c r="K11" s="16"/>
      <c r="L11" s="20"/>
      <c r="M11" s="20"/>
      <c r="N11" s="15"/>
      <c r="P11" s="14"/>
      <c r="Q11" s="14"/>
      <c r="R11" s="14"/>
    </row>
    <row r="12" spans="1:19" ht="12" x14ac:dyDescent="0.25">
      <c r="B12" s="16"/>
      <c r="C12" s="161" t="s">
        <v>32</v>
      </c>
      <c r="D12" s="161"/>
      <c r="E12" s="60"/>
      <c r="F12" s="60"/>
      <c r="G12" s="16"/>
      <c r="H12" s="161" t="s">
        <v>13</v>
      </c>
      <c r="I12" s="161"/>
      <c r="J12" s="54"/>
      <c r="K12" s="16"/>
      <c r="L12" s="161" t="s">
        <v>22</v>
      </c>
      <c r="M12" s="163"/>
      <c r="N12" s="15"/>
      <c r="P12" s="161" t="s">
        <v>27</v>
      </c>
      <c r="Q12" s="161"/>
      <c r="R12" s="15"/>
    </row>
    <row r="13" spans="1:19" x14ac:dyDescent="0.2">
      <c r="B13" s="16"/>
      <c r="C13" s="66">
        <v>32000000</v>
      </c>
      <c r="D13" s="55"/>
      <c r="E13" s="60"/>
      <c r="F13" s="60"/>
      <c r="G13" s="16"/>
      <c r="H13" s="66">
        <v>65000000</v>
      </c>
      <c r="I13" s="55">
        <v>80000000</v>
      </c>
      <c r="J13" s="54"/>
      <c r="K13" s="16"/>
      <c r="L13" s="170"/>
      <c r="M13" s="156">
        <v>20000000</v>
      </c>
      <c r="N13" s="15"/>
      <c r="P13" s="17"/>
      <c r="Q13" s="55">
        <v>15000000</v>
      </c>
      <c r="R13" s="15"/>
    </row>
    <row r="14" spans="1:19" x14ac:dyDescent="0.2">
      <c r="B14" s="16"/>
      <c r="C14" s="66">
        <v>240000000</v>
      </c>
      <c r="D14" s="65">
        <v>238000000</v>
      </c>
      <c r="E14" s="60"/>
      <c r="F14" s="60"/>
      <c r="G14" s="16"/>
      <c r="H14" s="66">
        <v>30000000</v>
      </c>
      <c r="I14" s="55">
        <v>10000000</v>
      </c>
      <c r="J14" s="54"/>
      <c r="K14" s="16"/>
      <c r="L14" s="53"/>
      <c r="M14" s="157">
        <v>10000000</v>
      </c>
      <c r="N14" s="15"/>
      <c r="P14" s="21"/>
      <c r="Q14" s="65">
        <v>19409850</v>
      </c>
      <c r="R14" s="15"/>
    </row>
    <row r="15" spans="1:19" ht="12" thickBot="1" x14ac:dyDescent="0.25">
      <c r="B15" s="16"/>
      <c r="C15" s="131">
        <f>SUM(C13:C14)</f>
        <v>272000000</v>
      </c>
      <c r="D15" s="141">
        <f>SUM(D13:D14)</f>
        <v>238000000</v>
      </c>
      <c r="E15" s="60"/>
      <c r="F15" s="60"/>
      <c r="G15" s="16"/>
      <c r="H15" s="66">
        <v>508964000</v>
      </c>
      <c r="I15" s="55">
        <v>5500000</v>
      </c>
      <c r="J15" s="54"/>
      <c r="K15" s="16"/>
      <c r="L15" s="110"/>
      <c r="M15" s="157">
        <v>500000</v>
      </c>
      <c r="N15" s="15"/>
      <c r="P15" s="3"/>
      <c r="Q15" s="65"/>
      <c r="R15" s="15"/>
    </row>
    <row r="16" spans="1:19" ht="12" x14ac:dyDescent="0.25">
      <c r="B16" s="16"/>
      <c r="C16" s="136" t="s">
        <v>94</v>
      </c>
      <c r="D16" s="136">
        <f>C15-D15</f>
        <v>34000000</v>
      </c>
      <c r="E16" s="60"/>
      <c r="F16" s="60"/>
      <c r="G16" s="16"/>
      <c r="H16" s="66">
        <v>2000000</v>
      </c>
      <c r="I16" s="55">
        <v>230000000</v>
      </c>
      <c r="J16" s="54"/>
      <c r="K16" s="16"/>
      <c r="M16" s="157">
        <v>5000000</v>
      </c>
      <c r="N16" s="15"/>
      <c r="P16" s="136" t="s">
        <v>94</v>
      </c>
      <c r="Q16" s="178">
        <f>SUM(Q13:Q15)</f>
        <v>34409850</v>
      </c>
      <c r="R16" s="60"/>
    </row>
    <row r="17" spans="2:18" ht="12" x14ac:dyDescent="0.25">
      <c r="B17" s="16"/>
      <c r="C17" s="53"/>
      <c r="D17" s="53"/>
      <c r="E17" s="60"/>
      <c r="F17" s="60"/>
      <c r="G17" s="16"/>
      <c r="H17" s="66"/>
      <c r="I17" s="55">
        <v>35000000</v>
      </c>
      <c r="J17" s="54"/>
      <c r="L17" s="136" t="s">
        <v>94</v>
      </c>
      <c r="M17" s="177">
        <f>SUM(M13:M16)</f>
        <v>35500000</v>
      </c>
      <c r="N17" s="15"/>
      <c r="P17" s="56"/>
      <c r="Q17" s="111"/>
      <c r="R17" s="60"/>
    </row>
    <row r="18" spans="2:18" ht="14.4" x14ac:dyDescent="0.3">
      <c r="D18" s="142"/>
      <c r="E18" s="60"/>
      <c r="F18" s="60"/>
      <c r="G18" s="16"/>
      <c r="H18" s="67"/>
      <c r="I18" s="55">
        <v>9500000</v>
      </c>
      <c r="J18" s="54"/>
      <c r="M18" s="111"/>
      <c r="Q18" s="4"/>
    </row>
    <row r="19" spans="2:18" ht="14.4" x14ac:dyDescent="0.3">
      <c r="E19" s="60"/>
      <c r="F19" s="60"/>
      <c r="G19" s="16"/>
      <c r="H19" s="66"/>
      <c r="I19" s="55">
        <v>25600000</v>
      </c>
      <c r="J19" s="54"/>
      <c r="Q19" s="4"/>
    </row>
    <row r="20" spans="2:18" ht="12" x14ac:dyDescent="0.25">
      <c r="F20" s="60"/>
      <c r="G20" s="16"/>
      <c r="H20" s="66"/>
      <c r="I20" s="55">
        <v>30000000</v>
      </c>
      <c r="J20" s="54"/>
      <c r="K20" s="16"/>
      <c r="P20" s="161" t="s">
        <v>12</v>
      </c>
      <c r="Q20" s="161"/>
      <c r="R20" s="15"/>
    </row>
    <row r="21" spans="2:18" ht="12.6" thickBot="1" x14ac:dyDescent="0.3">
      <c r="F21" s="60"/>
      <c r="G21" s="16"/>
      <c r="H21" s="131"/>
      <c r="I21" s="132">
        <v>32450000</v>
      </c>
      <c r="J21" s="54"/>
      <c r="K21" s="16"/>
      <c r="L21" s="124" t="s">
        <v>30</v>
      </c>
      <c r="M21" s="124"/>
      <c r="N21" s="15"/>
      <c r="P21" s="17"/>
      <c r="Q21" s="55">
        <v>90000000</v>
      </c>
      <c r="R21" s="15"/>
    </row>
    <row r="22" spans="2:18" ht="12" x14ac:dyDescent="0.25">
      <c r="B22" s="16"/>
      <c r="F22" s="60"/>
      <c r="G22" s="16"/>
      <c r="H22" s="66">
        <f>SUM(H13:H21)</f>
        <v>605964000</v>
      </c>
      <c r="I22" s="55">
        <f>SUM(I13:I21)</f>
        <v>458050000</v>
      </c>
      <c r="J22" s="54"/>
      <c r="K22" s="16"/>
      <c r="L22" s="62"/>
      <c r="M22" s="55">
        <v>3000000</v>
      </c>
      <c r="N22" s="15"/>
      <c r="P22" s="143"/>
      <c r="Q22" s="55">
        <v>30000000</v>
      </c>
      <c r="R22" s="15"/>
    </row>
    <row r="23" spans="2:18" ht="12" x14ac:dyDescent="0.25">
      <c r="B23" s="16"/>
      <c r="F23" s="60"/>
      <c r="H23" s="136" t="s">
        <v>94</v>
      </c>
      <c r="I23" s="140">
        <f>H22-I22</f>
        <v>147914000</v>
      </c>
      <c r="K23" s="16"/>
      <c r="L23" s="136" t="s">
        <v>94</v>
      </c>
      <c r="M23" s="142">
        <f>M22</f>
        <v>3000000</v>
      </c>
      <c r="N23" s="15"/>
      <c r="P23" s="19"/>
      <c r="Q23" s="55">
        <v>109989150</v>
      </c>
      <c r="R23" s="14"/>
    </row>
    <row r="24" spans="2:18" ht="12" x14ac:dyDescent="0.25">
      <c r="H24" s="110"/>
      <c r="I24" s="55"/>
      <c r="J24" s="3"/>
      <c r="L24" s="107"/>
      <c r="M24" s="65"/>
      <c r="N24" s="60"/>
      <c r="P24" s="136" t="s">
        <v>94</v>
      </c>
      <c r="Q24" s="55">
        <f>SUM(Q21:Q23)</f>
        <v>229989150</v>
      </c>
      <c r="R24" s="14"/>
    </row>
    <row r="25" spans="2:18" ht="12" x14ac:dyDescent="0.25">
      <c r="H25" s="56"/>
      <c r="I25" s="111"/>
      <c r="J25" s="3"/>
      <c r="K25" s="16"/>
      <c r="L25" s="56"/>
      <c r="M25" s="108"/>
      <c r="N25" s="60"/>
      <c r="P25" s="56"/>
      <c r="Q25" s="111"/>
      <c r="R25" s="14"/>
    </row>
    <row r="26" spans="2:18" ht="14.4" x14ac:dyDescent="0.3">
      <c r="J26" s="3"/>
      <c r="K26" s="16"/>
      <c r="M26" s="111"/>
      <c r="P26" s="14"/>
      <c r="Q26" s="112"/>
      <c r="R26" s="14"/>
    </row>
    <row r="27" spans="2:18" ht="14.4" x14ac:dyDescent="0.3">
      <c r="J27" s="3"/>
      <c r="K27" s="16"/>
      <c r="Q27" s="4"/>
    </row>
    <row r="28" spans="2:18" ht="12.6" thickBot="1" x14ac:dyDescent="0.3">
      <c r="B28" s="38" t="s">
        <v>44</v>
      </c>
      <c r="C28" s="38"/>
      <c r="D28" s="64">
        <f>D10+D16+I10+I23</f>
        <v>425399000</v>
      </c>
      <c r="E28" s="38"/>
      <c r="F28" s="38"/>
      <c r="G28" s="38"/>
      <c r="H28" s="38"/>
      <c r="I28" s="38"/>
      <c r="J28" s="38"/>
      <c r="K28" s="63"/>
      <c r="L28" s="38"/>
      <c r="M28" s="38"/>
      <c r="N28" s="38"/>
      <c r="O28" s="38"/>
      <c r="P28" s="38"/>
      <c r="Q28" s="38" t="s">
        <v>50</v>
      </c>
      <c r="R28" s="64">
        <f>Q9+M10+Q16+Q24+M17+M23</f>
        <v>425399000</v>
      </c>
    </row>
    <row r="29" spans="2:18" ht="12" x14ac:dyDescent="0.25">
      <c r="G29" s="60"/>
      <c r="H29" s="60"/>
      <c r="I29" s="60"/>
      <c r="K29" s="16"/>
      <c r="L29" s="53"/>
      <c r="M29" s="139"/>
      <c r="N29" s="15"/>
      <c r="R29" s="142">
        <f>R28-D28</f>
        <v>0</v>
      </c>
    </row>
    <row r="30" spans="2:18" x14ac:dyDescent="0.2">
      <c r="G30" s="60"/>
      <c r="H30" s="60"/>
      <c r="I30" s="60"/>
      <c r="M30" s="53"/>
      <c r="R30" s="142"/>
    </row>
    <row r="31" spans="2:18" x14ac:dyDescent="0.2">
      <c r="G31" s="60"/>
      <c r="H31" s="60"/>
      <c r="I31" s="60"/>
    </row>
    <row r="32" spans="2:18" x14ac:dyDescent="0.2">
      <c r="G32" s="60"/>
      <c r="H32" s="60"/>
      <c r="I32" s="60"/>
    </row>
    <row r="33" spans="5:14" x14ac:dyDescent="0.2">
      <c r="G33" s="60"/>
      <c r="H33" s="60"/>
      <c r="I33" s="60"/>
    </row>
    <row r="34" spans="5:14" x14ac:dyDescent="0.2">
      <c r="G34" s="60"/>
      <c r="H34" s="60"/>
      <c r="I34" s="60"/>
    </row>
    <row r="35" spans="5:14" x14ac:dyDescent="0.2">
      <c r="G35" s="60"/>
      <c r="H35" s="60"/>
      <c r="I35" s="60"/>
      <c r="L35" s="18"/>
      <c r="N35" s="15"/>
    </row>
    <row r="36" spans="5:14" x14ac:dyDescent="0.2">
      <c r="G36" s="60"/>
      <c r="H36" s="60"/>
      <c r="I36" s="60"/>
      <c r="M36" s="18"/>
    </row>
    <row r="37" spans="5:14" x14ac:dyDescent="0.2">
      <c r="G37" s="60"/>
      <c r="H37" s="60"/>
      <c r="I37" s="60"/>
    </row>
    <row r="38" spans="5:14" x14ac:dyDescent="0.2">
      <c r="E38" s="14"/>
      <c r="F38" s="14"/>
      <c r="G38" s="60"/>
      <c r="H38" s="60"/>
      <c r="I38" s="60"/>
    </row>
    <row r="39" spans="5:14" x14ac:dyDescent="0.2">
      <c r="E39" s="14"/>
      <c r="F39" s="14"/>
      <c r="G39" s="14"/>
      <c r="H39" s="14"/>
      <c r="I39" s="14"/>
    </row>
    <row r="40" spans="5:14" x14ac:dyDescent="0.2">
      <c r="G40" s="14"/>
      <c r="H40" s="14"/>
      <c r="I40" s="14"/>
    </row>
    <row r="41" spans="5:14" x14ac:dyDescent="0.2">
      <c r="G41" s="14"/>
      <c r="H41" s="14"/>
      <c r="I41" s="14"/>
    </row>
    <row r="42" spans="5:14" x14ac:dyDescent="0.2">
      <c r="G42" s="14"/>
      <c r="H42" s="14"/>
      <c r="I42" s="14"/>
    </row>
    <row r="1048576" spans="3:3" x14ac:dyDescent="0.2">
      <c r="C1048576" s="66"/>
    </row>
  </sheetData>
  <mergeCells count="10">
    <mergeCell ref="B3:R3"/>
    <mergeCell ref="H12:I12"/>
    <mergeCell ref="P12:Q12"/>
    <mergeCell ref="P20:Q20"/>
    <mergeCell ref="C6:D6"/>
    <mergeCell ref="C12:D12"/>
    <mergeCell ref="H6:I6"/>
    <mergeCell ref="P6:Q6"/>
    <mergeCell ref="L6:M6"/>
    <mergeCell ref="L12:M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38"/>
  <sheetViews>
    <sheetView zoomScale="90" zoomScaleNormal="90" workbookViewId="0">
      <selection activeCell="L13" sqref="L13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9.6640625" style="1" bestFit="1" customWidth="1"/>
    <col min="4" max="4" width="17.44140625" style="75" bestFit="1" customWidth="1"/>
    <col min="5" max="5" width="12.33203125" style="86" bestFit="1" customWidth="1"/>
    <col min="6" max="6" width="4.44140625" style="1" customWidth="1"/>
    <col min="7" max="7" width="3.33203125" style="1" customWidth="1"/>
    <col min="8" max="8" width="17.44140625" style="75" bestFit="1" customWidth="1"/>
    <col min="9" max="9" width="16.44140625" style="80" bestFit="1" customWidth="1"/>
    <col min="10" max="10" width="9.88671875" style="1" customWidth="1"/>
    <col min="11" max="11" width="4.33203125" style="1" customWidth="1"/>
    <col min="12" max="12" width="17.44140625" style="1" bestFit="1" customWidth="1"/>
    <col min="13" max="13" width="16.44140625" style="1" bestFit="1" customWidth="1"/>
    <col min="14" max="14" width="3.109375" style="1" customWidth="1"/>
    <col min="15" max="15" width="9.109375" style="1"/>
    <col min="16" max="16" width="14" style="1" customWidth="1"/>
    <col min="17" max="17" width="12.21875" style="1" bestFit="1" customWidth="1"/>
    <col min="18" max="18" width="7.5546875" style="1" bestFit="1" customWidth="1"/>
    <col min="19" max="16384" width="9.109375" style="1"/>
  </cols>
  <sheetData>
    <row r="1" spans="2:20" ht="15.6" x14ac:dyDescent="0.3">
      <c r="B1" s="2" t="s">
        <v>2</v>
      </c>
    </row>
    <row r="2" spans="2:20" ht="3.75" customHeight="1" x14ac:dyDescent="0.2"/>
    <row r="3" spans="2:20" ht="12" x14ac:dyDescent="0.25">
      <c r="C3" s="160" t="s">
        <v>5</v>
      </c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</row>
    <row r="4" spans="2:20" ht="12.6" thickBot="1" x14ac:dyDescent="0.3">
      <c r="C4" s="8" t="s">
        <v>10</v>
      </c>
      <c r="D4" s="7"/>
      <c r="E4" s="8"/>
      <c r="F4" s="8"/>
      <c r="G4" s="8"/>
      <c r="H4" s="7"/>
      <c r="I4" s="10"/>
      <c r="J4" s="8"/>
      <c r="K4" s="8"/>
      <c r="L4" s="8"/>
      <c r="M4" s="8"/>
      <c r="N4" s="8"/>
      <c r="O4" s="8"/>
      <c r="P4" s="8"/>
      <c r="Q4" s="7"/>
      <c r="R4" s="7" t="s">
        <v>11</v>
      </c>
    </row>
    <row r="5" spans="2:20" ht="3.75" customHeight="1" x14ac:dyDescent="0.2">
      <c r="N5" s="9"/>
      <c r="O5" s="14"/>
    </row>
    <row r="6" spans="2:20" ht="15" customHeight="1" x14ac:dyDescent="0.25">
      <c r="C6" s="16"/>
      <c r="D6" s="162" t="s">
        <v>21</v>
      </c>
      <c r="E6" s="162"/>
      <c r="F6" s="13"/>
      <c r="G6" s="16"/>
      <c r="H6" s="162" t="s">
        <v>25</v>
      </c>
      <c r="I6" s="162"/>
      <c r="J6" s="13"/>
      <c r="K6" s="16"/>
      <c r="L6" s="164" t="s">
        <v>57</v>
      </c>
      <c r="M6" s="164"/>
      <c r="N6" s="59"/>
      <c r="O6" s="24"/>
      <c r="P6" s="162" t="s">
        <v>53</v>
      </c>
      <c r="Q6" s="162"/>
    </row>
    <row r="7" spans="2:20" ht="12" thickBot="1" x14ac:dyDescent="0.25">
      <c r="C7" s="16"/>
      <c r="D7" s="76">
        <v>32450000</v>
      </c>
      <c r="E7" s="87"/>
      <c r="G7" s="16"/>
      <c r="H7" s="175">
        <v>10000000</v>
      </c>
      <c r="I7" s="128"/>
      <c r="J7" s="22"/>
      <c r="K7" s="16"/>
      <c r="L7" s="168">
        <v>35000000</v>
      </c>
      <c r="M7" s="34"/>
      <c r="N7" s="23"/>
      <c r="O7" s="22"/>
      <c r="P7" s="152"/>
      <c r="Q7" s="153">
        <v>524449000</v>
      </c>
      <c r="R7" s="15"/>
    </row>
    <row r="8" spans="2:20" ht="12" thickBot="1" x14ac:dyDescent="0.25">
      <c r="C8" s="16"/>
      <c r="D8" s="144">
        <v>238000000</v>
      </c>
      <c r="E8" s="144"/>
      <c r="G8" s="16"/>
      <c r="H8" s="144"/>
      <c r="I8" s="145"/>
      <c r="J8" s="22"/>
      <c r="K8" s="16"/>
      <c r="L8" s="146"/>
      <c r="M8" s="147"/>
      <c r="N8" s="23"/>
      <c r="O8" s="22"/>
      <c r="P8" s="77" t="s">
        <v>94</v>
      </c>
      <c r="Q8" s="34">
        <f>Q7</f>
        <v>524449000</v>
      </c>
    </row>
    <row r="9" spans="2:20" x14ac:dyDescent="0.2">
      <c r="C9" s="16"/>
      <c r="D9" s="76" t="s">
        <v>94</v>
      </c>
      <c r="E9" s="108">
        <f>D7+D8</f>
        <v>270450000</v>
      </c>
      <c r="G9" s="16"/>
      <c r="H9" s="77" t="s">
        <v>94</v>
      </c>
      <c r="I9" s="108">
        <f>H7</f>
        <v>10000000</v>
      </c>
      <c r="J9" s="58"/>
      <c r="L9" s="77" t="s">
        <v>94</v>
      </c>
      <c r="M9" s="55">
        <f>L7</f>
        <v>35000000</v>
      </c>
      <c r="N9" s="23"/>
      <c r="O9" s="22"/>
      <c r="P9" s="107"/>
      <c r="Q9" s="55"/>
      <c r="R9" s="14"/>
    </row>
    <row r="10" spans="2:20" ht="12" x14ac:dyDescent="0.25">
      <c r="C10" s="16"/>
      <c r="D10" s="122"/>
      <c r="E10" s="123"/>
      <c r="G10" s="16"/>
      <c r="H10" s="122"/>
      <c r="I10" s="111"/>
      <c r="J10" s="58"/>
      <c r="K10" s="22"/>
      <c r="L10" s="56"/>
      <c r="M10" s="111"/>
      <c r="N10" s="3"/>
      <c r="O10" s="14"/>
      <c r="P10" s="56"/>
      <c r="Q10" s="111"/>
      <c r="R10" s="14"/>
    </row>
    <row r="11" spans="2:20" ht="12" x14ac:dyDescent="0.25">
      <c r="C11" s="16"/>
      <c r="D11" s="69"/>
      <c r="E11" s="87"/>
      <c r="F11" s="13"/>
      <c r="G11" s="16"/>
      <c r="H11" s="81"/>
      <c r="I11" s="85"/>
      <c r="J11" s="58"/>
      <c r="K11" s="24"/>
      <c r="L11" s="56"/>
      <c r="M11" s="57"/>
      <c r="N11" s="3"/>
      <c r="O11" s="14"/>
      <c r="P11" s="14"/>
      <c r="Q11" s="14"/>
    </row>
    <row r="12" spans="2:20" ht="12" x14ac:dyDescent="0.25">
      <c r="C12" s="16"/>
      <c r="D12" s="165" t="s">
        <v>20</v>
      </c>
      <c r="E12" s="165"/>
      <c r="F12" s="15"/>
      <c r="G12" s="16"/>
      <c r="H12" s="164" t="s">
        <v>24</v>
      </c>
      <c r="I12" s="164"/>
      <c r="J12" s="24"/>
      <c r="K12" s="22"/>
      <c r="L12" s="164" t="s">
        <v>28</v>
      </c>
      <c r="M12" s="164"/>
      <c r="N12" s="3"/>
      <c r="O12" s="14"/>
      <c r="P12" s="166" t="s">
        <v>52</v>
      </c>
      <c r="Q12" s="166"/>
    </row>
    <row r="13" spans="2:20" ht="12" thickBot="1" x14ac:dyDescent="0.25">
      <c r="C13" s="16"/>
      <c r="D13" s="148">
        <v>12500000</v>
      </c>
      <c r="E13" s="151"/>
      <c r="G13" s="16"/>
      <c r="H13" s="150">
        <v>35000000</v>
      </c>
      <c r="I13" s="150"/>
      <c r="J13" s="22"/>
      <c r="K13" s="16"/>
      <c r="L13" s="148">
        <v>19409850</v>
      </c>
      <c r="M13" s="149"/>
      <c r="N13" s="3"/>
      <c r="O13" s="14"/>
      <c r="P13" s="152"/>
      <c r="Q13" s="149">
        <v>2000000</v>
      </c>
      <c r="R13" s="15"/>
    </row>
    <row r="14" spans="2:20" x14ac:dyDescent="0.2">
      <c r="D14" s="76" t="s">
        <v>94</v>
      </c>
      <c r="E14" s="87">
        <f>D13</f>
        <v>12500000</v>
      </c>
      <c r="G14" s="16"/>
      <c r="H14" s="76" t="s">
        <v>94</v>
      </c>
      <c r="I14" s="85">
        <f>H13</f>
        <v>35000000</v>
      </c>
      <c r="J14" s="22"/>
      <c r="K14" s="22"/>
      <c r="L14" s="76" t="s">
        <v>94</v>
      </c>
      <c r="M14" s="179">
        <f>L13</f>
        <v>19409850</v>
      </c>
      <c r="N14" s="3"/>
      <c r="O14" s="14"/>
      <c r="P14" s="77" t="s">
        <v>94</v>
      </c>
      <c r="Q14" s="34">
        <f>Q13</f>
        <v>2000000</v>
      </c>
    </row>
    <row r="15" spans="2:20" ht="14.4" x14ac:dyDescent="0.3">
      <c r="C15" s="16"/>
      <c r="D15" s="77"/>
      <c r="E15" s="108"/>
      <c r="G15" s="16"/>
      <c r="H15" s="77"/>
      <c r="I15" s="55"/>
      <c r="J15" s="22"/>
      <c r="K15" s="22"/>
      <c r="L15" s="107"/>
      <c r="M15" s="55"/>
      <c r="N15" s="3"/>
      <c r="O15" s="14"/>
      <c r="P15" s="107"/>
      <c r="Q15" s="55"/>
      <c r="T15" s="4"/>
    </row>
    <row r="16" spans="2:20" ht="14.4" x14ac:dyDescent="0.3">
      <c r="C16" s="16"/>
      <c r="D16" s="122"/>
      <c r="E16" s="56"/>
      <c r="F16" s="13"/>
      <c r="G16" s="16"/>
      <c r="H16" s="122"/>
      <c r="I16" s="109"/>
      <c r="J16" s="22"/>
      <c r="K16" s="24"/>
      <c r="L16" s="56"/>
      <c r="M16" s="111"/>
      <c r="N16" s="3"/>
      <c r="O16" s="14"/>
      <c r="P16" s="56"/>
      <c r="Q16" s="109"/>
      <c r="T16" s="4"/>
    </row>
    <row r="17" spans="3:20" ht="14.4" x14ac:dyDescent="0.3">
      <c r="C17" s="16"/>
      <c r="D17" s="78"/>
      <c r="E17" s="87"/>
      <c r="F17" s="13"/>
      <c r="G17" s="16"/>
      <c r="H17" s="81"/>
      <c r="I17" s="84"/>
      <c r="J17" s="22"/>
      <c r="K17" s="22"/>
      <c r="L17" s="24"/>
      <c r="M17" s="24"/>
      <c r="N17" s="3"/>
      <c r="O17" s="14"/>
      <c r="T17" s="4"/>
    </row>
    <row r="18" spans="3:20" ht="14.4" x14ac:dyDescent="0.3">
      <c r="C18" s="16"/>
      <c r="D18" s="69"/>
      <c r="E18" s="87"/>
      <c r="G18" s="16"/>
      <c r="H18" s="81"/>
      <c r="I18" s="84"/>
      <c r="J18" s="22"/>
      <c r="K18" s="22"/>
      <c r="L18" s="58"/>
      <c r="M18" s="58"/>
      <c r="N18" s="3"/>
      <c r="O18" s="14"/>
      <c r="T18" s="4"/>
    </row>
    <row r="19" spans="3:20" ht="14.4" x14ac:dyDescent="0.3">
      <c r="C19" s="16"/>
      <c r="D19" s="165" t="s">
        <v>19</v>
      </c>
      <c r="E19" s="165"/>
      <c r="G19" s="16"/>
      <c r="H19" s="164" t="s">
        <v>31</v>
      </c>
      <c r="I19" s="164"/>
      <c r="J19" s="22"/>
      <c r="K19" s="24"/>
      <c r="L19" s="22"/>
      <c r="M19" s="22"/>
      <c r="N19" s="3"/>
      <c r="O19" s="14"/>
      <c r="T19" s="4"/>
    </row>
    <row r="20" spans="3:20" ht="15" thickBot="1" x14ac:dyDescent="0.35">
      <c r="C20" s="16"/>
      <c r="D20" s="148">
        <v>5500000</v>
      </c>
      <c r="G20" s="16"/>
      <c r="H20" s="176">
        <v>3000000</v>
      </c>
      <c r="I20" s="154"/>
      <c r="J20" s="22"/>
      <c r="K20" s="22"/>
      <c r="L20" s="24"/>
      <c r="M20" s="24"/>
      <c r="N20" s="3"/>
      <c r="O20" s="14"/>
      <c r="T20" s="4"/>
    </row>
    <row r="21" spans="3:20" ht="15" thickBot="1" x14ac:dyDescent="0.35">
      <c r="C21" s="16"/>
      <c r="D21" s="76" t="s">
        <v>94</v>
      </c>
      <c r="E21" s="151">
        <f>D20</f>
        <v>5500000</v>
      </c>
      <c r="G21" s="16"/>
      <c r="H21" s="76" t="s">
        <v>94</v>
      </c>
      <c r="I21" s="87">
        <f>H20</f>
        <v>3000000</v>
      </c>
      <c r="J21" s="22"/>
      <c r="K21" s="24"/>
      <c r="L21" s="22"/>
      <c r="M21" s="22"/>
      <c r="N21" s="3"/>
      <c r="O21" s="14"/>
      <c r="T21" s="4"/>
    </row>
    <row r="22" spans="3:20" ht="14.4" x14ac:dyDescent="0.3">
      <c r="C22" s="16"/>
      <c r="D22" s="122"/>
      <c r="E22" s="56"/>
      <c r="F22" s="13"/>
      <c r="G22" s="16"/>
      <c r="H22" s="122"/>
      <c r="I22" s="109"/>
      <c r="J22" s="24"/>
      <c r="K22" s="22"/>
      <c r="L22" s="24"/>
      <c r="M22" s="24"/>
      <c r="N22" s="3"/>
      <c r="O22" s="14"/>
      <c r="T22" s="4"/>
    </row>
    <row r="23" spans="3:20" ht="14.4" x14ac:dyDescent="0.3">
      <c r="C23" s="16"/>
      <c r="D23" s="78"/>
      <c r="E23" s="88"/>
      <c r="F23" s="13"/>
      <c r="G23" s="16"/>
      <c r="H23" s="81"/>
      <c r="I23" s="85"/>
      <c r="J23" s="22"/>
      <c r="K23" s="22"/>
      <c r="L23" s="22"/>
      <c r="M23" s="22"/>
      <c r="N23" s="3"/>
      <c r="O23" s="14"/>
      <c r="T23" s="4"/>
    </row>
    <row r="24" spans="3:20" ht="14.4" x14ac:dyDescent="0.3">
      <c r="C24" s="16"/>
      <c r="D24" s="69"/>
      <c r="E24" s="87"/>
      <c r="G24" s="16"/>
      <c r="H24" s="82"/>
      <c r="I24" s="84"/>
      <c r="J24" s="22"/>
      <c r="K24" s="22"/>
      <c r="L24" s="22"/>
      <c r="M24" s="22"/>
      <c r="N24" s="3"/>
      <c r="O24" s="14"/>
      <c r="T24" s="4"/>
    </row>
    <row r="25" spans="3:20" ht="14.4" x14ac:dyDescent="0.3">
      <c r="C25" s="16"/>
      <c r="D25" s="165" t="s">
        <v>29</v>
      </c>
      <c r="E25" s="165"/>
      <c r="G25" s="16"/>
      <c r="H25" s="164" t="s">
        <v>36</v>
      </c>
      <c r="I25" s="164"/>
      <c r="J25" s="24"/>
      <c r="K25" s="22"/>
      <c r="L25" s="22"/>
      <c r="M25" s="22"/>
      <c r="N25" s="3"/>
      <c r="O25" s="14"/>
      <c r="T25" s="4"/>
    </row>
    <row r="26" spans="3:20" ht="15" thickBot="1" x14ac:dyDescent="0.35">
      <c r="C26" s="16"/>
      <c r="D26" s="151">
        <v>5600000</v>
      </c>
      <c r="E26" s="151"/>
      <c r="F26" s="13"/>
      <c r="G26" s="16"/>
      <c r="H26" s="79">
        <v>5000000</v>
      </c>
      <c r="I26" s="128"/>
      <c r="J26" s="22"/>
      <c r="K26" s="22"/>
      <c r="L26" s="22"/>
      <c r="M26" s="22"/>
      <c r="T26" s="4"/>
    </row>
    <row r="27" spans="3:20" ht="15" thickBot="1" x14ac:dyDescent="0.35">
      <c r="C27" s="16"/>
      <c r="D27" s="76" t="s">
        <v>94</v>
      </c>
      <c r="E27" s="87">
        <f>D26</f>
        <v>5600000</v>
      </c>
      <c r="G27" s="16"/>
      <c r="H27" s="144">
        <v>15000000</v>
      </c>
      <c r="I27" s="155"/>
      <c r="J27" s="22"/>
      <c r="K27" s="22"/>
      <c r="L27" s="22"/>
      <c r="M27" s="22"/>
      <c r="T27" s="4"/>
    </row>
    <row r="28" spans="3:20" ht="12" x14ac:dyDescent="0.25">
      <c r="C28" s="16"/>
      <c r="D28" s="122"/>
      <c r="E28" s="56"/>
      <c r="H28" s="76" t="s">
        <v>94</v>
      </c>
      <c r="I28" s="87">
        <f>SUM(H26:H27)</f>
        <v>20000000</v>
      </c>
      <c r="J28" s="58"/>
      <c r="K28" s="22"/>
      <c r="L28" s="22"/>
      <c r="M28" s="22"/>
    </row>
    <row r="29" spans="3:20" ht="12" x14ac:dyDescent="0.25">
      <c r="C29" s="16"/>
      <c r="D29" s="78"/>
      <c r="E29" s="88"/>
      <c r="F29" s="13"/>
      <c r="G29" s="16"/>
      <c r="H29" s="122"/>
      <c r="I29" s="109"/>
      <c r="J29" s="22"/>
      <c r="L29" s="22"/>
      <c r="M29" s="22"/>
    </row>
    <row r="30" spans="3:20" x14ac:dyDescent="0.2">
      <c r="C30" s="16"/>
      <c r="D30" s="69"/>
      <c r="E30" s="87"/>
      <c r="G30" s="16"/>
      <c r="H30" s="82"/>
      <c r="I30" s="84"/>
      <c r="J30" s="22"/>
      <c r="K30" s="13"/>
    </row>
    <row r="31" spans="3:20" x14ac:dyDescent="0.2">
      <c r="G31" s="16"/>
      <c r="H31" s="82"/>
      <c r="I31" s="84"/>
      <c r="J31" s="22"/>
      <c r="L31" s="13"/>
      <c r="M31" s="13"/>
    </row>
    <row r="32" spans="3:20" x14ac:dyDescent="0.2">
      <c r="F32" s="13"/>
      <c r="G32" s="16"/>
      <c r="H32" s="82"/>
      <c r="I32" s="84"/>
      <c r="J32" s="22"/>
    </row>
    <row r="33" spans="4:13" x14ac:dyDescent="0.2">
      <c r="G33" s="16"/>
      <c r="H33" s="82"/>
      <c r="K33" s="13"/>
    </row>
    <row r="34" spans="4:13" x14ac:dyDescent="0.2">
      <c r="G34" s="16"/>
      <c r="I34" s="68"/>
      <c r="J34" s="13"/>
      <c r="L34" s="13"/>
      <c r="M34" s="13"/>
    </row>
    <row r="35" spans="4:13" x14ac:dyDescent="0.2">
      <c r="D35" s="69"/>
      <c r="E35" s="87"/>
      <c r="F35" s="13"/>
      <c r="H35" s="83"/>
    </row>
    <row r="36" spans="4:13" x14ac:dyDescent="0.2">
      <c r="D36" s="69"/>
      <c r="E36" s="87"/>
    </row>
    <row r="37" spans="4:13" x14ac:dyDescent="0.2">
      <c r="I37" s="68"/>
      <c r="J37" s="13"/>
    </row>
    <row r="38" spans="4:13" x14ac:dyDescent="0.2">
      <c r="G38" s="13"/>
      <c r="H38" s="83"/>
    </row>
  </sheetData>
  <mergeCells count="13">
    <mergeCell ref="C3:R3"/>
    <mergeCell ref="D6:E6"/>
    <mergeCell ref="H6:I6"/>
    <mergeCell ref="H25:I25"/>
    <mergeCell ref="D25:E25"/>
    <mergeCell ref="D12:E12"/>
    <mergeCell ref="H12:I12"/>
    <mergeCell ref="H19:I19"/>
    <mergeCell ref="P6:Q6"/>
    <mergeCell ref="P12:Q12"/>
    <mergeCell ref="L6:M6"/>
    <mergeCell ref="L12:M12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Case Study --&gt;</vt:lpstr>
      <vt:lpstr>Transactions</vt:lpstr>
      <vt:lpstr>Historical Data --&gt;</vt:lpstr>
      <vt:lpstr>Historical BS</vt:lpstr>
      <vt:lpstr>Historical P&amp;L</vt:lpstr>
      <vt:lpstr>2015 Data --&gt;</vt:lpstr>
      <vt:lpstr>Debits &amp; Credits</vt:lpstr>
      <vt:lpstr>T-accounts BS</vt:lpstr>
      <vt:lpstr>T-accounts P&amp;L</vt:lpstr>
      <vt:lpstr>Output --&gt;</vt:lpstr>
      <vt:lpstr>P&amp;L 2015</vt:lpstr>
      <vt:lpstr>BS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Logan Parra Fonseca</cp:lastModifiedBy>
  <dcterms:created xsi:type="dcterms:W3CDTF">2015-12-26T17:11:50Z</dcterms:created>
  <dcterms:modified xsi:type="dcterms:W3CDTF">2021-03-18T23:40:50Z</dcterms:modified>
</cp:coreProperties>
</file>