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Best Solution" sheetId="2" r:id="rId4"/>
    <sheet state="visible" name="F Max" sheetId="3" r:id="rId5"/>
    <sheet state="visible" name="F Relative Max" sheetId="4" r:id="rId6"/>
  </sheets>
  <definedNames>
    <definedName name="AllData">Data!$A$1:$M$126</definedName>
    <definedName name="Header">Data!$A$1:$M$1</definedName>
    <definedName name="drange">Data!$A$2:$M$126</definedName>
  </definedNames>
  <calcPr/>
</workbook>
</file>

<file path=xl/sharedStrings.xml><?xml version="1.0" encoding="utf-8"?>
<sst xmlns="http://schemas.openxmlformats.org/spreadsheetml/2006/main" count="1062" uniqueCount="31">
  <si>
    <t>N</t>
  </si>
  <si>
    <t>Density</t>
  </si>
  <si>
    <t>Index</t>
  </si>
  <si>
    <t>ls_name</t>
  </si>
  <si>
    <t>move_strg</t>
  </si>
  <si>
    <t>rmr_duration</t>
  </si>
  <si>
    <t>number_of_runs</t>
  </si>
  <si>
    <t>fo_max</t>
  </si>
  <si>
    <t>fo_mean</t>
  </si>
  <si>
    <t>fo_sd</t>
  </si>
  <si>
    <t>n_moves_mean</t>
  </si>
  <si>
    <t>n_moves_sd</t>
  </si>
  <si>
    <t>mean2_round_time</t>
  </si>
  <si>
    <t>bs_array</t>
  </si>
  <si>
    <t>first_move</t>
  </si>
  <si>
    <t>tree</t>
  </si>
  <si>
    <t>basic</t>
  </si>
  <si>
    <t>Best F</t>
  </si>
  <si>
    <t>Algorithm</t>
  </si>
  <si>
    <t>Strategy</t>
  </si>
  <si>
    <t>Time[s]</t>
  </si>
  <si>
    <t># Runs</t>
  </si>
  <si>
    <t>F Mean</t>
  </si>
  <si>
    <t>F SD</t>
  </si>
  <si>
    <t>SD Distance Factor</t>
  </si>
  <si>
    <t>Field</t>
  </si>
  <si>
    <t>Property</t>
  </si>
  <si>
    <t>Max F</t>
  </si>
  <si>
    <t>#First Strategy Value / Best Strategy Value</t>
  </si>
  <si>
    <t>bs_array factor</t>
  </si>
  <si>
    <t>tree factor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</si>
</sst>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Font="1"/>
    <xf borderId="0" fillId="3" fontId="1" numFmtId="0" xfId="0" applyFont="1"/>
    <xf borderId="0" fillId="4" fontId="1" numFmtId="0" xfId="0" applyAlignment="1" applyFill="1" applyFont="1">
      <alignment/>
    </xf>
    <xf borderId="1" fillId="5" fontId="2" numFmtId="0" xfId="0" applyAlignment="1" applyBorder="1" applyFill="1" applyFont="1">
      <alignment/>
    </xf>
    <xf borderId="1" fillId="5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2" fillId="0" fontId="2" numFmtId="0" xfId="0" applyAlignment="1" applyBorder="1" applyFont="1">
      <alignment/>
    </xf>
    <xf borderId="1" fillId="5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4" fillId="5" fontId="2" numFmtId="0" xfId="0" applyAlignment="1" applyBorder="1" applyFont="1">
      <alignment horizontal="right"/>
    </xf>
    <xf borderId="5" fillId="5" fontId="2" numFmtId="0" xfId="0" applyAlignment="1" applyBorder="1" applyFont="1">
      <alignment horizontal="right"/>
    </xf>
    <xf borderId="1" fillId="5" fontId="2" numFmtId="0" xfId="0" applyAlignment="1" applyBorder="1" applyFont="1">
      <alignment/>
    </xf>
    <xf borderId="1" fillId="5" fontId="1" numFmtId="0" xfId="0" applyBorder="1" applyFont="1"/>
    <xf borderId="1" fillId="5" fontId="2" numFmtId="0" xfId="0" applyAlignment="1" applyBorder="1" applyFont="1">
      <alignment/>
    </xf>
    <xf borderId="1" fillId="0" fontId="2" numFmtId="0" xfId="0" applyAlignment="1" applyBorder="1" applyFont="1">
      <alignment/>
    </xf>
    <xf borderId="0" fillId="5" fontId="2" numFmtId="0" xfId="0" applyAlignment="1" applyFont="1">
      <alignment horizontal="right"/>
    </xf>
    <xf borderId="6" fillId="0" fontId="2" numFmtId="0" xfId="0" applyAlignment="1" applyBorder="1" applyFont="1">
      <alignment horizontal="right"/>
    </xf>
    <xf borderId="0" fillId="5" fontId="1" numFmtId="0" xfId="0" applyFont="1"/>
    <xf borderId="0" fillId="5" fontId="2" numFmtId="0" xfId="0" applyAlignment="1" applyFont="1">
      <alignment/>
    </xf>
    <xf borderId="0" fillId="4" fontId="3" numFmtId="0" xfId="0" applyAlignment="1" applyFont="1">
      <alignment horizontal="left"/>
    </xf>
    <xf borderId="1" fillId="0" fontId="2" numFmtId="164" xfId="0" applyAlignment="1" applyBorder="1" applyFont="1" applyNumberFormat="1">
      <alignment horizontal="right"/>
    </xf>
    <xf borderId="1" fillId="0" fontId="2" numFmtId="4" xfId="0" applyAlignment="1" applyBorder="1" applyFont="1" applyNumberFormat="1">
      <alignment/>
    </xf>
  </cellXfs>
  <cellStyles count="1">
    <cellStyle xfId="0" name="Normal" builtinId="0"/>
  </cellStyles>
  <dxfs count="2">
    <dxf>
      <font/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5.57"/>
    <col customWidth="1" min="4" max="4" width="8.14"/>
    <col customWidth="1" min="5" max="5" width="10.14"/>
    <col customWidth="1" min="6" max="6" width="11.29"/>
    <col customWidth="1" min="7" max="7" width="14.29"/>
    <col customWidth="1" min="8" max="8" width="9.0"/>
    <col customWidth="1" min="9" max="10" width="11.57"/>
    <col customWidth="1" min="11" max="11" width="14.14"/>
    <col customWidth="1" min="12" max="12" width="11.57"/>
    <col customWidth="1" min="13" max="13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500.0</v>
      </c>
      <c r="B2" s="3">
        <v>1.0</v>
      </c>
      <c r="C2" s="3">
        <v>1.0</v>
      </c>
      <c r="D2" s="3" t="s">
        <v>13</v>
      </c>
      <c r="E2" s="3" t="s">
        <v>14</v>
      </c>
      <c r="F2" s="3">
        <v>0.001</v>
      </c>
      <c r="G2" s="3">
        <v>1.0</v>
      </c>
      <c r="H2" s="3">
        <v>58555.0</v>
      </c>
      <c r="I2" s="3">
        <v>58555.0</v>
      </c>
      <c r="J2" s="3">
        <v>0.0</v>
      </c>
      <c r="K2" s="3">
        <v>403.0</v>
      </c>
      <c r="L2" s="3">
        <v>0.0</v>
      </c>
      <c r="M2" s="3">
        <v>0.0</v>
      </c>
    </row>
    <row r="3">
      <c r="A3" s="3">
        <v>500.0</v>
      </c>
      <c r="B3" s="3">
        <v>1.0</v>
      </c>
      <c r="C3" s="3">
        <v>1.0</v>
      </c>
      <c r="D3" s="3" t="s">
        <v>15</v>
      </c>
      <c r="E3" s="3" t="s">
        <v>14</v>
      </c>
      <c r="F3" s="3">
        <v>0.002</v>
      </c>
      <c r="G3" s="3">
        <v>1.0</v>
      </c>
      <c r="H3" s="3">
        <v>58296.0</v>
      </c>
      <c r="I3" s="3">
        <v>58296.0</v>
      </c>
      <c r="J3" s="3">
        <v>0.0</v>
      </c>
      <c r="K3" s="3">
        <v>400.0</v>
      </c>
      <c r="L3" s="3">
        <v>0.0</v>
      </c>
      <c r="M3" s="3">
        <v>0.0</v>
      </c>
    </row>
    <row r="4">
      <c r="A4" s="3">
        <v>500.0</v>
      </c>
      <c r="B4" s="3">
        <v>1.0</v>
      </c>
      <c r="C4" s="3">
        <v>1.0</v>
      </c>
      <c r="D4" s="3" t="s">
        <v>16</v>
      </c>
      <c r="E4" s="3" t="s">
        <v>14</v>
      </c>
      <c r="F4" s="3">
        <v>0.029</v>
      </c>
      <c r="G4" s="3">
        <v>1.0</v>
      </c>
      <c r="H4" s="3">
        <v>58082.0</v>
      </c>
      <c r="I4" s="3">
        <v>58082.0</v>
      </c>
      <c r="J4" s="3">
        <v>0.0</v>
      </c>
      <c r="K4" s="3">
        <v>382.0</v>
      </c>
      <c r="L4" s="3">
        <v>0.0</v>
      </c>
      <c r="M4" s="3">
        <v>0.0</v>
      </c>
    </row>
    <row r="5">
      <c r="A5" s="3">
        <v>500.0</v>
      </c>
      <c r="B5" s="3">
        <v>1.0</v>
      </c>
      <c r="C5" s="3">
        <v>2.0</v>
      </c>
      <c r="D5" s="3" t="s">
        <v>13</v>
      </c>
      <c r="E5" s="3" t="s">
        <v>14</v>
      </c>
      <c r="F5" s="3">
        <v>0.001</v>
      </c>
      <c r="G5" s="3">
        <v>1.0</v>
      </c>
      <c r="H5" s="3">
        <v>52233.0</v>
      </c>
      <c r="I5" s="3">
        <v>52233.0</v>
      </c>
      <c r="J5" s="3">
        <v>0.0</v>
      </c>
      <c r="K5" s="3">
        <v>400.0</v>
      </c>
      <c r="L5" s="3">
        <v>0.0</v>
      </c>
      <c r="M5" s="3">
        <v>0.0</v>
      </c>
    </row>
    <row r="6">
      <c r="A6" s="3">
        <v>500.0</v>
      </c>
      <c r="B6" s="3">
        <v>1.0</v>
      </c>
      <c r="C6" s="3">
        <v>2.0</v>
      </c>
      <c r="D6" s="3" t="s">
        <v>15</v>
      </c>
      <c r="E6" s="3" t="s">
        <v>14</v>
      </c>
      <c r="F6" s="3">
        <v>0.001</v>
      </c>
      <c r="G6" s="3">
        <v>1.0</v>
      </c>
      <c r="H6" s="3">
        <v>52765.0</v>
      </c>
      <c r="I6" s="3">
        <v>52765.0</v>
      </c>
      <c r="J6" s="3">
        <v>0.0</v>
      </c>
      <c r="K6" s="3">
        <v>378.0</v>
      </c>
      <c r="L6" s="3">
        <v>0.0</v>
      </c>
      <c r="M6" s="3">
        <v>0.0</v>
      </c>
    </row>
    <row r="7">
      <c r="A7" s="3">
        <v>500.0</v>
      </c>
      <c r="B7" s="3">
        <v>1.0</v>
      </c>
      <c r="C7" s="3">
        <v>2.0</v>
      </c>
      <c r="D7" s="3" t="s">
        <v>16</v>
      </c>
      <c r="E7" s="3" t="s">
        <v>14</v>
      </c>
      <c r="F7" s="3">
        <v>0.018</v>
      </c>
      <c r="G7" s="3">
        <v>1.0</v>
      </c>
      <c r="H7" s="3">
        <v>52441.0</v>
      </c>
      <c r="I7" s="3">
        <v>52441.0</v>
      </c>
      <c r="J7" s="3">
        <v>0.0</v>
      </c>
      <c r="K7" s="3">
        <v>379.0</v>
      </c>
      <c r="L7" s="3">
        <v>0.0</v>
      </c>
      <c r="M7" s="3">
        <v>0.0</v>
      </c>
    </row>
    <row r="8">
      <c r="A8" s="3">
        <v>500.0</v>
      </c>
      <c r="B8" s="3">
        <v>1.0</v>
      </c>
      <c r="C8" s="3">
        <v>3.0</v>
      </c>
      <c r="D8" s="3" t="s">
        <v>13</v>
      </c>
      <c r="E8" s="3" t="s">
        <v>14</v>
      </c>
      <c r="F8" s="3">
        <v>0.0</v>
      </c>
      <c r="G8" s="3">
        <v>1.0</v>
      </c>
      <c r="H8" s="3">
        <v>54590.0</v>
      </c>
      <c r="I8" s="3">
        <v>54590.0</v>
      </c>
      <c r="J8" s="3">
        <v>0.0</v>
      </c>
      <c r="K8" s="3">
        <v>373.0</v>
      </c>
      <c r="L8" s="3">
        <v>0.0</v>
      </c>
      <c r="M8" s="3">
        <v>0.0</v>
      </c>
    </row>
    <row r="9">
      <c r="A9" s="3">
        <v>500.0</v>
      </c>
      <c r="B9" s="3">
        <v>1.0</v>
      </c>
      <c r="C9" s="3">
        <v>3.0</v>
      </c>
      <c r="D9" s="3" t="s">
        <v>15</v>
      </c>
      <c r="E9" s="3" t="s">
        <v>14</v>
      </c>
      <c r="F9" s="3">
        <v>0.001</v>
      </c>
      <c r="G9" s="3">
        <v>1.0</v>
      </c>
      <c r="H9" s="3">
        <v>54268.0</v>
      </c>
      <c r="I9" s="3">
        <v>54268.0</v>
      </c>
      <c r="J9" s="3">
        <v>0.0</v>
      </c>
      <c r="K9" s="3">
        <v>354.0</v>
      </c>
      <c r="L9" s="3">
        <v>0.0</v>
      </c>
      <c r="M9" s="3">
        <v>0.0</v>
      </c>
    </row>
    <row r="10">
      <c r="A10" s="3">
        <v>500.0</v>
      </c>
      <c r="B10" s="3">
        <v>1.0</v>
      </c>
      <c r="C10" s="3">
        <v>3.0</v>
      </c>
      <c r="D10" s="3" t="s">
        <v>16</v>
      </c>
      <c r="E10" s="3" t="s">
        <v>14</v>
      </c>
      <c r="F10" s="3">
        <v>0.011</v>
      </c>
      <c r="G10" s="3">
        <v>1.0</v>
      </c>
      <c r="H10" s="3">
        <v>54308.0</v>
      </c>
      <c r="I10" s="3">
        <v>54308.0</v>
      </c>
      <c r="J10" s="3">
        <v>0.0</v>
      </c>
      <c r="K10" s="3">
        <v>369.0</v>
      </c>
      <c r="L10" s="3">
        <v>0.0</v>
      </c>
      <c r="M10" s="3">
        <v>0.0</v>
      </c>
    </row>
    <row r="11">
      <c r="A11" s="3">
        <v>500.0</v>
      </c>
      <c r="B11" s="3">
        <v>1.0</v>
      </c>
      <c r="C11" s="3">
        <v>4.0</v>
      </c>
      <c r="D11" s="3" t="s">
        <v>13</v>
      </c>
      <c r="E11" s="3" t="s">
        <v>14</v>
      </c>
      <c r="F11" s="3">
        <v>0.0</v>
      </c>
      <c r="G11" s="3">
        <v>1.0</v>
      </c>
      <c r="H11" s="3">
        <v>58639.0</v>
      </c>
      <c r="I11" s="3">
        <v>58639.0</v>
      </c>
      <c r="J11" s="3">
        <v>0.0</v>
      </c>
      <c r="K11" s="3">
        <v>387.0</v>
      </c>
      <c r="L11" s="3">
        <v>0.0</v>
      </c>
      <c r="M11" s="3">
        <v>0.0</v>
      </c>
    </row>
    <row r="12">
      <c r="A12" s="3">
        <v>500.0</v>
      </c>
      <c r="B12" s="3">
        <v>1.0</v>
      </c>
      <c r="C12" s="3">
        <v>4.0</v>
      </c>
      <c r="D12" s="3" t="s">
        <v>15</v>
      </c>
      <c r="E12" s="3" t="s">
        <v>14</v>
      </c>
      <c r="F12" s="3">
        <v>0.001</v>
      </c>
      <c r="G12" s="3">
        <v>1.0</v>
      </c>
      <c r="H12" s="3">
        <v>58300.0</v>
      </c>
      <c r="I12" s="3">
        <v>58300.0</v>
      </c>
      <c r="J12" s="3">
        <v>0.0</v>
      </c>
      <c r="K12" s="3">
        <v>398.0</v>
      </c>
      <c r="L12" s="3">
        <v>0.0</v>
      </c>
      <c r="M12" s="3">
        <v>0.0</v>
      </c>
    </row>
    <row r="13">
      <c r="A13" s="3">
        <v>500.0</v>
      </c>
      <c r="B13" s="3">
        <v>1.0</v>
      </c>
      <c r="C13" s="3">
        <v>4.0</v>
      </c>
      <c r="D13" s="3" t="s">
        <v>16</v>
      </c>
      <c r="E13" s="3" t="s">
        <v>14</v>
      </c>
      <c r="F13" s="3">
        <v>0.011</v>
      </c>
      <c r="G13" s="3">
        <v>1.0</v>
      </c>
      <c r="H13" s="3">
        <v>58327.0</v>
      </c>
      <c r="I13" s="3">
        <v>58327.0</v>
      </c>
      <c r="J13" s="3">
        <v>0.0</v>
      </c>
      <c r="K13" s="3">
        <v>391.0</v>
      </c>
      <c r="L13" s="3">
        <v>0.0</v>
      </c>
      <c r="M13" s="3">
        <v>0.0</v>
      </c>
    </row>
    <row r="14">
      <c r="A14" s="3">
        <v>500.0</v>
      </c>
      <c r="B14" s="3">
        <v>1.0</v>
      </c>
      <c r="C14" s="3">
        <v>5.0</v>
      </c>
      <c r="D14" s="3" t="s">
        <v>13</v>
      </c>
      <c r="E14" s="3" t="s">
        <v>14</v>
      </c>
      <c r="F14" s="3">
        <v>0.0</v>
      </c>
      <c r="G14" s="3">
        <v>1.0</v>
      </c>
      <c r="H14" s="3">
        <v>58194.0</v>
      </c>
      <c r="I14" s="3">
        <v>58194.0</v>
      </c>
      <c r="J14" s="3">
        <v>0.0</v>
      </c>
      <c r="K14" s="3">
        <v>362.0</v>
      </c>
      <c r="L14" s="3">
        <v>0.0</v>
      </c>
      <c r="M14" s="3">
        <v>0.0</v>
      </c>
    </row>
    <row r="15">
      <c r="A15" s="3">
        <v>500.0</v>
      </c>
      <c r="B15" s="3">
        <v>1.0</v>
      </c>
      <c r="C15" s="3">
        <v>5.0</v>
      </c>
      <c r="D15" s="3" t="s">
        <v>15</v>
      </c>
      <c r="E15" s="3" t="s">
        <v>14</v>
      </c>
      <c r="F15" s="3">
        <v>0.001</v>
      </c>
      <c r="G15" s="3">
        <v>1.0</v>
      </c>
      <c r="H15" s="3">
        <v>58336.0</v>
      </c>
      <c r="I15" s="3">
        <v>58336.0</v>
      </c>
      <c r="J15" s="3">
        <v>0.0</v>
      </c>
      <c r="K15" s="3">
        <v>385.0</v>
      </c>
      <c r="L15" s="3">
        <v>0.0</v>
      </c>
      <c r="M15" s="3">
        <v>0.0</v>
      </c>
    </row>
    <row r="16">
      <c r="A16" s="3">
        <v>500.0</v>
      </c>
      <c r="B16" s="3">
        <v>1.0</v>
      </c>
      <c r="C16" s="3">
        <v>5.0</v>
      </c>
      <c r="D16" s="3" t="s">
        <v>16</v>
      </c>
      <c r="E16" s="3" t="s">
        <v>14</v>
      </c>
      <c r="F16" s="3">
        <v>0.008</v>
      </c>
      <c r="G16" s="3">
        <v>1.0</v>
      </c>
      <c r="H16" s="3">
        <v>58311.0</v>
      </c>
      <c r="I16" s="3">
        <v>58311.0</v>
      </c>
      <c r="J16" s="3">
        <v>0.0</v>
      </c>
      <c r="K16" s="3">
        <v>385.0</v>
      </c>
      <c r="L16" s="3">
        <v>0.0</v>
      </c>
      <c r="M16" s="3">
        <v>0.0</v>
      </c>
    </row>
    <row r="17">
      <c r="A17" s="3">
        <v>500.0</v>
      </c>
      <c r="B17" s="3">
        <v>5.0</v>
      </c>
      <c r="C17" s="3">
        <v>1.0</v>
      </c>
      <c r="D17" s="3" t="s">
        <v>13</v>
      </c>
      <c r="E17" s="3" t="s">
        <v>14</v>
      </c>
      <c r="F17" s="3">
        <v>0.004</v>
      </c>
      <c r="G17" s="3">
        <v>1.0</v>
      </c>
      <c r="H17" s="3">
        <v>233838.0</v>
      </c>
      <c r="I17" s="3">
        <v>233838.0</v>
      </c>
      <c r="J17" s="3">
        <v>0.0</v>
      </c>
      <c r="K17" s="3">
        <v>761.0</v>
      </c>
      <c r="L17" s="3">
        <v>0.0</v>
      </c>
      <c r="M17" s="3">
        <v>0.0</v>
      </c>
    </row>
    <row r="18">
      <c r="A18" s="3">
        <v>500.0</v>
      </c>
      <c r="B18" s="3">
        <v>5.0</v>
      </c>
      <c r="C18" s="3">
        <v>1.0</v>
      </c>
      <c r="D18" s="3" t="s">
        <v>15</v>
      </c>
      <c r="E18" s="3" t="s">
        <v>14</v>
      </c>
      <c r="F18" s="3">
        <v>0.017</v>
      </c>
      <c r="G18" s="3">
        <v>1.0</v>
      </c>
      <c r="H18" s="3">
        <v>234537.0</v>
      </c>
      <c r="I18" s="3">
        <v>234537.0</v>
      </c>
      <c r="J18" s="3">
        <v>0.0</v>
      </c>
      <c r="K18" s="3">
        <v>749.0</v>
      </c>
      <c r="L18" s="3">
        <v>0.0</v>
      </c>
      <c r="M18" s="3">
        <v>0.0</v>
      </c>
    </row>
    <row r="19">
      <c r="A19" s="3">
        <v>500.0</v>
      </c>
      <c r="B19" s="3">
        <v>5.0</v>
      </c>
      <c r="C19" s="3">
        <v>1.0</v>
      </c>
      <c r="D19" s="3" t="s">
        <v>16</v>
      </c>
      <c r="E19" s="3" t="s">
        <v>14</v>
      </c>
      <c r="F19" s="3">
        <v>0.012</v>
      </c>
      <c r="G19" s="3">
        <v>1.0</v>
      </c>
      <c r="H19" s="3">
        <v>234807.0</v>
      </c>
      <c r="I19" s="3">
        <v>234807.0</v>
      </c>
      <c r="J19" s="3">
        <v>0.0</v>
      </c>
      <c r="K19" s="3">
        <v>750.0</v>
      </c>
      <c r="L19" s="3">
        <v>0.0</v>
      </c>
      <c r="M19" s="3">
        <v>0.0</v>
      </c>
    </row>
    <row r="20">
      <c r="A20" s="3">
        <v>500.0</v>
      </c>
      <c r="B20" s="3">
        <v>5.0</v>
      </c>
      <c r="C20" s="3">
        <v>2.0</v>
      </c>
      <c r="D20" s="3" t="s">
        <v>13</v>
      </c>
      <c r="E20" s="3" t="s">
        <v>14</v>
      </c>
      <c r="F20" s="3">
        <v>0.003</v>
      </c>
      <c r="G20" s="3">
        <v>1.0</v>
      </c>
      <c r="H20" s="3">
        <v>233698.0</v>
      </c>
      <c r="I20" s="3">
        <v>233698.0</v>
      </c>
      <c r="J20" s="3">
        <v>0.0</v>
      </c>
      <c r="K20" s="3">
        <v>706.0</v>
      </c>
      <c r="L20" s="3">
        <v>0.0</v>
      </c>
      <c r="M20" s="3">
        <v>0.0</v>
      </c>
    </row>
    <row r="21">
      <c r="A21" s="3">
        <v>500.0</v>
      </c>
      <c r="B21" s="3">
        <v>5.0</v>
      </c>
      <c r="C21" s="3">
        <v>2.0</v>
      </c>
      <c r="D21" s="3" t="s">
        <v>15</v>
      </c>
      <c r="E21" s="3" t="s">
        <v>14</v>
      </c>
      <c r="F21" s="3">
        <v>0.017</v>
      </c>
      <c r="G21" s="3">
        <v>1.0</v>
      </c>
      <c r="H21" s="3">
        <v>234137.0</v>
      </c>
      <c r="I21" s="3">
        <v>234137.0</v>
      </c>
      <c r="J21" s="3">
        <v>0.0</v>
      </c>
      <c r="K21" s="3">
        <v>694.0</v>
      </c>
      <c r="L21" s="3">
        <v>0.0</v>
      </c>
      <c r="M21" s="3">
        <v>0.0</v>
      </c>
    </row>
    <row r="22">
      <c r="A22" s="3">
        <v>500.0</v>
      </c>
      <c r="B22" s="3">
        <v>5.0</v>
      </c>
      <c r="C22" s="3">
        <v>2.0</v>
      </c>
      <c r="D22" s="3" t="s">
        <v>16</v>
      </c>
      <c r="E22" s="3" t="s">
        <v>14</v>
      </c>
      <c r="F22" s="3">
        <v>0.015</v>
      </c>
      <c r="G22" s="3">
        <v>1.0</v>
      </c>
      <c r="H22" s="3">
        <v>234121.0</v>
      </c>
      <c r="I22" s="3">
        <v>234121.0</v>
      </c>
      <c r="J22" s="3">
        <v>0.0</v>
      </c>
      <c r="K22" s="3">
        <v>736.0</v>
      </c>
      <c r="L22" s="3">
        <v>0.0</v>
      </c>
      <c r="M22" s="3">
        <v>0.0</v>
      </c>
    </row>
    <row r="23">
      <c r="A23" s="3">
        <v>500.0</v>
      </c>
      <c r="B23" s="3">
        <v>5.0</v>
      </c>
      <c r="C23" s="3">
        <v>3.0</v>
      </c>
      <c r="D23" s="3" t="s">
        <v>13</v>
      </c>
      <c r="E23" s="3" t="s">
        <v>14</v>
      </c>
      <c r="F23" s="3">
        <v>0.003</v>
      </c>
      <c r="G23" s="3">
        <v>1.0</v>
      </c>
      <c r="H23" s="3">
        <v>237076.0</v>
      </c>
      <c r="I23" s="3">
        <v>237076.0</v>
      </c>
      <c r="J23" s="3">
        <v>0.0</v>
      </c>
      <c r="K23" s="3">
        <v>732.0</v>
      </c>
      <c r="L23" s="3">
        <v>0.0</v>
      </c>
      <c r="M23" s="3">
        <v>0.0</v>
      </c>
    </row>
    <row r="24">
      <c r="A24" s="3">
        <v>500.0</v>
      </c>
      <c r="B24" s="3">
        <v>5.0</v>
      </c>
      <c r="C24" s="3">
        <v>3.0</v>
      </c>
      <c r="D24" s="3" t="s">
        <v>15</v>
      </c>
      <c r="E24" s="3" t="s">
        <v>14</v>
      </c>
      <c r="F24" s="3">
        <v>0.019</v>
      </c>
      <c r="G24" s="3">
        <v>1.0</v>
      </c>
      <c r="H24" s="3">
        <v>236902.0</v>
      </c>
      <c r="I24" s="3">
        <v>236902.0</v>
      </c>
      <c r="J24" s="3">
        <v>0.0</v>
      </c>
      <c r="K24" s="3">
        <v>714.0</v>
      </c>
      <c r="L24" s="3">
        <v>0.0</v>
      </c>
      <c r="M24" s="3">
        <v>0.0</v>
      </c>
    </row>
    <row r="25">
      <c r="A25" s="3">
        <v>500.0</v>
      </c>
      <c r="B25" s="3">
        <v>5.0</v>
      </c>
      <c r="C25" s="3">
        <v>3.0</v>
      </c>
      <c r="D25" s="3" t="s">
        <v>16</v>
      </c>
      <c r="E25" s="3" t="s">
        <v>14</v>
      </c>
      <c r="F25" s="3">
        <v>0.012</v>
      </c>
      <c r="G25" s="3">
        <v>1.0</v>
      </c>
      <c r="H25" s="3">
        <v>236048.0</v>
      </c>
      <c r="I25" s="3">
        <v>236048.0</v>
      </c>
      <c r="J25" s="3">
        <v>0.0</v>
      </c>
      <c r="K25" s="3">
        <v>683.0</v>
      </c>
      <c r="L25" s="3">
        <v>0.0</v>
      </c>
      <c r="M25" s="3">
        <v>0.0</v>
      </c>
    </row>
    <row r="26">
      <c r="A26" s="3">
        <v>500.0</v>
      </c>
      <c r="B26" s="3">
        <v>5.0</v>
      </c>
      <c r="C26" s="3">
        <v>4.0</v>
      </c>
      <c r="D26" s="3" t="s">
        <v>13</v>
      </c>
      <c r="E26" s="3" t="s">
        <v>14</v>
      </c>
      <c r="F26" s="3">
        <v>0.003</v>
      </c>
      <c r="G26" s="3">
        <v>1.0</v>
      </c>
      <c r="H26" s="3">
        <v>237573.0</v>
      </c>
      <c r="I26" s="3">
        <v>237573.0</v>
      </c>
      <c r="J26" s="3">
        <v>0.0</v>
      </c>
      <c r="K26" s="3">
        <v>722.0</v>
      </c>
      <c r="L26" s="3">
        <v>0.0</v>
      </c>
      <c r="M26" s="3">
        <v>0.0</v>
      </c>
    </row>
    <row r="27">
      <c r="A27" s="3">
        <v>500.0</v>
      </c>
      <c r="B27" s="3">
        <v>5.0</v>
      </c>
      <c r="C27" s="3">
        <v>4.0</v>
      </c>
      <c r="D27" s="3" t="s">
        <v>15</v>
      </c>
      <c r="E27" s="3" t="s">
        <v>14</v>
      </c>
      <c r="F27" s="3">
        <v>0.016</v>
      </c>
      <c r="G27" s="3">
        <v>1.0</v>
      </c>
      <c r="H27" s="3">
        <v>236827.0</v>
      </c>
      <c r="I27" s="3">
        <v>236827.0</v>
      </c>
      <c r="J27" s="3">
        <v>0.0</v>
      </c>
      <c r="K27" s="3">
        <v>716.0</v>
      </c>
      <c r="L27" s="3">
        <v>0.0</v>
      </c>
      <c r="M27" s="3">
        <v>0.0</v>
      </c>
    </row>
    <row r="28">
      <c r="A28" s="3">
        <v>500.0</v>
      </c>
      <c r="B28" s="3">
        <v>5.0</v>
      </c>
      <c r="C28" s="3">
        <v>4.0</v>
      </c>
      <c r="D28" s="3" t="s">
        <v>16</v>
      </c>
      <c r="E28" s="3" t="s">
        <v>14</v>
      </c>
      <c r="F28" s="3">
        <v>0.013</v>
      </c>
      <c r="G28" s="3">
        <v>1.0</v>
      </c>
      <c r="H28" s="3">
        <v>237577.0</v>
      </c>
      <c r="I28" s="3">
        <v>237577.0</v>
      </c>
      <c r="J28" s="3">
        <v>0.0</v>
      </c>
      <c r="K28" s="3">
        <v>730.0</v>
      </c>
      <c r="L28" s="3">
        <v>0.0</v>
      </c>
      <c r="M28" s="3">
        <v>0.0</v>
      </c>
    </row>
    <row r="29">
      <c r="A29" s="3">
        <v>500.0</v>
      </c>
      <c r="B29" s="3">
        <v>5.0</v>
      </c>
      <c r="C29" s="3">
        <v>5.0</v>
      </c>
      <c r="D29" s="3" t="s">
        <v>13</v>
      </c>
      <c r="E29" s="3" t="s">
        <v>14</v>
      </c>
      <c r="F29" s="3">
        <v>0.003</v>
      </c>
      <c r="G29" s="3">
        <v>1.0</v>
      </c>
      <c r="H29" s="3">
        <v>235691.0</v>
      </c>
      <c r="I29" s="3">
        <v>235691.0</v>
      </c>
      <c r="J29" s="3">
        <v>0.0</v>
      </c>
      <c r="K29" s="3">
        <v>707.0</v>
      </c>
      <c r="L29" s="3">
        <v>0.0</v>
      </c>
      <c r="M29" s="3">
        <v>0.0</v>
      </c>
    </row>
    <row r="30">
      <c r="A30" s="3">
        <v>500.0</v>
      </c>
      <c r="B30" s="3">
        <v>5.0</v>
      </c>
      <c r="C30" s="3">
        <v>5.0</v>
      </c>
      <c r="D30" s="3" t="s">
        <v>15</v>
      </c>
      <c r="E30" s="3" t="s">
        <v>14</v>
      </c>
      <c r="F30" s="3">
        <v>0.016</v>
      </c>
      <c r="G30" s="3">
        <v>1.0</v>
      </c>
      <c r="H30" s="3">
        <v>235184.0</v>
      </c>
      <c r="I30" s="3">
        <v>235184.0</v>
      </c>
      <c r="J30" s="3">
        <v>0.0</v>
      </c>
      <c r="K30" s="3">
        <v>688.0</v>
      </c>
      <c r="L30" s="3">
        <v>0.0</v>
      </c>
      <c r="M30" s="3">
        <v>0.0</v>
      </c>
    </row>
    <row r="31">
      <c r="A31" s="3">
        <v>500.0</v>
      </c>
      <c r="B31" s="3">
        <v>5.0</v>
      </c>
      <c r="C31" s="3">
        <v>5.0</v>
      </c>
      <c r="D31" s="3" t="s">
        <v>16</v>
      </c>
      <c r="E31" s="3" t="s">
        <v>14</v>
      </c>
      <c r="F31" s="3">
        <v>0.015</v>
      </c>
      <c r="G31" s="3">
        <v>1.0</v>
      </c>
      <c r="H31" s="3">
        <v>235338.0</v>
      </c>
      <c r="I31" s="3">
        <v>235338.0</v>
      </c>
      <c r="J31" s="3">
        <v>0.0</v>
      </c>
      <c r="K31" s="3">
        <v>692.0</v>
      </c>
      <c r="L31" s="3">
        <v>0.0</v>
      </c>
      <c r="M31" s="3">
        <v>0.0</v>
      </c>
    </row>
    <row r="32">
      <c r="A32" s="3">
        <v>500.0</v>
      </c>
      <c r="B32" s="3">
        <v>10.0</v>
      </c>
      <c r="C32" s="3">
        <v>1.0</v>
      </c>
      <c r="D32" s="3" t="s">
        <v>13</v>
      </c>
      <c r="E32" s="3" t="s">
        <v>14</v>
      </c>
      <c r="F32" s="3">
        <v>0.008</v>
      </c>
      <c r="G32" s="3">
        <v>1.0</v>
      </c>
      <c r="H32" s="3">
        <v>431326.0</v>
      </c>
      <c r="I32" s="3">
        <v>431326.0</v>
      </c>
      <c r="J32" s="3">
        <v>0.0</v>
      </c>
      <c r="K32" s="3">
        <v>843.0</v>
      </c>
      <c r="L32" s="3">
        <v>0.0</v>
      </c>
      <c r="M32" s="3">
        <v>0.0</v>
      </c>
    </row>
    <row r="33">
      <c r="A33" s="3">
        <v>500.0</v>
      </c>
      <c r="B33" s="3">
        <v>10.0</v>
      </c>
      <c r="C33" s="3">
        <v>1.0</v>
      </c>
      <c r="D33" s="3" t="s">
        <v>15</v>
      </c>
      <c r="E33" s="3" t="s">
        <v>14</v>
      </c>
      <c r="F33" s="3">
        <v>0.056</v>
      </c>
      <c r="G33" s="3">
        <v>1.0</v>
      </c>
      <c r="H33" s="3">
        <v>432613.0</v>
      </c>
      <c r="I33" s="3">
        <v>432613.0</v>
      </c>
      <c r="J33" s="3">
        <v>0.0</v>
      </c>
      <c r="K33" s="3">
        <v>918.0</v>
      </c>
      <c r="L33" s="3">
        <v>0.0</v>
      </c>
      <c r="M33" s="3">
        <v>0.0</v>
      </c>
    </row>
    <row r="34">
      <c r="A34" s="3">
        <v>500.0</v>
      </c>
      <c r="B34" s="3">
        <v>10.0</v>
      </c>
      <c r="C34" s="3">
        <v>1.0</v>
      </c>
      <c r="D34" s="3" t="s">
        <v>16</v>
      </c>
      <c r="E34" s="3" t="s">
        <v>14</v>
      </c>
      <c r="F34" s="3">
        <v>0.015</v>
      </c>
      <c r="G34" s="3">
        <v>1.0</v>
      </c>
      <c r="H34" s="3">
        <v>432853.0</v>
      </c>
      <c r="I34" s="3">
        <v>432853.0</v>
      </c>
      <c r="J34" s="3">
        <v>0.0</v>
      </c>
      <c r="K34" s="3">
        <v>890.0</v>
      </c>
      <c r="L34" s="3">
        <v>0.0</v>
      </c>
      <c r="M34" s="3">
        <v>0.0</v>
      </c>
    </row>
    <row r="35">
      <c r="A35" s="3">
        <v>500.0</v>
      </c>
      <c r="B35" s="3">
        <v>10.0</v>
      </c>
      <c r="C35" s="3">
        <v>2.0</v>
      </c>
      <c r="D35" s="3" t="s">
        <v>13</v>
      </c>
      <c r="E35" s="3" t="s">
        <v>14</v>
      </c>
      <c r="F35" s="3">
        <v>0.008</v>
      </c>
      <c r="G35" s="3">
        <v>1.0</v>
      </c>
      <c r="H35" s="3">
        <v>431549.0</v>
      </c>
      <c r="I35" s="3">
        <v>431549.0</v>
      </c>
      <c r="J35" s="3">
        <v>0.0</v>
      </c>
      <c r="K35" s="3">
        <v>856.0</v>
      </c>
      <c r="L35" s="3">
        <v>0.0</v>
      </c>
      <c r="M35" s="3">
        <v>0.0</v>
      </c>
    </row>
    <row r="36">
      <c r="A36" s="3">
        <v>500.0</v>
      </c>
      <c r="B36" s="3">
        <v>10.0</v>
      </c>
      <c r="C36" s="3">
        <v>2.0</v>
      </c>
      <c r="D36" s="3" t="s">
        <v>15</v>
      </c>
      <c r="E36" s="3" t="s">
        <v>14</v>
      </c>
      <c r="F36" s="3">
        <v>0.048</v>
      </c>
      <c r="G36" s="3">
        <v>1.0</v>
      </c>
      <c r="H36" s="3">
        <v>431585.0</v>
      </c>
      <c r="I36" s="3">
        <v>431585.0</v>
      </c>
      <c r="J36" s="3">
        <v>0.0</v>
      </c>
      <c r="K36" s="3">
        <v>868.0</v>
      </c>
      <c r="L36" s="3">
        <v>0.0</v>
      </c>
      <c r="M36" s="3">
        <v>0.0</v>
      </c>
    </row>
    <row r="37">
      <c r="A37" s="3">
        <v>500.0</v>
      </c>
      <c r="B37" s="3">
        <v>10.0</v>
      </c>
      <c r="C37" s="3">
        <v>2.0</v>
      </c>
      <c r="D37" s="3" t="s">
        <v>16</v>
      </c>
      <c r="E37" s="3" t="s">
        <v>14</v>
      </c>
      <c r="F37" s="3">
        <v>0.019</v>
      </c>
      <c r="G37" s="3">
        <v>1.0</v>
      </c>
      <c r="H37" s="3">
        <v>433377.0</v>
      </c>
      <c r="I37" s="3">
        <v>433377.0</v>
      </c>
      <c r="J37" s="3">
        <v>0.0</v>
      </c>
      <c r="K37" s="3">
        <v>869.0</v>
      </c>
      <c r="L37" s="3">
        <v>0.0</v>
      </c>
      <c r="M37" s="3">
        <v>0.0</v>
      </c>
    </row>
    <row r="38">
      <c r="A38" s="3">
        <v>500.0</v>
      </c>
      <c r="B38" s="3">
        <v>10.0</v>
      </c>
      <c r="C38" s="3">
        <v>3.0</v>
      </c>
      <c r="D38" s="3" t="s">
        <v>13</v>
      </c>
      <c r="E38" s="3" t="s">
        <v>14</v>
      </c>
      <c r="F38" s="3">
        <v>0.009</v>
      </c>
      <c r="G38" s="3">
        <v>1.0</v>
      </c>
      <c r="H38" s="3">
        <v>432301.0</v>
      </c>
      <c r="I38" s="3">
        <v>432301.0</v>
      </c>
      <c r="J38" s="3">
        <v>0.0</v>
      </c>
      <c r="K38" s="3">
        <v>887.0</v>
      </c>
      <c r="L38" s="3">
        <v>0.0</v>
      </c>
      <c r="M38" s="3">
        <v>0.0</v>
      </c>
    </row>
    <row r="39">
      <c r="A39" s="3">
        <v>500.0</v>
      </c>
      <c r="B39" s="3">
        <v>10.0</v>
      </c>
      <c r="C39" s="3">
        <v>3.0</v>
      </c>
      <c r="D39" s="3" t="s">
        <v>15</v>
      </c>
      <c r="E39" s="3" t="s">
        <v>14</v>
      </c>
      <c r="F39" s="3">
        <v>0.046</v>
      </c>
      <c r="G39" s="3">
        <v>1.0</v>
      </c>
      <c r="H39" s="3">
        <v>432878.0</v>
      </c>
      <c r="I39" s="3">
        <v>432878.0</v>
      </c>
      <c r="J39" s="3">
        <v>0.0</v>
      </c>
      <c r="K39" s="3">
        <v>867.0</v>
      </c>
      <c r="L39" s="3">
        <v>0.0</v>
      </c>
      <c r="M39" s="3">
        <v>0.0</v>
      </c>
    </row>
    <row r="40">
      <c r="A40" s="3">
        <v>500.0</v>
      </c>
      <c r="B40" s="3">
        <v>10.0</v>
      </c>
      <c r="C40" s="3">
        <v>3.0</v>
      </c>
      <c r="D40" s="3" t="s">
        <v>16</v>
      </c>
      <c r="E40" s="3" t="s">
        <v>14</v>
      </c>
      <c r="F40" s="3">
        <v>0.014</v>
      </c>
      <c r="G40" s="3">
        <v>1.0</v>
      </c>
      <c r="H40" s="3">
        <v>434551.0</v>
      </c>
      <c r="I40" s="3">
        <v>434551.0</v>
      </c>
      <c r="J40" s="3">
        <v>0.0</v>
      </c>
      <c r="K40" s="3">
        <v>900.0</v>
      </c>
      <c r="L40" s="3">
        <v>0.0</v>
      </c>
      <c r="M40" s="3">
        <v>0.0</v>
      </c>
    </row>
    <row r="41">
      <c r="A41" s="3">
        <v>500.0</v>
      </c>
      <c r="B41" s="3">
        <v>10.0</v>
      </c>
      <c r="C41" s="3">
        <v>4.0</v>
      </c>
      <c r="D41" s="3" t="s">
        <v>13</v>
      </c>
      <c r="E41" s="3" t="s">
        <v>14</v>
      </c>
      <c r="F41" s="3">
        <v>0.008</v>
      </c>
      <c r="G41" s="3">
        <v>1.0</v>
      </c>
      <c r="H41" s="3">
        <v>434143.0</v>
      </c>
      <c r="I41" s="3">
        <v>434143.0</v>
      </c>
      <c r="J41" s="3">
        <v>0.0</v>
      </c>
      <c r="K41" s="3">
        <v>840.0</v>
      </c>
      <c r="L41" s="3">
        <v>0.0</v>
      </c>
      <c r="M41" s="3">
        <v>0.0</v>
      </c>
    </row>
    <row r="42">
      <c r="A42" s="3">
        <v>500.0</v>
      </c>
      <c r="B42" s="3">
        <v>10.0</v>
      </c>
      <c r="C42" s="3">
        <v>4.0</v>
      </c>
      <c r="D42" s="3" t="s">
        <v>15</v>
      </c>
      <c r="E42" s="3" t="s">
        <v>14</v>
      </c>
      <c r="F42" s="3">
        <v>0.052</v>
      </c>
      <c r="G42" s="3">
        <v>1.0</v>
      </c>
      <c r="H42" s="3">
        <v>435571.0</v>
      </c>
      <c r="I42" s="3">
        <v>435571.0</v>
      </c>
      <c r="J42" s="3">
        <v>0.0</v>
      </c>
      <c r="K42" s="3">
        <v>958.0</v>
      </c>
      <c r="L42" s="3">
        <v>0.0</v>
      </c>
      <c r="M42" s="3">
        <v>0.0</v>
      </c>
    </row>
    <row r="43">
      <c r="A43" s="3">
        <v>500.0</v>
      </c>
      <c r="B43" s="3">
        <v>10.0</v>
      </c>
      <c r="C43" s="3">
        <v>4.0</v>
      </c>
      <c r="D43" s="3" t="s">
        <v>16</v>
      </c>
      <c r="E43" s="3" t="s">
        <v>14</v>
      </c>
      <c r="F43" s="3">
        <v>0.021</v>
      </c>
      <c r="G43" s="3">
        <v>1.0</v>
      </c>
      <c r="H43" s="3">
        <v>434910.0</v>
      </c>
      <c r="I43" s="3">
        <v>434910.0</v>
      </c>
      <c r="J43" s="3">
        <v>0.0</v>
      </c>
      <c r="K43" s="3">
        <v>940.0</v>
      </c>
      <c r="L43" s="3">
        <v>0.0</v>
      </c>
      <c r="M43" s="3">
        <v>0.0</v>
      </c>
    </row>
    <row r="44">
      <c r="A44" s="3">
        <v>500.0</v>
      </c>
      <c r="B44" s="3">
        <v>10.0</v>
      </c>
      <c r="C44" s="3">
        <v>5.0</v>
      </c>
      <c r="D44" s="3" t="s">
        <v>13</v>
      </c>
      <c r="E44" s="3" t="s">
        <v>14</v>
      </c>
      <c r="F44" s="3">
        <v>0.009</v>
      </c>
      <c r="G44" s="3">
        <v>1.0</v>
      </c>
      <c r="H44" s="3">
        <v>434535.0</v>
      </c>
      <c r="I44" s="3">
        <v>434535.0</v>
      </c>
      <c r="J44" s="3">
        <v>0.0</v>
      </c>
      <c r="K44" s="3">
        <v>886.0</v>
      </c>
      <c r="L44" s="3">
        <v>0.0</v>
      </c>
      <c r="M44" s="3">
        <v>0.0</v>
      </c>
    </row>
    <row r="45">
      <c r="A45" s="3">
        <v>500.0</v>
      </c>
      <c r="B45" s="3">
        <v>10.0</v>
      </c>
      <c r="C45" s="3">
        <v>5.0</v>
      </c>
      <c r="D45" s="3" t="s">
        <v>15</v>
      </c>
      <c r="E45" s="3" t="s">
        <v>14</v>
      </c>
      <c r="F45" s="3">
        <v>0.047</v>
      </c>
      <c r="G45" s="3">
        <v>1.0</v>
      </c>
      <c r="H45" s="3">
        <v>432765.0</v>
      </c>
      <c r="I45" s="3">
        <v>432765.0</v>
      </c>
      <c r="J45" s="3">
        <v>0.0</v>
      </c>
      <c r="K45" s="3">
        <v>899.0</v>
      </c>
      <c r="L45" s="3">
        <v>0.0</v>
      </c>
      <c r="M45" s="3">
        <v>0.0</v>
      </c>
    </row>
    <row r="46">
      <c r="A46" s="3">
        <v>500.0</v>
      </c>
      <c r="B46" s="3">
        <v>10.0</v>
      </c>
      <c r="C46" s="3">
        <v>5.0</v>
      </c>
      <c r="D46" s="3" t="s">
        <v>16</v>
      </c>
      <c r="E46" s="3" t="s">
        <v>14</v>
      </c>
      <c r="F46" s="3">
        <v>0.015</v>
      </c>
      <c r="G46" s="3">
        <v>1.0</v>
      </c>
      <c r="H46" s="3">
        <v>431475.0</v>
      </c>
      <c r="I46" s="3">
        <v>431475.0</v>
      </c>
      <c r="J46" s="3">
        <v>0.0</v>
      </c>
      <c r="K46" s="3">
        <v>840.0</v>
      </c>
      <c r="L46" s="3">
        <v>0.0</v>
      </c>
      <c r="M46" s="3">
        <v>0.0</v>
      </c>
    </row>
    <row r="47">
      <c r="A47" s="3">
        <v>500.0</v>
      </c>
      <c r="B47" s="3">
        <v>50.0</v>
      </c>
      <c r="C47" s="3">
        <v>1.0</v>
      </c>
      <c r="D47" s="3" t="s">
        <v>13</v>
      </c>
      <c r="E47" s="3" t="s">
        <v>14</v>
      </c>
      <c r="F47" s="3">
        <v>0.131</v>
      </c>
      <c r="G47" s="3">
        <v>1.0</v>
      </c>
      <c r="H47" s="3">
        <v>2092731.0</v>
      </c>
      <c r="I47" s="3">
        <v>2092731.0</v>
      </c>
      <c r="J47" s="3">
        <v>0.0</v>
      </c>
      <c r="K47" s="3">
        <v>1254.0</v>
      </c>
      <c r="L47" s="3">
        <v>0.0</v>
      </c>
      <c r="M47" s="3">
        <v>0.0</v>
      </c>
    </row>
    <row r="48">
      <c r="A48" s="3">
        <v>500.0</v>
      </c>
      <c r="B48" s="3">
        <v>50.0</v>
      </c>
      <c r="C48" s="3">
        <v>1.0</v>
      </c>
      <c r="D48" s="3" t="s">
        <v>15</v>
      </c>
      <c r="E48" s="3" t="s">
        <v>14</v>
      </c>
      <c r="F48" s="3">
        <v>0.619</v>
      </c>
      <c r="G48" s="3">
        <v>1.0</v>
      </c>
      <c r="H48" s="3">
        <v>2094553.0</v>
      </c>
      <c r="I48" s="3">
        <v>2094553.0</v>
      </c>
      <c r="J48" s="3">
        <v>0.0</v>
      </c>
      <c r="K48" s="3">
        <v>1223.0</v>
      </c>
      <c r="L48" s="3">
        <v>0.0</v>
      </c>
      <c r="M48" s="3">
        <v>0.0</v>
      </c>
    </row>
    <row r="49">
      <c r="A49" s="3">
        <v>500.0</v>
      </c>
      <c r="B49" s="3">
        <v>50.0</v>
      </c>
      <c r="C49" s="3">
        <v>1.0</v>
      </c>
      <c r="D49" s="3" t="s">
        <v>16</v>
      </c>
      <c r="E49" s="3" t="s">
        <v>14</v>
      </c>
      <c r="F49" s="3">
        <v>0.02</v>
      </c>
      <c r="G49" s="3">
        <v>1.0</v>
      </c>
      <c r="H49" s="3">
        <v>2091965.0</v>
      </c>
      <c r="I49" s="3">
        <v>2091965.0</v>
      </c>
      <c r="J49" s="3">
        <v>0.0</v>
      </c>
      <c r="K49" s="3">
        <v>1156.0</v>
      </c>
      <c r="L49" s="3">
        <v>0.0</v>
      </c>
      <c r="M49" s="3">
        <v>0.0</v>
      </c>
    </row>
    <row r="50">
      <c r="A50" s="3">
        <v>500.0</v>
      </c>
      <c r="B50" s="3">
        <v>50.0</v>
      </c>
      <c r="C50" s="3">
        <v>2.0</v>
      </c>
      <c r="D50" s="3" t="s">
        <v>13</v>
      </c>
      <c r="E50" s="3" t="s">
        <v>14</v>
      </c>
      <c r="F50" s="3">
        <v>0.12</v>
      </c>
      <c r="G50" s="3">
        <v>1.0</v>
      </c>
      <c r="H50" s="3">
        <v>2090692.0</v>
      </c>
      <c r="I50" s="3">
        <v>2090692.0</v>
      </c>
      <c r="J50" s="3">
        <v>0.0</v>
      </c>
      <c r="K50" s="3">
        <v>1273.0</v>
      </c>
      <c r="L50" s="3">
        <v>0.0</v>
      </c>
      <c r="M50" s="3">
        <v>0.0</v>
      </c>
    </row>
    <row r="51">
      <c r="A51" s="3">
        <v>500.0</v>
      </c>
      <c r="B51" s="3">
        <v>50.0</v>
      </c>
      <c r="C51" s="3">
        <v>2.0</v>
      </c>
      <c r="D51" s="3" t="s">
        <v>15</v>
      </c>
      <c r="E51" s="3" t="s">
        <v>14</v>
      </c>
      <c r="F51" s="3">
        <v>0.594</v>
      </c>
      <c r="G51" s="3">
        <v>1.0</v>
      </c>
      <c r="H51" s="3">
        <v>2093552.0</v>
      </c>
      <c r="I51" s="3">
        <v>2093552.0</v>
      </c>
      <c r="J51" s="3">
        <v>0.0</v>
      </c>
      <c r="K51" s="3">
        <v>1175.0</v>
      </c>
      <c r="L51" s="3">
        <v>0.0</v>
      </c>
      <c r="M51" s="3">
        <v>0.0</v>
      </c>
    </row>
    <row r="52">
      <c r="A52" s="3">
        <v>500.0</v>
      </c>
      <c r="B52" s="3">
        <v>50.0</v>
      </c>
      <c r="C52" s="3">
        <v>2.0</v>
      </c>
      <c r="D52" s="3" t="s">
        <v>16</v>
      </c>
      <c r="E52" s="3" t="s">
        <v>14</v>
      </c>
      <c r="F52" s="3">
        <v>0.025</v>
      </c>
      <c r="G52" s="3">
        <v>1.0</v>
      </c>
      <c r="H52" s="3">
        <v>2090552.0</v>
      </c>
      <c r="I52" s="3">
        <v>2090552.0</v>
      </c>
      <c r="J52" s="3">
        <v>0.0</v>
      </c>
      <c r="K52" s="3">
        <v>1171.0</v>
      </c>
      <c r="L52" s="3">
        <v>0.0</v>
      </c>
      <c r="M52" s="3">
        <v>0.0</v>
      </c>
    </row>
    <row r="53">
      <c r="A53" s="3">
        <v>500.0</v>
      </c>
      <c r="B53" s="3">
        <v>50.0</v>
      </c>
      <c r="C53" s="3">
        <v>3.0</v>
      </c>
      <c r="D53" s="3" t="s">
        <v>13</v>
      </c>
      <c r="E53" s="3" t="s">
        <v>14</v>
      </c>
      <c r="F53" s="3">
        <v>0.124</v>
      </c>
      <c r="G53" s="3">
        <v>1.0</v>
      </c>
      <c r="H53" s="3">
        <v>2081065.0</v>
      </c>
      <c r="I53" s="3">
        <v>2081065.0</v>
      </c>
      <c r="J53" s="3">
        <v>0.0</v>
      </c>
      <c r="K53" s="3">
        <v>1269.0</v>
      </c>
      <c r="L53" s="3">
        <v>0.0</v>
      </c>
      <c r="M53" s="3">
        <v>0.0</v>
      </c>
    </row>
    <row r="54">
      <c r="A54" s="3">
        <v>500.0</v>
      </c>
      <c r="B54" s="3">
        <v>50.0</v>
      </c>
      <c r="C54" s="3">
        <v>3.0</v>
      </c>
      <c r="D54" s="3" t="s">
        <v>15</v>
      </c>
      <c r="E54" s="3" t="s">
        <v>14</v>
      </c>
      <c r="F54" s="3">
        <v>0.692</v>
      </c>
      <c r="G54" s="3">
        <v>1.0</v>
      </c>
      <c r="H54" s="3">
        <v>2088898.0</v>
      </c>
      <c r="I54" s="3">
        <v>2088898.0</v>
      </c>
      <c r="J54" s="3">
        <v>0.0</v>
      </c>
      <c r="K54" s="3">
        <v>1378.0</v>
      </c>
      <c r="L54" s="3">
        <v>0.0</v>
      </c>
      <c r="M54" s="3">
        <v>0.0</v>
      </c>
    </row>
    <row r="55">
      <c r="A55" s="3">
        <v>500.0</v>
      </c>
      <c r="B55" s="3">
        <v>50.0</v>
      </c>
      <c r="C55" s="3">
        <v>3.0</v>
      </c>
      <c r="D55" s="3" t="s">
        <v>16</v>
      </c>
      <c r="E55" s="3" t="s">
        <v>14</v>
      </c>
      <c r="F55" s="3">
        <v>0.027</v>
      </c>
      <c r="G55" s="3">
        <v>1.0</v>
      </c>
      <c r="H55" s="3">
        <v>2084527.0</v>
      </c>
      <c r="I55" s="3">
        <v>2084527.0</v>
      </c>
      <c r="J55" s="3">
        <v>0.0</v>
      </c>
      <c r="K55" s="3">
        <v>1241.0</v>
      </c>
      <c r="L55" s="3">
        <v>0.0</v>
      </c>
      <c r="M55" s="3">
        <v>0.0</v>
      </c>
    </row>
    <row r="56">
      <c r="A56" s="3">
        <v>500.0</v>
      </c>
      <c r="B56" s="3">
        <v>50.0</v>
      </c>
      <c r="C56" s="3">
        <v>4.0</v>
      </c>
      <c r="D56" s="3" t="s">
        <v>13</v>
      </c>
      <c r="E56" s="3" t="s">
        <v>14</v>
      </c>
      <c r="F56" s="3">
        <v>0.117</v>
      </c>
      <c r="G56" s="3">
        <v>1.0</v>
      </c>
      <c r="H56" s="3">
        <v>2088303.0</v>
      </c>
      <c r="I56" s="3">
        <v>2088303.0</v>
      </c>
      <c r="J56" s="3">
        <v>0.0</v>
      </c>
      <c r="K56" s="3">
        <v>1232.0</v>
      </c>
      <c r="L56" s="3">
        <v>0.0</v>
      </c>
      <c r="M56" s="3">
        <v>0.0</v>
      </c>
    </row>
    <row r="57">
      <c r="A57" s="3">
        <v>500.0</v>
      </c>
      <c r="B57" s="3">
        <v>50.0</v>
      </c>
      <c r="C57" s="3">
        <v>4.0</v>
      </c>
      <c r="D57" s="3" t="s">
        <v>15</v>
      </c>
      <c r="E57" s="3" t="s">
        <v>14</v>
      </c>
      <c r="F57" s="3">
        <v>0.641</v>
      </c>
      <c r="G57" s="3">
        <v>1.0</v>
      </c>
      <c r="H57" s="3">
        <v>2085735.0</v>
      </c>
      <c r="I57" s="3">
        <v>2085735.0</v>
      </c>
      <c r="J57" s="3">
        <v>0.0</v>
      </c>
      <c r="K57" s="3">
        <v>1267.0</v>
      </c>
      <c r="L57" s="3">
        <v>0.0</v>
      </c>
      <c r="M57" s="3">
        <v>0.0</v>
      </c>
    </row>
    <row r="58">
      <c r="A58" s="3">
        <v>500.0</v>
      </c>
      <c r="B58" s="3">
        <v>50.0</v>
      </c>
      <c r="C58" s="3">
        <v>4.0</v>
      </c>
      <c r="D58" s="3" t="s">
        <v>16</v>
      </c>
      <c r="E58" s="3" t="s">
        <v>14</v>
      </c>
      <c r="F58" s="3">
        <v>0.025</v>
      </c>
      <c r="G58" s="3">
        <v>1.0</v>
      </c>
      <c r="H58" s="3">
        <v>2085154.0</v>
      </c>
      <c r="I58" s="3">
        <v>2085154.0</v>
      </c>
      <c r="J58" s="3">
        <v>0.0</v>
      </c>
      <c r="K58" s="3">
        <v>1270.0</v>
      </c>
      <c r="L58" s="3">
        <v>0.0</v>
      </c>
      <c r="M58" s="3">
        <v>0.0</v>
      </c>
    </row>
    <row r="59">
      <c r="A59" s="3">
        <v>500.0</v>
      </c>
      <c r="B59" s="3">
        <v>50.0</v>
      </c>
      <c r="C59" s="3">
        <v>5.0</v>
      </c>
      <c r="D59" s="3" t="s">
        <v>13</v>
      </c>
      <c r="E59" s="3" t="s">
        <v>14</v>
      </c>
      <c r="F59" s="3">
        <v>0.121</v>
      </c>
      <c r="G59" s="3">
        <v>1.0</v>
      </c>
      <c r="H59" s="3">
        <v>2093797.0</v>
      </c>
      <c r="I59" s="3">
        <v>2093797.0</v>
      </c>
      <c r="J59" s="3">
        <v>0.0</v>
      </c>
      <c r="K59" s="3">
        <v>1356.0</v>
      </c>
      <c r="L59" s="3">
        <v>0.0</v>
      </c>
      <c r="M59" s="3">
        <v>0.0</v>
      </c>
    </row>
    <row r="60">
      <c r="A60" s="3">
        <v>500.0</v>
      </c>
      <c r="B60" s="3">
        <v>50.0</v>
      </c>
      <c r="C60" s="3">
        <v>5.0</v>
      </c>
      <c r="D60" s="3" t="s">
        <v>15</v>
      </c>
      <c r="E60" s="3" t="s">
        <v>14</v>
      </c>
      <c r="F60" s="3">
        <v>0.618</v>
      </c>
      <c r="G60" s="3">
        <v>1.0</v>
      </c>
      <c r="H60" s="3">
        <v>2090376.0</v>
      </c>
      <c r="I60" s="3">
        <v>2090376.0</v>
      </c>
      <c r="J60" s="3">
        <v>0.0</v>
      </c>
      <c r="K60" s="3">
        <v>1219.0</v>
      </c>
      <c r="L60" s="3">
        <v>0.0</v>
      </c>
      <c r="M60" s="3">
        <v>0.0</v>
      </c>
    </row>
    <row r="61">
      <c r="A61" s="3">
        <v>500.0</v>
      </c>
      <c r="B61" s="3">
        <v>50.0</v>
      </c>
      <c r="C61" s="3">
        <v>5.0</v>
      </c>
      <c r="D61" s="3" t="s">
        <v>16</v>
      </c>
      <c r="E61" s="3" t="s">
        <v>14</v>
      </c>
      <c r="F61" s="3">
        <v>0.026</v>
      </c>
      <c r="G61" s="3">
        <v>1.0</v>
      </c>
      <c r="H61" s="3">
        <v>2094034.0</v>
      </c>
      <c r="I61" s="3">
        <v>2094034.0</v>
      </c>
      <c r="J61" s="3">
        <v>0.0</v>
      </c>
      <c r="K61" s="3">
        <v>1336.0</v>
      </c>
      <c r="L61" s="3">
        <v>0.0</v>
      </c>
      <c r="M61" s="3">
        <v>0.0</v>
      </c>
    </row>
    <row r="62">
      <c r="A62" s="3">
        <v>500.0</v>
      </c>
      <c r="B62" s="3">
        <v>100.0</v>
      </c>
      <c r="C62" s="3">
        <v>1.0</v>
      </c>
      <c r="D62" s="3" t="s">
        <v>13</v>
      </c>
      <c r="E62" s="3" t="s">
        <v>14</v>
      </c>
      <c r="F62" s="3">
        <v>0.406</v>
      </c>
      <c r="G62" s="3">
        <v>1.0</v>
      </c>
      <c r="H62" s="3">
        <v>6512474.0</v>
      </c>
      <c r="I62" s="3">
        <v>6512474.0</v>
      </c>
      <c r="J62" s="3">
        <v>0.0</v>
      </c>
      <c r="K62" s="3">
        <v>1433.0</v>
      </c>
      <c r="L62" s="3">
        <v>0.0</v>
      </c>
      <c r="M62" s="3">
        <v>0.0</v>
      </c>
    </row>
    <row r="63">
      <c r="A63" s="3">
        <v>500.0</v>
      </c>
      <c r="B63" s="3">
        <v>100.0</v>
      </c>
      <c r="C63" s="3">
        <v>1.0</v>
      </c>
      <c r="D63" s="3" t="s">
        <v>15</v>
      </c>
      <c r="E63" s="3" t="s">
        <v>14</v>
      </c>
      <c r="F63" s="3">
        <v>1.903</v>
      </c>
      <c r="G63" s="3">
        <v>1.0</v>
      </c>
      <c r="H63" s="3">
        <v>6516189.0</v>
      </c>
      <c r="I63" s="3">
        <v>6516189.0</v>
      </c>
      <c r="J63" s="3">
        <v>0.0</v>
      </c>
      <c r="K63" s="3">
        <v>1378.0</v>
      </c>
      <c r="L63" s="3">
        <v>0.0</v>
      </c>
      <c r="M63" s="3">
        <v>1.0</v>
      </c>
    </row>
    <row r="64">
      <c r="A64" s="3">
        <v>500.0</v>
      </c>
      <c r="B64" s="3">
        <v>100.0</v>
      </c>
      <c r="C64" s="3">
        <v>1.0</v>
      </c>
      <c r="D64" s="3" t="s">
        <v>16</v>
      </c>
      <c r="E64" s="3" t="s">
        <v>14</v>
      </c>
      <c r="F64" s="3">
        <v>0.045</v>
      </c>
      <c r="G64" s="3">
        <v>1.0</v>
      </c>
      <c r="H64" s="3">
        <v>6516151.0</v>
      </c>
      <c r="I64" s="3">
        <v>6516151.0</v>
      </c>
      <c r="J64" s="3">
        <v>0.0</v>
      </c>
      <c r="K64" s="3">
        <v>1742.0</v>
      </c>
      <c r="L64" s="3">
        <v>0.0</v>
      </c>
      <c r="M64" s="3">
        <v>0.0</v>
      </c>
    </row>
    <row r="65">
      <c r="A65" s="3">
        <v>500.0</v>
      </c>
      <c r="B65" s="3">
        <v>100.0</v>
      </c>
      <c r="C65" s="3">
        <v>2.0</v>
      </c>
      <c r="D65" s="3" t="s">
        <v>13</v>
      </c>
      <c r="E65" s="3" t="s">
        <v>14</v>
      </c>
      <c r="F65" s="3">
        <v>0.415</v>
      </c>
      <c r="G65" s="3">
        <v>1.0</v>
      </c>
      <c r="H65" s="3">
        <v>6502817.0</v>
      </c>
      <c r="I65" s="3">
        <v>6502817.0</v>
      </c>
      <c r="J65" s="3">
        <v>0.0</v>
      </c>
      <c r="K65" s="3">
        <v>1407.0</v>
      </c>
      <c r="L65" s="3">
        <v>0.0</v>
      </c>
      <c r="M65" s="3">
        <v>0.0</v>
      </c>
    </row>
    <row r="66">
      <c r="A66" s="3">
        <v>500.0</v>
      </c>
      <c r="B66" s="3">
        <v>100.0</v>
      </c>
      <c r="C66" s="3">
        <v>2.0</v>
      </c>
      <c r="D66" s="3" t="s">
        <v>15</v>
      </c>
      <c r="E66" s="3" t="s">
        <v>14</v>
      </c>
      <c r="F66" s="3">
        <v>2.159</v>
      </c>
      <c r="G66" s="3">
        <v>1.0</v>
      </c>
      <c r="H66" s="3">
        <v>6510686.0</v>
      </c>
      <c r="I66" s="3">
        <v>6510686.0</v>
      </c>
      <c r="J66" s="3">
        <v>0.0</v>
      </c>
      <c r="K66" s="3">
        <v>1589.0</v>
      </c>
      <c r="L66" s="3">
        <v>0.0</v>
      </c>
      <c r="M66" s="3">
        <v>0.0</v>
      </c>
    </row>
    <row r="67">
      <c r="A67" s="3">
        <v>500.0</v>
      </c>
      <c r="B67" s="3">
        <v>100.0</v>
      </c>
      <c r="C67" s="3">
        <v>2.0</v>
      </c>
      <c r="D67" s="3" t="s">
        <v>16</v>
      </c>
      <c r="E67" s="3" t="s">
        <v>14</v>
      </c>
      <c r="F67" s="3">
        <v>0.028</v>
      </c>
      <c r="G67" s="3">
        <v>1.0</v>
      </c>
      <c r="H67" s="3">
        <v>6510076.0</v>
      </c>
      <c r="I67" s="3">
        <v>6510076.0</v>
      </c>
      <c r="J67" s="3">
        <v>0.0</v>
      </c>
      <c r="K67" s="3">
        <v>1549.0</v>
      </c>
      <c r="L67" s="3">
        <v>0.0</v>
      </c>
      <c r="M67" s="3">
        <v>0.0</v>
      </c>
    </row>
    <row r="68">
      <c r="A68" s="3">
        <v>500.0</v>
      </c>
      <c r="B68" s="3">
        <v>100.0</v>
      </c>
      <c r="C68" s="3">
        <v>3.0</v>
      </c>
      <c r="D68" s="3" t="s">
        <v>13</v>
      </c>
      <c r="E68" s="3" t="s">
        <v>14</v>
      </c>
      <c r="F68" s="3">
        <v>0.396</v>
      </c>
      <c r="G68" s="3">
        <v>1.0</v>
      </c>
      <c r="H68" s="3">
        <v>6522921.0</v>
      </c>
      <c r="I68" s="3">
        <v>6522921.0</v>
      </c>
      <c r="J68" s="3">
        <v>0.0</v>
      </c>
      <c r="K68" s="3">
        <v>1315.0</v>
      </c>
      <c r="L68" s="3">
        <v>0.0</v>
      </c>
      <c r="M68" s="3">
        <v>0.0</v>
      </c>
    </row>
    <row r="69">
      <c r="A69" s="3">
        <v>500.0</v>
      </c>
      <c r="B69" s="3">
        <v>100.0</v>
      </c>
      <c r="C69" s="3">
        <v>3.0</v>
      </c>
      <c r="D69" s="3" t="s">
        <v>15</v>
      </c>
      <c r="E69" s="3" t="s">
        <v>14</v>
      </c>
      <c r="F69" s="3">
        <v>2.344</v>
      </c>
      <c r="G69" s="3">
        <v>1.0</v>
      </c>
      <c r="H69" s="3">
        <v>6527583.0</v>
      </c>
      <c r="I69" s="3">
        <v>6527583.0</v>
      </c>
      <c r="J69" s="3">
        <v>0.0</v>
      </c>
      <c r="K69" s="3">
        <v>1641.0</v>
      </c>
      <c r="L69" s="3">
        <v>0.0</v>
      </c>
      <c r="M69" s="3">
        <v>1.0</v>
      </c>
    </row>
    <row r="70">
      <c r="A70" s="3">
        <v>500.0</v>
      </c>
      <c r="B70" s="3">
        <v>100.0</v>
      </c>
      <c r="C70" s="3">
        <v>3.0</v>
      </c>
      <c r="D70" s="3" t="s">
        <v>16</v>
      </c>
      <c r="E70" s="3" t="s">
        <v>14</v>
      </c>
      <c r="F70" s="3">
        <v>0.025</v>
      </c>
      <c r="G70" s="3">
        <v>1.0</v>
      </c>
      <c r="H70" s="3">
        <v>6524611.0</v>
      </c>
      <c r="I70" s="3">
        <v>6524611.0</v>
      </c>
      <c r="J70" s="3">
        <v>0.0</v>
      </c>
      <c r="K70" s="3">
        <v>1358.0</v>
      </c>
      <c r="L70" s="3">
        <v>0.0</v>
      </c>
      <c r="M70" s="3">
        <v>0.0</v>
      </c>
    </row>
    <row r="71">
      <c r="A71" s="3">
        <v>500.0</v>
      </c>
      <c r="B71" s="3">
        <v>100.0</v>
      </c>
      <c r="C71" s="3">
        <v>4.0</v>
      </c>
      <c r="D71" s="3" t="s">
        <v>13</v>
      </c>
      <c r="E71" s="3" t="s">
        <v>14</v>
      </c>
      <c r="F71" s="3">
        <v>0.462</v>
      </c>
      <c r="G71" s="3">
        <v>1.0</v>
      </c>
      <c r="H71" s="3">
        <v>6520025.0</v>
      </c>
      <c r="I71" s="3">
        <v>6520025.0</v>
      </c>
      <c r="J71" s="3">
        <v>0.0</v>
      </c>
      <c r="K71" s="3">
        <v>1633.0</v>
      </c>
      <c r="L71" s="3">
        <v>0.0</v>
      </c>
      <c r="M71" s="3">
        <v>0.0</v>
      </c>
    </row>
    <row r="72">
      <c r="A72" s="3">
        <v>500.0</v>
      </c>
      <c r="B72" s="3">
        <v>100.0</v>
      </c>
      <c r="C72" s="3">
        <v>4.0</v>
      </c>
      <c r="D72" s="3" t="s">
        <v>15</v>
      </c>
      <c r="E72" s="3" t="s">
        <v>14</v>
      </c>
      <c r="F72" s="3">
        <v>1.913</v>
      </c>
      <c r="G72" s="3">
        <v>1.0</v>
      </c>
      <c r="H72" s="3">
        <v>6518056.0</v>
      </c>
      <c r="I72" s="3">
        <v>6518056.0</v>
      </c>
      <c r="J72" s="3">
        <v>0.0</v>
      </c>
      <c r="K72" s="3">
        <v>1417.0</v>
      </c>
      <c r="L72" s="3">
        <v>0.0</v>
      </c>
      <c r="M72" s="3">
        <v>0.0</v>
      </c>
    </row>
    <row r="73">
      <c r="A73" s="3">
        <v>500.0</v>
      </c>
      <c r="B73" s="3">
        <v>100.0</v>
      </c>
      <c r="C73" s="3">
        <v>4.0</v>
      </c>
      <c r="D73" s="3" t="s">
        <v>16</v>
      </c>
      <c r="E73" s="3" t="s">
        <v>14</v>
      </c>
      <c r="F73" s="3">
        <v>0.025</v>
      </c>
      <c r="G73" s="3">
        <v>1.0</v>
      </c>
      <c r="H73" s="3">
        <v>6514609.0</v>
      </c>
      <c r="I73" s="3">
        <v>6514609.0</v>
      </c>
      <c r="J73" s="3">
        <v>0.0</v>
      </c>
      <c r="K73" s="3">
        <v>1458.0</v>
      </c>
      <c r="L73" s="3">
        <v>0.0</v>
      </c>
      <c r="M73" s="3">
        <v>0.0</v>
      </c>
    </row>
    <row r="74">
      <c r="A74" s="3">
        <v>500.0</v>
      </c>
      <c r="B74" s="3">
        <v>100.0</v>
      </c>
      <c r="C74" s="3">
        <v>5.0</v>
      </c>
      <c r="D74" s="3" t="s">
        <v>13</v>
      </c>
      <c r="E74" s="3" t="s">
        <v>14</v>
      </c>
      <c r="F74" s="3">
        <v>0.398</v>
      </c>
      <c r="G74" s="3">
        <v>1.0</v>
      </c>
      <c r="H74" s="3">
        <v>6511722.0</v>
      </c>
      <c r="I74" s="3">
        <v>6511722.0</v>
      </c>
      <c r="J74" s="3">
        <v>0.0</v>
      </c>
      <c r="K74" s="3">
        <v>1399.0</v>
      </c>
      <c r="L74" s="3">
        <v>0.0</v>
      </c>
      <c r="M74" s="3">
        <v>0.0</v>
      </c>
    </row>
    <row r="75">
      <c r="A75" s="3">
        <v>500.0</v>
      </c>
      <c r="B75" s="3">
        <v>100.0</v>
      </c>
      <c r="C75" s="3">
        <v>5.0</v>
      </c>
      <c r="D75" s="3" t="s">
        <v>15</v>
      </c>
      <c r="E75" s="3" t="s">
        <v>14</v>
      </c>
      <c r="F75" s="3">
        <v>1.788</v>
      </c>
      <c r="G75" s="3">
        <v>1.0</v>
      </c>
      <c r="H75" s="3">
        <v>6508453.0</v>
      </c>
      <c r="I75" s="3">
        <v>6508453.0</v>
      </c>
      <c r="J75" s="3">
        <v>0.0</v>
      </c>
      <c r="K75" s="3">
        <v>1244.0</v>
      </c>
      <c r="L75" s="3">
        <v>0.0</v>
      </c>
      <c r="M75" s="3">
        <v>1.0</v>
      </c>
    </row>
    <row r="76">
      <c r="A76" s="3">
        <v>500.0</v>
      </c>
      <c r="B76" s="3">
        <v>100.0</v>
      </c>
      <c r="C76" s="3">
        <v>5.0</v>
      </c>
      <c r="D76" s="3" t="s">
        <v>16</v>
      </c>
      <c r="E76" s="3" t="s">
        <v>14</v>
      </c>
      <c r="F76" s="3">
        <v>0.027</v>
      </c>
      <c r="G76" s="3">
        <v>1.0</v>
      </c>
      <c r="H76" s="3">
        <v>6510078.0</v>
      </c>
      <c r="I76" s="3">
        <v>6510078.0</v>
      </c>
      <c r="J76" s="3">
        <v>0.0</v>
      </c>
      <c r="K76" s="3">
        <v>1511.0</v>
      </c>
      <c r="L76" s="3">
        <v>0.0</v>
      </c>
      <c r="M76" s="3">
        <v>0.0</v>
      </c>
    </row>
    <row r="77">
      <c r="A77" s="3">
        <v>1000.0</v>
      </c>
      <c r="B77" s="3">
        <v>1.0</v>
      </c>
      <c r="C77" s="3">
        <v>1.0</v>
      </c>
      <c r="D77" s="3" t="s">
        <v>13</v>
      </c>
      <c r="E77" s="3" t="s">
        <v>14</v>
      </c>
      <c r="F77" s="3">
        <v>0.003</v>
      </c>
      <c r="G77" s="3">
        <v>1.0</v>
      </c>
      <c r="H77" s="3">
        <v>208349.0</v>
      </c>
      <c r="I77" s="3">
        <v>208349.0</v>
      </c>
      <c r="J77" s="3">
        <v>0.0</v>
      </c>
      <c r="K77" s="3">
        <v>1066.0</v>
      </c>
      <c r="L77" s="3">
        <v>0.0</v>
      </c>
      <c r="M77" s="3">
        <v>0.0</v>
      </c>
    </row>
    <row r="78">
      <c r="A78" s="3">
        <v>1000.0</v>
      </c>
      <c r="B78" s="3">
        <v>1.0</v>
      </c>
      <c r="C78" s="3">
        <v>1.0</v>
      </c>
      <c r="D78" s="3" t="s">
        <v>15</v>
      </c>
      <c r="E78" s="3" t="s">
        <v>14</v>
      </c>
      <c r="F78" s="3">
        <v>0.008</v>
      </c>
      <c r="G78" s="3">
        <v>1.0</v>
      </c>
      <c r="H78" s="3">
        <v>208446.0</v>
      </c>
      <c r="I78" s="3">
        <v>208446.0</v>
      </c>
      <c r="J78" s="3">
        <v>0.0</v>
      </c>
      <c r="K78" s="3">
        <v>1097.0</v>
      </c>
      <c r="L78" s="3">
        <v>0.0</v>
      </c>
      <c r="M78" s="3">
        <v>0.0</v>
      </c>
    </row>
    <row r="79">
      <c r="A79" s="3">
        <v>1000.0</v>
      </c>
      <c r="B79" s="3">
        <v>1.0</v>
      </c>
      <c r="C79" s="3">
        <v>1.0</v>
      </c>
      <c r="D79" s="3" t="s">
        <v>16</v>
      </c>
      <c r="E79" s="3" t="s">
        <v>14</v>
      </c>
      <c r="F79" s="3">
        <v>0.089</v>
      </c>
      <c r="G79" s="3">
        <v>1.0</v>
      </c>
      <c r="H79" s="3">
        <v>207804.0</v>
      </c>
      <c r="I79" s="3">
        <v>207804.0</v>
      </c>
      <c r="J79" s="3">
        <v>0.0</v>
      </c>
      <c r="K79" s="3">
        <v>1096.0</v>
      </c>
      <c r="L79" s="3">
        <v>0.0</v>
      </c>
      <c r="M79" s="3">
        <v>0.0</v>
      </c>
    </row>
    <row r="80">
      <c r="A80" s="3">
        <v>1000.0</v>
      </c>
      <c r="B80" s="3">
        <v>1.0</v>
      </c>
      <c r="C80" s="3">
        <v>2.0</v>
      </c>
      <c r="D80" s="3" t="s">
        <v>13</v>
      </c>
      <c r="E80" s="3" t="s">
        <v>14</v>
      </c>
      <c r="F80" s="3">
        <v>0.003</v>
      </c>
      <c r="G80" s="3">
        <v>1.0</v>
      </c>
      <c r="H80" s="3">
        <v>204329.0</v>
      </c>
      <c r="I80" s="3">
        <v>204329.0</v>
      </c>
      <c r="J80" s="3">
        <v>0.0</v>
      </c>
      <c r="K80" s="3">
        <v>1057.0</v>
      </c>
      <c r="L80" s="3">
        <v>0.0</v>
      </c>
      <c r="M80" s="3">
        <v>0.0</v>
      </c>
    </row>
    <row r="81">
      <c r="A81" s="3">
        <v>1000.0</v>
      </c>
      <c r="B81" s="3">
        <v>1.0</v>
      </c>
      <c r="C81" s="3">
        <v>2.0</v>
      </c>
      <c r="D81" s="3" t="s">
        <v>15</v>
      </c>
      <c r="E81" s="3" t="s">
        <v>14</v>
      </c>
      <c r="F81" s="3">
        <v>0.008</v>
      </c>
      <c r="G81" s="3">
        <v>1.0</v>
      </c>
      <c r="H81" s="3">
        <v>204527.0</v>
      </c>
      <c r="I81" s="3">
        <v>204527.0</v>
      </c>
      <c r="J81" s="3">
        <v>0.0</v>
      </c>
      <c r="K81" s="3">
        <v>1059.0</v>
      </c>
      <c r="L81" s="3">
        <v>0.0</v>
      </c>
      <c r="M81" s="3">
        <v>0.0</v>
      </c>
    </row>
    <row r="82">
      <c r="A82" s="3">
        <v>1000.0</v>
      </c>
      <c r="B82" s="3">
        <v>1.0</v>
      </c>
      <c r="C82" s="3">
        <v>2.0</v>
      </c>
      <c r="D82" s="3" t="s">
        <v>16</v>
      </c>
      <c r="E82" s="3" t="s">
        <v>14</v>
      </c>
      <c r="F82" s="3">
        <v>0.116</v>
      </c>
      <c r="G82" s="3">
        <v>1.0</v>
      </c>
      <c r="H82" s="3">
        <v>204042.0</v>
      </c>
      <c r="I82" s="3">
        <v>204042.0</v>
      </c>
      <c r="J82" s="3">
        <v>0.0</v>
      </c>
      <c r="K82" s="3">
        <v>1101.0</v>
      </c>
      <c r="L82" s="3">
        <v>0.0</v>
      </c>
      <c r="M82" s="3">
        <v>0.0</v>
      </c>
    </row>
    <row r="83">
      <c r="A83" s="3">
        <v>1000.0</v>
      </c>
      <c r="B83" s="3">
        <v>1.0</v>
      </c>
      <c r="C83" s="3">
        <v>3.0</v>
      </c>
      <c r="D83" s="3" t="s">
        <v>13</v>
      </c>
      <c r="E83" s="3" t="s">
        <v>14</v>
      </c>
      <c r="F83" s="3">
        <v>0.003</v>
      </c>
      <c r="G83" s="3">
        <v>1.0</v>
      </c>
      <c r="H83" s="3">
        <v>203900.0</v>
      </c>
      <c r="I83" s="3">
        <v>203900.0</v>
      </c>
      <c r="J83" s="3">
        <v>0.0</v>
      </c>
      <c r="K83" s="3">
        <v>1067.0</v>
      </c>
      <c r="L83" s="3">
        <v>0.0</v>
      </c>
      <c r="M83" s="3">
        <v>0.0</v>
      </c>
    </row>
    <row r="84">
      <c r="A84" s="3">
        <v>1000.0</v>
      </c>
      <c r="B84" s="3">
        <v>1.0</v>
      </c>
      <c r="C84" s="3">
        <v>3.0</v>
      </c>
      <c r="D84" s="3" t="s">
        <v>15</v>
      </c>
      <c r="E84" s="3" t="s">
        <v>14</v>
      </c>
      <c r="F84" s="3">
        <v>0.007</v>
      </c>
      <c r="G84" s="3">
        <v>1.0</v>
      </c>
      <c r="H84" s="3">
        <v>201927.0</v>
      </c>
      <c r="I84" s="3">
        <v>201927.0</v>
      </c>
      <c r="J84" s="3">
        <v>0.0</v>
      </c>
      <c r="K84" s="3">
        <v>1023.0</v>
      </c>
      <c r="L84" s="3">
        <v>0.0</v>
      </c>
      <c r="M84" s="3">
        <v>0.0</v>
      </c>
    </row>
    <row r="85">
      <c r="A85" s="3">
        <v>1000.0</v>
      </c>
      <c r="B85" s="3">
        <v>1.0</v>
      </c>
      <c r="C85" s="3">
        <v>3.0</v>
      </c>
      <c r="D85" s="3" t="s">
        <v>16</v>
      </c>
      <c r="E85" s="3" t="s">
        <v>14</v>
      </c>
      <c r="F85" s="3">
        <v>0.095</v>
      </c>
      <c r="G85" s="3">
        <v>1.0</v>
      </c>
      <c r="H85" s="3">
        <v>202889.0</v>
      </c>
      <c r="I85" s="3">
        <v>202889.0</v>
      </c>
      <c r="J85" s="3">
        <v>0.0</v>
      </c>
      <c r="K85" s="3">
        <v>1020.0</v>
      </c>
      <c r="L85" s="3">
        <v>0.0</v>
      </c>
      <c r="M85" s="3">
        <v>0.0</v>
      </c>
    </row>
    <row r="86">
      <c r="A86" s="3">
        <v>1000.0</v>
      </c>
      <c r="B86" s="3">
        <v>1.0</v>
      </c>
      <c r="C86" s="3">
        <v>4.0</v>
      </c>
      <c r="D86" s="3" t="s">
        <v>13</v>
      </c>
      <c r="E86" s="3" t="s">
        <v>14</v>
      </c>
      <c r="F86" s="3">
        <v>0.003</v>
      </c>
      <c r="G86" s="3">
        <v>1.0</v>
      </c>
      <c r="H86" s="3">
        <v>212174.0</v>
      </c>
      <c r="I86" s="3">
        <v>212174.0</v>
      </c>
      <c r="J86" s="3">
        <v>0.0</v>
      </c>
      <c r="K86" s="3">
        <v>1068.0</v>
      </c>
      <c r="L86" s="3">
        <v>0.0</v>
      </c>
      <c r="M86" s="3">
        <v>0.0</v>
      </c>
    </row>
    <row r="87">
      <c r="A87" s="3">
        <v>1000.0</v>
      </c>
      <c r="B87" s="3">
        <v>1.0</v>
      </c>
      <c r="C87" s="3">
        <v>4.0</v>
      </c>
      <c r="D87" s="3" t="s">
        <v>15</v>
      </c>
      <c r="E87" s="3" t="s">
        <v>14</v>
      </c>
      <c r="F87" s="3">
        <v>0.008</v>
      </c>
      <c r="G87" s="3">
        <v>1.0</v>
      </c>
      <c r="H87" s="3">
        <v>212338.0</v>
      </c>
      <c r="I87" s="3">
        <v>212338.0</v>
      </c>
      <c r="J87" s="3">
        <v>0.0</v>
      </c>
      <c r="K87" s="3">
        <v>1106.0</v>
      </c>
      <c r="L87" s="3">
        <v>0.0</v>
      </c>
      <c r="M87" s="3">
        <v>0.0</v>
      </c>
    </row>
    <row r="88">
      <c r="A88" s="3">
        <v>1000.0</v>
      </c>
      <c r="B88" s="3">
        <v>1.0</v>
      </c>
      <c r="C88" s="3">
        <v>4.0</v>
      </c>
      <c r="D88" s="3" t="s">
        <v>16</v>
      </c>
      <c r="E88" s="3" t="s">
        <v>14</v>
      </c>
      <c r="F88" s="3">
        <v>0.101</v>
      </c>
      <c r="G88" s="3">
        <v>1.0</v>
      </c>
      <c r="H88" s="3">
        <v>212339.0</v>
      </c>
      <c r="I88" s="3">
        <v>212339.0</v>
      </c>
      <c r="J88" s="3">
        <v>0.0</v>
      </c>
      <c r="K88" s="3">
        <v>1083.0</v>
      </c>
      <c r="L88" s="3">
        <v>0.0</v>
      </c>
      <c r="M88" s="3">
        <v>0.0</v>
      </c>
    </row>
    <row r="89">
      <c r="A89" s="3">
        <v>1000.0</v>
      </c>
      <c r="B89" s="3">
        <v>1.0</v>
      </c>
      <c r="C89" s="3">
        <v>5.0</v>
      </c>
      <c r="D89" s="3" t="s">
        <v>13</v>
      </c>
      <c r="E89" s="3" t="s">
        <v>14</v>
      </c>
      <c r="F89" s="3">
        <v>0.003</v>
      </c>
      <c r="G89" s="3">
        <v>1.0</v>
      </c>
      <c r="H89" s="3">
        <v>210956.0</v>
      </c>
      <c r="I89" s="3">
        <v>210956.0</v>
      </c>
      <c r="J89" s="3">
        <v>0.0</v>
      </c>
      <c r="K89" s="3">
        <v>1056.0</v>
      </c>
      <c r="L89" s="3">
        <v>0.0</v>
      </c>
      <c r="M89" s="3">
        <v>0.0</v>
      </c>
    </row>
    <row r="90">
      <c r="A90" s="3">
        <v>1000.0</v>
      </c>
      <c r="B90" s="3">
        <v>1.0</v>
      </c>
      <c r="C90" s="3">
        <v>5.0</v>
      </c>
      <c r="D90" s="3" t="s">
        <v>15</v>
      </c>
      <c r="E90" s="3" t="s">
        <v>14</v>
      </c>
      <c r="F90" s="3">
        <v>0.009</v>
      </c>
      <c r="G90" s="3">
        <v>1.0</v>
      </c>
      <c r="H90" s="3">
        <v>209287.0</v>
      </c>
      <c r="I90" s="3">
        <v>209287.0</v>
      </c>
      <c r="J90" s="3">
        <v>0.0</v>
      </c>
      <c r="K90" s="3">
        <v>1040.0</v>
      </c>
      <c r="L90" s="3">
        <v>0.0</v>
      </c>
      <c r="M90" s="3">
        <v>0.0</v>
      </c>
    </row>
    <row r="91">
      <c r="A91" s="3">
        <v>1000.0</v>
      </c>
      <c r="B91" s="3">
        <v>1.0</v>
      </c>
      <c r="C91" s="3">
        <v>5.0</v>
      </c>
      <c r="D91" s="3" t="s">
        <v>16</v>
      </c>
      <c r="E91" s="3" t="s">
        <v>14</v>
      </c>
      <c r="F91" s="3">
        <v>0.09</v>
      </c>
      <c r="G91" s="3">
        <v>1.0</v>
      </c>
      <c r="H91" s="3">
        <v>210167.0</v>
      </c>
      <c r="I91" s="3">
        <v>210167.0</v>
      </c>
      <c r="J91" s="3">
        <v>0.0</v>
      </c>
      <c r="K91" s="3">
        <v>1073.0</v>
      </c>
      <c r="L91" s="3">
        <v>0.0</v>
      </c>
      <c r="M91" s="3">
        <v>0.0</v>
      </c>
    </row>
    <row r="92">
      <c r="A92" s="3">
        <v>1000.0</v>
      </c>
      <c r="B92" s="3">
        <v>5.0</v>
      </c>
      <c r="C92" s="3">
        <v>1.0</v>
      </c>
      <c r="D92" s="3" t="s">
        <v>13</v>
      </c>
      <c r="E92" s="3" t="s">
        <v>14</v>
      </c>
      <c r="F92" s="3">
        <v>0.018</v>
      </c>
      <c r="G92" s="3">
        <v>1.0</v>
      </c>
      <c r="H92" s="3">
        <v>854844.0</v>
      </c>
      <c r="I92" s="3">
        <v>854844.0</v>
      </c>
      <c r="J92" s="3">
        <v>0.0</v>
      </c>
      <c r="K92" s="3">
        <v>1852.0</v>
      </c>
      <c r="L92" s="3">
        <v>0.0</v>
      </c>
      <c r="M92" s="3">
        <v>0.0</v>
      </c>
    </row>
    <row r="93">
      <c r="A93" s="3">
        <v>1000.0</v>
      </c>
      <c r="B93" s="3">
        <v>5.0</v>
      </c>
      <c r="C93" s="3">
        <v>1.0</v>
      </c>
      <c r="D93" s="3" t="s">
        <v>15</v>
      </c>
      <c r="E93" s="3" t="s">
        <v>14</v>
      </c>
      <c r="F93" s="3">
        <v>0.111</v>
      </c>
      <c r="G93" s="3">
        <v>1.0</v>
      </c>
      <c r="H93" s="3">
        <v>853866.0</v>
      </c>
      <c r="I93" s="3">
        <v>853866.0</v>
      </c>
      <c r="J93" s="3">
        <v>0.0</v>
      </c>
      <c r="K93" s="3">
        <v>1743.0</v>
      </c>
      <c r="L93" s="3">
        <v>0.0</v>
      </c>
      <c r="M93" s="3">
        <v>0.0</v>
      </c>
    </row>
    <row r="94">
      <c r="A94" s="3">
        <v>1000.0</v>
      </c>
      <c r="B94" s="3">
        <v>5.0</v>
      </c>
      <c r="C94" s="3">
        <v>1.0</v>
      </c>
      <c r="D94" s="3" t="s">
        <v>16</v>
      </c>
      <c r="E94" s="3" t="s">
        <v>14</v>
      </c>
      <c r="F94" s="3">
        <v>0.224</v>
      </c>
      <c r="G94" s="3">
        <v>1.0</v>
      </c>
      <c r="H94" s="3">
        <v>853407.0</v>
      </c>
      <c r="I94" s="3">
        <v>853407.0</v>
      </c>
      <c r="J94" s="3">
        <v>0.0</v>
      </c>
      <c r="K94" s="3">
        <v>1741.0</v>
      </c>
      <c r="L94" s="3">
        <v>0.0</v>
      </c>
      <c r="M94" s="3">
        <v>0.0</v>
      </c>
    </row>
    <row r="95">
      <c r="A95" s="3">
        <v>1000.0</v>
      </c>
      <c r="B95" s="3">
        <v>5.0</v>
      </c>
      <c r="C95" s="3">
        <v>2.0</v>
      </c>
      <c r="D95" s="3" t="s">
        <v>13</v>
      </c>
      <c r="E95" s="3" t="s">
        <v>14</v>
      </c>
      <c r="F95" s="3">
        <v>0.02</v>
      </c>
      <c r="G95" s="3">
        <v>1.0</v>
      </c>
      <c r="H95" s="3">
        <v>859510.0</v>
      </c>
      <c r="I95" s="3">
        <v>859510.0</v>
      </c>
      <c r="J95" s="3">
        <v>0.0</v>
      </c>
      <c r="K95" s="3">
        <v>1777.0</v>
      </c>
      <c r="L95" s="3">
        <v>0.0</v>
      </c>
      <c r="M95" s="3">
        <v>0.0</v>
      </c>
    </row>
    <row r="96">
      <c r="A96" s="3">
        <v>1000.0</v>
      </c>
      <c r="B96" s="3">
        <v>5.0</v>
      </c>
      <c r="C96" s="3">
        <v>2.0</v>
      </c>
      <c r="D96" s="3" t="s">
        <v>15</v>
      </c>
      <c r="E96" s="3" t="s">
        <v>14</v>
      </c>
      <c r="F96" s="3">
        <v>0.121</v>
      </c>
      <c r="G96" s="3">
        <v>1.0</v>
      </c>
      <c r="H96" s="3">
        <v>859834.0</v>
      </c>
      <c r="I96" s="3">
        <v>859834.0</v>
      </c>
      <c r="J96" s="3">
        <v>0.0</v>
      </c>
      <c r="K96" s="3">
        <v>1800.0</v>
      </c>
      <c r="L96" s="3">
        <v>0.0</v>
      </c>
      <c r="M96" s="3">
        <v>0.0</v>
      </c>
    </row>
    <row r="97">
      <c r="A97" s="3">
        <v>1000.0</v>
      </c>
      <c r="B97" s="3">
        <v>5.0</v>
      </c>
      <c r="C97" s="3">
        <v>2.0</v>
      </c>
      <c r="D97" s="3" t="s">
        <v>16</v>
      </c>
      <c r="E97" s="3" t="s">
        <v>14</v>
      </c>
      <c r="F97" s="3">
        <v>0.203</v>
      </c>
      <c r="G97" s="3">
        <v>1.0</v>
      </c>
      <c r="H97" s="3">
        <v>860539.0</v>
      </c>
      <c r="I97" s="3">
        <v>860539.0</v>
      </c>
      <c r="J97" s="3">
        <v>0.0</v>
      </c>
      <c r="K97" s="3">
        <v>1792.0</v>
      </c>
      <c r="L97" s="3">
        <v>0.0</v>
      </c>
      <c r="M97" s="3">
        <v>0.0</v>
      </c>
    </row>
    <row r="98">
      <c r="A98" s="3">
        <v>1000.0</v>
      </c>
      <c r="B98" s="3">
        <v>5.0</v>
      </c>
      <c r="C98" s="3">
        <v>3.0</v>
      </c>
      <c r="D98" s="3" t="s">
        <v>13</v>
      </c>
      <c r="E98" s="3" t="s">
        <v>14</v>
      </c>
      <c r="F98" s="3">
        <v>0.021</v>
      </c>
      <c r="G98" s="3">
        <v>1.0</v>
      </c>
      <c r="H98" s="3">
        <v>863653.0</v>
      </c>
      <c r="I98" s="3">
        <v>863653.0</v>
      </c>
      <c r="J98" s="3">
        <v>0.0</v>
      </c>
      <c r="K98" s="3">
        <v>1832.0</v>
      </c>
      <c r="L98" s="3">
        <v>0.0</v>
      </c>
      <c r="M98" s="3">
        <v>0.0</v>
      </c>
    </row>
    <row r="99">
      <c r="A99" s="3">
        <v>1000.0</v>
      </c>
      <c r="B99" s="3">
        <v>5.0</v>
      </c>
      <c r="C99" s="3">
        <v>3.0</v>
      </c>
      <c r="D99" s="3" t="s">
        <v>15</v>
      </c>
      <c r="E99" s="3" t="s">
        <v>14</v>
      </c>
      <c r="F99" s="3">
        <v>0.11</v>
      </c>
      <c r="G99" s="3">
        <v>1.0</v>
      </c>
      <c r="H99" s="3">
        <v>866347.0</v>
      </c>
      <c r="I99" s="3">
        <v>866347.0</v>
      </c>
      <c r="J99" s="3">
        <v>0.0</v>
      </c>
      <c r="K99" s="3">
        <v>1931.0</v>
      </c>
      <c r="L99" s="3">
        <v>0.0</v>
      </c>
      <c r="M99" s="3">
        <v>0.0</v>
      </c>
    </row>
    <row r="100">
      <c r="A100" s="3">
        <v>1000.0</v>
      </c>
      <c r="B100" s="3">
        <v>5.0</v>
      </c>
      <c r="C100" s="3">
        <v>3.0</v>
      </c>
      <c r="D100" s="3" t="s">
        <v>16</v>
      </c>
      <c r="E100" s="3" t="s">
        <v>14</v>
      </c>
      <c r="F100" s="3">
        <v>0.253</v>
      </c>
      <c r="G100" s="3">
        <v>1.0</v>
      </c>
      <c r="H100" s="3">
        <v>863927.0</v>
      </c>
      <c r="I100" s="3">
        <v>863927.0</v>
      </c>
      <c r="J100" s="3">
        <v>0.0</v>
      </c>
      <c r="K100" s="3">
        <v>1794.0</v>
      </c>
      <c r="L100" s="3">
        <v>0.0</v>
      </c>
      <c r="M100" s="3">
        <v>0.0</v>
      </c>
    </row>
    <row r="101">
      <c r="A101" s="3">
        <v>1000.0</v>
      </c>
      <c r="B101" s="3">
        <v>5.0</v>
      </c>
      <c r="C101" s="3">
        <v>4.0</v>
      </c>
      <c r="D101" s="3" t="s">
        <v>13</v>
      </c>
      <c r="E101" s="3" t="s">
        <v>14</v>
      </c>
      <c r="F101" s="3">
        <v>0.026</v>
      </c>
      <c r="G101" s="3">
        <v>1.0</v>
      </c>
      <c r="H101" s="3">
        <v>865311.0</v>
      </c>
      <c r="I101" s="3">
        <v>865311.0</v>
      </c>
      <c r="J101" s="3">
        <v>0.0</v>
      </c>
      <c r="K101" s="3">
        <v>1747.0</v>
      </c>
      <c r="L101" s="3">
        <v>0.0</v>
      </c>
      <c r="M101" s="3">
        <v>0.0</v>
      </c>
    </row>
    <row r="102">
      <c r="A102" s="3">
        <v>1000.0</v>
      </c>
      <c r="B102" s="3">
        <v>5.0</v>
      </c>
      <c r="C102" s="3">
        <v>4.0</v>
      </c>
      <c r="D102" s="3" t="s">
        <v>15</v>
      </c>
      <c r="E102" s="3" t="s">
        <v>14</v>
      </c>
      <c r="F102" s="3">
        <v>0.109</v>
      </c>
      <c r="G102" s="3">
        <v>1.0</v>
      </c>
      <c r="H102" s="3">
        <v>861031.0</v>
      </c>
      <c r="I102" s="3">
        <v>861031.0</v>
      </c>
      <c r="J102" s="3">
        <v>0.0</v>
      </c>
      <c r="K102" s="3">
        <v>1734.0</v>
      </c>
      <c r="L102" s="3">
        <v>0.0</v>
      </c>
      <c r="M102" s="3">
        <v>0.0</v>
      </c>
    </row>
    <row r="103">
      <c r="A103" s="3">
        <v>1000.0</v>
      </c>
      <c r="B103" s="3">
        <v>5.0</v>
      </c>
      <c r="C103" s="3">
        <v>4.0</v>
      </c>
      <c r="D103" s="3" t="s">
        <v>16</v>
      </c>
      <c r="E103" s="3" t="s">
        <v>14</v>
      </c>
      <c r="F103" s="3">
        <v>0.164</v>
      </c>
      <c r="G103" s="3">
        <v>1.0</v>
      </c>
      <c r="H103" s="3">
        <v>863242.0</v>
      </c>
      <c r="I103" s="3">
        <v>863242.0</v>
      </c>
      <c r="J103" s="3">
        <v>0.0</v>
      </c>
      <c r="K103" s="3">
        <v>1818.0</v>
      </c>
      <c r="L103" s="3">
        <v>0.0</v>
      </c>
      <c r="M103" s="3">
        <v>0.0</v>
      </c>
    </row>
    <row r="104">
      <c r="A104" s="3">
        <v>1000.0</v>
      </c>
      <c r="B104" s="3">
        <v>5.0</v>
      </c>
      <c r="C104" s="3">
        <v>5.0</v>
      </c>
      <c r="D104" s="3" t="s">
        <v>13</v>
      </c>
      <c r="E104" s="3" t="s">
        <v>14</v>
      </c>
      <c r="F104" s="3">
        <v>0.022</v>
      </c>
      <c r="G104" s="3">
        <v>1.0</v>
      </c>
      <c r="H104" s="3">
        <v>856406.0</v>
      </c>
      <c r="I104" s="3">
        <v>856406.0</v>
      </c>
      <c r="J104" s="3">
        <v>0.0</v>
      </c>
      <c r="K104" s="3">
        <v>1796.0</v>
      </c>
      <c r="L104" s="3">
        <v>0.0</v>
      </c>
      <c r="M104" s="3">
        <v>0.0</v>
      </c>
    </row>
    <row r="105">
      <c r="A105" s="3">
        <v>1000.0</v>
      </c>
      <c r="B105" s="3">
        <v>5.0</v>
      </c>
      <c r="C105" s="3">
        <v>5.0</v>
      </c>
      <c r="D105" s="3" t="s">
        <v>15</v>
      </c>
      <c r="E105" s="3" t="s">
        <v>14</v>
      </c>
      <c r="F105" s="3">
        <v>0.103</v>
      </c>
      <c r="G105" s="3">
        <v>1.0</v>
      </c>
      <c r="H105" s="3">
        <v>861139.0</v>
      </c>
      <c r="I105" s="3">
        <v>861139.0</v>
      </c>
      <c r="J105" s="3">
        <v>0.0</v>
      </c>
      <c r="K105" s="3">
        <v>1813.0</v>
      </c>
      <c r="L105" s="3">
        <v>0.0</v>
      </c>
      <c r="M105" s="3">
        <v>0.0</v>
      </c>
    </row>
    <row r="106">
      <c r="A106" s="3">
        <v>1000.0</v>
      </c>
      <c r="B106" s="3">
        <v>5.0</v>
      </c>
      <c r="C106" s="3">
        <v>5.0</v>
      </c>
      <c r="D106" s="3" t="s">
        <v>16</v>
      </c>
      <c r="E106" s="3" t="s">
        <v>14</v>
      </c>
      <c r="F106" s="3">
        <v>0.158</v>
      </c>
      <c r="G106" s="3">
        <v>1.0</v>
      </c>
      <c r="H106" s="3">
        <v>858856.0</v>
      </c>
      <c r="I106" s="3">
        <v>858856.0</v>
      </c>
      <c r="J106" s="3">
        <v>0.0</v>
      </c>
      <c r="K106" s="3">
        <v>1744.0</v>
      </c>
      <c r="L106" s="3">
        <v>0.0</v>
      </c>
      <c r="M106" s="3">
        <v>0.0</v>
      </c>
    </row>
    <row r="107">
      <c r="A107" s="3">
        <v>1000.0</v>
      </c>
      <c r="B107" s="3">
        <v>10.0</v>
      </c>
      <c r="C107" s="3">
        <v>1.0</v>
      </c>
      <c r="D107" s="3" t="s">
        <v>13</v>
      </c>
      <c r="E107" s="3" t="s">
        <v>14</v>
      </c>
      <c r="F107" s="3">
        <v>0.057</v>
      </c>
      <c r="G107" s="3">
        <v>1.0</v>
      </c>
      <c r="H107" s="3">
        <v>1601048.0</v>
      </c>
      <c r="I107" s="3">
        <v>1601048.0</v>
      </c>
      <c r="J107" s="3">
        <v>0.0</v>
      </c>
      <c r="K107" s="3">
        <v>2104.0</v>
      </c>
      <c r="L107" s="3">
        <v>0.0</v>
      </c>
      <c r="M107" s="3">
        <v>0.0</v>
      </c>
    </row>
    <row r="108">
      <c r="A108" s="3">
        <v>1000.0</v>
      </c>
      <c r="B108" s="3">
        <v>10.0</v>
      </c>
      <c r="C108" s="3">
        <v>1.0</v>
      </c>
      <c r="D108" s="3" t="s">
        <v>15</v>
      </c>
      <c r="E108" s="3" t="s">
        <v>14</v>
      </c>
      <c r="F108" s="3">
        <v>0.335</v>
      </c>
      <c r="G108" s="3">
        <v>1.0</v>
      </c>
      <c r="H108" s="3">
        <v>1604942.0</v>
      </c>
      <c r="I108" s="3">
        <v>1604942.0</v>
      </c>
      <c r="J108" s="3">
        <v>0.0</v>
      </c>
      <c r="K108" s="3">
        <v>2092.0</v>
      </c>
      <c r="L108" s="3">
        <v>0.0</v>
      </c>
      <c r="M108" s="3">
        <v>0.0</v>
      </c>
    </row>
    <row r="109">
      <c r="A109" s="3">
        <v>1000.0</v>
      </c>
      <c r="B109" s="3">
        <v>10.0</v>
      </c>
      <c r="C109" s="3">
        <v>1.0</v>
      </c>
      <c r="D109" s="3" t="s">
        <v>16</v>
      </c>
      <c r="E109" s="3" t="s">
        <v>14</v>
      </c>
      <c r="F109" s="3">
        <v>0.255</v>
      </c>
      <c r="G109" s="3">
        <v>1.0</v>
      </c>
      <c r="H109" s="3">
        <v>1600815.0</v>
      </c>
      <c r="I109" s="3">
        <v>1600815.0</v>
      </c>
      <c r="J109" s="3">
        <v>0.0</v>
      </c>
      <c r="K109" s="3">
        <v>1972.0</v>
      </c>
      <c r="L109" s="3">
        <v>0.0</v>
      </c>
      <c r="M109" s="3">
        <v>0.0</v>
      </c>
    </row>
    <row r="110">
      <c r="A110" s="3">
        <v>1000.0</v>
      </c>
      <c r="B110" s="3">
        <v>10.0</v>
      </c>
      <c r="C110" s="3">
        <v>2.0</v>
      </c>
      <c r="D110" s="3" t="s">
        <v>13</v>
      </c>
      <c r="E110" s="3" t="s">
        <v>14</v>
      </c>
      <c r="F110" s="3">
        <v>0.072</v>
      </c>
      <c r="G110" s="3">
        <v>1.0</v>
      </c>
      <c r="H110" s="3">
        <v>1623923.0</v>
      </c>
      <c r="I110" s="3">
        <v>1623923.0</v>
      </c>
      <c r="J110" s="3">
        <v>0.0</v>
      </c>
      <c r="K110" s="3">
        <v>2172.0</v>
      </c>
      <c r="L110" s="3">
        <v>0.0</v>
      </c>
      <c r="M110" s="3">
        <v>0.0</v>
      </c>
    </row>
    <row r="111">
      <c r="A111" s="3">
        <v>1000.0</v>
      </c>
      <c r="B111" s="3">
        <v>10.0</v>
      </c>
      <c r="C111" s="3">
        <v>2.0</v>
      </c>
      <c r="D111" s="3" t="s">
        <v>15</v>
      </c>
      <c r="E111" s="3" t="s">
        <v>14</v>
      </c>
      <c r="F111" s="3">
        <v>0.389</v>
      </c>
      <c r="G111" s="3">
        <v>1.0</v>
      </c>
      <c r="H111" s="3">
        <v>1627387.0</v>
      </c>
      <c r="I111" s="3">
        <v>1627387.0</v>
      </c>
      <c r="J111" s="3">
        <v>0.0</v>
      </c>
      <c r="K111" s="3">
        <v>2170.0</v>
      </c>
      <c r="L111" s="3">
        <v>0.0</v>
      </c>
      <c r="M111" s="3">
        <v>0.0</v>
      </c>
    </row>
    <row r="112">
      <c r="A112" s="3">
        <v>1000.0</v>
      </c>
      <c r="B112" s="3">
        <v>10.0</v>
      </c>
      <c r="C112" s="3">
        <v>2.0</v>
      </c>
      <c r="D112" s="3" t="s">
        <v>16</v>
      </c>
      <c r="E112" s="3" t="s">
        <v>14</v>
      </c>
      <c r="F112" s="3">
        <v>0.321</v>
      </c>
      <c r="G112" s="3">
        <v>1.0</v>
      </c>
      <c r="H112" s="3">
        <v>1623724.0</v>
      </c>
      <c r="I112" s="3">
        <v>1623724.0</v>
      </c>
      <c r="J112" s="3">
        <v>0.0</v>
      </c>
      <c r="K112" s="3">
        <v>2072.0</v>
      </c>
      <c r="L112" s="3">
        <v>0.0</v>
      </c>
      <c r="M112" s="3">
        <v>0.0</v>
      </c>
    </row>
    <row r="113">
      <c r="A113" s="3">
        <v>1000.0</v>
      </c>
      <c r="B113" s="3">
        <v>10.0</v>
      </c>
      <c r="C113" s="3">
        <v>3.0</v>
      </c>
      <c r="D113" s="3" t="s">
        <v>13</v>
      </c>
      <c r="E113" s="3" t="s">
        <v>14</v>
      </c>
      <c r="F113" s="3">
        <v>0.054</v>
      </c>
      <c r="G113" s="3">
        <v>1.0</v>
      </c>
      <c r="H113" s="3">
        <v>1621610.0</v>
      </c>
      <c r="I113" s="3">
        <v>1621610.0</v>
      </c>
      <c r="J113" s="3">
        <v>0.0</v>
      </c>
      <c r="K113" s="3">
        <v>2117.0</v>
      </c>
      <c r="L113" s="3">
        <v>0.0</v>
      </c>
      <c r="M113" s="3">
        <v>0.0</v>
      </c>
    </row>
    <row r="114">
      <c r="A114" s="3">
        <v>1000.0</v>
      </c>
      <c r="B114" s="3">
        <v>10.0</v>
      </c>
      <c r="C114" s="3">
        <v>3.0</v>
      </c>
      <c r="D114" s="3" t="s">
        <v>15</v>
      </c>
      <c r="E114" s="3" t="s">
        <v>14</v>
      </c>
      <c r="F114" s="3">
        <v>0.353</v>
      </c>
      <c r="G114" s="3">
        <v>1.0</v>
      </c>
      <c r="H114" s="3">
        <v>1623099.0</v>
      </c>
      <c r="I114" s="3">
        <v>1623099.0</v>
      </c>
      <c r="J114" s="3">
        <v>0.0</v>
      </c>
      <c r="K114" s="3">
        <v>2103.0</v>
      </c>
      <c r="L114" s="3">
        <v>0.0</v>
      </c>
      <c r="M114" s="3">
        <v>0.0</v>
      </c>
    </row>
    <row r="115">
      <c r="A115" s="3">
        <v>1000.0</v>
      </c>
      <c r="B115" s="3">
        <v>10.0</v>
      </c>
      <c r="C115" s="3">
        <v>3.0</v>
      </c>
      <c r="D115" s="3" t="s">
        <v>16</v>
      </c>
      <c r="E115" s="3" t="s">
        <v>14</v>
      </c>
      <c r="F115" s="3">
        <v>0.25</v>
      </c>
      <c r="G115" s="3">
        <v>1.0</v>
      </c>
      <c r="H115" s="3">
        <v>1623589.0</v>
      </c>
      <c r="I115" s="3">
        <v>1623589.0</v>
      </c>
      <c r="J115" s="3">
        <v>0.0</v>
      </c>
      <c r="K115" s="3">
        <v>2166.0</v>
      </c>
      <c r="L115" s="3">
        <v>0.0</v>
      </c>
      <c r="M115" s="3">
        <v>0.0</v>
      </c>
    </row>
    <row r="116">
      <c r="A116" s="3">
        <v>1000.0</v>
      </c>
      <c r="B116" s="3">
        <v>10.0</v>
      </c>
      <c r="C116" s="3">
        <v>4.0</v>
      </c>
      <c r="D116" s="3" t="s">
        <v>13</v>
      </c>
      <c r="E116" s="3" t="s">
        <v>14</v>
      </c>
      <c r="F116" s="3">
        <v>0.049</v>
      </c>
      <c r="G116" s="3">
        <v>1.0</v>
      </c>
      <c r="H116" s="3">
        <v>1617446.0</v>
      </c>
      <c r="I116" s="3">
        <v>1617446.0</v>
      </c>
      <c r="J116" s="3">
        <v>0.0</v>
      </c>
      <c r="K116" s="3">
        <v>2016.0</v>
      </c>
      <c r="L116" s="3">
        <v>0.0</v>
      </c>
      <c r="M116" s="3">
        <v>0.0</v>
      </c>
    </row>
    <row r="117">
      <c r="A117" s="3">
        <v>1000.0</v>
      </c>
      <c r="B117" s="3">
        <v>10.0</v>
      </c>
      <c r="C117" s="3">
        <v>4.0</v>
      </c>
      <c r="D117" s="3" t="s">
        <v>15</v>
      </c>
      <c r="E117" s="3" t="s">
        <v>14</v>
      </c>
      <c r="F117" s="3">
        <v>0.362</v>
      </c>
      <c r="G117" s="3">
        <v>1.0</v>
      </c>
      <c r="H117" s="3">
        <v>1620935.0</v>
      </c>
      <c r="I117" s="3">
        <v>1620935.0</v>
      </c>
      <c r="J117" s="3">
        <v>0.0</v>
      </c>
      <c r="K117" s="3">
        <v>2214.0</v>
      </c>
      <c r="L117" s="3">
        <v>0.0</v>
      </c>
      <c r="M117" s="3">
        <v>0.0</v>
      </c>
    </row>
    <row r="118">
      <c r="A118" s="3">
        <v>1000.0</v>
      </c>
      <c r="B118" s="3">
        <v>10.0</v>
      </c>
      <c r="C118" s="3">
        <v>4.0</v>
      </c>
      <c r="D118" s="3" t="s">
        <v>16</v>
      </c>
      <c r="E118" s="3" t="s">
        <v>14</v>
      </c>
      <c r="F118" s="3">
        <v>0.233</v>
      </c>
      <c r="G118" s="3">
        <v>1.0</v>
      </c>
      <c r="H118" s="3">
        <v>1617531.0</v>
      </c>
      <c r="I118" s="3">
        <v>1617531.0</v>
      </c>
      <c r="J118" s="3">
        <v>0.0</v>
      </c>
      <c r="K118" s="3">
        <v>2131.0</v>
      </c>
      <c r="L118" s="3">
        <v>0.0</v>
      </c>
      <c r="M118" s="3">
        <v>0.0</v>
      </c>
    </row>
    <row r="119">
      <c r="A119" s="3">
        <v>1000.0</v>
      </c>
      <c r="B119" s="3">
        <v>10.0</v>
      </c>
      <c r="C119" s="3">
        <v>5.0</v>
      </c>
      <c r="D119" s="3" t="s">
        <v>13</v>
      </c>
      <c r="E119" s="3" t="s">
        <v>14</v>
      </c>
      <c r="F119" s="3">
        <v>0.061</v>
      </c>
      <c r="G119" s="3">
        <v>1.0</v>
      </c>
      <c r="H119" s="3">
        <v>1616855.0</v>
      </c>
      <c r="I119" s="3">
        <v>1616855.0</v>
      </c>
      <c r="J119" s="3">
        <v>0.0</v>
      </c>
      <c r="K119" s="3">
        <v>2160.0</v>
      </c>
      <c r="L119" s="3">
        <v>0.0</v>
      </c>
      <c r="M119" s="3">
        <v>0.0</v>
      </c>
    </row>
    <row r="120">
      <c r="A120" s="3">
        <v>1000.0</v>
      </c>
      <c r="B120" s="3">
        <v>10.0</v>
      </c>
      <c r="C120" s="3">
        <v>5.0</v>
      </c>
      <c r="D120" s="3" t="s">
        <v>15</v>
      </c>
      <c r="E120" s="3" t="s">
        <v>14</v>
      </c>
      <c r="F120" s="3">
        <v>0.387</v>
      </c>
      <c r="G120" s="3">
        <v>1.0</v>
      </c>
      <c r="H120" s="3">
        <v>1617658.0</v>
      </c>
      <c r="I120" s="3">
        <v>1617658.0</v>
      </c>
      <c r="J120" s="3">
        <v>0.0</v>
      </c>
      <c r="K120" s="3">
        <v>2084.0</v>
      </c>
      <c r="L120" s="3">
        <v>0.0</v>
      </c>
      <c r="M120" s="3">
        <v>0.0</v>
      </c>
    </row>
    <row r="121">
      <c r="A121" s="3">
        <v>1000.0</v>
      </c>
      <c r="B121" s="3">
        <v>10.0</v>
      </c>
      <c r="C121" s="3">
        <v>5.0</v>
      </c>
      <c r="D121" s="3" t="s">
        <v>16</v>
      </c>
      <c r="E121" s="3" t="s">
        <v>14</v>
      </c>
      <c r="F121" s="3">
        <v>0.232</v>
      </c>
      <c r="G121" s="3">
        <v>1.0</v>
      </c>
      <c r="H121" s="3">
        <v>1617488.0</v>
      </c>
      <c r="I121" s="3">
        <v>1617488.0</v>
      </c>
      <c r="J121" s="3">
        <v>0.0</v>
      </c>
      <c r="K121" s="3">
        <v>2119.0</v>
      </c>
      <c r="L121" s="3">
        <v>0.0</v>
      </c>
      <c r="M121" s="3">
        <v>0.0</v>
      </c>
    </row>
    <row r="122">
      <c r="A122" s="3">
        <v>1000.0</v>
      </c>
      <c r="B122" s="3">
        <v>50.0</v>
      </c>
      <c r="C122" s="3">
        <v>1.0</v>
      </c>
      <c r="D122" s="3" t="s">
        <v>13</v>
      </c>
      <c r="E122" s="3" t="s">
        <v>14</v>
      </c>
      <c r="F122" s="3">
        <v>0.975</v>
      </c>
      <c r="G122" s="3">
        <v>1.0</v>
      </c>
      <c r="H122" s="3">
        <v>8062075.0</v>
      </c>
      <c r="I122" s="3">
        <v>8062075.0</v>
      </c>
      <c r="J122" s="3">
        <v>0.0</v>
      </c>
      <c r="K122" s="3">
        <v>2902.0</v>
      </c>
      <c r="L122" s="3">
        <v>0.0</v>
      </c>
      <c r="M122" s="3">
        <v>0.0</v>
      </c>
    </row>
    <row r="123">
      <c r="A123" s="3">
        <v>1000.0</v>
      </c>
      <c r="B123" s="3">
        <v>50.0</v>
      </c>
      <c r="C123" s="3">
        <v>1.0</v>
      </c>
      <c r="D123" s="3" t="s">
        <v>15</v>
      </c>
      <c r="E123" s="3" t="s">
        <v>14</v>
      </c>
      <c r="F123" s="3">
        <v>5.024</v>
      </c>
      <c r="G123" s="3">
        <v>1.0</v>
      </c>
      <c r="H123" s="3">
        <v>8068919.0</v>
      </c>
      <c r="I123" s="3">
        <v>8068919.0</v>
      </c>
      <c r="J123" s="3">
        <v>0.0</v>
      </c>
      <c r="K123" s="3">
        <v>2983.0</v>
      </c>
      <c r="L123" s="3">
        <v>0.0</v>
      </c>
      <c r="M123" s="3">
        <v>1.0</v>
      </c>
    </row>
    <row r="124">
      <c r="A124" s="3">
        <v>1000.0</v>
      </c>
      <c r="B124" s="3">
        <v>50.0</v>
      </c>
      <c r="C124" s="3">
        <v>1.0</v>
      </c>
      <c r="D124" s="3" t="s">
        <v>16</v>
      </c>
      <c r="E124" s="3" t="s">
        <v>14</v>
      </c>
      <c r="F124" s="3">
        <v>0.236</v>
      </c>
      <c r="G124" s="3">
        <v>1.0</v>
      </c>
      <c r="H124" s="3">
        <v>8073439.0</v>
      </c>
      <c r="I124" s="3">
        <v>8073439.0</v>
      </c>
      <c r="J124" s="3">
        <v>0.0</v>
      </c>
      <c r="K124" s="3">
        <v>2991.0</v>
      </c>
      <c r="L124" s="3">
        <v>0.0</v>
      </c>
      <c r="M124" s="3">
        <v>0.0</v>
      </c>
    </row>
    <row r="125">
      <c r="A125" s="3">
        <v>1000.0</v>
      </c>
      <c r="B125" s="3">
        <v>50.0</v>
      </c>
      <c r="C125" s="3">
        <v>2.0</v>
      </c>
      <c r="D125" s="3" t="s">
        <v>13</v>
      </c>
      <c r="E125" s="3" t="s">
        <v>14</v>
      </c>
      <c r="F125" s="3">
        <v>1.07</v>
      </c>
      <c r="G125" s="3">
        <v>1.0</v>
      </c>
      <c r="H125" s="3">
        <v>8070430.0</v>
      </c>
      <c r="I125" s="3">
        <v>8070430.0</v>
      </c>
      <c r="J125" s="3">
        <v>0.0</v>
      </c>
      <c r="K125" s="3">
        <v>3131.0</v>
      </c>
      <c r="L125" s="3">
        <v>0.0</v>
      </c>
      <c r="M125" s="3">
        <v>0.0</v>
      </c>
    </row>
    <row r="126">
      <c r="A126" s="3">
        <v>1000.0</v>
      </c>
      <c r="B126" s="3">
        <v>50.0</v>
      </c>
      <c r="C126" s="3">
        <v>2.0</v>
      </c>
      <c r="D126" s="3" t="s">
        <v>15</v>
      </c>
      <c r="E126" s="3" t="s">
        <v>14</v>
      </c>
      <c r="F126" s="3">
        <v>4.706</v>
      </c>
      <c r="G126" s="3">
        <v>1.0</v>
      </c>
      <c r="H126" s="3">
        <v>8071049.0</v>
      </c>
      <c r="I126" s="3">
        <v>8071049.0</v>
      </c>
      <c r="J126" s="3">
        <v>0.0</v>
      </c>
      <c r="K126" s="3">
        <v>2936.0</v>
      </c>
      <c r="L126" s="3">
        <v>0.0</v>
      </c>
      <c r="M126" s="3">
        <v>1.0</v>
      </c>
    </row>
    <row r="127">
      <c r="A127" s="3">
        <v>1000.0</v>
      </c>
      <c r="B127" s="3">
        <v>50.0</v>
      </c>
      <c r="C127" s="3">
        <v>2.0</v>
      </c>
      <c r="D127" s="3" t="s">
        <v>16</v>
      </c>
      <c r="E127" s="3" t="s">
        <v>14</v>
      </c>
      <c r="F127" s="3">
        <v>0.219</v>
      </c>
      <c r="G127" s="3">
        <v>1.0</v>
      </c>
      <c r="H127" s="3">
        <v>8073419.0</v>
      </c>
      <c r="I127" s="3">
        <v>8073419.0</v>
      </c>
      <c r="J127" s="3">
        <v>0.0</v>
      </c>
      <c r="K127" s="3">
        <v>2994.0</v>
      </c>
      <c r="L127" s="3">
        <v>0.0</v>
      </c>
      <c r="M127" s="3">
        <v>0.0</v>
      </c>
    </row>
    <row r="128">
      <c r="A128" s="3">
        <v>1000.0</v>
      </c>
      <c r="B128" s="3">
        <v>50.0</v>
      </c>
      <c r="C128" s="3">
        <v>3.0</v>
      </c>
      <c r="D128" s="3" t="s">
        <v>13</v>
      </c>
      <c r="E128" s="3" t="s">
        <v>14</v>
      </c>
      <c r="F128" s="3">
        <v>0.999</v>
      </c>
      <c r="G128" s="3">
        <v>1.0</v>
      </c>
      <c r="H128" s="3">
        <v>8071459.0</v>
      </c>
      <c r="I128" s="3">
        <v>8071459.0</v>
      </c>
      <c r="J128" s="3">
        <v>0.0</v>
      </c>
      <c r="K128" s="3">
        <v>2963.0</v>
      </c>
      <c r="L128" s="3">
        <v>0.0</v>
      </c>
      <c r="M128" s="3">
        <v>0.0</v>
      </c>
    </row>
    <row r="129">
      <c r="A129" s="3">
        <v>1000.0</v>
      </c>
      <c r="B129" s="3">
        <v>50.0</v>
      </c>
      <c r="C129" s="3">
        <v>3.0</v>
      </c>
      <c r="D129" s="3" t="s">
        <v>15</v>
      </c>
      <c r="E129" s="3" t="s">
        <v>14</v>
      </c>
      <c r="F129" s="3">
        <v>4.547</v>
      </c>
      <c r="G129" s="3">
        <v>1.0</v>
      </c>
      <c r="H129" s="3">
        <v>8067433.0</v>
      </c>
      <c r="I129" s="3">
        <v>8067433.0</v>
      </c>
      <c r="J129" s="3">
        <v>0.0</v>
      </c>
      <c r="K129" s="3">
        <v>2949.0</v>
      </c>
      <c r="L129" s="3">
        <v>0.0</v>
      </c>
      <c r="M129" s="3">
        <v>1.0</v>
      </c>
    </row>
    <row r="130">
      <c r="A130" s="3">
        <v>1000.0</v>
      </c>
      <c r="B130" s="3">
        <v>50.0</v>
      </c>
      <c r="C130" s="3">
        <v>3.0</v>
      </c>
      <c r="D130" s="3" t="s">
        <v>16</v>
      </c>
      <c r="E130" s="3" t="s">
        <v>14</v>
      </c>
      <c r="F130" s="3">
        <v>0.252</v>
      </c>
      <c r="G130" s="3">
        <v>1.0</v>
      </c>
      <c r="H130" s="3">
        <v>8063673.0</v>
      </c>
      <c r="I130" s="3">
        <v>8063673.0</v>
      </c>
      <c r="J130" s="3">
        <v>0.0</v>
      </c>
      <c r="K130" s="3">
        <v>2923.0</v>
      </c>
      <c r="L130" s="3">
        <v>0.0</v>
      </c>
      <c r="M130" s="3">
        <v>0.0</v>
      </c>
    </row>
    <row r="131">
      <c r="A131" s="3">
        <v>1000.0</v>
      </c>
      <c r="B131" s="3">
        <v>50.0</v>
      </c>
      <c r="C131" s="3">
        <v>4.0</v>
      </c>
      <c r="D131" s="3" t="s">
        <v>13</v>
      </c>
      <c r="E131" s="3" t="s">
        <v>14</v>
      </c>
      <c r="F131" s="3">
        <v>0.956</v>
      </c>
      <c r="G131" s="3">
        <v>1.0</v>
      </c>
      <c r="H131" s="3">
        <v>8068570.0</v>
      </c>
      <c r="I131" s="3">
        <v>8068570.0</v>
      </c>
      <c r="J131" s="3">
        <v>0.0</v>
      </c>
      <c r="K131" s="3">
        <v>2875.0</v>
      </c>
      <c r="L131" s="3">
        <v>0.0</v>
      </c>
      <c r="M131" s="3">
        <v>0.0</v>
      </c>
    </row>
    <row r="132">
      <c r="A132" s="3">
        <v>1000.0</v>
      </c>
      <c r="B132" s="3">
        <v>50.0</v>
      </c>
      <c r="C132" s="3">
        <v>4.0</v>
      </c>
      <c r="D132" s="3" t="s">
        <v>15</v>
      </c>
      <c r="E132" s="3" t="s">
        <v>14</v>
      </c>
      <c r="F132" s="3">
        <v>4.796</v>
      </c>
      <c r="G132" s="3">
        <v>1.0</v>
      </c>
      <c r="H132" s="3">
        <v>8062608.0</v>
      </c>
      <c r="I132" s="3">
        <v>8062608.0</v>
      </c>
      <c r="J132" s="3">
        <v>0.0</v>
      </c>
      <c r="K132" s="3">
        <v>3097.0</v>
      </c>
      <c r="L132" s="3">
        <v>0.0</v>
      </c>
      <c r="M132" s="3">
        <v>1.0</v>
      </c>
    </row>
    <row r="133">
      <c r="A133" s="3">
        <v>1000.0</v>
      </c>
      <c r="B133" s="3">
        <v>50.0</v>
      </c>
      <c r="C133" s="3">
        <v>4.0</v>
      </c>
      <c r="D133" s="3" t="s">
        <v>16</v>
      </c>
      <c r="E133" s="3" t="s">
        <v>14</v>
      </c>
      <c r="F133" s="3">
        <v>0.277</v>
      </c>
      <c r="G133" s="3">
        <v>1.0</v>
      </c>
      <c r="H133" s="3">
        <v>8067637.0</v>
      </c>
      <c r="I133" s="3">
        <v>8067637.0</v>
      </c>
      <c r="J133" s="3">
        <v>0.0</v>
      </c>
      <c r="K133" s="3">
        <v>2913.0</v>
      </c>
      <c r="L133" s="3">
        <v>0.0</v>
      </c>
      <c r="M133" s="3">
        <v>0.0</v>
      </c>
    </row>
    <row r="134">
      <c r="A134" s="3">
        <v>1000.0</v>
      </c>
      <c r="B134" s="3">
        <v>50.0</v>
      </c>
      <c r="C134" s="3">
        <v>5.0</v>
      </c>
      <c r="D134" s="3" t="s">
        <v>13</v>
      </c>
      <c r="E134" s="3" t="s">
        <v>14</v>
      </c>
      <c r="F134" s="3">
        <v>1.042</v>
      </c>
      <c r="G134" s="3">
        <v>1.0</v>
      </c>
      <c r="H134" s="3">
        <v>8068783.0</v>
      </c>
      <c r="I134" s="3">
        <v>8068783.0</v>
      </c>
      <c r="J134" s="3">
        <v>0.0</v>
      </c>
      <c r="K134" s="3">
        <v>3021.0</v>
      </c>
      <c r="L134" s="3">
        <v>0.0</v>
      </c>
      <c r="M134" s="3">
        <v>0.0</v>
      </c>
    </row>
    <row r="135">
      <c r="A135" s="3">
        <v>1000.0</v>
      </c>
      <c r="B135" s="3">
        <v>50.0</v>
      </c>
      <c r="C135" s="3">
        <v>5.0</v>
      </c>
      <c r="D135" s="3" t="s">
        <v>15</v>
      </c>
      <c r="E135" s="3" t="s">
        <v>14</v>
      </c>
      <c r="F135" s="3">
        <v>4.826</v>
      </c>
      <c r="G135" s="3">
        <v>1.0</v>
      </c>
      <c r="H135" s="3">
        <v>8070335.0</v>
      </c>
      <c r="I135" s="3">
        <v>8070335.0</v>
      </c>
      <c r="J135" s="3">
        <v>0.0</v>
      </c>
      <c r="K135" s="3">
        <v>3012.0</v>
      </c>
      <c r="L135" s="3">
        <v>0.0</v>
      </c>
      <c r="M135" s="3">
        <v>1.0</v>
      </c>
    </row>
    <row r="136">
      <c r="A136" s="3">
        <v>1000.0</v>
      </c>
      <c r="B136" s="3">
        <v>50.0</v>
      </c>
      <c r="C136" s="3">
        <v>5.0</v>
      </c>
      <c r="D136" s="3" t="s">
        <v>16</v>
      </c>
      <c r="E136" s="3" t="s">
        <v>14</v>
      </c>
      <c r="F136" s="3">
        <v>0.368</v>
      </c>
      <c r="G136" s="3">
        <v>1.0</v>
      </c>
      <c r="H136" s="3">
        <v>8057978.0</v>
      </c>
      <c r="I136" s="3">
        <v>8057978.0</v>
      </c>
      <c r="J136" s="3">
        <v>0.0</v>
      </c>
      <c r="K136" s="3">
        <v>2922.0</v>
      </c>
      <c r="L136" s="3">
        <v>0.0</v>
      </c>
      <c r="M136" s="3">
        <v>0.0</v>
      </c>
    </row>
    <row r="137">
      <c r="A137" s="3">
        <v>1000.0</v>
      </c>
      <c r="B137" s="3">
        <v>100.0</v>
      </c>
      <c r="C137" s="3">
        <v>1.0</v>
      </c>
      <c r="D137" s="3" t="s">
        <v>13</v>
      </c>
      <c r="E137" s="3" t="s">
        <v>14</v>
      </c>
      <c r="F137" s="3">
        <v>3.55</v>
      </c>
      <c r="G137" s="3">
        <v>1.0</v>
      </c>
      <c r="H137" s="3">
        <v>2.57567E7</v>
      </c>
      <c r="I137" s="3">
        <v>2.57567E7</v>
      </c>
      <c r="J137" s="3">
        <v>0.0</v>
      </c>
      <c r="K137" s="3">
        <v>3366.0</v>
      </c>
      <c r="L137" s="3">
        <v>0.0</v>
      </c>
      <c r="M137" s="3">
        <v>0.0</v>
      </c>
    </row>
    <row r="138">
      <c r="A138" s="3">
        <v>1000.0</v>
      </c>
      <c r="B138" s="3">
        <v>100.0</v>
      </c>
      <c r="C138" s="3">
        <v>1.0</v>
      </c>
      <c r="D138" s="3" t="s">
        <v>15</v>
      </c>
      <c r="E138" s="3" t="s">
        <v>14</v>
      </c>
      <c r="F138" s="3">
        <v>12.511</v>
      </c>
      <c r="G138" s="3">
        <v>1.0</v>
      </c>
      <c r="H138" s="3">
        <v>2.5761673E7</v>
      </c>
      <c r="I138" s="3">
        <v>2.5761673E7</v>
      </c>
      <c r="J138" s="3">
        <v>0.0</v>
      </c>
      <c r="K138" s="3">
        <v>3479.0</v>
      </c>
      <c r="L138" s="3">
        <v>0.0</v>
      </c>
      <c r="M138" s="3">
        <v>3.0</v>
      </c>
    </row>
    <row r="139">
      <c r="A139" s="3">
        <v>1000.0</v>
      </c>
      <c r="B139" s="3">
        <v>100.0</v>
      </c>
      <c r="C139" s="3">
        <v>1.0</v>
      </c>
      <c r="D139" s="3" t="s">
        <v>16</v>
      </c>
      <c r="E139" s="3" t="s">
        <v>14</v>
      </c>
      <c r="F139" s="3">
        <v>0.272</v>
      </c>
      <c r="G139" s="3">
        <v>1.0</v>
      </c>
      <c r="H139" s="3">
        <v>2.5750159E7</v>
      </c>
      <c r="I139" s="3">
        <v>2.5750159E7</v>
      </c>
      <c r="J139" s="3">
        <v>0.0</v>
      </c>
      <c r="K139" s="3">
        <v>3346.0</v>
      </c>
      <c r="L139" s="3">
        <v>0.0</v>
      </c>
      <c r="M139" s="3">
        <v>0.0</v>
      </c>
    </row>
    <row r="140">
      <c r="A140" s="3">
        <v>1000.0</v>
      </c>
      <c r="B140" s="3">
        <v>100.0</v>
      </c>
      <c r="C140" s="3">
        <v>2.0</v>
      </c>
      <c r="D140" s="3" t="s">
        <v>13</v>
      </c>
      <c r="E140" s="3" t="s">
        <v>14</v>
      </c>
      <c r="F140" s="3">
        <v>3.666</v>
      </c>
      <c r="G140" s="3">
        <v>1.0</v>
      </c>
      <c r="H140" s="3">
        <v>2.5769025E7</v>
      </c>
      <c r="I140" s="3">
        <v>2.5769025E7</v>
      </c>
      <c r="J140" s="3">
        <v>0.0</v>
      </c>
      <c r="K140" s="3">
        <v>3436.0</v>
      </c>
      <c r="L140" s="3">
        <v>0.0</v>
      </c>
      <c r="M140" s="3">
        <v>0.0</v>
      </c>
    </row>
    <row r="141">
      <c r="A141" s="3">
        <v>1000.0</v>
      </c>
      <c r="B141" s="3">
        <v>100.0</v>
      </c>
      <c r="C141" s="3">
        <v>2.0</v>
      </c>
      <c r="D141" s="3" t="s">
        <v>15</v>
      </c>
      <c r="E141" s="3" t="s">
        <v>14</v>
      </c>
      <c r="F141" s="3">
        <v>13.35</v>
      </c>
      <c r="G141" s="3">
        <v>1.0</v>
      </c>
      <c r="H141" s="3">
        <v>2.5763953E7</v>
      </c>
      <c r="I141" s="3">
        <v>2.5763953E7</v>
      </c>
      <c r="J141" s="3">
        <v>0.0</v>
      </c>
      <c r="K141" s="3">
        <v>3709.0</v>
      </c>
      <c r="L141" s="3">
        <v>0.0</v>
      </c>
      <c r="M141" s="3">
        <v>3.0</v>
      </c>
    </row>
    <row r="142">
      <c r="A142" s="3">
        <v>1000.0</v>
      </c>
      <c r="B142" s="3">
        <v>100.0</v>
      </c>
      <c r="C142" s="3">
        <v>2.0</v>
      </c>
      <c r="D142" s="3" t="s">
        <v>16</v>
      </c>
      <c r="E142" s="3" t="s">
        <v>14</v>
      </c>
      <c r="F142" s="3">
        <v>0.377</v>
      </c>
      <c r="G142" s="3">
        <v>1.0</v>
      </c>
      <c r="H142" s="3">
        <v>2.5757087E7</v>
      </c>
      <c r="I142" s="3">
        <v>2.5757087E7</v>
      </c>
      <c r="J142" s="3">
        <v>0.0</v>
      </c>
      <c r="K142" s="3">
        <v>3479.0</v>
      </c>
      <c r="L142" s="3">
        <v>0.0</v>
      </c>
      <c r="M142" s="3">
        <v>0.0</v>
      </c>
    </row>
    <row r="143">
      <c r="A143" s="3">
        <v>1000.0</v>
      </c>
      <c r="B143" s="3">
        <v>100.0</v>
      </c>
      <c r="C143" s="3">
        <v>3.0</v>
      </c>
      <c r="D143" s="3" t="s">
        <v>13</v>
      </c>
      <c r="E143" s="3" t="s">
        <v>14</v>
      </c>
      <c r="F143" s="3">
        <v>3.716</v>
      </c>
      <c r="G143" s="3">
        <v>1.0</v>
      </c>
      <c r="H143" s="3">
        <v>2.5803793E7</v>
      </c>
      <c r="I143" s="3">
        <v>2.5803793E7</v>
      </c>
      <c r="J143" s="3">
        <v>0.0</v>
      </c>
      <c r="K143" s="3">
        <v>3587.0</v>
      </c>
      <c r="L143" s="3">
        <v>0.0</v>
      </c>
      <c r="M143" s="3">
        <v>0.0</v>
      </c>
    </row>
    <row r="144">
      <c r="A144" s="3">
        <v>1000.0</v>
      </c>
      <c r="B144" s="3">
        <v>100.0</v>
      </c>
      <c r="C144" s="3">
        <v>3.0</v>
      </c>
      <c r="D144" s="3" t="s">
        <v>15</v>
      </c>
      <c r="E144" s="3" t="s">
        <v>14</v>
      </c>
      <c r="F144" s="3">
        <v>12.26</v>
      </c>
      <c r="G144" s="3">
        <v>1.0</v>
      </c>
      <c r="H144" s="3">
        <v>2.5787073E7</v>
      </c>
      <c r="I144" s="3">
        <v>2.5787073E7</v>
      </c>
      <c r="J144" s="3">
        <v>0.0</v>
      </c>
      <c r="K144" s="3">
        <v>3396.0</v>
      </c>
      <c r="L144" s="3">
        <v>0.0</v>
      </c>
      <c r="M144" s="3">
        <v>3.0</v>
      </c>
    </row>
    <row r="145">
      <c r="A145" s="3">
        <v>1000.0</v>
      </c>
      <c r="B145" s="3">
        <v>100.0</v>
      </c>
      <c r="C145" s="3">
        <v>3.0</v>
      </c>
      <c r="D145" s="3" t="s">
        <v>16</v>
      </c>
      <c r="E145" s="3" t="s">
        <v>14</v>
      </c>
      <c r="F145" s="3">
        <v>0.32</v>
      </c>
      <c r="G145" s="3">
        <v>1.0</v>
      </c>
      <c r="H145" s="3">
        <v>2.5796084E7</v>
      </c>
      <c r="I145" s="3">
        <v>2.5796084E7</v>
      </c>
      <c r="J145" s="3">
        <v>0.0</v>
      </c>
      <c r="K145" s="3">
        <v>3542.0</v>
      </c>
      <c r="L145" s="3">
        <v>0.0</v>
      </c>
      <c r="M145" s="3">
        <v>0.0</v>
      </c>
    </row>
    <row r="146">
      <c r="A146" s="3">
        <v>1000.0</v>
      </c>
      <c r="B146" s="3">
        <v>100.0</v>
      </c>
      <c r="C146" s="3">
        <v>4.0</v>
      </c>
      <c r="D146" s="3" t="s">
        <v>13</v>
      </c>
      <c r="E146" s="3" t="s">
        <v>14</v>
      </c>
      <c r="F146" s="3">
        <v>3.697</v>
      </c>
      <c r="G146" s="3">
        <v>1.0</v>
      </c>
      <c r="H146" s="3">
        <v>2.5817764E7</v>
      </c>
      <c r="I146" s="3">
        <v>2.5817764E7</v>
      </c>
      <c r="J146" s="3">
        <v>0.0</v>
      </c>
      <c r="K146" s="3">
        <v>3600.0</v>
      </c>
      <c r="L146" s="3">
        <v>0.0</v>
      </c>
      <c r="M146" s="3">
        <v>0.0</v>
      </c>
    </row>
    <row r="147">
      <c r="A147" s="3">
        <v>1000.0</v>
      </c>
      <c r="B147" s="3">
        <v>100.0</v>
      </c>
      <c r="C147" s="3">
        <v>4.0</v>
      </c>
      <c r="D147" s="3" t="s">
        <v>15</v>
      </c>
      <c r="E147" s="3" t="s">
        <v>14</v>
      </c>
      <c r="F147" s="3">
        <v>12.64</v>
      </c>
      <c r="G147" s="3">
        <v>1.0</v>
      </c>
      <c r="H147" s="3">
        <v>2.5813169E7</v>
      </c>
      <c r="I147" s="3">
        <v>2.5813169E7</v>
      </c>
      <c r="J147" s="3">
        <v>0.0</v>
      </c>
      <c r="K147" s="3">
        <v>3476.0</v>
      </c>
      <c r="L147" s="3">
        <v>0.0</v>
      </c>
      <c r="M147" s="3">
        <v>3.0</v>
      </c>
    </row>
    <row r="148">
      <c r="A148" s="3">
        <v>1000.0</v>
      </c>
      <c r="B148" s="3">
        <v>100.0</v>
      </c>
      <c r="C148" s="3">
        <v>4.0</v>
      </c>
      <c r="D148" s="3" t="s">
        <v>16</v>
      </c>
      <c r="E148" s="3" t="s">
        <v>14</v>
      </c>
      <c r="F148" s="3">
        <v>0.294</v>
      </c>
      <c r="G148" s="3">
        <v>1.0</v>
      </c>
      <c r="H148" s="3">
        <v>2.5807663E7</v>
      </c>
      <c r="I148" s="3">
        <v>2.5807663E7</v>
      </c>
      <c r="J148" s="3">
        <v>0.0</v>
      </c>
      <c r="K148" s="3">
        <v>3452.0</v>
      </c>
      <c r="L148" s="3">
        <v>0.0</v>
      </c>
      <c r="M148" s="3">
        <v>0.0</v>
      </c>
    </row>
    <row r="149">
      <c r="A149" s="3">
        <v>1000.0</v>
      </c>
      <c r="B149" s="3">
        <v>100.0</v>
      </c>
      <c r="C149" s="3">
        <v>5.0</v>
      </c>
      <c r="D149" s="3" t="s">
        <v>13</v>
      </c>
      <c r="E149" s="3" t="s">
        <v>14</v>
      </c>
      <c r="F149" s="3">
        <v>3.476</v>
      </c>
      <c r="G149" s="3">
        <v>1.0</v>
      </c>
      <c r="H149" s="3">
        <v>2.5760463E7</v>
      </c>
      <c r="I149" s="3">
        <v>2.5760463E7</v>
      </c>
      <c r="J149" s="3">
        <v>0.0</v>
      </c>
      <c r="K149" s="3">
        <v>3174.0</v>
      </c>
      <c r="L149" s="3">
        <v>0.0</v>
      </c>
      <c r="M149" s="3">
        <v>0.0</v>
      </c>
    </row>
    <row r="150">
      <c r="A150" s="3">
        <v>1000.0</v>
      </c>
      <c r="B150" s="3">
        <v>100.0</v>
      </c>
      <c r="C150" s="3">
        <v>5.0</v>
      </c>
      <c r="D150" s="3" t="s">
        <v>15</v>
      </c>
      <c r="E150" s="3" t="s">
        <v>14</v>
      </c>
      <c r="F150" s="3">
        <v>12.074</v>
      </c>
      <c r="G150" s="3">
        <v>1.0</v>
      </c>
      <c r="H150" s="3">
        <v>2.5765161E7</v>
      </c>
      <c r="I150" s="3">
        <v>2.5765161E7</v>
      </c>
      <c r="J150" s="3">
        <v>0.0</v>
      </c>
      <c r="K150" s="3">
        <v>3334.0</v>
      </c>
      <c r="L150" s="3">
        <v>0.0</v>
      </c>
      <c r="M150" s="3">
        <v>3.0</v>
      </c>
    </row>
    <row r="151">
      <c r="A151" s="3">
        <v>1000.0</v>
      </c>
      <c r="B151" s="3">
        <v>100.0</v>
      </c>
      <c r="C151" s="3">
        <v>5.0</v>
      </c>
      <c r="D151" s="3" t="s">
        <v>16</v>
      </c>
      <c r="E151" s="3" t="s">
        <v>14</v>
      </c>
      <c r="F151" s="3">
        <v>0.244</v>
      </c>
      <c r="G151" s="3">
        <v>1.0</v>
      </c>
      <c r="H151" s="3">
        <v>2.5761694E7</v>
      </c>
      <c r="I151" s="3">
        <v>2.5761694E7</v>
      </c>
      <c r="J151" s="3">
        <v>0.0</v>
      </c>
      <c r="K151" s="3">
        <v>3257.0</v>
      </c>
      <c r="L151" s="3">
        <v>0.0</v>
      </c>
      <c r="M151" s="3">
        <v>0.0</v>
      </c>
    </row>
    <row r="152">
      <c r="A152" s="3">
        <v>2000.0</v>
      </c>
      <c r="B152" s="3">
        <v>1.0</v>
      </c>
      <c r="C152" s="3">
        <v>1.0</v>
      </c>
      <c r="D152" s="3" t="s">
        <v>13</v>
      </c>
      <c r="E152" s="3" t="s">
        <v>14</v>
      </c>
      <c r="F152" s="3">
        <v>0.013</v>
      </c>
      <c r="G152" s="3">
        <v>1.0</v>
      </c>
      <c r="H152" s="3">
        <v>765753.0</v>
      </c>
      <c r="I152" s="3">
        <v>765753.0</v>
      </c>
      <c r="J152" s="3">
        <v>0.0</v>
      </c>
      <c r="K152" s="3">
        <v>2637.0</v>
      </c>
      <c r="L152" s="3">
        <v>0.0</v>
      </c>
      <c r="M152" s="3">
        <v>0.0</v>
      </c>
    </row>
    <row r="153">
      <c r="A153" s="3">
        <v>2000.0</v>
      </c>
      <c r="B153" s="3">
        <v>1.0</v>
      </c>
      <c r="C153" s="3">
        <v>1.0</v>
      </c>
      <c r="D153" s="3" t="s">
        <v>15</v>
      </c>
      <c r="E153" s="3" t="s">
        <v>14</v>
      </c>
      <c r="F153" s="3">
        <v>0.055</v>
      </c>
      <c r="G153" s="3">
        <v>1.0</v>
      </c>
      <c r="H153" s="3">
        <v>767431.0</v>
      </c>
      <c r="I153" s="3">
        <v>767431.0</v>
      </c>
      <c r="J153" s="3">
        <v>0.0</v>
      </c>
      <c r="K153" s="3">
        <v>2747.0</v>
      </c>
      <c r="L153" s="3">
        <v>0.0</v>
      </c>
      <c r="M153" s="3">
        <v>0.0</v>
      </c>
    </row>
    <row r="154">
      <c r="A154" s="3">
        <v>2000.0</v>
      </c>
      <c r="B154" s="3">
        <v>1.0</v>
      </c>
      <c r="C154" s="3">
        <v>1.0</v>
      </c>
      <c r="D154" s="3" t="s">
        <v>16</v>
      </c>
      <c r="E154" s="3" t="s">
        <v>14</v>
      </c>
      <c r="F154" s="3">
        <v>1.018</v>
      </c>
      <c r="G154" s="3">
        <v>1.0</v>
      </c>
      <c r="H154" s="3">
        <v>767315.0</v>
      </c>
      <c r="I154" s="3">
        <v>767315.0</v>
      </c>
      <c r="J154" s="3">
        <v>0.0</v>
      </c>
      <c r="K154" s="3">
        <v>2688.0</v>
      </c>
      <c r="L154" s="3">
        <v>0.0</v>
      </c>
      <c r="M154" s="3">
        <v>0.0</v>
      </c>
    </row>
    <row r="155">
      <c r="A155" s="3">
        <v>2000.0</v>
      </c>
      <c r="B155" s="3">
        <v>1.0</v>
      </c>
      <c r="C155" s="3">
        <v>2.0</v>
      </c>
      <c r="D155" s="3" t="s">
        <v>13</v>
      </c>
      <c r="E155" s="3" t="s">
        <v>14</v>
      </c>
      <c r="F155" s="3">
        <v>0.015</v>
      </c>
      <c r="G155" s="3">
        <v>1.0</v>
      </c>
      <c r="H155" s="3">
        <v>772755.0</v>
      </c>
      <c r="I155" s="3">
        <v>772755.0</v>
      </c>
      <c r="J155" s="3">
        <v>0.0</v>
      </c>
      <c r="K155" s="3">
        <v>2761.0</v>
      </c>
      <c r="L155" s="3">
        <v>0.0</v>
      </c>
      <c r="M155" s="3">
        <v>0.0</v>
      </c>
    </row>
    <row r="156">
      <c r="A156" s="3">
        <v>2000.0</v>
      </c>
      <c r="B156" s="3">
        <v>1.0</v>
      </c>
      <c r="C156" s="3">
        <v>2.0</v>
      </c>
      <c r="D156" s="3" t="s">
        <v>15</v>
      </c>
      <c r="E156" s="3" t="s">
        <v>14</v>
      </c>
      <c r="F156" s="3">
        <v>0.056</v>
      </c>
      <c r="G156" s="3">
        <v>1.0</v>
      </c>
      <c r="H156" s="3">
        <v>771142.0</v>
      </c>
      <c r="I156" s="3">
        <v>771142.0</v>
      </c>
      <c r="J156" s="3">
        <v>0.0</v>
      </c>
      <c r="K156" s="3">
        <v>2729.0</v>
      </c>
      <c r="L156" s="3">
        <v>0.0</v>
      </c>
      <c r="M156" s="3">
        <v>0.0</v>
      </c>
    </row>
    <row r="157">
      <c r="A157" s="3">
        <v>2000.0</v>
      </c>
      <c r="B157" s="3">
        <v>1.0</v>
      </c>
      <c r="C157" s="3">
        <v>2.0</v>
      </c>
      <c r="D157" s="3" t="s">
        <v>16</v>
      </c>
      <c r="E157" s="3" t="s">
        <v>14</v>
      </c>
      <c r="F157" s="3">
        <v>1.247</v>
      </c>
      <c r="G157" s="3">
        <v>1.0</v>
      </c>
      <c r="H157" s="3">
        <v>772392.0</v>
      </c>
      <c r="I157" s="3">
        <v>772392.0</v>
      </c>
      <c r="J157" s="3">
        <v>0.0</v>
      </c>
      <c r="K157" s="3">
        <v>2775.0</v>
      </c>
      <c r="L157" s="3">
        <v>0.0</v>
      </c>
      <c r="M157" s="3">
        <v>0.0</v>
      </c>
    </row>
    <row r="158">
      <c r="A158" s="3">
        <v>2000.0</v>
      </c>
      <c r="B158" s="3">
        <v>1.0</v>
      </c>
      <c r="C158" s="3">
        <v>3.0</v>
      </c>
      <c r="D158" s="3" t="s">
        <v>13</v>
      </c>
      <c r="E158" s="3" t="s">
        <v>14</v>
      </c>
      <c r="F158" s="3">
        <v>0.014</v>
      </c>
      <c r="G158" s="3">
        <v>1.0</v>
      </c>
      <c r="H158" s="3">
        <v>747529.0</v>
      </c>
      <c r="I158" s="3">
        <v>747529.0</v>
      </c>
      <c r="J158" s="3">
        <v>0.0</v>
      </c>
      <c r="K158" s="3">
        <v>2705.0</v>
      </c>
      <c r="L158" s="3">
        <v>0.0</v>
      </c>
      <c r="M158" s="3">
        <v>0.0</v>
      </c>
    </row>
    <row r="159">
      <c r="A159" s="3">
        <v>2000.0</v>
      </c>
      <c r="B159" s="3">
        <v>1.0</v>
      </c>
      <c r="C159" s="3">
        <v>3.0</v>
      </c>
      <c r="D159" s="3" t="s">
        <v>15</v>
      </c>
      <c r="E159" s="3" t="s">
        <v>14</v>
      </c>
      <c r="F159" s="3">
        <v>0.054</v>
      </c>
      <c r="G159" s="3">
        <v>1.0</v>
      </c>
      <c r="H159" s="3">
        <v>749134.0</v>
      </c>
      <c r="I159" s="3">
        <v>749134.0</v>
      </c>
      <c r="J159" s="3">
        <v>0.0</v>
      </c>
      <c r="K159" s="3">
        <v>2793.0</v>
      </c>
      <c r="L159" s="3">
        <v>0.0</v>
      </c>
      <c r="M159" s="3">
        <v>0.0</v>
      </c>
    </row>
    <row r="160">
      <c r="A160" s="3">
        <v>2000.0</v>
      </c>
      <c r="B160" s="3">
        <v>1.0</v>
      </c>
      <c r="C160" s="3">
        <v>3.0</v>
      </c>
      <c r="D160" s="3" t="s">
        <v>16</v>
      </c>
      <c r="E160" s="3" t="s">
        <v>14</v>
      </c>
      <c r="F160" s="3">
        <v>1.209</v>
      </c>
      <c r="G160" s="3">
        <v>1.0</v>
      </c>
      <c r="H160" s="3">
        <v>748436.0</v>
      </c>
      <c r="I160" s="3">
        <v>748436.0</v>
      </c>
      <c r="J160" s="3">
        <v>0.0</v>
      </c>
      <c r="K160" s="3">
        <v>2758.0</v>
      </c>
      <c r="L160" s="3">
        <v>0.0</v>
      </c>
      <c r="M160" s="3">
        <v>0.0</v>
      </c>
    </row>
    <row r="161">
      <c r="A161" s="3">
        <v>2000.0</v>
      </c>
      <c r="B161" s="3">
        <v>1.0</v>
      </c>
      <c r="C161" s="3">
        <v>4.0</v>
      </c>
      <c r="D161" s="3" t="s">
        <v>13</v>
      </c>
      <c r="E161" s="3" t="s">
        <v>14</v>
      </c>
      <c r="F161" s="3">
        <v>0.014</v>
      </c>
      <c r="G161" s="3">
        <v>1.0</v>
      </c>
      <c r="H161" s="3">
        <v>769756.0</v>
      </c>
      <c r="I161" s="3">
        <v>769756.0</v>
      </c>
      <c r="J161" s="3">
        <v>0.0</v>
      </c>
      <c r="K161" s="3">
        <v>2683.0</v>
      </c>
      <c r="L161" s="3">
        <v>0.0</v>
      </c>
      <c r="M161" s="3">
        <v>0.0</v>
      </c>
    </row>
    <row r="162">
      <c r="A162" s="3">
        <v>2000.0</v>
      </c>
      <c r="B162" s="3">
        <v>1.0</v>
      </c>
      <c r="C162" s="3">
        <v>4.0</v>
      </c>
      <c r="D162" s="3" t="s">
        <v>15</v>
      </c>
      <c r="E162" s="3" t="s">
        <v>14</v>
      </c>
      <c r="F162" s="3">
        <v>0.054</v>
      </c>
      <c r="G162" s="3">
        <v>1.0</v>
      </c>
      <c r="H162" s="3">
        <v>771800.0</v>
      </c>
      <c r="I162" s="3">
        <v>771800.0</v>
      </c>
      <c r="J162" s="3">
        <v>0.0</v>
      </c>
      <c r="K162" s="3">
        <v>2762.0</v>
      </c>
      <c r="L162" s="3">
        <v>0.0</v>
      </c>
      <c r="M162" s="3">
        <v>0.0</v>
      </c>
    </row>
    <row r="163">
      <c r="A163" s="3">
        <v>2000.0</v>
      </c>
      <c r="B163" s="3">
        <v>1.0</v>
      </c>
      <c r="C163" s="3">
        <v>4.0</v>
      </c>
      <c r="D163" s="3" t="s">
        <v>16</v>
      </c>
      <c r="E163" s="3" t="s">
        <v>14</v>
      </c>
      <c r="F163" s="3">
        <v>1.447</v>
      </c>
      <c r="G163" s="3">
        <v>1.0</v>
      </c>
      <c r="H163" s="3">
        <v>771309.0</v>
      </c>
      <c r="I163" s="3">
        <v>771309.0</v>
      </c>
      <c r="J163" s="3">
        <v>0.0</v>
      </c>
      <c r="K163" s="3">
        <v>2637.0</v>
      </c>
      <c r="L163" s="3">
        <v>0.0</v>
      </c>
      <c r="M163" s="3">
        <v>0.0</v>
      </c>
    </row>
    <row r="164">
      <c r="A164" s="3">
        <v>2000.0</v>
      </c>
      <c r="B164" s="3">
        <v>1.0</v>
      </c>
      <c r="C164" s="3">
        <v>5.0</v>
      </c>
      <c r="D164" s="3" t="s">
        <v>13</v>
      </c>
      <c r="E164" s="3" t="s">
        <v>14</v>
      </c>
      <c r="F164" s="3">
        <v>0.014</v>
      </c>
      <c r="G164" s="3">
        <v>1.0</v>
      </c>
      <c r="H164" s="3">
        <v>766543.0</v>
      </c>
      <c r="I164" s="3">
        <v>766543.0</v>
      </c>
      <c r="J164" s="3">
        <v>0.0</v>
      </c>
      <c r="K164" s="3">
        <v>2695.0</v>
      </c>
      <c r="L164" s="3">
        <v>0.0</v>
      </c>
      <c r="M164" s="3">
        <v>0.0</v>
      </c>
    </row>
    <row r="165">
      <c r="A165" s="3">
        <v>2000.0</v>
      </c>
      <c r="B165" s="3">
        <v>1.0</v>
      </c>
      <c r="C165" s="3">
        <v>5.0</v>
      </c>
      <c r="D165" s="3" t="s">
        <v>15</v>
      </c>
      <c r="E165" s="3" t="s">
        <v>14</v>
      </c>
      <c r="F165" s="3">
        <v>0.064</v>
      </c>
      <c r="G165" s="3">
        <v>1.0</v>
      </c>
      <c r="H165" s="3">
        <v>768322.0</v>
      </c>
      <c r="I165" s="3">
        <v>768322.0</v>
      </c>
      <c r="J165" s="3">
        <v>0.0</v>
      </c>
      <c r="K165" s="3">
        <v>2806.0</v>
      </c>
      <c r="L165" s="3">
        <v>0.0</v>
      </c>
      <c r="M165" s="3">
        <v>0.0</v>
      </c>
    </row>
    <row r="166">
      <c r="A166" s="3">
        <v>2000.0</v>
      </c>
      <c r="B166" s="3">
        <v>1.0</v>
      </c>
      <c r="C166" s="3">
        <v>5.0</v>
      </c>
      <c r="D166" s="3" t="s">
        <v>16</v>
      </c>
      <c r="E166" s="3" t="s">
        <v>14</v>
      </c>
      <c r="F166" s="3">
        <v>1.113</v>
      </c>
      <c r="G166" s="3">
        <v>1.0</v>
      </c>
      <c r="H166" s="3">
        <v>765839.0</v>
      </c>
      <c r="I166" s="3">
        <v>765839.0</v>
      </c>
      <c r="J166" s="3">
        <v>0.0</v>
      </c>
      <c r="K166" s="3">
        <v>2823.0</v>
      </c>
      <c r="L166" s="3">
        <v>0.0</v>
      </c>
      <c r="M166" s="3">
        <v>0.0</v>
      </c>
    </row>
    <row r="167">
      <c r="A167" s="3">
        <v>2000.0</v>
      </c>
      <c r="B167" s="3">
        <v>5.0</v>
      </c>
      <c r="C167" s="3">
        <v>1.0</v>
      </c>
      <c r="D167" s="3" t="s">
        <v>13</v>
      </c>
      <c r="E167" s="3" t="s">
        <v>14</v>
      </c>
      <c r="F167" s="3">
        <v>0.125</v>
      </c>
      <c r="G167" s="3">
        <v>1.0</v>
      </c>
      <c r="H167" s="3">
        <v>3205872.0</v>
      </c>
      <c r="I167" s="3">
        <v>3205872.0</v>
      </c>
      <c r="J167" s="3">
        <v>0.0</v>
      </c>
      <c r="K167" s="3">
        <v>4213.0</v>
      </c>
      <c r="L167" s="3">
        <v>0.0</v>
      </c>
      <c r="M167" s="3">
        <v>0.0</v>
      </c>
    </row>
    <row r="168">
      <c r="A168" s="3">
        <v>2000.0</v>
      </c>
      <c r="B168" s="3">
        <v>5.0</v>
      </c>
      <c r="C168" s="3">
        <v>1.0</v>
      </c>
      <c r="D168" s="3" t="s">
        <v>15</v>
      </c>
      <c r="E168" s="3" t="s">
        <v>14</v>
      </c>
      <c r="F168" s="3">
        <v>0.915</v>
      </c>
      <c r="G168" s="3">
        <v>1.0</v>
      </c>
      <c r="H168" s="3">
        <v>3206063.0</v>
      </c>
      <c r="I168" s="3">
        <v>3206063.0</v>
      </c>
      <c r="J168" s="3">
        <v>0.0</v>
      </c>
      <c r="K168" s="3">
        <v>4298.0</v>
      </c>
      <c r="L168" s="3">
        <v>0.0</v>
      </c>
      <c r="M168" s="3">
        <v>0.0</v>
      </c>
    </row>
    <row r="169">
      <c r="A169" s="3">
        <v>2000.0</v>
      </c>
      <c r="B169" s="3">
        <v>5.0</v>
      </c>
      <c r="C169" s="3">
        <v>1.0</v>
      </c>
      <c r="D169" s="3" t="s">
        <v>16</v>
      </c>
      <c r="E169" s="3" t="s">
        <v>14</v>
      </c>
      <c r="F169" s="3">
        <v>1.952</v>
      </c>
      <c r="G169" s="3">
        <v>1.0</v>
      </c>
      <c r="H169" s="3">
        <v>3205211.0</v>
      </c>
      <c r="I169" s="3">
        <v>3205211.0</v>
      </c>
      <c r="J169" s="3">
        <v>0.0</v>
      </c>
      <c r="K169" s="3">
        <v>4224.0</v>
      </c>
      <c r="L169" s="3">
        <v>0.0</v>
      </c>
      <c r="M169" s="3">
        <v>0.0</v>
      </c>
    </row>
    <row r="170">
      <c r="A170" s="3">
        <v>2000.0</v>
      </c>
      <c r="B170" s="3">
        <v>5.0</v>
      </c>
      <c r="C170" s="3">
        <v>2.0</v>
      </c>
      <c r="D170" s="3" t="s">
        <v>13</v>
      </c>
      <c r="E170" s="3" t="s">
        <v>14</v>
      </c>
      <c r="F170" s="3">
        <v>0.132</v>
      </c>
      <c r="G170" s="3">
        <v>1.0</v>
      </c>
      <c r="H170" s="3">
        <v>3244982.0</v>
      </c>
      <c r="I170" s="3">
        <v>3244982.0</v>
      </c>
      <c r="J170" s="3">
        <v>0.0</v>
      </c>
      <c r="K170" s="3">
        <v>4500.0</v>
      </c>
      <c r="L170" s="3">
        <v>0.0</v>
      </c>
      <c r="M170" s="3">
        <v>0.0</v>
      </c>
    </row>
    <row r="171">
      <c r="A171" s="3">
        <v>2000.0</v>
      </c>
      <c r="B171" s="3">
        <v>5.0</v>
      </c>
      <c r="C171" s="3">
        <v>2.0</v>
      </c>
      <c r="D171" s="3" t="s">
        <v>15</v>
      </c>
      <c r="E171" s="3" t="s">
        <v>14</v>
      </c>
      <c r="F171" s="3">
        <v>0.868</v>
      </c>
      <c r="G171" s="3">
        <v>1.0</v>
      </c>
      <c r="H171" s="3">
        <v>3234211.0</v>
      </c>
      <c r="I171" s="3">
        <v>3234211.0</v>
      </c>
      <c r="J171" s="3">
        <v>0.0</v>
      </c>
      <c r="K171" s="3">
        <v>4209.0</v>
      </c>
      <c r="L171" s="3">
        <v>0.0</v>
      </c>
      <c r="M171" s="3">
        <v>0.0</v>
      </c>
    </row>
    <row r="172">
      <c r="A172" s="3">
        <v>2000.0</v>
      </c>
      <c r="B172" s="3">
        <v>5.0</v>
      </c>
      <c r="C172" s="3">
        <v>2.0</v>
      </c>
      <c r="D172" s="3" t="s">
        <v>16</v>
      </c>
      <c r="E172" s="3" t="s">
        <v>14</v>
      </c>
      <c r="F172" s="3">
        <v>1.536</v>
      </c>
      <c r="G172" s="3">
        <v>1.0</v>
      </c>
      <c r="H172" s="3">
        <v>3240838.0</v>
      </c>
      <c r="I172" s="3">
        <v>3240838.0</v>
      </c>
      <c r="J172" s="3">
        <v>0.0</v>
      </c>
      <c r="K172" s="3">
        <v>4373.0</v>
      </c>
      <c r="L172" s="3">
        <v>0.0</v>
      </c>
      <c r="M172" s="3">
        <v>0.0</v>
      </c>
    </row>
    <row r="173">
      <c r="A173" s="3">
        <v>2000.0</v>
      </c>
      <c r="B173" s="3">
        <v>5.0</v>
      </c>
      <c r="C173" s="3">
        <v>3.0</v>
      </c>
      <c r="D173" s="3" t="s">
        <v>13</v>
      </c>
      <c r="E173" s="3" t="s">
        <v>14</v>
      </c>
      <c r="F173" s="3">
        <v>0.125</v>
      </c>
      <c r="G173" s="3">
        <v>1.0</v>
      </c>
      <c r="H173" s="3">
        <v>3190144.0</v>
      </c>
      <c r="I173" s="3">
        <v>3190144.0</v>
      </c>
      <c r="J173" s="3">
        <v>0.0</v>
      </c>
      <c r="K173" s="3">
        <v>4254.0</v>
      </c>
      <c r="L173" s="3">
        <v>0.0</v>
      </c>
      <c r="M173" s="3">
        <v>0.0</v>
      </c>
    </row>
    <row r="174">
      <c r="A174" s="3">
        <v>2000.0</v>
      </c>
      <c r="B174" s="3">
        <v>5.0</v>
      </c>
      <c r="C174" s="3">
        <v>3.0</v>
      </c>
      <c r="D174" s="3" t="s">
        <v>15</v>
      </c>
      <c r="E174" s="3" t="s">
        <v>14</v>
      </c>
      <c r="F174" s="3">
        <v>0.847</v>
      </c>
      <c r="G174" s="3">
        <v>1.0</v>
      </c>
      <c r="H174" s="3">
        <v>3191148.0</v>
      </c>
      <c r="I174" s="3">
        <v>3191148.0</v>
      </c>
      <c r="J174" s="3">
        <v>0.0</v>
      </c>
      <c r="K174" s="3">
        <v>4159.0</v>
      </c>
      <c r="L174" s="3">
        <v>0.0</v>
      </c>
      <c r="M174" s="3">
        <v>0.0</v>
      </c>
    </row>
    <row r="175">
      <c r="A175" s="3">
        <v>2000.0</v>
      </c>
      <c r="B175" s="3">
        <v>5.0</v>
      </c>
      <c r="C175" s="3">
        <v>3.0</v>
      </c>
      <c r="D175" s="3" t="s">
        <v>16</v>
      </c>
      <c r="E175" s="3" t="s">
        <v>14</v>
      </c>
      <c r="F175" s="3">
        <v>2.101</v>
      </c>
      <c r="G175" s="3">
        <v>1.0</v>
      </c>
      <c r="H175" s="3">
        <v>3189604.0</v>
      </c>
      <c r="I175" s="3">
        <v>3189604.0</v>
      </c>
      <c r="J175" s="3">
        <v>0.0</v>
      </c>
      <c r="K175" s="3">
        <v>4302.0</v>
      </c>
      <c r="L175" s="3">
        <v>0.0</v>
      </c>
      <c r="M175" s="3">
        <v>0.0</v>
      </c>
    </row>
    <row r="176">
      <c r="A176" s="3">
        <v>2000.0</v>
      </c>
      <c r="B176" s="3">
        <v>5.0</v>
      </c>
      <c r="C176" s="3">
        <v>4.0</v>
      </c>
      <c r="D176" s="3" t="s">
        <v>13</v>
      </c>
      <c r="E176" s="3" t="s">
        <v>14</v>
      </c>
      <c r="F176" s="3">
        <v>0.133</v>
      </c>
      <c r="G176" s="3">
        <v>1.0</v>
      </c>
      <c r="H176" s="3">
        <v>3228459.0</v>
      </c>
      <c r="I176" s="3">
        <v>3228459.0</v>
      </c>
      <c r="J176" s="3">
        <v>0.0</v>
      </c>
      <c r="K176" s="3">
        <v>4167.0</v>
      </c>
      <c r="L176" s="3">
        <v>0.0</v>
      </c>
      <c r="M176" s="3">
        <v>0.0</v>
      </c>
    </row>
    <row r="177">
      <c r="A177" s="3">
        <v>2000.0</v>
      </c>
      <c r="B177" s="3">
        <v>5.0</v>
      </c>
      <c r="C177" s="3">
        <v>4.0</v>
      </c>
      <c r="D177" s="3" t="s">
        <v>15</v>
      </c>
      <c r="E177" s="3" t="s">
        <v>14</v>
      </c>
      <c r="F177" s="3">
        <v>0.897</v>
      </c>
      <c r="G177" s="3">
        <v>1.0</v>
      </c>
      <c r="H177" s="3">
        <v>3238040.0</v>
      </c>
      <c r="I177" s="3">
        <v>3238040.0</v>
      </c>
      <c r="J177" s="3">
        <v>0.0</v>
      </c>
      <c r="K177" s="3">
        <v>4386.0</v>
      </c>
      <c r="L177" s="3">
        <v>0.0</v>
      </c>
      <c r="M177" s="3">
        <v>0.0</v>
      </c>
    </row>
    <row r="178">
      <c r="A178" s="3">
        <v>2000.0</v>
      </c>
      <c r="B178" s="3">
        <v>5.0</v>
      </c>
      <c r="C178" s="3">
        <v>4.0</v>
      </c>
      <c r="D178" s="3" t="s">
        <v>16</v>
      </c>
      <c r="E178" s="3" t="s">
        <v>14</v>
      </c>
      <c r="F178" s="3">
        <v>1.6</v>
      </c>
      <c r="G178" s="3">
        <v>1.0</v>
      </c>
      <c r="H178" s="3">
        <v>3234791.0</v>
      </c>
      <c r="I178" s="3">
        <v>3234791.0</v>
      </c>
      <c r="J178" s="3">
        <v>0.0</v>
      </c>
      <c r="K178" s="3">
        <v>4237.0</v>
      </c>
      <c r="L178" s="3">
        <v>0.0</v>
      </c>
      <c r="M178" s="3">
        <v>0.0</v>
      </c>
    </row>
    <row r="179">
      <c r="A179" s="3">
        <v>2000.0</v>
      </c>
      <c r="B179" s="3">
        <v>5.0</v>
      </c>
      <c r="C179" s="3">
        <v>5.0</v>
      </c>
      <c r="D179" s="3" t="s">
        <v>13</v>
      </c>
      <c r="E179" s="3" t="s">
        <v>14</v>
      </c>
      <c r="F179" s="3">
        <v>0.11</v>
      </c>
      <c r="G179" s="3">
        <v>1.0</v>
      </c>
      <c r="H179" s="3">
        <v>3192773.0</v>
      </c>
      <c r="I179" s="3">
        <v>3192773.0</v>
      </c>
      <c r="J179" s="3">
        <v>0.0</v>
      </c>
      <c r="K179" s="3">
        <v>4188.0</v>
      </c>
      <c r="L179" s="3">
        <v>0.0</v>
      </c>
      <c r="M179" s="3">
        <v>0.0</v>
      </c>
    </row>
    <row r="180">
      <c r="A180" s="3">
        <v>2000.0</v>
      </c>
      <c r="B180" s="3">
        <v>5.0</v>
      </c>
      <c r="C180" s="3">
        <v>5.0</v>
      </c>
      <c r="D180" s="3" t="s">
        <v>15</v>
      </c>
      <c r="E180" s="3" t="s">
        <v>14</v>
      </c>
      <c r="F180" s="3">
        <v>0.875</v>
      </c>
      <c r="G180" s="3">
        <v>1.0</v>
      </c>
      <c r="H180" s="3">
        <v>3193814.0</v>
      </c>
      <c r="I180" s="3">
        <v>3193814.0</v>
      </c>
      <c r="J180" s="3">
        <v>0.0</v>
      </c>
      <c r="K180" s="3">
        <v>4229.0</v>
      </c>
      <c r="L180" s="3">
        <v>0.0</v>
      </c>
      <c r="M180" s="3">
        <v>0.0</v>
      </c>
    </row>
    <row r="181">
      <c r="A181" s="3">
        <v>2000.0</v>
      </c>
      <c r="B181" s="3">
        <v>5.0</v>
      </c>
      <c r="C181" s="3">
        <v>5.0</v>
      </c>
      <c r="D181" s="3" t="s">
        <v>16</v>
      </c>
      <c r="E181" s="3" t="s">
        <v>14</v>
      </c>
      <c r="F181" s="3">
        <v>1.926</v>
      </c>
      <c r="G181" s="3">
        <v>1.0</v>
      </c>
      <c r="H181" s="3">
        <v>3191908.0</v>
      </c>
      <c r="I181" s="3">
        <v>3191908.0</v>
      </c>
      <c r="J181" s="3">
        <v>0.0</v>
      </c>
      <c r="K181" s="3">
        <v>4187.0</v>
      </c>
      <c r="L181" s="3">
        <v>0.0</v>
      </c>
      <c r="M181" s="3">
        <v>0.0</v>
      </c>
    </row>
    <row r="182">
      <c r="A182" s="3">
        <v>2000.0</v>
      </c>
      <c r="B182" s="3">
        <v>10.0</v>
      </c>
      <c r="C182" s="3">
        <v>1.0</v>
      </c>
      <c r="D182" s="3" t="s">
        <v>13</v>
      </c>
      <c r="E182" s="3" t="s">
        <v>14</v>
      </c>
      <c r="F182" s="3">
        <v>0.402</v>
      </c>
      <c r="G182" s="3">
        <v>1.0</v>
      </c>
      <c r="H182" s="3">
        <v>6110622.0</v>
      </c>
      <c r="I182" s="3">
        <v>6110622.0</v>
      </c>
      <c r="J182" s="3">
        <v>0.0</v>
      </c>
      <c r="K182" s="3">
        <v>4981.0</v>
      </c>
      <c r="L182" s="3">
        <v>0.0</v>
      </c>
      <c r="M182" s="3">
        <v>0.0</v>
      </c>
    </row>
    <row r="183">
      <c r="A183" s="3">
        <v>2000.0</v>
      </c>
      <c r="B183" s="3">
        <v>10.0</v>
      </c>
      <c r="C183" s="3">
        <v>1.0</v>
      </c>
      <c r="D183" s="3" t="s">
        <v>15</v>
      </c>
      <c r="E183" s="3" t="s">
        <v>14</v>
      </c>
      <c r="F183" s="3">
        <v>2.687</v>
      </c>
      <c r="G183" s="3">
        <v>1.0</v>
      </c>
      <c r="H183" s="3">
        <v>6109141.0</v>
      </c>
      <c r="I183" s="3">
        <v>6109141.0</v>
      </c>
      <c r="J183" s="3">
        <v>0.0</v>
      </c>
      <c r="K183" s="3">
        <v>5065.0</v>
      </c>
      <c r="L183" s="3">
        <v>0.0</v>
      </c>
      <c r="M183" s="3">
        <v>0.0</v>
      </c>
    </row>
    <row r="184">
      <c r="A184" s="3">
        <v>2000.0</v>
      </c>
      <c r="B184" s="3">
        <v>10.0</v>
      </c>
      <c r="C184" s="3">
        <v>1.0</v>
      </c>
      <c r="D184" s="3" t="s">
        <v>16</v>
      </c>
      <c r="E184" s="3" t="s">
        <v>14</v>
      </c>
      <c r="F184" s="3">
        <v>3.123</v>
      </c>
      <c r="G184" s="3">
        <v>1.0</v>
      </c>
      <c r="H184" s="3">
        <v>6113599.0</v>
      </c>
      <c r="I184" s="3">
        <v>6113599.0</v>
      </c>
      <c r="J184" s="3">
        <v>0.0</v>
      </c>
      <c r="K184" s="3">
        <v>5246.0</v>
      </c>
      <c r="L184" s="3">
        <v>0.0</v>
      </c>
      <c r="M184" s="3">
        <v>0.0</v>
      </c>
    </row>
    <row r="185">
      <c r="A185" s="3">
        <v>2000.0</v>
      </c>
      <c r="B185" s="3">
        <v>10.0</v>
      </c>
      <c r="C185" s="3">
        <v>2.0</v>
      </c>
      <c r="D185" s="3" t="s">
        <v>13</v>
      </c>
      <c r="E185" s="3" t="s">
        <v>14</v>
      </c>
      <c r="F185" s="3">
        <v>0.43</v>
      </c>
      <c r="G185" s="3">
        <v>1.0</v>
      </c>
      <c r="H185" s="3">
        <v>6128005.0</v>
      </c>
      <c r="I185" s="3">
        <v>6128005.0</v>
      </c>
      <c r="J185" s="3">
        <v>0.0</v>
      </c>
      <c r="K185" s="3">
        <v>5173.0</v>
      </c>
      <c r="L185" s="3">
        <v>0.0</v>
      </c>
      <c r="M185" s="3">
        <v>0.0</v>
      </c>
    </row>
    <row r="186">
      <c r="A186" s="3">
        <v>2000.0</v>
      </c>
      <c r="B186" s="3">
        <v>10.0</v>
      </c>
      <c r="C186" s="3">
        <v>2.0</v>
      </c>
      <c r="D186" s="3" t="s">
        <v>15</v>
      </c>
      <c r="E186" s="3" t="s">
        <v>14</v>
      </c>
      <c r="F186" s="3">
        <v>2.718</v>
      </c>
      <c r="G186" s="3">
        <v>1.0</v>
      </c>
      <c r="H186" s="3">
        <v>6138656.0</v>
      </c>
      <c r="I186" s="3">
        <v>6138656.0</v>
      </c>
      <c r="J186" s="3">
        <v>0.0</v>
      </c>
      <c r="K186" s="3">
        <v>5035.0</v>
      </c>
      <c r="L186" s="3">
        <v>0.0</v>
      </c>
      <c r="M186" s="3">
        <v>0.0</v>
      </c>
    </row>
    <row r="187">
      <c r="A187" s="3">
        <v>2000.0</v>
      </c>
      <c r="B187" s="3">
        <v>10.0</v>
      </c>
      <c r="C187" s="3">
        <v>2.0</v>
      </c>
      <c r="D187" s="3" t="s">
        <v>16</v>
      </c>
      <c r="E187" s="3" t="s">
        <v>14</v>
      </c>
      <c r="F187" s="3">
        <v>2.383</v>
      </c>
      <c r="G187" s="3">
        <v>1.0</v>
      </c>
      <c r="H187" s="3">
        <v>6129862.0</v>
      </c>
      <c r="I187" s="3">
        <v>6129862.0</v>
      </c>
      <c r="J187" s="3">
        <v>0.0</v>
      </c>
      <c r="K187" s="3">
        <v>5007.0</v>
      </c>
      <c r="L187" s="3">
        <v>0.0</v>
      </c>
      <c r="M187" s="3">
        <v>0.0</v>
      </c>
    </row>
    <row r="188">
      <c r="A188" s="3">
        <v>2000.0</v>
      </c>
      <c r="B188" s="3">
        <v>10.0</v>
      </c>
      <c r="C188" s="3">
        <v>3.0</v>
      </c>
      <c r="D188" s="3" t="s">
        <v>13</v>
      </c>
      <c r="E188" s="3" t="s">
        <v>14</v>
      </c>
      <c r="F188" s="3">
        <v>0.415</v>
      </c>
      <c r="G188" s="3">
        <v>1.0</v>
      </c>
      <c r="H188" s="3">
        <v>6080192.0</v>
      </c>
      <c r="I188" s="3">
        <v>6080192.0</v>
      </c>
      <c r="J188" s="3">
        <v>0.0</v>
      </c>
      <c r="K188" s="3">
        <v>4990.0</v>
      </c>
      <c r="L188" s="3">
        <v>0.0</v>
      </c>
      <c r="M188" s="3">
        <v>0.0</v>
      </c>
    </row>
    <row r="189">
      <c r="A189" s="3">
        <v>2000.0</v>
      </c>
      <c r="B189" s="3">
        <v>10.0</v>
      </c>
      <c r="C189" s="3">
        <v>3.0</v>
      </c>
      <c r="D189" s="3" t="s">
        <v>15</v>
      </c>
      <c r="E189" s="3" t="s">
        <v>14</v>
      </c>
      <c r="F189" s="3">
        <v>2.611</v>
      </c>
      <c r="G189" s="3">
        <v>1.0</v>
      </c>
      <c r="H189" s="3">
        <v>6078146.0</v>
      </c>
      <c r="I189" s="3">
        <v>6078146.0</v>
      </c>
      <c r="J189" s="3">
        <v>0.0</v>
      </c>
      <c r="K189" s="3">
        <v>5006.0</v>
      </c>
      <c r="L189" s="3">
        <v>0.0</v>
      </c>
      <c r="M189" s="3">
        <v>0.0</v>
      </c>
    </row>
    <row r="190">
      <c r="A190" s="3">
        <v>2000.0</v>
      </c>
      <c r="B190" s="3">
        <v>10.0</v>
      </c>
      <c r="C190" s="3">
        <v>3.0</v>
      </c>
      <c r="D190" s="3" t="s">
        <v>16</v>
      </c>
      <c r="E190" s="3" t="s">
        <v>14</v>
      </c>
      <c r="F190" s="3">
        <v>1.69</v>
      </c>
      <c r="G190" s="3">
        <v>1.0</v>
      </c>
      <c r="H190" s="3">
        <v>6081050.0</v>
      </c>
      <c r="I190" s="3">
        <v>6081050.0</v>
      </c>
      <c r="J190" s="3">
        <v>0.0</v>
      </c>
      <c r="K190" s="3">
        <v>5055.0</v>
      </c>
      <c r="L190" s="3">
        <v>0.0</v>
      </c>
      <c r="M190" s="3">
        <v>0.0</v>
      </c>
    </row>
    <row r="191">
      <c r="A191" s="3">
        <v>2000.0</v>
      </c>
      <c r="B191" s="3">
        <v>10.0</v>
      </c>
      <c r="C191" s="3">
        <v>4.0</v>
      </c>
      <c r="D191" s="3" t="s">
        <v>13</v>
      </c>
      <c r="E191" s="3" t="s">
        <v>14</v>
      </c>
      <c r="F191" s="3">
        <v>0.454</v>
      </c>
      <c r="G191" s="3">
        <v>1.0</v>
      </c>
      <c r="H191" s="3">
        <v>6130120.0</v>
      </c>
      <c r="I191" s="3">
        <v>6130120.0</v>
      </c>
      <c r="J191" s="3">
        <v>0.0</v>
      </c>
      <c r="K191" s="3">
        <v>5126.0</v>
      </c>
      <c r="L191" s="3">
        <v>0.0</v>
      </c>
      <c r="M191" s="3">
        <v>0.0</v>
      </c>
    </row>
    <row r="192">
      <c r="A192" s="3">
        <v>2000.0</v>
      </c>
      <c r="B192" s="3">
        <v>10.0</v>
      </c>
      <c r="C192" s="3">
        <v>4.0</v>
      </c>
      <c r="D192" s="3" t="s">
        <v>15</v>
      </c>
      <c r="E192" s="3" t="s">
        <v>14</v>
      </c>
      <c r="F192" s="3">
        <v>2.607</v>
      </c>
      <c r="G192" s="3">
        <v>1.0</v>
      </c>
      <c r="H192" s="3">
        <v>6122938.0</v>
      </c>
      <c r="I192" s="3">
        <v>6122938.0</v>
      </c>
      <c r="J192" s="3">
        <v>0.0</v>
      </c>
      <c r="K192" s="3">
        <v>4892.0</v>
      </c>
      <c r="L192" s="3">
        <v>0.0</v>
      </c>
      <c r="M192" s="3">
        <v>0.0</v>
      </c>
    </row>
    <row r="193">
      <c r="A193" s="3">
        <v>2000.0</v>
      </c>
      <c r="B193" s="3">
        <v>10.0</v>
      </c>
      <c r="C193" s="3">
        <v>4.0</v>
      </c>
      <c r="D193" s="3" t="s">
        <v>16</v>
      </c>
      <c r="E193" s="3" t="s">
        <v>14</v>
      </c>
      <c r="F193" s="3">
        <v>2.846</v>
      </c>
      <c r="G193" s="3">
        <v>1.0</v>
      </c>
      <c r="H193" s="3">
        <v>6137223.0</v>
      </c>
      <c r="I193" s="3">
        <v>6137223.0</v>
      </c>
      <c r="J193" s="3">
        <v>0.0</v>
      </c>
      <c r="K193" s="3">
        <v>5025.0</v>
      </c>
      <c r="L193" s="3">
        <v>0.0</v>
      </c>
      <c r="M193" s="3">
        <v>0.0</v>
      </c>
    </row>
    <row r="194">
      <c r="A194" s="3">
        <v>2000.0</v>
      </c>
      <c r="B194" s="3">
        <v>10.0</v>
      </c>
      <c r="C194" s="3">
        <v>5.0</v>
      </c>
      <c r="D194" s="3" t="s">
        <v>13</v>
      </c>
      <c r="E194" s="3" t="s">
        <v>14</v>
      </c>
      <c r="F194" s="3">
        <v>0.427</v>
      </c>
      <c r="G194" s="3">
        <v>1.0</v>
      </c>
      <c r="H194" s="3">
        <v>6117171.0</v>
      </c>
      <c r="I194" s="3">
        <v>6117171.0</v>
      </c>
      <c r="J194" s="3">
        <v>0.0</v>
      </c>
      <c r="K194" s="3">
        <v>5015.0</v>
      </c>
      <c r="L194" s="3">
        <v>0.0</v>
      </c>
      <c r="M194" s="3">
        <v>0.0</v>
      </c>
    </row>
    <row r="195">
      <c r="A195" s="3">
        <v>2000.0</v>
      </c>
      <c r="B195" s="3">
        <v>10.0</v>
      </c>
      <c r="C195" s="3">
        <v>5.0</v>
      </c>
      <c r="D195" s="3" t="s">
        <v>15</v>
      </c>
      <c r="E195" s="3" t="s">
        <v>14</v>
      </c>
      <c r="F195" s="3">
        <v>2.578</v>
      </c>
      <c r="G195" s="3">
        <v>1.0</v>
      </c>
      <c r="H195" s="3">
        <v>6113895.0</v>
      </c>
      <c r="I195" s="3">
        <v>6113895.0</v>
      </c>
      <c r="J195" s="3">
        <v>0.0</v>
      </c>
      <c r="K195" s="3">
        <v>4855.0</v>
      </c>
      <c r="L195" s="3">
        <v>0.0</v>
      </c>
      <c r="M195" s="3">
        <v>0.0</v>
      </c>
    </row>
    <row r="196">
      <c r="A196" s="3">
        <v>2000.0</v>
      </c>
      <c r="B196" s="3">
        <v>10.0</v>
      </c>
      <c r="C196" s="3">
        <v>5.0</v>
      </c>
      <c r="D196" s="3" t="s">
        <v>16</v>
      </c>
      <c r="E196" s="3" t="s">
        <v>14</v>
      </c>
      <c r="F196" s="3">
        <v>2.38</v>
      </c>
      <c r="G196" s="3">
        <v>1.0</v>
      </c>
      <c r="H196" s="3">
        <v>6129642.0</v>
      </c>
      <c r="I196" s="3">
        <v>6129642.0</v>
      </c>
      <c r="J196" s="3">
        <v>0.0</v>
      </c>
      <c r="K196" s="3">
        <v>5182.0</v>
      </c>
      <c r="L196" s="3">
        <v>0.0</v>
      </c>
      <c r="M196" s="3">
        <v>0.0</v>
      </c>
    </row>
    <row r="197">
      <c r="A197" s="3">
        <v>2000.0</v>
      </c>
      <c r="B197" s="3">
        <v>50.0</v>
      </c>
      <c r="C197" s="3">
        <v>1.0</v>
      </c>
      <c r="D197" s="3" t="s">
        <v>13</v>
      </c>
      <c r="E197" s="3" t="s">
        <v>14</v>
      </c>
      <c r="F197" s="3">
        <v>8.024</v>
      </c>
      <c r="G197" s="3">
        <v>1.0</v>
      </c>
      <c r="H197" s="3">
        <v>3.1444064E7</v>
      </c>
      <c r="I197" s="3">
        <v>3.1444064E7</v>
      </c>
      <c r="J197" s="3">
        <v>0.0</v>
      </c>
      <c r="K197" s="3">
        <v>7287.0</v>
      </c>
      <c r="L197" s="3">
        <v>0.0</v>
      </c>
      <c r="M197" s="3">
        <v>0.0</v>
      </c>
    </row>
    <row r="198">
      <c r="A198" s="3">
        <v>2000.0</v>
      </c>
      <c r="B198" s="3">
        <v>50.0</v>
      </c>
      <c r="C198" s="3">
        <v>1.0</v>
      </c>
      <c r="D198" s="3" t="s">
        <v>15</v>
      </c>
      <c r="E198" s="3" t="s">
        <v>14</v>
      </c>
      <c r="F198" s="3">
        <v>23.816</v>
      </c>
      <c r="G198" s="3">
        <v>1.0</v>
      </c>
      <c r="H198" s="3">
        <v>3.1414002E7</v>
      </c>
      <c r="I198" s="3">
        <v>3.1414002E7</v>
      </c>
      <c r="J198" s="3">
        <v>0.0</v>
      </c>
      <c r="K198" s="3">
        <v>6687.0</v>
      </c>
      <c r="L198" s="3">
        <v>0.0</v>
      </c>
      <c r="M198" s="3">
        <v>3.0</v>
      </c>
    </row>
    <row r="199">
      <c r="A199" s="3">
        <v>2000.0</v>
      </c>
      <c r="B199" s="3">
        <v>50.0</v>
      </c>
      <c r="C199" s="3">
        <v>1.0</v>
      </c>
      <c r="D199" s="3" t="s">
        <v>16</v>
      </c>
      <c r="E199" s="3" t="s">
        <v>14</v>
      </c>
      <c r="F199" s="3">
        <v>3.981</v>
      </c>
      <c r="G199" s="3">
        <v>1.0</v>
      </c>
      <c r="H199" s="3">
        <v>3.1427555E7</v>
      </c>
      <c r="I199" s="3">
        <v>3.1427555E7</v>
      </c>
      <c r="J199" s="3">
        <v>0.0</v>
      </c>
      <c r="K199" s="3">
        <v>6971.0</v>
      </c>
      <c r="L199" s="3">
        <v>0.0</v>
      </c>
      <c r="M199" s="3">
        <v>0.0</v>
      </c>
    </row>
    <row r="200">
      <c r="A200" s="3">
        <v>2000.0</v>
      </c>
      <c r="B200" s="3">
        <v>50.0</v>
      </c>
      <c r="C200" s="3">
        <v>2.0</v>
      </c>
      <c r="D200" s="3" t="s">
        <v>13</v>
      </c>
      <c r="E200" s="3" t="s">
        <v>14</v>
      </c>
      <c r="F200" s="3">
        <v>7.771</v>
      </c>
      <c r="G200" s="3">
        <v>1.0</v>
      </c>
      <c r="H200" s="3">
        <v>3.1458221E7</v>
      </c>
      <c r="I200" s="3">
        <v>3.1458221E7</v>
      </c>
      <c r="J200" s="3">
        <v>0.0</v>
      </c>
      <c r="K200" s="3">
        <v>6781.0</v>
      </c>
      <c r="L200" s="3">
        <v>0.0</v>
      </c>
      <c r="M200" s="3">
        <v>0.0</v>
      </c>
    </row>
    <row r="201">
      <c r="A201" s="3">
        <v>2000.0</v>
      </c>
      <c r="B201" s="3">
        <v>50.0</v>
      </c>
      <c r="C201" s="3">
        <v>2.0</v>
      </c>
      <c r="D201" s="3" t="s">
        <v>15</v>
      </c>
      <c r="E201" s="3" t="s">
        <v>14</v>
      </c>
      <c r="F201" s="3">
        <v>25.722</v>
      </c>
      <c r="G201" s="3">
        <v>1.0</v>
      </c>
      <c r="H201" s="3">
        <v>3.1471816E7</v>
      </c>
      <c r="I201" s="3">
        <v>3.1471816E7</v>
      </c>
      <c r="J201" s="3">
        <v>0.0</v>
      </c>
      <c r="K201" s="3">
        <v>7293.0</v>
      </c>
      <c r="L201" s="3">
        <v>0.0</v>
      </c>
      <c r="M201" s="3">
        <v>3.0</v>
      </c>
    </row>
    <row r="202">
      <c r="A202" s="3">
        <v>2000.0</v>
      </c>
      <c r="B202" s="3">
        <v>50.0</v>
      </c>
      <c r="C202" s="3">
        <v>2.0</v>
      </c>
      <c r="D202" s="3" t="s">
        <v>16</v>
      </c>
      <c r="E202" s="3" t="s">
        <v>14</v>
      </c>
      <c r="F202" s="3">
        <v>3.441</v>
      </c>
      <c r="G202" s="3">
        <v>1.0</v>
      </c>
      <c r="H202" s="3">
        <v>3.1455838E7</v>
      </c>
      <c r="I202" s="3">
        <v>3.1455838E7</v>
      </c>
      <c r="J202" s="3">
        <v>0.0</v>
      </c>
      <c r="K202" s="3">
        <v>7044.0</v>
      </c>
      <c r="L202" s="3">
        <v>0.0</v>
      </c>
      <c r="M202" s="3">
        <v>0.0</v>
      </c>
    </row>
    <row r="203">
      <c r="A203" s="3">
        <v>2000.0</v>
      </c>
      <c r="B203" s="3">
        <v>50.0</v>
      </c>
      <c r="C203" s="3">
        <v>3.0</v>
      </c>
      <c r="D203" s="3" t="s">
        <v>13</v>
      </c>
      <c r="E203" s="3" t="s">
        <v>14</v>
      </c>
      <c r="F203" s="3">
        <v>8.148</v>
      </c>
      <c r="G203" s="3">
        <v>1.0</v>
      </c>
      <c r="H203" s="3">
        <v>3.1430381E7</v>
      </c>
      <c r="I203" s="3">
        <v>3.1430381E7</v>
      </c>
      <c r="J203" s="3">
        <v>0.0</v>
      </c>
      <c r="K203" s="3">
        <v>7132.0</v>
      </c>
      <c r="L203" s="3">
        <v>0.0</v>
      </c>
      <c r="M203" s="3">
        <v>0.0</v>
      </c>
    </row>
    <row r="204">
      <c r="A204" s="3">
        <v>2000.0</v>
      </c>
      <c r="B204" s="3">
        <v>50.0</v>
      </c>
      <c r="C204" s="3">
        <v>3.0</v>
      </c>
      <c r="D204" s="3" t="s">
        <v>15</v>
      </c>
      <c r="E204" s="3" t="s">
        <v>14</v>
      </c>
      <c r="F204" s="3">
        <v>26.96</v>
      </c>
      <c r="G204" s="3">
        <v>1.0</v>
      </c>
      <c r="H204" s="3">
        <v>3.1443519E7</v>
      </c>
      <c r="I204" s="3">
        <v>3.1443519E7</v>
      </c>
      <c r="J204" s="3">
        <v>0.0</v>
      </c>
      <c r="K204" s="3">
        <v>7382.0</v>
      </c>
      <c r="L204" s="3">
        <v>0.0</v>
      </c>
      <c r="M204" s="3">
        <v>3.0</v>
      </c>
    </row>
    <row r="205">
      <c r="A205" s="3">
        <v>2000.0</v>
      </c>
      <c r="B205" s="3">
        <v>50.0</v>
      </c>
      <c r="C205" s="3">
        <v>3.0</v>
      </c>
      <c r="D205" s="3" t="s">
        <v>16</v>
      </c>
      <c r="E205" s="3" t="s">
        <v>14</v>
      </c>
      <c r="F205" s="3">
        <v>4.149</v>
      </c>
      <c r="G205" s="3">
        <v>1.0</v>
      </c>
      <c r="H205" s="3">
        <v>3.1453263E7</v>
      </c>
      <c r="I205" s="3">
        <v>3.1453263E7</v>
      </c>
      <c r="J205" s="3">
        <v>0.0</v>
      </c>
      <c r="K205" s="3">
        <v>7659.0</v>
      </c>
      <c r="L205" s="3">
        <v>0.0</v>
      </c>
      <c r="M205" s="3">
        <v>0.0</v>
      </c>
    </row>
    <row r="206">
      <c r="A206" s="3">
        <v>2000.0</v>
      </c>
      <c r="B206" s="3">
        <v>50.0</v>
      </c>
      <c r="C206" s="3">
        <v>4.0</v>
      </c>
      <c r="D206" s="3" t="s">
        <v>13</v>
      </c>
      <c r="E206" s="3" t="s">
        <v>14</v>
      </c>
      <c r="F206" s="3">
        <v>7.512</v>
      </c>
      <c r="G206" s="3">
        <v>1.0</v>
      </c>
      <c r="H206" s="3">
        <v>3.1474875E7</v>
      </c>
      <c r="I206" s="3">
        <v>3.1474875E7</v>
      </c>
      <c r="J206" s="3">
        <v>0.0</v>
      </c>
      <c r="K206" s="3">
        <v>6981.0</v>
      </c>
      <c r="L206" s="3">
        <v>0.0</v>
      </c>
      <c r="M206" s="3">
        <v>0.0</v>
      </c>
    </row>
    <row r="207">
      <c r="A207" s="3">
        <v>2000.0</v>
      </c>
      <c r="B207" s="3">
        <v>50.0</v>
      </c>
      <c r="C207" s="3">
        <v>4.0</v>
      </c>
      <c r="D207" s="3" t="s">
        <v>15</v>
      </c>
      <c r="E207" s="3" t="s">
        <v>14</v>
      </c>
      <c r="F207" s="3">
        <v>25.73</v>
      </c>
      <c r="G207" s="3">
        <v>1.0</v>
      </c>
      <c r="H207" s="3">
        <v>3.1462294E7</v>
      </c>
      <c r="I207" s="3">
        <v>3.1462294E7</v>
      </c>
      <c r="J207" s="3">
        <v>0.0</v>
      </c>
      <c r="K207" s="3">
        <v>7017.0</v>
      </c>
      <c r="L207" s="3">
        <v>0.0</v>
      </c>
      <c r="M207" s="3">
        <v>3.0</v>
      </c>
    </row>
    <row r="208">
      <c r="A208" s="3">
        <v>2000.0</v>
      </c>
      <c r="B208" s="3">
        <v>50.0</v>
      </c>
      <c r="C208" s="3">
        <v>4.0</v>
      </c>
      <c r="D208" s="3" t="s">
        <v>16</v>
      </c>
      <c r="E208" s="3" t="s">
        <v>14</v>
      </c>
      <c r="F208" s="3">
        <v>3.213</v>
      </c>
      <c r="G208" s="3">
        <v>1.0</v>
      </c>
      <c r="H208" s="3">
        <v>3.1469161E7</v>
      </c>
      <c r="I208" s="3">
        <v>3.1469161E7</v>
      </c>
      <c r="J208" s="3">
        <v>0.0</v>
      </c>
      <c r="K208" s="3">
        <v>7300.0</v>
      </c>
      <c r="L208" s="3">
        <v>0.0</v>
      </c>
      <c r="M208" s="3">
        <v>0.0</v>
      </c>
    </row>
    <row r="209">
      <c r="A209" s="3">
        <v>2000.0</v>
      </c>
      <c r="B209" s="3">
        <v>50.0</v>
      </c>
      <c r="C209" s="3">
        <v>5.0</v>
      </c>
      <c r="D209" s="3" t="s">
        <v>13</v>
      </c>
      <c r="E209" s="3" t="s">
        <v>14</v>
      </c>
      <c r="F209" s="3">
        <v>7.985</v>
      </c>
      <c r="G209" s="3">
        <v>1.0</v>
      </c>
      <c r="H209" s="3">
        <v>3.1460466E7</v>
      </c>
      <c r="I209" s="3">
        <v>3.1460466E7</v>
      </c>
      <c r="J209" s="3">
        <v>0.0</v>
      </c>
      <c r="K209" s="3">
        <v>6975.0</v>
      </c>
      <c r="L209" s="3">
        <v>0.0</v>
      </c>
      <c r="M209" s="3">
        <v>0.0</v>
      </c>
    </row>
    <row r="210">
      <c r="A210" s="3">
        <v>2000.0</v>
      </c>
      <c r="B210" s="3">
        <v>50.0</v>
      </c>
      <c r="C210" s="3">
        <v>5.0</v>
      </c>
      <c r="D210" s="3" t="s">
        <v>15</v>
      </c>
      <c r="E210" s="3" t="s">
        <v>14</v>
      </c>
      <c r="F210" s="3">
        <v>24.846</v>
      </c>
      <c r="G210" s="3">
        <v>1.0</v>
      </c>
      <c r="H210" s="3">
        <v>3.144593E7</v>
      </c>
      <c r="I210" s="3">
        <v>3.144593E7</v>
      </c>
      <c r="J210" s="3">
        <v>0.0</v>
      </c>
      <c r="K210" s="3">
        <v>6762.0</v>
      </c>
      <c r="L210" s="3">
        <v>0.0</v>
      </c>
      <c r="M210" s="3">
        <v>3.0</v>
      </c>
    </row>
    <row r="211">
      <c r="A211" s="3">
        <v>2000.0</v>
      </c>
      <c r="B211" s="3">
        <v>50.0</v>
      </c>
      <c r="C211" s="3">
        <v>5.0</v>
      </c>
      <c r="D211" s="3" t="s">
        <v>16</v>
      </c>
      <c r="E211" s="3" t="s">
        <v>14</v>
      </c>
      <c r="F211" s="3">
        <v>2.116</v>
      </c>
      <c r="G211" s="3">
        <v>1.0</v>
      </c>
      <c r="H211" s="3">
        <v>3.1435138E7</v>
      </c>
      <c r="I211" s="3">
        <v>3.1435138E7</v>
      </c>
      <c r="J211" s="3">
        <v>0.0</v>
      </c>
      <c r="K211" s="3">
        <v>6559.0</v>
      </c>
      <c r="L211" s="3">
        <v>0.0</v>
      </c>
      <c r="M211" s="3">
        <v>0.0</v>
      </c>
    </row>
    <row r="212">
      <c r="A212" s="3">
        <v>2000.0</v>
      </c>
      <c r="B212" s="3">
        <v>100.0</v>
      </c>
      <c r="C212" s="3">
        <v>1.0</v>
      </c>
      <c r="D212" s="3" t="s">
        <v>13</v>
      </c>
      <c r="E212" s="3" t="s">
        <v>14</v>
      </c>
      <c r="F212" s="3">
        <v>27.741</v>
      </c>
      <c r="G212" s="3">
        <v>1.0</v>
      </c>
      <c r="H212" s="3">
        <v>1.0221819E8</v>
      </c>
      <c r="I212" s="3">
        <v>1.0221819E8</v>
      </c>
      <c r="J212" s="3">
        <v>0.0</v>
      </c>
      <c r="K212" s="3">
        <v>7862.0</v>
      </c>
      <c r="L212" s="3">
        <v>0.0</v>
      </c>
      <c r="M212" s="3">
        <v>2.0</v>
      </c>
    </row>
    <row r="213">
      <c r="A213" s="3">
        <v>2000.0</v>
      </c>
      <c r="B213" s="3">
        <v>100.0</v>
      </c>
      <c r="C213" s="3">
        <v>1.0</v>
      </c>
      <c r="D213" s="3" t="s">
        <v>15</v>
      </c>
      <c r="E213" s="3" t="s">
        <v>14</v>
      </c>
      <c r="F213" s="3">
        <v>61.875</v>
      </c>
      <c r="G213" s="3">
        <v>1.0</v>
      </c>
      <c r="H213" s="3">
        <v>1.02217312E8</v>
      </c>
      <c r="I213" s="3">
        <v>1.02217312E8</v>
      </c>
      <c r="J213" s="3">
        <v>0.0</v>
      </c>
      <c r="K213" s="3">
        <v>7706.0</v>
      </c>
      <c r="L213" s="3">
        <v>0.0</v>
      </c>
      <c r="M213" s="3">
        <v>7.0</v>
      </c>
    </row>
    <row r="214">
      <c r="A214" s="3">
        <v>2000.0</v>
      </c>
      <c r="B214" s="3">
        <v>100.0</v>
      </c>
      <c r="C214" s="3">
        <v>1.0</v>
      </c>
      <c r="D214" s="3" t="s">
        <v>16</v>
      </c>
      <c r="E214" s="3" t="s">
        <v>14</v>
      </c>
      <c r="F214" s="3">
        <v>3.818</v>
      </c>
      <c r="G214" s="3">
        <v>1.0</v>
      </c>
      <c r="H214" s="3">
        <v>1.02214836E8</v>
      </c>
      <c r="I214" s="3">
        <v>1.02214836E8</v>
      </c>
      <c r="J214" s="3">
        <v>0.0</v>
      </c>
      <c r="K214" s="3">
        <v>7986.0</v>
      </c>
      <c r="L214" s="3">
        <v>0.0</v>
      </c>
      <c r="M214" s="3">
        <v>0.0</v>
      </c>
    </row>
    <row r="215">
      <c r="A215" s="3">
        <v>2000.0</v>
      </c>
      <c r="B215" s="3">
        <v>100.0</v>
      </c>
      <c r="C215" s="3">
        <v>2.0</v>
      </c>
      <c r="D215" s="3" t="s">
        <v>13</v>
      </c>
      <c r="E215" s="3" t="s">
        <v>14</v>
      </c>
      <c r="F215" s="3">
        <v>26.556</v>
      </c>
      <c r="G215" s="3">
        <v>1.0</v>
      </c>
      <c r="H215" s="3">
        <v>1.02201199E8</v>
      </c>
      <c r="I215" s="3">
        <v>1.02201199E8</v>
      </c>
      <c r="J215" s="3">
        <v>0.0</v>
      </c>
      <c r="K215" s="3">
        <v>7735.0</v>
      </c>
      <c r="L215" s="3">
        <v>0.0</v>
      </c>
      <c r="M215" s="3">
        <v>2.0</v>
      </c>
    </row>
    <row r="216">
      <c r="A216" s="3">
        <v>2000.0</v>
      </c>
      <c r="B216" s="3">
        <v>100.0</v>
      </c>
      <c r="C216" s="3">
        <v>2.0</v>
      </c>
      <c r="D216" s="3" t="s">
        <v>15</v>
      </c>
      <c r="E216" s="3" t="s">
        <v>14</v>
      </c>
      <c r="F216" s="3">
        <v>63.678</v>
      </c>
      <c r="G216" s="3">
        <v>1.0</v>
      </c>
      <c r="H216" s="3">
        <v>1.02198443E8</v>
      </c>
      <c r="I216" s="3">
        <v>1.02198443E8</v>
      </c>
      <c r="J216" s="3">
        <v>0.0</v>
      </c>
      <c r="K216" s="3">
        <v>8009.0</v>
      </c>
      <c r="L216" s="3">
        <v>0.0</v>
      </c>
      <c r="M216" s="3">
        <v>7.0</v>
      </c>
    </row>
    <row r="217">
      <c r="A217" s="3">
        <v>2000.0</v>
      </c>
      <c r="B217" s="3">
        <v>100.0</v>
      </c>
      <c r="C217" s="3">
        <v>2.0</v>
      </c>
      <c r="D217" s="3" t="s">
        <v>16</v>
      </c>
      <c r="E217" s="3" t="s">
        <v>14</v>
      </c>
      <c r="F217" s="3">
        <v>3.244</v>
      </c>
      <c r="G217" s="3">
        <v>1.0</v>
      </c>
      <c r="H217" s="3">
        <v>1.0219678E8</v>
      </c>
      <c r="I217" s="3">
        <v>1.0219678E8</v>
      </c>
      <c r="J217" s="3">
        <v>0.0</v>
      </c>
      <c r="K217" s="3">
        <v>7546.0</v>
      </c>
      <c r="L217" s="3">
        <v>0.0</v>
      </c>
      <c r="M217" s="3">
        <v>0.0</v>
      </c>
    </row>
    <row r="218">
      <c r="A218" s="3">
        <v>2000.0</v>
      </c>
      <c r="B218" s="3">
        <v>100.0</v>
      </c>
      <c r="C218" s="3">
        <v>3.0</v>
      </c>
      <c r="D218" s="3" t="s">
        <v>13</v>
      </c>
      <c r="E218" s="3" t="s">
        <v>14</v>
      </c>
      <c r="F218" s="3">
        <v>28.387</v>
      </c>
      <c r="G218" s="3">
        <v>1.0</v>
      </c>
      <c r="H218" s="3">
        <v>1.02267106E8</v>
      </c>
      <c r="I218" s="3">
        <v>1.02267106E8</v>
      </c>
      <c r="J218" s="3">
        <v>0.0</v>
      </c>
      <c r="K218" s="3">
        <v>7998.0</v>
      </c>
      <c r="L218" s="3">
        <v>0.0</v>
      </c>
      <c r="M218" s="3">
        <v>3.0</v>
      </c>
    </row>
    <row r="219">
      <c r="A219" s="3">
        <v>2000.0</v>
      </c>
      <c r="B219" s="3">
        <v>100.0</v>
      </c>
      <c r="C219" s="3">
        <v>3.0</v>
      </c>
      <c r="D219" s="3" t="s">
        <v>15</v>
      </c>
      <c r="E219" s="3" t="s">
        <v>14</v>
      </c>
      <c r="F219" s="3">
        <v>56.205</v>
      </c>
      <c r="G219" s="3">
        <v>1.0</v>
      </c>
      <c r="H219" s="3">
        <v>1.0223809E8</v>
      </c>
      <c r="I219" s="3">
        <v>1.0223809E8</v>
      </c>
      <c r="J219" s="3">
        <v>0.0</v>
      </c>
      <c r="K219" s="3">
        <v>7185.0</v>
      </c>
      <c r="L219" s="3">
        <v>0.0</v>
      </c>
      <c r="M219" s="3">
        <v>7.0</v>
      </c>
    </row>
    <row r="220">
      <c r="A220" s="3">
        <v>2000.0</v>
      </c>
      <c r="B220" s="3">
        <v>100.0</v>
      </c>
      <c r="C220" s="3">
        <v>3.0</v>
      </c>
      <c r="D220" s="3" t="s">
        <v>16</v>
      </c>
      <c r="E220" s="3" t="s">
        <v>14</v>
      </c>
      <c r="F220" s="3">
        <v>4.6</v>
      </c>
      <c r="G220" s="3">
        <v>1.0</v>
      </c>
      <c r="H220" s="3">
        <v>1.02259765E8</v>
      </c>
      <c r="I220" s="3">
        <v>1.02259765E8</v>
      </c>
      <c r="J220" s="3">
        <v>0.0</v>
      </c>
      <c r="K220" s="3">
        <v>8221.0</v>
      </c>
      <c r="L220" s="3">
        <v>0.0</v>
      </c>
      <c r="M220" s="3">
        <v>0.0</v>
      </c>
    </row>
    <row r="221">
      <c r="A221" s="3">
        <v>2000.0</v>
      </c>
      <c r="B221" s="3">
        <v>100.0</v>
      </c>
      <c r="C221" s="3">
        <v>4.0</v>
      </c>
      <c r="D221" s="3" t="s">
        <v>13</v>
      </c>
      <c r="E221" s="3" t="s">
        <v>14</v>
      </c>
      <c r="F221" s="3">
        <v>29.576</v>
      </c>
      <c r="G221" s="3">
        <v>1.0</v>
      </c>
      <c r="H221" s="3">
        <v>1.02254515E8</v>
      </c>
      <c r="I221" s="3">
        <v>1.02254515E8</v>
      </c>
      <c r="J221" s="3">
        <v>0.0</v>
      </c>
      <c r="K221" s="3">
        <v>8975.0</v>
      </c>
      <c r="L221" s="3">
        <v>0.0</v>
      </c>
      <c r="M221" s="3">
        <v>2.0</v>
      </c>
    </row>
    <row r="222">
      <c r="A222" s="3">
        <v>2000.0</v>
      </c>
      <c r="B222" s="3">
        <v>100.0</v>
      </c>
      <c r="C222" s="3">
        <v>4.0</v>
      </c>
      <c r="D222" s="3" t="s">
        <v>15</v>
      </c>
      <c r="E222" s="3" t="s">
        <v>14</v>
      </c>
      <c r="F222" s="3">
        <v>66.497</v>
      </c>
      <c r="G222" s="3">
        <v>1.0</v>
      </c>
      <c r="H222" s="3">
        <v>1.02246477E8</v>
      </c>
      <c r="I222" s="3">
        <v>1.02246477E8</v>
      </c>
      <c r="J222" s="3">
        <v>0.0</v>
      </c>
      <c r="K222" s="3">
        <v>8272.0</v>
      </c>
      <c r="L222" s="3">
        <v>0.0</v>
      </c>
      <c r="M222" s="3">
        <v>7.0</v>
      </c>
    </row>
    <row r="223">
      <c r="A223" s="3">
        <v>2000.0</v>
      </c>
      <c r="B223" s="3">
        <v>100.0</v>
      </c>
      <c r="C223" s="3">
        <v>4.0</v>
      </c>
      <c r="D223" s="3" t="s">
        <v>16</v>
      </c>
      <c r="E223" s="3" t="s">
        <v>14</v>
      </c>
      <c r="F223" s="3">
        <v>3.546</v>
      </c>
      <c r="G223" s="3">
        <v>1.0</v>
      </c>
      <c r="H223" s="3">
        <v>1.02231911E8</v>
      </c>
      <c r="I223" s="3">
        <v>1.02231911E8</v>
      </c>
      <c r="J223" s="3">
        <v>0.0</v>
      </c>
      <c r="K223" s="3">
        <v>7354.0</v>
      </c>
      <c r="L223" s="3">
        <v>0.0</v>
      </c>
      <c r="M223" s="3">
        <v>0.0</v>
      </c>
    </row>
    <row r="224">
      <c r="A224" s="3">
        <v>2000.0</v>
      </c>
      <c r="B224" s="3">
        <v>100.0</v>
      </c>
      <c r="C224" s="3">
        <v>5.0</v>
      </c>
      <c r="D224" s="3" t="s">
        <v>13</v>
      </c>
      <c r="E224" s="3" t="s">
        <v>14</v>
      </c>
      <c r="F224" s="3">
        <v>30.067</v>
      </c>
      <c r="G224" s="3">
        <v>1.0</v>
      </c>
      <c r="H224" s="3">
        <v>1.02211685E8</v>
      </c>
      <c r="I224" s="3">
        <v>1.02211685E8</v>
      </c>
      <c r="J224" s="3">
        <v>0.0</v>
      </c>
      <c r="K224" s="3">
        <v>8900.0</v>
      </c>
      <c r="L224" s="3">
        <v>0.0</v>
      </c>
      <c r="M224" s="3">
        <v>2.0</v>
      </c>
    </row>
    <row r="225">
      <c r="A225" s="3">
        <v>2000.0</v>
      </c>
      <c r="B225" s="3">
        <v>100.0</v>
      </c>
      <c r="C225" s="3">
        <v>5.0</v>
      </c>
      <c r="D225" s="3" t="s">
        <v>15</v>
      </c>
      <c r="E225" s="3" t="s">
        <v>14</v>
      </c>
      <c r="F225" s="3">
        <v>62.006</v>
      </c>
      <c r="G225" s="3">
        <v>1.0</v>
      </c>
      <c r="H225" s="3">
        <v>1.02202155E8</v>
      </c>
      <c r="I225" s="3">
        <v>1.02202155E8</v>
      </c>
      <c r="J225" s="3">
        <v>0.0</v>
      </c>
      <c r="K225" s="3">
        <v>7566.0</v>
      </c>
      <c r="L225" s="3">
        <v>0.0</v>
      </c>
      <c r="M225" s="3">
        <v>7.0</v>
      </c>
    </row>
    <row r="226">
      <c r="A226" s="3">
        <v>2000.0</v>
      </c>
      <c r="B226" s="3">
        <v>100.0</v>
      </c>
      <c r="C226" s="3">
        <v>5.0</v>
      </c>
      <c r="D226" s="3" t="s">
        <v>16</v>
      </c>
      <c r="E226" s="3" t="s">
        <v>14</v>
      </c>
      <c r="F226" s="3">
        <v>3.94</v>
      </c>
      <c r="G226" s="3">
        <v>1.0</v>
      </c>
      <c r="H226" s="3">
        <v>1.02193508E8</v>
      </c>
      <c r="I226" s="3">
        <v>1.02193508E8</v>
      </c>
      <c r="J226" s="3">
        <v>0.0</v>
      </c>
      <c r="K226" s="3">
        <v>7776.0</v>
      </c>
      <c r="L226" s="3">
        <v>0.0</v>
      </c>
      <c r="M226" s="3">
        <v>0.0</v>
      </c>
    </row>
    <row r="227">
      <c r="A227" s="3">
        <v>3000.0</v>
      </c>
      <c r="B227" s="3">
        <v>1.0</v>
      </c>
      <c r="C227" s="3">
        <v>1.0</v>
      </c>
      <c r="D227" s="3" t="s">
        <v>13</v>
      </c>
      <c r="E227" s="3" t="s">
        <v>14</v>
      </c>
      <c r="F227" s="3">
        <v>0.041</v>
      </c>
      <c r="G227" s="3">
        <v>1.0</v>
      </c>
      <c r="H227" s="3">
        <v>1639630.0</v>
      </c>
      <c r="I227" s="3">
        <v>1639630.0</v>
      </c>
      <c r="J227" s="3">
        <v>0.0</v>
      </c>
      <c r="K227" s="3">
        <v>4660.0</v>
      </c>
      <c r="L227" s="3">
        <v>0.0</v>
      </c>
      <c r="M227" s="3">
        <v>0.0</v>
      </c>
    </row>
    <row r="228">
      <c r="A228" s="3">
        <v>3000.0</v>
      </c>
      <c r="B228" s="3">
        <v>1.0</v>
      </c>
      <c r="C228" s="3">
        <v>1.0</v>
      </c>
      <c r="D228" s="3" t="s">
        <v>15</v>
      </c>
      <c r="E228" s="3" t="s">
        <v>14</v>
      </c>
      <c r="F228" s="3">
        <v>0.172</v>
      </c>
      <c r="G228" s="3">
        <v>1.0</v>
      </c>
      <c r="H228" s="3">
        <v>1636495.0</v>
      </c>
      <c r="I228" s="3">
        <v>1636495.0</v>
      </c>
      <c r="J228" s="3">
        <v>0.0</v>
      </c>
      <c r="K228" s="3">
        <v>4572.0</v>
      </c>
      <c r="L228" s="3">
        <v>0.0</v>
      </c>
      <c r="M228" s="3">
        <v>0.0</v>
      </c>
    </row>
    <row r="229">
      <c r="A229" s="3">
        <v>3000.0</v>
      </c>
      <c r="B229" s="3">
        <v>1.0</v>
      </c>
      <c r="C229" s="3">
        <v>1.0</v>
      </c>
      <c r="D229" s="3" t="s">
        <v>16</v>
      </c>
      <c r="E229" s="3" t="s">
        <v>14</v>
      </c>
      <c r="F229" s="3">
        <v>3.911</v>
      </c>
      <c r="G229" s="3">
        <v>1.0</v>
      </c>
      <c r="H229" s="3">
        <v>1637203.0</v>
      </c>
      <c r="I229" s="3">
        <v>1637203.0</v>
      </c>
      <c r="J229" s="3">
        <v>0.0</v>
      </c>
      <c r="K229" s="3">
        <v>4559.0</v>
      </c>
      <c r="L229" s="3">
        <v>0.0</v>
      </c>
      <c r="M229" s="3">
        <v>0.0</v>
      </c>
    </row>
    <row r="230">
      <c r="A230" s="3">
        <v>3000.0</v>
      </c>
      <c r="B230" s="3">
        <v>1.0</v>
      </c>
      <c r="C230" s="3">
        <v>2.0</v>
      </c>
      <c r="D230" s="3" t="s">
        <v>13</v>
      </c>
      <c r="E230" s="3" t="s">
        <v>14</v>
      </c>
      <c r="F230" s="3">
        <v>0.051</v>
      </c>
      <c r="G230" s="3">
        <v>1.0</v>
      </c>
      <c r="H230" s="3">
        <v>1652317.0</v>
      </c>
      <c r="I230" s="3">
        <v>1652317.0</v>
      </c>
      <c r="J230" s="3">
        <v>0.0</v>
      </c>
      <c r="K230" s="3">
        <v>4609.0</v>
      </c>
      <c r="L230" s="3">
        <v>0.0</v>
      </c>
      <c r="M230" s="3">
        <v>0.0</v>
      </c>
    </row>
    <row r="231">
      <c r="A231" s="3">
        <v>3000.0</v>
      </c>
      <c r="B231" s="3">
        <v>1.0</v>
      </c>
      <c r="C231" s="3">
        <v>2.0</v>
      </c>
      <c r="D231" s="3" t="s">
        <v>15</v>
      </c>
      <c r="E231" s="3" t="s">
        <v>14</v>
      </c>
      <c r="F231" s="3">
        <v>0.176</v>
      </c>
      <c r="G231" s="3">
        <v>1.0</v>
      </c>
      <c r="H231" s="3">
        <v>1645185.0</v>
      </c>
      <c r="I231" s="3">
        <v>1645185.0</v>
      </c>
      <c r="J231" s="3">
        <v>0.0</v>
      </c>
      <c r="K231" s="3">
        <v>4505.0</v>
      </c>
      <c r="L231" s="3">
        <v>0.0</v>
      </c>
      <c r="M231" s="3">
        <v>0.0</v>
      </c>
    </row>
    <row r="232">
      <c r="A232" s="3">
        <v>3000.0</v>
      </c>
      <c r="B232" s="3">
        <v>1.0</v>
      </c>
      <c r="C232" s="3">
        <v>2.0</v>
      </c>
      <c r="D232" s="3" t="s">
        <v>16</v>
      </c>
      <c r="E232" s="3" t="s">
        <v>14</v>
      </c>
      <c r="F232" s="3">
        <v>4.13</v>
      </c>
      <c r="G232" s="3">
        <v>1.0</v>
      </c>
      <c r="H232" s="3">
        <v>1652319.0</v>
      </c>
      <c r="I232" s="3">
        <v>1652319.0</v>
      </c>
      <c r="J232" s="3">
        <v>0.0</v>
      </c>
      <c r="K232" s="3">
        <v>4624.0</v>
      </c>
      <c r="L232" s="3">
        <v>0.0</v>
      </c>
      <c r="M232" s="3">
        <v>0.0</v>
      </c>
    </row>
    <row r="233">
      <c r="A233" s="3">
        <v>3000.0</v>
      </c>
      <c r="B233" s="3">
        <v>1.0</v>
      </c>
      <c r="C233" s="3">
        <v>3.0</v>
      </c>
      <c r="D233" s="3" t="s">
        <v>13</v>
      </c>
      <c r="E233" s="3" t="s">
        <v>14</v>
      </c>
      <c r="F233" s="3">
        <v>0.036</v>
      </c>
      <c r="G233" s="3">
        <v>1.0</v>
      </c>
      <c r="H233" s="3">
        <v>1617993.0</v>
      </c>
      <c r="I233" s="3">
        <v>1617993.0</v>
      </c>
      <c r="J233" s="3">
        <v>0.0</v>
      </c>
      <c r="K233" s="3">
        <v>4647.0</v>
      </c>
      <c r="L233" s="3">
        <v>0.0</v>
      </c>
      <c r="M233" s="3">
        <v>0.0</v>
      </c>
    </row>
    <row r="234">
      <c r="A234" s="3">
        <v>3000.0</v>
      </c>
      <c r="B234" s="3">
        <v>1.0</v>
      </c>
      <c r="C234" s="3">
        <v>3.0</v>
      </c>
      <c r="D234" s="3" t="s">
        <v>15</v>
      </c>
      <c r="E234" s="3" t="s">
        <v>14</v>
      </c>
      <c r="F234" s="3">
        <v>0.186</v>
      </c>
      <c r="G234" s="3">
        <v>1.0</v>
      </c>
      <c r="H234" s="3">
        <v>1617105.0</v>
      </c>
      <c r="I234" s="3">
        <v>1617105.0</v>
      </c>
      <c r="J234" s="3">
        <v>0.0</v>
      </c>
      <c r="K234" s="3">
        <v>4513.0</v>
      </c>
      <c r="L234" s="3">
        <v>0.0</v>
      </c>
      <c r="M234" s="3">
        <v>0.0</v>
      </c>
    </row>
    <row r="235">
      <c r="A235" s="3">
        <v>3000.0</v>
      </c>
      <c r="B235" s="3">
        <v>1.0</v>
      </c>
      <c r="C235" s="3">
        <v>3.0</v>
      </c>
      <c r="D235" s="3" t="s">
        <v>16</v>
      </c>
      <c r="E235" s="3" t="s">
        <v>14</v>
      </c>
      <c r="F235" s="3">
        <v>3.554</v>
      </c>
      <c r="G235" s="3">
        <v>1.0</v>
      </c>
      <c r="H235" s="3">
        <v>1615546.0</v>
      </c>
      <c r="I235" s="3">
        <v>1615546.0</v>
      </c>
      <c r="J235" s="3">
        <v>0.0</v>
      </c>
      <c r="K235" s="3">
        <v>4608.0</v>
      </c>
      <c r="L235" s="3">
        <v>0.0</v>
      </c>
      <c r="M235" s="3">
        <v>0.0</v>
      </c>
    </row>
    <row r="236">
      <c r="A236" s="3">
        <v>3000.0</v>
      </c>
      <c r="B236" s="3">
        <v>1.0</v>
      </c>
      <c r="C236" s="3">
        <v>4.0</v>
      </c>
      <c r="D236" s="3" t="s">
        <v>13</v>
      </c>
      <c r="E236" s="3" t="s">
        <v>14</v>
      </c>
      <c r="F236" s="3">
        <v>0.046</v>
      </c>
      <c r="G236" s="3">
        <v>1.0</v>
      </c>
      <c r="H236" s="3">
        <v>1648047.0</v>
      </c>
      <c r="I236" s="3">
        <v>1648047.0</v>
      </c>
      <c r="J236" s="3">
        <v>0.0</v>
      </c>
      <c r="K236" s="3">
        <v>4646.0</v>
      </c>
      <c r="L236" s="3">
        <v>0.0</v>
      </c>
      <c r="M236" s="3">
        <v>0.0</v>
      </c>
    </row>
    <row r="237">
      <c r="A237" s="3">
        <v>3000.0</v>
      </c>
      <c r="B237" s="3">
        <v>1.0</v>
      </c>
      <c r="C237" s="3">
        <v>4.0</v>
      </c>
      <c r="D237" s="3" t="s">
        <v>15</v>
      </c>
      <c r="E237" s="3" t="s">
        <v>14</v>
      </c>
      <c r="F237" s="3">
        <v>0.176</v>
      </c>
      <c r="G237" s="3">
        <v>1.0</v>
      </c>
      <c r="H237" s="3">
        <v>1646703.0</v>
      </c>
      <c r="I237" s="3">
        <v>1646703.0</v>
      </c>
      <c r="J237" s="3">
        <v>0.0</v>
      </c>
      <c r="K237" s="3">
        <v>4658.0</v>
      </c>
      <c r="L237" s="3">
        <v>0.0</v>
      </c>
      <c r="M237" s="3">
        <v>0.0</v>
      </c>
    </row>
    <row r="238">
      <c r="A238" s="3">
        <v>3000.0</v>
      </c>
      <c r="B238" s="3">
        <v>1.0</v>
      </c>
      <c r="C238" s="3">
        <v>4.0</v>
      </c>
      <c r="D238" s="3" t="s">
        <v>16</v>
      </c>
      <c r="E238" s="3" t="s">
        <v>14</v>
      </c>
      <c r="F238" s="3">
        <v>4.448</v>
      </c>
      <c r="G238" s="3">
        <v>1.0</v>
      </c>
      <c r="H238" s="3">
        <v>1644703.0</v>
      </c>
      <c r="I238" s="3">
        <v>1644703.0</v>
      </c>
      <c r="J238" s="3">
        <v>0.0</v>
      </c>
      <c r="K238" s="3">
        <v>4619.0</v>
      </c>
      <c r="L238" s="3">
        <v>0.0</v>
      </c>
      <c r="M238" s="3">
        <v>0.0</v>
      </c>
    </row>
    <row r="239">
      <c r="A239" s="3">
        <v>3000.0</v>
      </c>
      <c r="B239" s="3">
        <v>1.0</v>
      </c>
      <c r="C239" s="3">
        <v>5.0</v>
      </c>
      <c r="D239" s="3" t="s">
        <v>13</v>
      </c>
      <c r="E239" s="3" t="s">
        <v>14</v>
      </c>
      <c r="F239" s="3">
        <v>0.039</v>
      </c>
      <c r="G239" s="3">
        <v>1.0</v>
      </c>
      <c r="H239" s="3">
        <v>1656866.0</v>
      </c>
      <c r="I239" s="3">
        <v>1656866.0</v>
      </c>
      <c r="J239" s="3">
        <v>0.0</v>
      </c>
      <c r="K239" s="3">
        <v>4751.0</v>
      </c>
      <c r="L239" s="3">
        <v>0.0</v>
      </c>
      <c r="M239" s="3">
        <v>0.0</v>
      </c>
    </row>
    <row r="240">
      <c r="A240" s="3">
        <v>3000.0</v>
      </c>
      <c r="B240" s="3">
        <v>1.0</v>
      </c>
      <c r="C240" s="3">
        <v>5.0</v>
      </c>
      <c r="D240" s="3" t="s">
        <v>15</v>
      </c>
      <c r="E240" s="3" t="s">
        <v>14</v>
      </c>
      <c r="F240" s="3">
        <v>0.254</v>
      </c>
      <c r="G240" s="3">
        <v>1.0</v>
      </c>
      <c r="H240" s="3">
        <v>1655246.0</v>
      </c>
      <c r="I240" s="3">
        <v>1655246.0</v>
      </c>
      <c r="J240" s="3">
        <v>0.0</v>
      </c>
      <c r="K240" s="3">
        <v>4652.0</v>
      </c>
      <c r="L240" s="3">
        <v>0.0</v>
      </c>
      <c r="M240" s="3">
        <v>0.0</v>
      </c>
    </row>
    <row r="241">
      <c r="A241" s="3">
        <v>3000.0</v>
      </c>
      <c r="B241" s="3">
        <v>1.0</v>
      </c>
      <c r="C241" s="3">
        <v>5.0</v>
      </c>
      <c r="D241" s="3" t="s">
        <v>16</v>
      </c>
      <c r="E241" s="3" t="s">
        <v>14</v>
      </c>
      <c r="F241" s="3">
        <v>3.383</v>
      </c>
      <c r="G241" s="3">
        <v>1.0</v>
      </c>
      <c r="H241" s="3">
        <v>1653749.0</v>
      </c>
      <c r="I241" s="3">
        <v>1653749.0</v>
      </c>
      <c r="J241" s="3">
        <v>0.0</v>
      </c>
      <c r="K241" s="3">
        <v>4563.0</v>
      </c>
      <c r="L241" s="3">
        <v>0.0</v>
      </c>
      <c r="M241" s="3">
        <v>0.0</v>
      </c>
    </row>
    <row r="242">
      <c r="A242" s="3">
        <v>3000.0</v>
      </c>
      <c r="B242" s="3">
        <v>5.0</v>
      </c>
      <c r="C242" s="3">
        <v>1.0</v>
      </c>
      <c r="D242" s="3" t="s">
        <v>13</v>
      </c>
      <c r="E242" s="3" t="s">
        <v>14</v>
      </c>
      <c r="F242" s="3">
        <v>0.449</v>
      </c>
      <c r="G242" s="3">
        <v>1.0</v>
      </c>
      <c r="H242" s="3">
        <v>6985586.0</v>
      </c>
      <c r="I242" s="3">
        <v>6985586.0</v>
      </c>
      <c r="J242" s="3">
        <v>0.0</v>
      </c>
      <c r="K242" s="3">
        <v>7240.0</v>
      </c>
      <c r="L242" s="3">
        <v>0.0</v>
      </c>
      <c r="M242" s="3">
        <v>0.0</v>
      </c>
    </row>
    <row r="243">
      <c r="A243" s="3">
        <v>3000.0</v>
      </c>
      <c r="B243" s="3">
        <v>5.0</v>
      </c>
      <c r="C243" s="3">
        <v>1.0</v>
      </c>
      <c r="D243" s="3" t="s">
        <v>15</v>
      </c>
      <c r="E243" s="3" t="s">
        <v>14</v>
      </c>
      <c r="F243" s="3">
        <v>2.765</v>
      </c>
      <c r="G243" s="3">
        <v>1.0</v>
      </c>
      <c r="H243" s="3">
        <v>6975553.0</v>
      </c>
      <c r="I243" s="3">
        <v>6975553.0</v>
      </c>
      <c r="J243" s="3">
        <v>0.0</v>
      </c>
      <c r="K243" s="3">
        <v>7033.0</v>
      </c>
      <c r="L243" s="3">
        <v>0.0</v>
      </c>
      <c r="M243" s="3">
        <v>0.0</v>
      </c>
    </row>
    <row r="244">
      <c r="A244" s="3">
        <v>3000.0</v>
      </c>
      <c r="B244" s="3">
        <v>5.0</v>
      </c>
      <c r="C244" s="3">
        <v>1.0</v>
      </c>
      <c r="D244" s="3" t="s">
        <v>16</v>
      </c>
      <c r="E244" s="3" t="s">
        <v>14</v>
      </c>
      <c r="F244" s="3">
        <v>5.727</v>
      </c>
      <c r="G244" s="3">
        <v>1.0</v>
      </c>
      <c r="H244" s="3">
        <v>6976211.0</v>
      </c>
      <c r="I244" s="3">
        <v>6976211.0</v>
      </c>
      <c r="J244" s="3">
        <v>0.0</v>
      </c>
      <c r="K244" s="3">
        <v>7002.0</v>
      </c>
      <c r="L244" s="3">
        <v>0.0</v>
      </c>
      <c r="M244" s="3">
        <v>0.0</v>
      </c>
    </row>
    <row r="245">
      <c r="A245" s="3">
        <v>3000.0</v>
      </c>
      <c r="B245" s="3">
        <v>5.0</v>
      </c>
      <c r="C245" s="3">
        <v>2.0</v>
      </c>
      <c r="D245" s="3" t="s">
        <v>13</v>
      </c>
      <c r="E245" s="3" t="s">
        <v>14</v>
      </c>
      <c r="F245" s="3">
        <v>0.396</v>
      </c>
      <c r="G245" s="3">
        <v>1.0</v>
      </c>
      <c r="H245" s="3">
        <v>6994172.0</v>
      </c>
      <c r="I245" s="3">
        <v>6994172.0</v>
      </c>
      <c r="J245" s="3">
        <v>0.0</v>
      </c>
      <c r="K245" s="3">
        <v>6989.0</v>
      </c>
      <c r="L245" s="3">
        <v>0.0</v>
      </c>
      <c r="M245" s="3">
        <v>0.0</v>
      </c>
    </row>
    <row r="246">
      <c r="A246" s="3">
        <v>3000.0</v>
      </c>
      <c r="B246" s="3">
        <v>5.0</v>
      </c>
      <c r="C246" s="3">
        <v>2.0</v>
      </c>
      <c r="D246" s="3" t="s">
        <v>15</v>
      </c>
      <c r="E246" s="3" t="s">
        <v>14</v>
      </c>
      <c r="F246" s="3">
        <v>2.936</v>
      </c>
      <c r="G246" s="3">
        <v>1.0</v>
      </c>
      <c r="H246" s="3">
        <v>6991561.0</v>
      </c>
      <c r="I246" s="3">
        <v>6991561.0</v>
      </c>
      <c r="J246" s="3">
        <v>0.0</v>
      </c>
      <c r="K246" s="3">
        <v>6928.0</v>
      </c>
      <c r="L246" s="3">
        <v>0.0</v>
      </c>
      <c r="M246" s="3">
        <v>0.0</v>
      </c>
    </row>
    <row r="247">
      <c r="A247" s="3">
        <v>3000.0</v>
      </c>
      <c r="B247" s="3">
        <v>5.0</v>
      </c>
      <c r="C247" s="3">
        <v>2.0</v>
      </c>
      <c r="D247" s="3" t="s">
        <v>16</v>
      </c>
      <c r="E247" s="3" t="s">
        <v>14</v>
      </c>
      <c r="F247" s="3">
        <v>4.966</v>
      </c>
      <c r="G247" s="3">
        <v>1.0</v>
      </c>
      <c r="H247" s="3">
        <v>7003713.0</v>
      </c>
      <c r="I247" s="3">
        <v>7003713.0</v>
      </c>
      <c r="J247" s="3">
        <v>0.0</v>
      </c>
      <c r="K247" s="3">
        <v>7138.0</v>
      </c>
      <c r="L247" s="3">
        <v>0.0</v>
      </c>
      <c r="M247" s="3">
        <v>0.0</v>
      </c>
    </row>
    <row r="248">
      <c r="A248" s="3">
        <v>3000.0</v>
      </c>
      <c r="B248" s="3">
        <v>5.0</v>
      </c>
      <c r="C248" s="3">
        <v>3.0</v>
      </c>
      <c r="D248" s="3" t="s">
        <v>13</v>
      </c>
      <c r="E248" s="3" t="s">
        <v>14</v>
      </c>
      <c r="F248" s="3">
        <v>0.433</v>
      </c>
      <c r="G248" s="3">
        <v>1.0</v>
      </c>
      <c r="H248" s="3">
        <v>6930392.0</v>
      </c>
      <c r="I248" s="3">
        <v>6930392.0</v>
      </c>
      <c r="J248" s="3">
        <v>0.0</v>
      </c>
      <c r="K248" s="3">
        <v>7220.0</v>
      </c>
      <c r="L248" s="3">
        <v>0.0</v>
      </c>
      <c r="M248" s="3">
        <v>0.0</v>
      </c>
    </row>
    <row r="249">
      <c r="A249" s="3">
        <v>3000.0</v>
      </c>
      <c r="B249" s="3">
        <v>5.0</v>
      </c>
      <c r="C249" s="3">
        <v>3.0</v>
      </c>
      <c r="D249" s="3" t="s">
        <v>15</v>
      </c>
      <c r="E249" s="3" t="s">
        <v>14</v>
      </c>
      <c r="F249" s="3">
        <v>2.772</v>
      </c>
      <c r="G249" s="3">
        <v>1.0</v>
      </c>
      <c r="H249" s="3">
        <v>6922873.0</v>
      </c>
      <c r="I249" s="3">
        <v>6922873.0</v>
      </c>
      <c r="J249" s="3">
        <v>0.0</v>
      </c>
      <c r="K249" s="3">
        <v>6929.0</v>
      </c>
      <c r="L249" s="3">
        <v>0.0</v>
      </c>
      <c r="M249" s="3">
        <v>0.0</v>
      </c>
    </row>
    <row r="250">
      <c r="A250" s="3">
        <v>3000.0</v>
      </c>
      <c r="B250" s="3">
        <v>5.0</v>
      </c>
      <c r="C250" s="3">
        <v>3.0</v>
      </c>
      <c r="D250" s="3" t="s">
        <v>16</v>
      </c>
      <c r="E250" s="3" t="s">
        <v>14</v>
      </c>
      <c r="F250" s="3">
        <v>5.825</v>
      </c>
      <c r="G250" s="3">
        <v>1.0</v>
      </c>
      <c r="H250" s="3">
        <v>6922824.0</v>
      </c>
      <c r="I250" s="3">
        <v>6922824.0</v>
      </c>
      <c r="J250" s="3">
        <v>0.0</v>
      </c>
      <c r="K250" s="3">
        <v>7351.0</v>
      </c>
      <c r="L250" s="3">
        <v>0.0</v>
      </c>
      <c r="M250" s="3">
        <v>0.0</v>
      </c>
    </row>
    <row r="251">
      <c r="A251" s="3">
        <v>3000.0</v>
      </c>
      <c r="B251" s="3">
        <v>5.0</v>
      </c>
      <c r="C251" s="3">
        <v>4.0</v>
      </c>
      <c r="D251" s="3" t="s">
        <v>13</v>
      </c>
      <c r="E251" s="3" t="s">
        <v>14</v>
      </c>
      <c r="F251" s="3">
        <v>0.401</v>
      </c>
      <c r="G251" s="3">
        <v>1.0</v>
      </c>
      <c r="H251" s="3">
        <v>7000820.0</v>
      </c>
      <c r="I251" s="3">
        <v>7000820.0</v>
      </c>
      <c r="J251" s="3">
        <v>0.0</v>
      </c>
      <c r="K251" s="3">
        <v>7139.0</v>
      </c>
      <c r="L251" s="3">
        <v>0.0</v>
      </c>
      <c r="M251" s="3">
        <v>0.0</v>
      </c>
    </row>
    <row r="252">
      <c r="A252" s="3">
        <v>3000.0</v>
      </c>
      <c r="B252" s="3">
        <v>5.0</v>
      </c>
      <c r="C252" s="3">
        <v>4.0</v>
      </c>
      <c r="D252" s="3" t="s">
        <v>15</v>
      </c>
      <c r="E252" s="3" t="s">
        <v>14</v>
      </c>
      <c r="F252" s="3">
        <v>2.846</v>
      </c>
      <c r="G252" s="3">
        <v>1.0</v>
      </c>
      <c r="H252" s="3">
        <v>6992558.0</v>
      </c>
      <c r="I252" s="3">
        <v>6992558.0</v>
      </c>
      <c r="J252" s="3">
        <v>0.0</v>
      </c>
      <c r="K252" s="3">
        <v>7269.0</v>
      </c>
      <c r="L252" s="3">
        <v>0.0</v>
      </c>
      <c r="M252" s="3">
        <v>0.0</v>
      </c>
    </row>
    <row r="253">
      <c r="A253" s="3">
        <v>3000.0</v>
      </c>
      <c r="B253" s="3">
        <v>5.0</v>
      </c>
      <c r="C253" s="3">
        <v>4.0</v>
      </c>
      <c r="D253" s="3" t="s">
        <v>16</v>
      </c>
      <c r="E253" s="3" t="s">
        <v>14</v>
      </c>
      <c r="F253" s="3">
        <v>6.373</v>
      </c>
      <c r="G253" s="3">
        <v>1.0</v>
      </c>
      <c r="H253" s="3">
        <v>6988538.0</v>
      </c>
      <c r="I253" s="3">
        <v>6988538.0</v>
      </c>
      <c r="J253" s="3">
        <v>0.0</v>
      </c>
      <c r="K253" s="3">
        <v>6918.0</v>
      </c>
      <c r="L253" s="3">
        <v>0.0</v>
      </c>
      <c r="M253" s="3">
        <v>0.0</v>
      </c>
    </row>
    <row r="254">
      <c r="A254" s="3">
        <v>3000.0</v>
      </c>
      <c r="B254" s="3">
        <v>5.0</v>
      </c>
      <c r="C254" s="3">
        <v>5.0</v>
      </c>
      <c r="D254" s="3" t="s">
        <v>13</v>
      </c>
      <c r="E254" s="3" t="s">
        <v>14</v>
      </c>
      <c r="F254" s="3">
        <v>0.4</v>
      </c>
      <c r="G254" s="3">
        <v>1.0</v>
      </c>
      <c r="H254" s="3">
        <v>6980762.0</v>
      </c>
      <c r="I254" s="3">
        <v>6980762.0</v>
      </c>
      <c r="J254" s="3">
        <v>0.0</v>
      </c>
      <c r="K254" s="3">
        <v>7040.0</v>
      </c>
      <c r="L254" s="3">
        <v>0.0</v>
      </c>
      <c r="M254" s="3">
        <v>0.0</v>
      </c>
    </row>
    <row r="255">
      <c r="A255" s="3">
        <v>3000.0</v>
      </c>
      <c r="B255" s="3">
        <v>5.0</v>
      </c>
      <c r="C255" s="3">
        <v>5.0</v>
      </c>
      <c r="D255" s="3" t="s">
        <v>15</v>
      </c>
      <c r="E255" s="3" t="s">
        <v>14</v>
      </c>
      <c r="F255" s="3">
        <v>3.001</v>
      </c>
      <c r="G255" s="3">
        <v>1.0</v>
      </c>
      <c r="H255" s="3">
        <v>6987171.0</v>
      </c>
      <c r="I255" s="3">
        <v>6987171.0</v>
      </c>
      <c r="J255" s="3">
        <v>0.0</v>
      </c>
      <c r="K255" s="3">
        <v>7132.0</v>
      </c>
      <c r="L255" s="3">
        <v>0.0</v>
      </c>
      <c r="M255" s="3">
        <v>0.0</v>
      </c>
    </row>
    <row r="256">
      <c r="A256" s="3">
        <v>3000.0</v>
      </c>
      <c r="B256" s="3">
        <v>5.0</v>
      </c>
      <c r="C256" s="3">
        <v>5.0</v>
      </c>
      <c r="D256" s="3" t="s">
        <v>16</v>
      </c>
      <c r="E256" s="3" t="s">
        <v>14</v>
      </c>
      <c r="F256" s="3">
        <v>5.397</v>
      </c>
      <c r="G256" s="3">
        <v>1.0</v>
      </c>
      <c r="H256" s="3">
        <v>6984875.0</v>
      </c>
      <c r="I256" s="3">
        <v>6984875.0</v>
      </c>
      <c r="J256" s="3">
        <v>0.0</v>
      </c>
      <c r="K256" s="3">
        <v>7156.0</v>
      </c>
      <c r="L256" s="3">
        <v>0.0</v>
      </c>
      <c r="M256" s="3">
        <v>0.0</v>
      </c>
    </row>
    <row r="257">
      <c r="A257" s="3">
        <v>3000.0</v>
      </c>
      <c r="B257" s="3">
        <v>10.0</v>
      </c>
      <c r="C257" s="3">
        <v>1.0</v>
      </c>
      <c r="D257" s="3" t="s">
        <v>13</v>
      </c>
      <c r="E257" s="3" t="s">
        <v>14</v>
      </c>
      <c r="F257" s="3">
        <v>1.424</v>
      </c>
      <c r="G257" s="3">
        <v>1.0</v>
      </c>
      <c r="H257" s="3">
        <v>1.33765E7</v>
      </c>
      <c r="I257" s="3">
        <v>1.33765E7</v>
      </c>
      <c r="J257" s="3">
        <v>0.0</v>
      </c>
      <c r="K257" s="3">
        <v>8344.0</v>
      </c>
      <c r="L257" s="3">
        <v>0.0</v>
      </c>
      <c r="M257" s="3">
        <v>0.0</v>
      </c>
    </row>
    <row r="258">
      <c r="A258" s="3">
        <v>3000.0</v>
      </c>
      <c r="B258" s="3">
        <v>10.0</v>
      </c>
      <c r="C258" s="3">
        <v>1.0</v>
      </c>
      <c r="D258" s="3" t="s">
        <v>15</v>
      </c>
      <c r="E258" s="3" t="s">
        <v>14</v>
      </c>
      <c r="F258" s="3">
        <v>8.213</v>
      </c>
      <c r="G258" s="3">
        <v>1.0</v>
      </c>
      <c r="H258" s="3">
        <v>1.337137E7</v>
      </c>
      <c r="I258" s="3">
        <v>1.337137E7</v>
      </c>
      <c r="J258" s="3">
        <v>0.0</v>
      </c>
      <c r="K258" s="3">
        <v>8472.0</v>
      </c>
      <c r="L258" s="3">
        <v>0.0</v>
      </c>
      <c r="M258" s="3">
        <v>0.0</v>
      </c>
    </row>
    <row r="259">
      <c r="A259" s="3">
        <v>3000.0</v>
      </c>
      <c r="B259" s="3">
        <v>10.0</v>
      </c>
      <c r="C259" s="3">
        <v>1.0</v>
      </c>
      <c r="D259" s="3" t="s">
        <v>16</v>
      </c>
      <c r="E259" s="3" t="s">
        <v>14</v>
      </c>
      <c r="F259" s="3">
        <v>6.842</v>
      </c>
      <c r="G259" s="3">
        <v>1.0</v>
      </c>
      <c r="H259" s="3">
        <v>1.337695E7</v>
      </c>
      <c r="I259" s="3">
        <v>1.337695E7</v>
      </c>
      <c r="J259" s="3">
        <v>0.0</v>
      </c>
      <c r="K259" s="3">
        <v>8517.0</v>
      </c>
      <c r="L259" s="3">
        <v>0.0</v>
      </c>
      <c r="M259" s="3">
        <v>0.0</v>
      </c>
    </row>
    <row r="260">
      <c r="A260" s="3">
        <v>3000.0</v>
      </c>
      <c r="B260" s="3">
        <v>10.0</v>
      </c>
      <c r="C260" s="3">
        <v>2.0</v>
      </c>
      <c r="D260" s="3" t="s">
        <v>13</v>
      </c>
      <c r="E260" s="3" t="s">
        <v>14</v>
      </c>
      <c r="F260" s="3">
        <v>1.378</v>
      </c>
      <c r="G260" s="3">
        <v>1.0</v>
      </c>
      <c r="H260" s="3">
        <v>1.3405498E7</v>
      </c>
      <c r="I260" s="3">
        <v>1.3405498E7</v>
      </c>
      <c r="J260" s="3">
        <v>0.0</v>
      </c>
      <c r="K260" s="3">
        <v>8086.0</v>
      </c>
      <c r="L260" s="3">
        <v>0.0</v>
      </c>
      <c r="M260" s="3">
        <v>0.0</v>
      </c>
    </row>
    <row r="261">
      <c r="A261" s="3">
        <v>3000.0</v>
      </c>
      <c r="B261" s="3">
        <v>10.0</v>
      </c>
      <c r="C261" s="3">
        <v>2.0</v>
      </c>
      <c r="D261" s="3" t="s">
        <v>15</v>
      </c>
      <c r="E261" s="3" t="s">
        <v>14</v>
      </c>
      <c r="F261" s="3">
        <v>8.215</v>
      </c>
      <c r="G261" s="3">
        <v>1.0</v>
      </c>
      <c r="H261" s="3">
        <v>1.3409509E7</v>
      </c>
      <c r="I261" s="3">
        <v>1.3409509E7</v>
      </c>
      <c r="J261" s="3">
        <v>0.0</v>
      </c>
      <c r="K261" s="3">
        <v>8451.0</v>
      </c>
      <c r="L261" s="3">
        <v>0.0</v>
      </c>
      <c r="M261" s="3">
        <v>0.0</v>
      </c>
    </row>
    <row r="262">
      <c r="A262" s="3">
        <v>3000.0</v>
      </c>
      <c r="B262" s="3">
        <v>10.0</v>
      </c>
      <c r="C262" s="3">
        <v>2.0</v>
      </c>
      <c r="D262" s="3" t="s">
        <v>16</v>
      </c>
      <c r="E262" s="3" t="s">
        <v>14</v>
      </c>
      <c r="F262" s="3">
        <v>9.332</v>
      </c>
      <c r="G262" s="3">
        <v>1.0</v>
      </c>
      <c r="H262" s="3">
        <v>1.3423712E7</v>
      </c>
      <c r="I262" s="3">
        <v>1.3423712E7</v>
      </c>
      <c r="J262" s="3">
        <v>0.0</v>
      </c>
      <c r="K262" s="3">
        <v>9062.0</v>
      </c>
      <c r="L262" s="3">
        <v>0.0</v>
      </c>
      <c r="M262" s="3">
        <v>0.0</v>
      </c>
    </row>
    <row r="263">
      <c r="A263" s="3">
        <v>3000.0</v>
      </c>
      <c r="B263" s="3">
        <v>10.0</v>
      </c>
      <c r="C263" s="3">
        <v>3.0</v>
      </c>
      <c r="D263" s="3" t="s">
        <v>13</v>
      </c>
      <c r="E263" s="3" t="s">
        <v>14</v>
      </c>
      <c r="F263" s="3">
        <v>1.42</v>
      </c>
      <c r="G263" s="3">
        <v>1.0</v>
      </c>
      <c r="H263" s="3">
        <v>1.3345644E7</v>
      </c>
      <c r="I263" s="3">
        <v>1.3345644E7</v>
      </c>
      <c r="J263" s="3">
        <v>0.0</v>
      </c>
      <c r="K263" s="3">
        <v>8264.0</v>
      </c>
      <c r="L263" s="3">
        <v>0.0</v>
      </c>
      <c r="M263" s="3">
        <v>0.0</v>
      </c>
    </row>
    <row r="264">
      <c r="A264" s="3">
        <v>3000.0</v>
      </c>
      <c r="B264" s="3">
        <v>10.0</v>
      </c>
      <c r="C264" s="3">
        <v>3.0</v>
      </c>
      <c r="D264" s="3" t="s">
        <v>15</v>
      </c>
      <c r="E264" s="3" t="s">
        <v>14</v>
      </c>
      <c r="F264" s="3">
        <v>7.888</v>
      </c>
      <c r="G264" s="3">
        <v>1.0</v>
      </c>
      <c r="H264" s="3">
        <v>1.3344098E7</v>
      </c>
      <c r="I264" s="3">
        <v>1.3344098E7</v>
      </c>
      <c r="J264" s="3">
        <v>0.0</v>
      </c>
      <c r="K264" s="3">
        <v>8350.0</v>
      </c>
      <c r="L264" s="3">
        <v>0.0</v>
      </c>
      <c r="M264" s="3">
        <v>0.0</v>
      </c>
    </row>
    <row r="265">
      <c r="A265" s="3">
        <v>3000.0</v>
      </c>
      <c r="B265" s="3">
        <v>10.0</v>
      </c>
      <c r="C265" s="3">
        <v>3.0</v>
      </c>
      <c r="D265" s="3" t="s">
        <v>16</v>
      </c>
      <c r="E265" s="3" t="s">
        <v>14</v>
      </c>
      <c r="F265" s="3">
        <v>5.608</v>
      </c>
      <c r="G265" s="3">
        <v>1.0</v>
      </c>
      <c r="H265" s="3">
        <v>1.3336839E7</v>
      </c>
      <c r="I265" s="3">
        <v>1.3336839E7</v>
      </c>
      <c r="J265" s="3">
        <v>0.0</v>
      </c>
      <c r="K265" s="3">
        <v>7972.0</v>
      </c>
      <c r="L265" s="3">
        <v>0.0</v>
      </c>
      <c r="M265" s="3">
        <v>0.0</v>
      </c>
    </row>
    <row r="266">
      <c r="A266" s="3">
        <v>3000.0</v>
      </c>
      <c r="B266" s="3">
        <v>10.0</v>
      </c>
      <c r="C266" s="3">
        <v>4.0</v>
      </c>
      <c r="D266" s="3" t="s">
        <v>13</v>
      </c>
      <c r="E266" s="3" t="s">
        <v>14</v>
      </c>
      <c r="F266" s="3">
        <v>1.557</v>
      </c>
      <c r="G266" s="3">
        <v>1.0</v>
      </c>
      <c r="H266" s="3">
        <v>1.3405334E7</v>
      </c>
      <c r="I266" s="3">
        <v>1.3405334E7</v>
      </c>
      <c r="J266" s="3">
        <v>0.0</v>
      </c>
      <c r="K266" s="3">
        <v>8329.0</v>
      </c>
      <c r="L266" s="3">
        <v>0.0</v>
      </c>
      <c r="M266" s="3">
        <v>0.0</v>
      </c>
    </row>
    <row r="267">
      <c r="A267" s="3">
        <v>3000.0</v>
      </c>
      <c r="B267" s="3">
        <v>10.0</v>
      </c>
      <c r="C267" s="3">
        <v>4.0</v>
      </c>
      <c r="D267" s="3" t="s">
        <v>15</v>
      </c>
      <c r="E267" s="3" t="s">
        <v>14</v>
      </c>
      <c r="F267" s="3">
        <v>8.535</v>
      </c>
      <c r="G267" s="3">
        <v>1.0</v>
      </c>
      <c r="H267" s="3">
        <v>1.340529E7</v>
      </c>
      <c r="I267" s="3">
        <v>1.340529E7</v>
      </c>
      <c r="J267" s="3">
        <v>0.0</v>
      </c>
      <c r="K267" s="3">
        <v>8450.0</v>
      </c>
      <c r="L267" s="3">
        <v>0.0</v>
      </c>
      <c r="M267" s="3">
        <v>0.0</v>
      </c>
    </row>
    <row r="268">
      <c r="A268" s="3">
        <v>3000.0</v>
      </c>
      <c r="B268" s="3">
        <v>10.0</v>
      </c>
      <c r="C268" s="3">
        <v>4.0</v>
      </c>
      <c r="D268" s="3" t="s">
        <v>16</v>
      </c>
      <c r="E268" s="3" t="s">
        <v>14</v>
      </c>
      <c r="F268" s="3">
        <v>8.218</v>
      </c>
      <c r="G268" s="3">
        <v>1.0</v>
      </c>
      <c r="H268" s="3">
        <v>1.3416519E7</v>
      </c>
      <c r="I268" s="3">
        <v>1.3416519E7</v>
      </c>
      <c r="J268" s="3">
        <v>0.0</v>
      </c>
      <c r="K268" s="3">
        <v>8521.0</v>
      </c>
      <c r="L268" s="3">
        <v>0.0</v>
      </c>
      <c r="M268" s="3">
        <v>0.0</v>
      </c>
    </row>
    <row r="269">
      <c r="A269" s="3">
        <v>3000.0</v>
      </c>
      <c r="B269" s="3">
        <v>10.0</v>
      </c>
      <c r="C269" s="3">
        <v>5.0</v>
      </c>
      <c r="D269" s="3" t="s">
        <v>13</v>
      </c>
      <c r="E269" s="3" t="s">
        <v>14</v>
      </c>
      <c r="F269" s="3">
        <v>1.44</v>
      </c>
      <c r="G269" s="3">
        <v>1.0</v>
      </c>
      <c r="H269" s="3">
        <v>1.3426716E7</v>
      </c>
      <c r="I269" s="3">
        <v>1.3426716E7</v>
      </c>
      <c r="J269" s="3">
        <v>0.0</v>
      </c>
      <c r="K269" s="3">
        <v>8479.0</v>
      </c>
      <c r="L269" s="3">
        <v>0.0</v>
      </c>
      <c r="M269" s="3">
        <v>0.0</v>
      </c>
    </row>
    <row r="270">
      <c r="A270" s="3">
        <v>3000.0</v>
      </c>
      <c r="B270" s="3">
        <v>10.0</v>
      </c>
      <c r="C270" s="3">
        <v>5.0</v>
      </c>
      <c r="D270" s="3" t="s">
        <v>15</v>
      </c>
      <c r="E270" s="3" t="s">
        <v>14</v>
      </c>
      <c r="F270" s="3">
        <v>7.986</v>
      </c>
      <c r="G270" s="3">
        <v>1.0</v>
      </c>
      <c r="H270" s="3">
        <v>1.3418929E7</v>
      </c>
      <c r="I270" s="3">
        <v>1.3418929E7</v>
      </c>
      <c r="J270" s="3">
        <v>0.0</v>
      </c>
      <c r="K270" s="3">
        <v>8440.0</v>
      </c>
      <c r="L270" s="3">
        <v>0.0</v>
      </c>
      <c r="M270" s="3">
        <v>0.0</v>
      </c>
    </row>
    <row r="271">
      <c r="A271" s="3">
        <v>3000.0</v>
      </c>
      <c r="B271" s="3">
        <v>10.0</v>
      </c>
      <c r="C271" s="3">
        <v>5.0</v>
      </c>
      <c r="D271" s="3" t="s">
        <v>16</v>
      </c>
      <c r="E271" s="3" t="s">
        <v>14</v>
      </c>
      <c r="F271" s="3">
        <v>5.313</v>
      </c>
      <c r="G271" s="3">
        <v>1.0</v>
      </c>
      <c r="H271" s="3">
        <v>1.3416434E7</v>
      </c>
      <c r="I271" s="3">
        <v>1.3416434E7</v>
      </c>
      <c r="J271" s="3">
        <v>0.0</v>
      </c>
      <c r="K271" s="3">
        <v>8127.0</v>
      </c>
      <c r="L271" s="3">
        <v>0.0</v>
      </c>
      <c r="M271" s="3">
        <v>0.0</v>
      </c>
    </row>
    <row r="272">
      <c r="A272" s="3">
        <v>3000.0</v>
      </c>
      <c r="B272" s="3">
        <v>50.0</v>
      </c>
      <c r="C272" s="3">
        <v>1.0</v>
      </c>
      <c r="D272" s="3" t="s">
        <v>13</v>
      </c>
      <c r="E272" s="3" t="s">
        <v>14</v>
      </c>
      <c r="F272" s="3">
        <v>25.74</v>
      </c>
      <c r="G272" s="3">
        <v>1.0</v>
      </c>
      <c r="H272" s="3">
        <v>6.9848075E7</v>
      </c>
      <c r="I272" s="3">
        <v>6.9848075E7</v>
      </c>
      <c r="J272" s="3">
        <v>0.0</v>
      </c>
      <c r="K272" s="3">
        <v>11505.0</v>
      </c>
      <c r="L272" s="3">
        <v>0.0</v>
      </c>
      <c r="M272" s="3">
        <v>1.0</v>
      </c>
    </row>
    <row r="273">
      <c r="A273" s="3">
        <v>3000.0</v>
      </c>
      <c r="B273" s="3">
        <v>50.0</v>
      </c>
      <c r="C273" s="3">
        <v>1.0</v>
      </c>
      <c r="D273" s="3" t="s">
        <v>15</v>
      </c>
      <c r="E273" s="3" t="s">
        <v>14</v>
      </c>
      <c r="F273" s="3">
        <v>68.838</v>
      </c>
      <c r="G273" s="3">
        <v>1.0</v>
      </c>
      <c r="H273" s="3">
        <v>6.9830935E7</v>
      </c>
      <c r="I273" s="3">
        <v>6.9830935E7</v>
      </c>
      <c r="J273" s="3">
        <v>0.0</v>
      </c>
      <c r="K273" s="3">
        <v>11403.0</v>
      </c>
      <c r="L273" s="3">
        <v>0.0</v>
      </c>
      <c r="M273" s="3">
        <v>5.0</v>
      </c>
    </row>
    <row r="274">
      <c r="A274" s="3">
        <v>3000.0</v>
      </c>
      <c r="B274" s="3">
        <v>50.0</v>
      </c>
      <c r="C274" s="3">
        <v>1.0</v>
      </c>
      <c r="D274" s="3" t="s">
        <v>16</v>
      </c>
      <c r="E274" s="3" t="s">
        <v>14</v>
      </c>
      <c r="F274" s="3">
        <v>16.658</v>
      </c>
      <c r="G274" s="3">
        <v>1.0</v>
      </c>
      <c r="H274" s="3">
        <v>6.987334E7</v>
      </c>
      <c r="I274" s="3">
        <v>6.987334E7</v>
      </c>
      <c r="J274" s="3">
        <v>0.0</v>
      </c>
      <c r="K274" s="3">
        <v>12653.0</v>
      </c>
      <c r="L274" s="3">
        <v>0.0</v>
      </c>
      <c r="M274" s="3">
        <v>1.0</v>
      </c>
    </row>
    <row r="275">
      <c r="A275" s="3">
        <v>3000.0</v>
      </c>
      <c r="B275" s="3">
        <v>50.0</v>
      </c>
      <c r="C275" s="3">
        <v>2.0</v>
      </c>
      <c r="D275" s="3" t="s">
        <v>13</v>
      </c>
      <c r="E275" s="3" t="s">
        <v>14</v>
      </c>
      <c r="F275" s="3">
        <v>27.62</v>
      </c>
      <c r="G275" s="3">
        <v>1.0</v>
      </c>
      <c r="H275" s="3">
        <v>6.996748E7</v>
      </c>
      <c r="I275" s="3">
        <v>6.996748E7</v>
      </c>
      <c r="J275" s="3">
        <v>0.0</v>
      </c>
      <c r="K275" s="3">
        <v>12254.0</v>
      </c>
      <c r="L275" s="3">
        <v>0.0</v>
      </c>
      <c r="M275" s="3">
        <v>1.0</v>
      </c>
    </row>
    <row r="276">
      <c r="A276" s="3">
        <v>3000.0</v>
      </c>
      <c r="B276" s="3">
        <v>50.0</v>
      </c>
      <c r="C276" s="3">
        <v>2.0</v>
      </c>
      <c r="D276" s="3" t="s">
        <v>15</v>
      </c>
      <c r="E276" s="3" t="s">
        <v>14</v>
      </c>
      <c r="F276" s="3">
        <v>71.501</v>
      </c>
      <c r="G276" s="3">
        <v>1.0</v>
      </c>
      <c r="H276" s="3">
        <v>6.9963915E7</v>
      </c>
      <c r="I276" s="3">
        <v>6.9963915E7</v>
      </c>
      <c r="J276" s="3">
        <v>0.0</v>
      </c>
      <c r="K276" s="3">
        <v>11625.0</v>
      </c>
      <c r="L276" s="3">
        <v>0.0</v>
      </c>
      <c r="M276" s="3">
        <v>5.0</v>
      </c>
    </row>
    <row r="277">
      <c r="A277" s="3">
        <v>3000.0</v>
      </c>
      <c r="B277" s="3">
        <v>50.0</v>
      </c>
      <c r="C277" s="3">
        <v>2.0</v>
      </c>
      <c r="D277" s="3" t="s">
        <v>16</v>
      </c>
      <c r="E277" s="3" t="s">
        <v>14</v>
      </c>
      <c r="F277" s="3">
        <v>10.701</v>
      </c>
      <c r="G277" s="3">
        <v>1.0</v>
      </c>
      <c r="H277" s="3">
        <v>6.9969509E7</v>
      </c>
      <c r="I277" s="3">
        <v>6.9969509E7</v>
      </c>
      <c r="J277" s="3">
        <v>0.0</v>
      </c>
      <c r="K277" s="3">
        <v>11628.0</v>
      </c>
      <c r="L277" s="3">
        <v>0.0</v>
      </c>
      <c r="M277" s="3">
        <v>0.0</v>
      </c>
    </row>
    <row r="278">
      <c r="A278" s="3">
        <v>3000.0</v>
      </c>
      <c r="B278" s="3">
        <v>50.0</v>
      </c>
      <c r="C278" s="3">
        <v>3.0</v>
      </c>
      <c r="D278" s="3" t="s">
        <v>13</v>
      </c>
      <c r="E278" s="3" t="s">
        <v>14</v>
      </c>
      <c r="F278" s="3">
        <v>26.036</v>
      </c>
      <c r="G278" s="3">
        <v>1.0</v>
      </c>
      <c r="H278" s="3">
        <v>6.9927678E7</v>
      </c>
      <c r="I278" s="3">
        <v>6.9927678E7</v>
      </c>
      <c r="J278" s="3">
        <v>0.0</v>
      </c>
      <c r="K278" s="3">
        <v>11591.0</v>
      </c>
      <c r="L278" s="3">
        <v>0.0</v>
      </c>
      <c r="M278" s="3">
        <v>1.0</v>
      </c>
    </row>
    <row r="279">
      <c r="A279" s="3">
        <v>3000.0</v>
      </c>
      <c r="B279" s="3">
        <v>50.0</v>
      </c>
      <c r="C279" s="3">
        <v>3.0</v>
      </c>
      <c r="D279" s="3" t="s">
        <v>15</v>
      </c>
      <c r="E279" s="3" t="s">
        <v>14</v>
      </c>
      <c r="F279" s="3">
        <v>68.779</v>
      </c>
      <c r="G279" s="3">
        <v>1.0</v>
      </c>
      <c r="H279" s="3">
        <v>6.9922514E7</v>
      </c>
      <c r="I279" s="3">
        <v>6.9922514E7</v>
      </c>
      <c r="J279" s="3">
        <v>0.0</v>
      </c>
      <c r="K279" s="3">
        <v>11347.0</v>
      </c>
      <c r="L279" s="3">
        <v>0.0</v>
      </c>
      <c r="M279" s="3">
        <v>5.0</v>
      </c>
    </row>
    <row r="280">
      <c r="A280" s="3">
        <v>3000.0</v>
      </c>
      <c r="B280" s="3">
        <v>50.0</v>
      </c>
      <c r="C280" s="3">
        <v>3.0</v>
      </c>
      <c r="D280" s="3" t="s">
        <v>16</v>
      </c>
      <c r="E280" s="3" t="s">
        <v>14</v>
      </c>
      <c r="F280" s="3">
        <v>7.945</v>
      </c>
      <c r="G280" s="3">
        <v>1.0</v>
      </c>
      <c r="H280" s="3">
        <v>6.9915387E7</v>
      </c>
      <c r="I280" s="3">
        <v>6.9915387E7</v>
      </c>
      <c r="J280" s="3">
        <v>0.0</v>
      </c>
      <c r="K280" s="3">
        <v>11555.0</v>
      </c>
      <c r="L280" s="3">
        <v>0.0</v>
      </c>
      <c r="M280" s="3">
        <v>0.0</v>
      </c>
    </row>
    <row r="281">
      <c r="A281" s="3">
        <v>3000.0</v>
      </c>
      <c r="B281" s="3">
        <v>50.0</v>
      </c>
      <c r="C281" s="3">
        <v>4.0</v>
      </c>
      <c r="D281" s="3" t="s">
        <v>13</v>
      </c>
      <c r="E281" s="3" t="s">
        <v>14</v>
      </c>
      <c r="F281" s="3">
        <v>25.783</v>
      </c>
      <c r="G281" s="3">
        <v>1.0</v>
      </c>
      <c r="H281" s="3">
        <v>6.9978249E7</v>
      </c>
      <c r="I281" s="3">
        <v>6.9978249E7</v>
      </c>
      <c r="J281" s="3">
        <v>0.0</v>
      </c>
      <c r="K281" s="3">
        <v>11793.0</v>
      </c>
      <c r="L281" s="3">
        <v>0.0</v>
      </c>
      <c r="M281" s="3">
        <v>1.0</v>
      </c>
    </row>
    <row r="282">
      <c r="A282" s="3">
        <v>3000.0</v>
      </c>
      <c r="B282" s="3">
        <v>50.0</v>
      </c>
      <c r="C282" s="3">
        <v>4.0</v>
      </c>
      <c r="D282" s="3" t="s">
        <v>15</v>
      </c>
      <c r="E282" s="3" t="s">
        <v>14</v>
      </c>
      <c r="F282" s="3">
        <v>72.619</v>
      </c>
      <c r="G282" s="3">
        <v>1.0</v>
      </c>
      <c r="H282" s="3">
        <v>6.9954406E7</v>
      </c>
      <c r="I282" s="3">
        <v>6.9954406E7</v>
      </c>
      <c r="J282" s="3">
        <v>0.0</v>
      </c>
      <c r="K282" s="3">
        <v>11513.0</v>
      </c>
      <c r="L282" s="3">
        <v>0.0</v>
      </c>
      <c r="M282" s="3">
        <v>5.0</v>
      </c>
    </row>
    <row r="283">
      <c r="A283" s="3">
        <v>3000.0</v>
      </c>
      <c r="B283" s="3">
        <v>50.0</v>
      </c>
      <c r="C283" s="3">
        <v>4.0</v>
      </c>
      <c r="D283" s="3" t="s">
        <v>16</v>
      </c>
      <c r="E283" s="3" t="s">
        <v>14</v>
      </c>
      <c r="F283" s="3">
        <v>9.055</v>
      </c>
      <c r="G283" s="3">
        <v>1.0</v>
      </c>
      <c r="H283" s="3">
        <v>6.9970412E7</v>
      </c>
      <c r="I283" s="3">
        <v>6.9970412E7</v>
      </c>
      <c r="J283" s="3">
        <v>0.0</v>
      </c>
      <c r="K283" s="3">
        <v>11591.0</v>
      </c>
      <c r="L283" s="3">
        <v>0.0</v>
      </c>
      <c r="M283" s="3">
        <v>0.0</v>
      </c>
    </row>
    <row r="284">
      <c r="A284" s="3">
        <v>3000.0</v>
      </c>
      <c r="B284" s="3">
        <v>50.0</v>
      </c>
      <c r="C284" s="3">
        <v>5.0</v>
      </c>
      <c r="D284" s="3" t="s">
        <v>13</v>
      </c>
      <c r="E284" s="3" t="s">
        <v>14</v>
      </c>
      <c r="F284" s="3">
        <v>25.491</v>
      </c>
      <c r="G284" s="3">
        <v>1.0</v>
      </c>
      <c r="H284" s="3">
        <v>6.998756E7</v>
      </c>
      <c r="I284" s="3">
        <v>6.998756E7</v>
      </c>
      <c r="J284" s="3">
        <v>0.0</v>
      </c>
      <c r="K284" s="3">
        <v>11378.0</v>
      </c>
      <c r="L284" s="3">
        <v>0.0</v>
      </c>
      <c r="M284" s="3">
        <v>1.0</v>
      </c>
    </row>
    <row r="285">
      <c r="A285" s="3">
        <v>3000.0</v>
      </c>
      <c r="B285" s="3">
        <v>50.0</v>
      </c>
      <c r="C285" s="3">
        <v>5.0</v>
      </c>
      <c r="D285" s="3" t="s">
        <v>15</v>
      </c>
      <c r="E285" s="3" t="s">
        <v>14</v>
      </c>
      <c r="F285" s="3">
        <v>68.65</v>
      </c>
      <c r="G285" s="3">
        <v>1.0</v>
      </c>
      <c r="H285" s="3">
        <v>6.9993792E7</v>
      </c>
      <c r="I285" s="3">
        <v>6.9993792E7</v>
      </c>
      <c r="J285" s="3">
        <v>0.0</v>
      </c>
      <c r="K285" s="3">
        <v>11358.0</v>
      </c>
      <c r="L285" s="3">
        <v>0.0</v>
      </c>
      <c r="M285" s="3">
        <v>5.0</v>
      </c>
    </row>
    <row r="286">
      <c r="A286" s="3">
        <v>3000.0</v>
      </c>
      <c r="B286" s="3">
        <v>50.0</v>
      </c>
      <c r="C286" s="3">
        <v>5.0</v>
      </c>
      <c r="D286" s="3" t="s">
        <v>16</v>
      </c>
      <c r="E286" s="3" t="s">
        <v>14</v>
      </c>
      <c r="F286" s="3">
        <v>12.156</v>
      </c>
      <c r="G286" s="3">
        <v>1.0</v>
      </c>
      <c r="H286" s="3">
        <v>6.9969294E7</v>
      </c>
      <c r="I286" s="3">
        <v>6.9969294E7</v>
      </c>
      <c r="J286" s="3">
        <v>0.0</v>
      </c>
      <c r="K286" s="3">
        <v>11977.0</v>
      </c>
      <c r="L286" s="3">
        <v>0.0</v>
      </c>
      <c r="M286" s="3">
        <v>0.0</v>
      </c>
    </row>
    <row r="287">
      <c r="A287" s="3">
        <v>3000.0</v>
      </c>
      <c r="B287" s="3">
        <v>100.0</v>
      </c>
      <c r="C287" s="3">
        <v>1.0</v>
      </c>
      <c r="D287" s="3" t="s">
        <v>13</v>
      </c>
      <c r="E287" s="3" t="s">
        <v>14</v>
      </c>
      <c r="F287" s="3">
        <v>89.177</v>
      </c>
      <c r="G287" s="3">
        <v>1.0</v>
      </c>
      <c r="H287" s="3">
        <v>2.2911769E8</v>
      </c>
      <c r="I287" s="3">
        <v>2.2911769E8</v>
      </c>
      <c r="J287" s="3">
        <v>0.0</v>
      </c>
      <c r="K287" s="3">
        <v>12904.0</v>
      </c>
      <c r="L287" s="3">
        <v>0.0</v>
      </c>
      <c r="M287" s="3">
        <v>6.0</v>
      </c>
    </row>
    <row r="288">
      <c r="A288" s="3">
        <v>3000.0</v>
      </c>
      <c r="B288" s="3">
        <v>100.0</v>
      </c>
      <c r="C288" s="3">
        <v>1.0</v>
      </c>
      <c r="D288" s="3" t="s">
        <v>15</v>
      </c>
      <c r="E288" s="3" t="s">
        <v>14</v>
      </c>
      <c r="F288" s="3">
        <v>172.932</v>
      </c>
      <c r="G288" s="3">
        <v>1.0</v>
      </c>
      <c r="H288" s="3">
        <v>2.29107009E8</v>
      </c>
      <c r="I288" s="3">
        <v>2.29107009E8</v>
      </c>
      <c r="J288" s="3">
        <v>0.0</v>
      </c>
      <c r="K288" s="3">
        <v>13184.0</v>
      </c>
      <c r="L288" s="3">
        <v>0.0</v>
      </c>
      <c r="M288" s="3">
        <v>12.0</v>
      </c>
    </row>
    <row r="289">
      <c r="A289" s="3">
        <v>3000.0</v>
      </c>
      <c r="B289" s="3">
        <v>100.0</v>
      </c>
      <c r="C289" s="3">
        <v>1.0</v>
      </c>
      <c r="D289" s="3" t="s">
        <v>16</v>
      </c>
      <c r="E289" s="3" t="s">
        <v>14</v>
      </c>
      <c r="F289" s="3">
        <v>12.014</v>
      </c>
      <c r="G289" s="3">
        <v>1.0</v>
      </c>
      <c r="H289" s="3">
        <v>2.29107908E8</v>
      </c>
      <c r="I289" s="3">
        <v>2.29107908E8</v>
      </c>
      <c r="J289" s="3">
        <v>0.0</v>
      </c>
      <c r="K289" s="3">
        <v>13271.0</v>
      </c>
      <c r="L289" s="3">
        <v>0.0</v>
      </c>
      <c r="M289" s="3">
        <v>0.0</v>
      </c>
    </row>
    <row r="290">
      <c r="A290" s="3">
        <v>3000.0</v>
      </c>
      <c r="B290" s="3">
        <v>100.0</v>
      </c>
      <c r="C290" s="3">
        <v>2.0</v>
      </c>
      <c r="D290" s="3" t="s">
        <v>13</v>
      </c>
      <c r="E290" s="3" t="s">
        <v>14</v>
      </c>
      <c r="F290" s="3">
        <v>92.622</v>
      </c>
      <c r="G290" s="3">
        <v>1.0</v>
      </c>
      <c r="H290" s="3">
        <v>2.29132479E8</v>
      </c>
      <c r="I290" s="3">
        <v>2.29132479E8</v>
      </c>
      <c r="J290" s="3">
        <v>0.0</v>
      </c>
      <c r="K290" s="3">
        <v>13665.0</v>
      </c>
      <c r="L290" s="3">
        <v>0.0</v>
      </c>
      <c r="M290" s="3">
        <v>6.0</v>
      </c>
    </row>
    <row r="291">
      <c r="A291" s="3">
        <v>3000.0</v>
      </c>
      <c r="B291" s="3">
        <v>100.0</v>
      </c>
      <c r="C291" s="3">
        <v>2.0</v>
      </c>
      <c r="D291" s="3" t="s">
        <v>15</v>
      </c>
      <c r="E291" s="3" t="s">
        <v>14</v>
      </c>
      <c r="F291" s="3">
        <v>167.37</v>
      </c>
      <c r="G291" s="3">
        <v>1.0</v>
      </c>
      <c r="H291" s="3">
        <v>2.29098005E8</v>
      </c>
      <c r="I291" s="3">
        <v>2.29098005E8</v>
      </c>
      <c r="J291" s="3">
        <v>0.0</v>
      </c>
      <c r="K291" s="3">
        <v>12915.0</v>
      </c>
      <c r="L291" s="3">
        <v>0.0</v>
      </c>
      <c r="M291" s="3">
        <v>12.0</v>
      </c>
    </row>
    <row r="292">
      <c r="A292" s="3">
        <v>3000.0</v>
      </c>
      <c r="B292" s="3">
        <v>100.0</v>
      </c>
      <c r="C292" s="3">
        <v>2.0</v>
      </c>
      <c r="D292" s="3" t="s">
        <v>16</v>
      </c>
      <c r="E292" s="3" t="s">
        <v>14</v>
      </c>
      <c r="F292" s="3">
        <v>10.253</v>
      </c>
      <c r="G292" s="3">
        <v>1.0</v>
      </c>
      <c r="H292" s="3">
        <v>2.291005E8</v>
      </c>
      <c r="I292" s="3">
        <v>2.291005E8</v>
      </c>
      <c r="J292" s="3">
        <v>0.0</v>
      </c>
      <c r="K292" s="3">
        <v>12807.0</v>
      </c>
      <c r="L292" s="3">
        <v>0.0</v>
      </c>
      <c r="M292" s="3">
        <v>0.0</v>
      </c>
    </row>
    <row r="293">
      <c r="A293" s="3">
        <v>3000.0</v>
      </c>
      <c r="B293" s="3">
        <v>100.0</v>
      </c>
      <c r="C293" s="3">
        <v>3.0</v>
      </c>
      <c r="D293" s="3" t="s">
        <v>13</v>
      </c>
      <c r="E293" s="3" t="s">
        <v>14</v>
      </c>
      <c r="F293" s="3">
        <v>88.865</v>
      </c>
      <c r="G293" s="3">
        <v>1.0</v>
      </c>
      <c r="H293" s="3">
        <v>2.2922251E8</v>
      </c>
      <c r="I293" s="3">
        <v>2.2922251E8</v>
      </c>
      <c r="J293" s="3">
        <v>0.0</v>
      </c>
      <c r="K293" s="3">
        <v>13335.0</v>
      </c>
      <c r="L293" s="3">
        <v>0.0</v>
      </c>
      <c r="M293" s="3">
        <v>6.0</v>
      </c>
    </row>
    <row r="294">
      <c r="A294" s="3">
        <v>3000.0</v>
      </c>
      <c r="B294" s="3">
        <v>100.0</v>
      </c>
      <c r="C294" s="3">
        <v>3.0</v>
      </c>
      <c r="D294" s="3" t="s">
        <v>15</v>
      </c>
      <c r="E294" s="3" t="s">
        <v>14</v>
      </c>
      <c r="F294" s="3">
        <v>172.136</v>
      </c>
      <c r="G294" s="3">
        <v>1.0</v>
      </c>
      <c r="H294" s="3">
        <v>2.29248723E8</v>
      </c>
      <c r="I294" s="3">
        <v>2.29248723E8</v>
      </c>
      <c r="J294" s="3">
        <v>0.0</v>
      </c>
      <c r="K294" s="3">
        <v>13479.0</v>
      </c>
      <c r="L294" s="3">
        <v>0.0</v>
      </c>
      <c r="M294" s="3">
        <v>12.0</v>
      </c>
    </row>
    <row r="295">
      <c r="A295" s="3">
        <v>3000.0</v>
      </c>
      <c r="B295" s="3">
        <v>100.0</v>
      </c>
      <c r="C295" s="3">
        <v>3.0</v>
      </c>
      <c r="D295" s="3" t="s">
        <v>16</v>
      </c>
      <c r="E295" s="3" t="s">
        <v>14</v>
      </c>
      <c r="F295" s="3">
        <v>10.511</v>
      </c>
      <c r="G295" s="3">
        <v>1.0</v>
      </c>
      <c r="H295" s="3">
        <v>2.29223814E8</v>
      </c>
      <c r="I295" s="3">
        <v>2.29223814E8</v>
      </c>
      <c r="J295" s="3">
        <v>0.0</v>
      </c>
      <c r="K295" s="3">
        <v>13632.0</v>
      </c>
      <c r="L295" s="3">
        <v>0.0</v>
      </c>
      <c r="M295" s="3">
        <v>0.0</v>
      </c>
    </row>
    <row r="296">
      <c r="A296" s="3">
        <v>3000.0</v>
      </c>
      <c r="B296" s="3">
        <v>100.0</v>
      </c>
      <c r="C296" s="3">
        <v>4.0</v>
      </c>
      <c r="D296" s="3" t="s">
        <v>13</v>
      </c>
      <c r="E296" s="3" t="s">
        <v>14</v>
      </c>
      <c r="F296" s="3">
        <v>93.479</v>
      </c>
      <c r="G296" s="3">
        <v>1.0</v>
      </c>
      <c r="H296" s="3">
        <v>2.29144024E8</v>
      </c>
      <c r="I296" s="3">
        <v>2.29144024E8</v>
      </c>
      <c r="J296" s="3">
        <v>0.0</v>
      </c>
      <c r="K296" s="3">
        <v>13247.0</v>
      </c>
      <c r="L296" s="3">
        <v>0.0</v>
      </c>
      <c r="M296" s="3">
        <v>6.0</v>
      </c>
    </row>
    <row r="297">
      <c r="A297" s="3">
        <v>3000.0</v>
      </c>
      <c r="B297" s="3">
        <v>100.0</v>
      </c>
      <c r="C297" s="3">
        <v>4.0</v>
      </c>
      <c r="D297" s="3" t="s">
        <v>15</v>
      </c>
      <c r="E297" s="3" t="s">
        <v>14</v>
      </c>
      <c r="F297" s="3">
        <v>172.032</v>
      </c>
      <c r="G297" s="3">
        <v>1.0</v>
      </c>
      <c r="H297" s="3">
        <v>2.29122872E8</v>
      </c>
      <c r="I297" s="3">
        <v>2.29122872E8</v>
      </c>
      <c r="J297" s="3">
        <v>0.0</v>
      </c>
      <c r="K297" s="3">
        <v>13187.0</v>
      </c>
      <c r="L297" s="3">
        <v>0.0</v>
      </c>
      <c r="M297" s="3">
        <v>12.0</v>
      </c>
    </row>
    <row r="298">
      <c r="A298" s="3">
        <v>3000.0</v>
      </c>
      <c r="B298" s="3">
        <v>100.0</v>
      </c>
      <c r="C298" s="3">
        <v>4.0</v>
      </c>
      <c r="D298" s="3" t="s">
        <v>16</v>
      </c>
      <c r="E298" s="3" t="s">
        <v>14</v>
      </c>
      <c r="F298" s="3">
        <v>7.499</v>
      </c>
      <c r="G298" s="3">
        <v>1.0</v>
      </c>
      <c r="H298" s="3">
        <v>2.29098304E8</v>
      </c>
      <c r="I298" s="3">
        <v>2.29098304E8</v>
      </c>
      <c r="J298" s="3">
        <v>0.0</v>
      </c>
      <c r="K298" s="3">
        <v>12306.0</v>
      </c>
      <c r="L298" s="3">
        <v>0.0</v>
      </c>
      <c r="M298" s="3">
        <v>0.0</v>
      </c>
    </row>
    <row r="299">
      <c r="A299" s="3">
        <v>3000.0</v>
      </c>
      <c r="B299" s="3">
        <v>100.0</v>
      </c>
      <c r="C299" s="3">
        <v>5.0</v>
      </c>
      <c r="D299" s="3" t="s">
        <v>13</v>
      </c>
      <c r="E299" s="3" t="s">
        <v>14</v>
      </c>
      <c r="F299" s="3">
        <v>94.026</v>
      </c>
      <c r="G299" s="3">
        <v>1.0</v>
      </c>
      <c r="H299" s="3">
        <v>2.29157249E8</v>
      </c>
      <c r="I299" s="3">
        <v>2.29157249E8</v>
      </c>
      <c r="J299" s="3">
        <v>0.0</v>
      </c>
      <c r="K299" s="3">
        <v>13907.0</v>
      </c>
      <c r="L299" s="3">
        <v>0.0</v>
      </c>
      <c r="M299" s="3">
        <v>6.0</v>
      </c>
    </row>
    <row r="300">
      <c r="A300" s="3">
        <v>3000.0</v>
      </c>
      <c r="B300" s="3">
        <v>100.0</v>
      </c>
      <c r="C300" s="3">
        <v>5.0</v>
      </c>
      <c r="D300" s="3" t="s">
        <v>15</v>
      </c>
      <c r="E300" s="3" t="s">
        <v>14</v>
      </c>
      <c r="F300" s="3">
        <v>182.835</v>
      </c>
      <c r="G300" s="3">
        <v>1.0</v>
      </c>
      <c r="H300" s="3">
        <v>2.29141801E8</v>
      </c>
      <c r="I300" s="3">
        <v>2.29141801E8</v>
      </c>
      <c r="J300" s="3">
        <v>0.0</v>
      </c>
      <c r="K300" s="3">
        <v>13233.0</v>
      </c>
      <c r="L300" s="3">
        <v>0.0</v>
      </c>
      <c r="M300" s="3">
        <v>13.0</v>
      </c>
    </row>
    <row r="301">
      <c r="A301" s="3">
        <v>3000.0</v>
      </c>
      <c r="B301" s="3">
        <v>100.0</v>
      </c>
      <c r="C301" s="3">
        <v>5.0</v>
      </c>
      <c r="D301" s="3" t="s">
        <v>16</v>
      </c>
      <c r="E301" s="3" t="s">
        <v>14</v>
      </c>
      <c r="F301" s="3">
        <v>10.385</v>
      </c>
      <c r="G301" s="3">
        <v>1.0</v>
      </c>
      <c r="H301" s="3">
        <v>2.29137939E8</v>
      </c>
      <c r="I301" s="3">
        <v>2.29137939E8</v>
      </c>
      <c r="J301" s="3">
        <v>0.0</v>
      </c>
      <c r="K301" s="3">
        <v>13243.0</v>
      </c>
      <c r="L301" s="3">
        <v>0.0</v>
      </c>
      <c r="M301" s="3">
        <v>0.0</v>
      </c>
    </row>
    <row r="302">
      <c r="A302" s="3">
        <v>4000.0</v>
      </c>
      <c r="B302" s="3">
        <v>1.0</v>
      </c>
      <c r="C302" s="3">
        <v>1.0</v>
      </c>
      <c r="D302" s="3" t="s">
        <v>13</v>
      </c>
      <c r="E302" s="3" t="s">
        <v>14</v>
      </c>
      <c r="F302" s="3">
        <v>0.096</v>
      </c>
      <c r="G302" s="3">
        <v>1.0</v>
      </c>
      <c r="H302" s="3">
        <v>2827695.0</v>
      </c>
      <c r="I302" s="3">
        <v>2827695.0</v>
      </c>
      <c r="J302" s="3">
        <v>0.0</v>
      </c>
      <c r="K302" s="3">
        <v>6700.0</v>
      </c>
      <c r="L302" s="3">
        <v>0.0</v>
      </c>
      <c r="M302" s="3">
        <v>0.0</v>
      </c>
    </row>
    <row r="303">
      <c r="A303" s="3">
        <v>4000.0</v>
      </c>
      <c r="B303" s="3">
        <v>1.0</v>
      </c>
      <c r="C303" s="3">
        <v>1.0</v>
      </c>
      <c r="D303" s="3" t="s">
        <v>15</v>
      </c>
      <c r="E303" s="3" t="s">
        <v>14</v>
      </c>
      <c r="F303" s="3">
        <v>0.5</v>
      </c>
      <c r="G303" s="3">
        <v>1.0</v>
      </c>
      <c r="H303" s="3">
        <v>2828645.0</v>
      </c>
      <c r="I303" s="3">
        <v>2828645.0</v>
      </c>
      <c r="J303" s="3">
        <v>0.0</v>
      </c>
      <c r="K303" s="3">
        <v>6868.0</v>
      </c>
      <c r="L303" s="3">
        <v>0.0</v>
      </c>
      <c r="M303" s="3">
        <v>0.0</v>
      </c>
    </row>
    <row r="304">
      <c r="A304" s="3">
        <v>4000.0</v>
      </c>
      <c r="B304" s="3">
        <v>1.0</v>
      </c>
      <c r="C304" s="3">
        <v>1.0</v>
      </c>
      <c r="D304" s="3" t="s">
        <v>16</v>
      </c>
      <c r="E304" s="3" t="s">
        <v>14</v>
      </c>
      <c r="F304" s="3">
        <v>7.475</v>
      </c>
      <c r="G304" s="3">
        <v>1.0</v>
      </c>
      <c r="H304" s="3">
        <v>2826662.0</v>
      </c>
      <c r="I304" s="3">
        <v>2826662.0</v>
      </c>
      <c r="J304" s="3">
        <v>0.0</v>
      </c>
      <c r="K304" s="3">
        <v>6694.0</v>
      </c>
      <c r="L304" s="3">
        <v>0.0</v>
      </c>
      <c r="M304" s="3">
        <v>0.0</v>
      </c>
    </row>
    <row r="305">
      <c r="A305" s="3">
        <v>4000.0</v>
      </c>
      <c r="B305" s="3">
        <v>1.0</v>
      </c>
      <c r="C305" s="3">
        <v>2.0</v>
      </c>
      <c r="D305" s="3" t="s">
        <v>13</v>
      </c>
      <c r="E305" s="3" t="s">
        <v>14</v>
      </c>
      <c r="F305" s="3">
        <v>0.079</v>
      </c>
      <c r="G305" s="3">
        <v>1.0</v>
      </c>
      <c r="H305" s="3">
        <v>2827283.0</v>
      </c>
      <c r="I305" s="3">
        <v>2827283.0</v>
      </c>
      <c r="J305" s="3">
        <v>0.0</v>
      </c>
      <c r="K305" s="3">
        <v>6872.0</v>
      </c>
      <c r="L305" s="3">
        <v>0.0</v>
      </c>
      <c r="M305" s="3">
        <v>0.0</v>
      </c>
    </row>
    <row r="306">
      <c r="A306" s="3">
        <v>4000.0</v>
      </c>
      <c r="B306" s="3">
        <v>1.0</v>
      </c>
      <c r="C306" s="3">
        <v>2.0</v>
      </c>
      <c r="D306" s="3" t="s">
        <v>15</v>
      </c>
      <c r="E306" s="3" t="s">
        <v>14</v>
      </c>
      <c r="F306" s="3">
        <v>0.545</v>
      </c>
      <c r="G306" s="3">
        <v>1.0</v>
      </c>
      <c r="H306" s="3">
        <v>2827882.0</v>
      </c>
      <c r="I306" s="3">
        <v>2827882.0</v>
      </c>
      <c r="J306" s="3">
        <v>0.0</v>
      </c>
      <c r="K306" s="3">
        <v>6812.0</v>
      </c>
      <c r="L306" s="3">
        <v>0.0</v>
      </c>
      <c r="M306" s="3">
        <v>0.0</v>
      </c>
    </row>
    <row r="307">
      <c r="A307" s="3">
        <v>4000.0</v>
      </c>
      <c r="B307" s="3">
        <v>1.0</v>
      </c>
      <c r="C307" s="3">
        <v>2.0</v>
      </c>
      <c r="D307" s="3" t="s">
        <v>16</v>
      </c>
      <c r="E307" s="3" t="s">
        <v>14</v>
      </c>
      <c r="F307" s="3">
        <v>6.979</v>
      </c>
      <c r="G307" s="3">
        <v>1.0</v>
      </c>
      <c r="H307" s="3">
        <v>2823662.0</v>
      </c>
      <c r="I307" s="3">
        <v>2823662.0</v>
      </c>
      <c r="J307" s="3">
        <v>0.0</v>
      </c>
      <c r="K307" s="3">
        <v>6624.0</v>
      </c>
      <c r="L307" s="3">
        <v>0.0</v>
      </c>
      <c r="M307" s="3">
        <v>0.0</v>
      </c>
    </row>
    <row r="308">
      <c r="A308" s="3">
        <v>4000.0</v>
      </c>
      <c r="B308" s="3">
        <v>1.0</v>
      </c>
      <c r="C308" s="3">
        <v>3.0</v>
      </c>
      <c r="D308" s="3" t="s">
        <v>13</v>
      </c>
      <c r="E308" s="3" t="s">
        <v>14</v>
      </c>
      <c r="F308" s="3">
        <v>0.081</v>
      </c>
      <c r="G308" s="3">
        <v>1.0</v>
      </c>
      <c r="H308" s="3">
        <v>2795073.0</v>
      </c>
      <c r="I308" s="3">
        <v>2795073.0</v>
      </c>
      <c r="J308" s="3">
        <v>0.0</v>
      </c>
      <c r="K308" s="3">
        <v>6635.0</v>
      </c>
      <c r="L308" s="3">
        <v>0.0</v>
      </c>
      <c r="M308" s="3">
        <v>0.0</v>
      </c>
    </row>
    <row r="309">
      <c r="A309" s="3">
        <v>4000.0</v>
      </c>
      <c r="B309" s="3">
        <v>1.0</v>
      </c>
      <c r="C309" s="3">
        <v>3.0</v>
      </c>
      <c r="D309" s="3" t="s">
        <v>15</v>
      </c>
      <c r="E309" s="3" t="s">
        <v>14</v>
      </c>
      <c r="F309" s="3">
        <v>0.516</v>
      </c>
      <c r="G309" s="3">
        <v>1.0</v>
      </c>
      <c r="H309" s="3">
        <v>2792312.0</v>
      </c>
      <c r="I309" s="3">
        <v>2792312.0</v>
      </c>
      <c r="J309" s="3">
        <v>0.0</v>
      </c>
      <c r="K309" s="3">
        <v>6617.0</v>
      </c>
      <c r="L309" s="3">
        <v>0.0</v>
      </c>
      <c r="M309" s="3">
        <v>0.0</v>
      </c>
    </row>
    <row r="310">
      <c r="A310" s="3">
        <v>4000.0</v>
      </c>
      <c r="B310" s="3">
        <v>1.0</v>
      </c>
      <c r="C310" s="3">
        <v>3.0</v>
      </c>
      <c r="D310" s="3" t="s">
        <v>16</v>
      </c>
      <c r="E310" s="3" t="s">
        <v>14</v>
      </c>
      <c r="F310" s="3">
        <v>8.598</v>
      </c>
      <c r="G310" s="3">
        <v>1.0</v>
      </c>
      <c r="H310" s="3">
        <v>2799948.0</v>
      </c>
      <c r="I310" s="3">
        <v>2799948.0</v>
      </c>
      <c r="J310" s="3">
        <v>0.0</v>
      </c>
      <c r="K310" s="3">
        <v>6814.0</v>
      </c>
      <c r="L310" s="3">
        <v>0.0</v>
      </c>
      <c r="M310" s="3">
        <v>0.0</v>
      </c>
    </row>
    <row r="311">
      <c r="A311" s="3">
        <v>4000.0</v>
      </c>
      <c r="B311" s="3">
        <v>1.0</v>
      </c>
      <c r="C311" s="3">
        <v>4.0</v>
      </c>
      <c r="D311" s="3" t="s">
        <v>13</v>
      </c>
      <c r="E311" s="3" t="s">
        <v>14</v>
      </c>
      <c r="F311" s="3">
        <v>0.089</v>
      </c>
      <c r="G311" s="3">
        <v>1.0</v>
      </c>
      <c r="H311" s="3">
        <v>2831600.0</v>
      </c>
      <c r="I311" s="3">
        <v>2831600.0</v>
      </c>
      <c r="J311" s="3">
        <v>0.0</v>
      </c>
      <c r="K311" s="3">
        <v>6870.0</v>
      </c>
      <c r="L311" s="3">
        <v>0.0</v>
      </c>
      <c r="M311" s="3">
        <v>0.0</v>
      </c>
    </row>
    <row r="312">
      <c r="A312" s="3">
        <v>4000.0</v>
      </c>
      <c r="B312" s="3">
        <v>1.0</v>
      </c>
      <c r="C312" s="3">
        <v>4.0</v>
      </c>
      <c r="D312" s="3" t="s">
        <v>15</v>
      </c>
      <c r="E312" s="3" t="s">
        <v>14</v>
      </c>
      <c r="F312" s="3">
        <v>0.475</v>
      </c>
      <c r="G312" s="3">
        <v>1.0</v>
      </c>
      <c r="H312" s="3">
        <v>2835464.0</v>
      </c>
      <c r="I312" s="3">
        <v>2835464.0</v>
      </c>
      <c r="J312" s="3">
        <v>0.0</v>
      </c>
      <c r="K312" s="3">
        <v>6882.0</v>
      </c>
      <c r="L312" s="3">
        <v>0.0</v>
      </c>
      <c r="M312" s="3">
        <v>0.0</v>
      </c>
    </row>
    <row r="313">
      <c r="A313" s="3">
        <v>4000.0</v>
      </c>
      <c r="B313" s="3">
        <v>1.0</v>
      </c>
      <c r="C313" s="3">
        <v>4.0</v>
      </c>
      <c r="D313" s="3" t="s">
        <v>16</v>
      </c>
      <c r="E313" s="3" t="s">
        <v>14</v>
      </c>
      <c r="F313" s="3">
        <v>8.212</v>
      </c>
      <c r="G313" s="3">
        <v>1.0</v>
      </c>
      <c r="H313" s="3">
        <v>2832602.0</v>
      </c>
      <c r="I313" s="3">
        <v>2832602.0</v>
      </c>
      <c r="J313" s="3">
        <v>0.0</v>
      </c>
      <c r="K313" s="3">
        <v>6797.0</v>
      </c>
      <c r="L313" s="3">
        <v>0.0</v>
      </c>
      <c r="M313" s="3">
        <v>0.0</v>
      </c>
    </row>
    <row r="314">
      <c r="A314" s="3">
        <v>4000.0</v>
      </c>
      <c r="B314" s="3">
        <v>1.0</v>
      </c>
      <c r="C314" s="3">
        <v>5.0</v>
      </c>
      <c r="D314" s="3" t="s">
        <v>13</v>
      </c>
      <c r="E314" s="3" t="s">
        <v>14</v>
      </c>
      <c r="F314" s="3">
        <v>0.089</v>
      </c>
      <c r="G314" s="3">
        <v>1.0</v>
      </c>
      <c r="H314" s="3">
        <v>2826939.0</v>
      </c>
      <c r="I314" s="3">
        <v>2826939.0</v>
      </c>
      <c r="J314" s="3">
        <v>0.0</v>
      </c>
      <c r="K314" s="3">
        <v>6722.0</v>
      </c>
      <c r="L314" s="3">
        <v>0.0</v>
      </c>
      <c r="M314" s="3">
        <v>0.0</v>
      </c>
    </row>
    <row r="315">
      <c r="A315" s="3">
        <v>4000.0</v>
      </c>
      <c r="B315" s="3">
        <v>1.0</v>
      </c>
      <c r="C315" s="3">
        <v>5.0</v>
      </c>
      <c r="D315" s="3" t="s">
        <v>15</v>
      </c>
      <c r="E315" s="3" t="s">
        <v>14</v>
      </c>
      <c r="F315" s="3">
        <v>0.486</v>
      </c>
      <c r="G315" s="3">
        <v>1.0</v>
      </c>
      <c r="H315" s="3">
        <v>2832579.0</v>
      </c>
      <c r="I315" s="3">
        <v>2832579.0</v>
      </c>
      <c r="J315" s="3">
        <v>0.0</v>
      </c>
      <c r="K315" s="3">
        <v>7003.0</v>
      </c>
      <c r="L315" s="3">
        <v>0.0</v>
      </c>
      <c r="M315" s="3">
        <v>0.0</v>
      </c>
    </row>
    <row r="316">
      <c r="A316" s="3">
        <v>4000.0</v>
      </c>
      <c r="B316" s="3">
        <v>1.0</v>
      </c>
      <c r="C316" s="3">
        <v>5.0</v>
      </c>
      <c r="D316" s="3" t="s">
        <v>16</v>
      </c>
      <c r="E316" s="3" t="s">
        <v>14</v>
      </c>
      <c r="F316" s="3">
        <v>9.676</v>
      </c>
      <c r="G316" s="3">
        <v>1.0</v>
      </c>
      <c r="H316" s="3">
        <v>2827006.0</v>
      </c>
      <c r="I316" s="3">
        <v>2827006.0</v>
      </c>
      <c r="J316" s="3">
        <v>0.0</v>
      </c>
      <c r="K316" s="3">
        <v>6799.0</v>
      </c>
      <c r="L316" s="3">
        <v>0.0</v>
      </c>
      <c r="M316" s="3">
        <v>1.0</v>
      </c>
    </row>
    <row r="317">
      <c r="A317" s="3">
        <v>4000.0</v>
      </c>
      <c r="B317" s="3">
        <v>5.0</v>
      </c>
      <c r="C317" s="3">
        <v>1.0</v>
      </c>
      <c r="D317" s="3" t="s">
        <v>13</v>
      </c>
      <c r="E317" s="3" t="s">
        <v>14</v>
      </c>
      <c r="F317" s="3">
        <v>0.984</v>
      </c>
      <c r="G317" s="3">
        <v>1.0</v>
      </c>
      <c r="H317" s="3">
        <v>1.2102539E7</v>
      </c>
      <c r="I317" s="3">
        <v>1.2102539E7</v>
      </c>
      <c r="J317" s="3">
        <v>0.0</v>
      </c>
      <c r="K317" s="3">
        <v>10098.0</v>
      </c>
      <c r="L317" s="3">
        <v>0.0</v>
      </c>
      <c r="M317" s="3">
        <v>0.0</v>
      </c>
    </row>
    <row r="318">
      <c r="A318" s="3">
        <v>4000.0</v>
      </c>
      <c r="B318" s="3">
        <v>5.0</v>
      </c>
      <c r="C318" s="3">
        <v>1.0</v>
      </c>
      <c r="D318" s="3" t="s">
        <v>15</v>
      </c>
      <c r="E318" s="3" t="s">
        <v>14</v>
      </c>
      <c r="F318" s="3">
        <v>6.319</v>
      </c>
      <c r="G318" s="3">
        <v>1.0</v>
      </c>
      <c r="H318" s="3">
        <v>1.2111312E7</v>
      </c>
      <c r="I318" s="3">
        <v>1.2111312E7</v>
      </c>
      <c r="J318" s="3">
        <v>0.0</v>
      </c>
      <c r="K318" s="3">
        <v>10159.0</v>
      </c>
      <c r="L318" s="3">
        <v>0.0</v>
      </c>
      <c r="M318" s="3">
        <v>0.0</v>
      </c>
    </row>
    <row r="319">
      <c r="A319" s="3">
        <v>4000.0</v>
      </c>
      <c r="B319" s="3">
        <v>5.0</v>
      </c>
      <c r="C319" s="3">
        <v>1.0</v>
      </c>
      <c r="D319" s="3" t="s">
        <v>16</v>
      </c>
      <c r="E319" s="3" t="s">
        <v>14</v>
      </c>
      <c r="F319" s="3">
        <v>14.699</v>
      </c>
      <c r="G319" s="3">
        <v>1.0</v>
      </c>
      <c r="H319" s="3">
        <v>1.2120851E7</v>
      </c>
      <c r="I319" s="3">
        <v>1.2120851E7</v>
      </c>
      <c r="J319" s="3">
        <v>0.0</v>
      </c>
      <c r="K319" s="3">
        <v>10327.0</v>
      </c>
      <c r="L319" s="3">
        <v>0.0</v>
      </c>
      <c r="M319" s="3">
        <v>1.0</v>
      </c>
    </row>
    <row r="320">
      <c r="A320" s="3">
        <v>4000.0</v>
      </c>
      <c r="B320" s="3">
        <v>5.0</v>
      </c>
      <c r="C320" s="3">
        <v>2.0</v>
      </c>
      <c r="D320" s="3" t="s">
        <v>13</v>
      </c>
      <c r="E320" s="3" t="s">
        <v>14</v>
      </c>
      <c r="F320" s="3">
        <v>0.972</v>
      </c>
      <c r="G320" s="3">
        <v>1.0</v>
      </c>
      <c r="H320" s="3">
        <v>1.2148278E7</v>
      </c>
      <c r="I320" s="3">
        <v>1.2148278E7</v>
      </c>
      <c r="J320" s="3">
        <v>0.0</v>
      </c>
      <c r="K320" s="3">
        <v>10025.0</v>
      </c>
      <c r="L320" s="3">
        <v>0.0</v>
      </c>
      <c r="M320" s="3">
        <v>0.0</v>
      </c>
    </row>
    <row r="321">
      <c r="A321" s="3">
        <v>4000.0</v>
      </c>
      <c r="B321" s="3">
        <v>5.0</v>
      </c>
      <c r="C321" s="3">
        <v>2.0</v>
      </c>
      <c r="D321" s="3" t="s">
        <v>15</v>
      </c>
      <c r="E321" s="3" t="s">
        <v>14</v>
      </c>
      <c r="F321" s="3">
        <v>6.164</v>
      </c>
      <c r="G321" s="3">
        <v>1.0</v>
      </c>
      <c r="H321" s="3">
        <v>1.2158721E7</v>
      </c>
      <c r="I321" s="3">
        <v>1.2158721E7</v>
      </c>
      <c r="J321" s="3">
        <v>0.0</v>
      </c>
      <c r="K321" s="3">
        <v>10290.0</v>
      </c>
      <c r="L321" s="3">
        <v>0.0</v>
      </c>
      <c r="M321" s="3">
        <v>0.0</v>
      </c>
    </row>
    <row r="322">
      <c r="A322" s="3">
        <v>4000.0</v>
      </c>
      <c r="B322" s="3">
        <v>5.0</v>
      </c>
      <c r="C322" s="3">
        <v>2.0</v>
      </c>
      <c r="D322" s="3" t="s">
        <v>16</v>
      </c>
      <c r="E322" s="3" t="s">
        <v>14</v>
      </c>
      <c r="F322" s="3">
        <v>11.394</v>
      </c>
      <c r="G322" s="3">
        <v>1.0</v>
      </c>
      <c r="H322" s="3">
        <v>1.2158584E7</v>
      </c>
      <c r="I322" s="3">
        <v>1.2158584E7</v>
      </c>
      <c r="J322" s="3">
        <v>0.0</v>
      </c>
      <c r="K322" s="3">
        <v>10329.0</v>
      </c>
      <c r="L322" s="3">
        <v>0.0</v>
      </c>
      <c r="M322" s="3">
        <v>0.0</v>
      </c>
    </row>
    <row r="323">
      <c r="A323" s="3">
        <v>4000.0</v>
      </c>
      <c r="B323" s="3">
        <v>5.0</v>
      </c>
      <c r="C323" s="3">
        <v>3.0</v>
      </c>
      <c r="D323" s="3" t="s">
        <v>13</v>
      </c>
      <c r="E323" s="3" t="s">
        <v>14</v>
      </c>
      <c r="F323" s="3">
        <v>1.049</v>
      </c>
      <c r="G323" s="3">
        <v>1.0</v>
      </c>
      <c r="H323" s="3">
        <v>1.2080451E7</v>
      </c>
      <c r="I323" s="3">
        <v>1.2080451E7</v>
      </c>
      <c r="J323" s="3">
        <v>0.0</v>
      </c>
      <c r="K323" s="3">
        <v>10123.0</v>
      </c>
      <c r="L323" s="3">
        <v>0.0</v>
      </c>
      <c r="M323" s="3">
        <v>0.0</v>
      </c>
    </row>
    <row r="324">
      <c r="A324" s="3">
        <v>4000.0</v>
      </c>
      <c r="B324" s="3">
        <v>5.0</v>
      </c>
      <c r="C324" s="3">
        <v>3.0</v>
      </c>
      <c r="D324" s="3" t="s">
        <v>15</v>
      </c>
      <c r="E324" s="3" t="s">
        <v>14</v>
      </c>
      <c r="F324" s="3">
        <v>6.39</v>
      </c>
      <c r="G324" s="3">
        <v>1.0</v>
      </c>
      <c r="H324" s="3">
        <v>1.207741E7</v>
      </c>
      <c r="I324" s="3">
        <v>1.207741E7</v>
      </c>
      <c r="J324" s="3">
        <v>0.0</v>
      </c>
      <c r="K324" s="3">
        <v>10089.0</v>
      </c>
      <c r="L324" s="3">
        <v>0.0</v>
      </c>
      <c r="M324" s="3">
        <v>0.0</v>
      </c>
    </row>
    <row r="325">
      <c r="A325" s="3">
        <v>4000.0</v>
      </c>
      <c r="B325" s="3">
        <v>5.0</v>
      </c>
      <c r="C325" s="3">
        <v>3.0</v>
      </c>
      <c r="D325" s="3" t="s">
        <v>16</v>
      </c>
      <c r="E325" s="3" t="s">
        <v>14</v>
      </c>
      <c r="F325" s="3">
        <v>12.981</v>
      </c>
      <c r="G325" s="3">
        <v>1.0</v>
      </c>
      <c r="H325" s="3">
        <v>1.2079503E7</v>
      </c>
      <c r="I325" s="3">
        <v>1.2079503E7</v>
      </c>
      <c r="J325" s="3">
        <v>0.0</v>
      </c>
      <c r="K325" s="3">
        <v>10328.0</v>
      </c>
      <c r="L325" s="3">
        <v>0.0</v>
      </c>
      <c r="M325" s="3">
        <v>0.0</v>
      </c>
    </row>
    <row r="326">
      <c r="A326" s="3">
        <v>4000.0</v>
      </c>
      <c r="B326" s="3">
        <v>5.0</v>
      </c>
      <c r="C326" s="3">
        <v>4.0</v>
      </c>
      <c r="D326" s="3" t="s">
        <v>13</v>
      </c>
      <c r="E326" s="3" t="s">
        <v>14</v>
      </c>
      <c r="F326" s="3">
        <v>0.975</v>
      </c>
      <c r="G326" s="3">
        <v>1.0</v>
      </c>
      <c r="H326" s="3">
        <v>1.2139329E7</v>
      </c>
      <c r="I326" s="3">
        <v>1.2139329E7</v>
      </c>
      <c r="J326" s="3">
        <v>0.0</v>
      </c>
      <c r="K326" s="3">
        <v>10312.0</v>
      </c>
      <c r="L326" s="3">
        <v>0.0</v>
      </c>
      <c r="M326" s="3">
        <v>0.0</v>
      </c>
    </row>
    <row r="327">
      <c r="A327" s="3">
        <v>4000.0</v>
      </c>
      <c r="B327" s="3">
        <v>5.0</v>
      </c>
      <c r="C327" s="3">
        <v>4.0</v>
      </c>
      <c r="D327" s="3" t="s">
        <v>15</v>
      </c>
      <c r="E327" s="3" t="s">
        <v>14</v>
      </c>
      <c r="F327" s="3">
        <v>5.907</v>
      </c>
      <c r="G327" s="3">
        <v>1.0</v>
      </c>
      <c r="H327" s="3">
        <v>1.213656E7</v>
      </c>
      <c r="I327" s="3">
        <v>1.213656E7</v>
      </c>
      <c r="J327" s="3">
        <v>0.0</v>
      </c>
      <c r="K327" s="3">
        <v>9993.0</v>
      </c>
      <c r="L327" s="3">
        <v>0.0</v>
      </c>
      <c r="M327" s="3">
        <v>0.0</v>
      </c>
    </row>
    <row r="328">
      <c r="A328" s="3">
        <v>4000.0</v>
      </c>
      <c r="B328" s="3">
        <v>5.0</v>
      </c>
      <c r="C328" s="3">
        <v>4.0</v>
      </c>
      <c r="D328" s="3" t="s">
        <v>16</v>
      </c>
      <c r="E328" s="3" t="s">
        <v>14</v>
      </c>
      <c r="F328" s="3">
        <v>15.369</v>
      </c>
      <c r="G328" s="3">
        <v>1.0</v>
      </c>
      <c r="H328" s="3">
        <v>1.214285E7</v>
      </c>
      <c r="I328" s="3">
        <v>1.214285E7</v>
      </c>
      <c r="J328" s="3">
        <v>0.0</v>
      </c>
      <c r="K328" s="3">
        <v>10260.0</v>
      </c>
      <c r="L328" s="3">
        <v>0.0</v>
      </c>
      <c r="M328" s="3">
        <v>1.0</v>
      </c>
    </row>
    <row r="329">
      <c r="A329" s="3">
        <v>4000.0</v>
      </c>
      <c r="B329" s="3">
        <v>5.0</v>
      </c>
      <c r="C329" s="3">
        <v>5.0</v>
      </c>
      <c r="D329" s="3" t="s">
        <v>13</v>
      </c>
      <c r="E329" s="3" t="s">
        <v>14</v>
      </c>
      <c r="F329" s="3">
        <v>0.998</v>
      </c>
      <c r="G329" s="3">
        <v>1.0</v>
      </c>
      <c r="H329" s="3">
        <v>1.2108961E7</v>
      </c>
      <c r="I329" s="3">
        <v>1.2108961E7</v>
      </c>
      <c r="J329" s="3">
        <v>0.0</v>
      </c>
      <c r="K329" s="3">
        <v>10192.0</v>
      </c>
      <c r="L329" s="3">
        <v>0.0</v>
      </c>
      <c r="M329" s="3">
        <v>0.0</v>
      </c>
    </row>
    <row r="330">
      <c r="A330" s="3">
        <v>4000.0</v>
      </c>
      <c r="B330" s="3">
        <v>5.0</v>
      </c>
      <c r="C330" s="3">
        <v>5.0</v>
      </c>
      <c r="D330" s="3" t="s">
        <v>15</v>
      </c>
      <c r="E330" s="3" t="s">
        <v>14</v>
      </c>
      <c r="F330" s="3">
        <v>6.652</v>
      </c>
      <c r="G330" s="3">
        <v>1.0</v>
      </c>
      <c r="H330" s="3">
        <v>1.2118242E7</v>
      </c>
      <c r="I330" s="3">
        <v>1.2118242E7</v>
      </c>
      <c r="J330" s="3">
        <v>0.0</v>
      </c>
      <c r="K330" s="3">
        <v>10671.0</v>
      </c>
      <c r="L330" s="3">
        <v>0.0</v>
      </c>
      <c r="M330" s="3">
        <v>0.0</v>
      </c>
    </row>
    <row r="331">
      <c r="A331" s="3">
        <v>4000.0</v>
      </c>
      <c r="B331" s="3">
        <v>5.0</v>
      </c>
      <c r="C331" s="3">
        <v>5.0</v>
      </c>
      <c r="D331" s="3" t="s">
        <v>16</v>
      </c>
      <c r="E331" s="3" t="s">
        <v>14</v>
      </c>
      <c r="F331" s="3">
        <v>12.448</v>
      </c>
      <c r="G331" s="3">
        <v>1.0</v>
      </c>
      <c r="H331" s="3">
        <v>1.2123E7</v>
      </c>
      <c r="I331" s="3">
        <v>1.2123E7</v>
      </c>
      <c r="J331" s="3">
        <v>0.0</v>
      </c>
      <c r="K331" s="3">
        <v>10512.0</v>
      </c>
      <c r="L331" s="3">
        <v>0.0</v>
      </c>
      <c r="M331" s="3">
        <v>0.0</v>
      </c>
    </row>
    <row r="332">
      <c r="A332" s="3">
        <v>4000.0</v>
      </c>
      <c r="B332" s="3">
        <v>10.0</v>
      </c>
      <c r="C332" s="3">
        <v>1.0</v>
      </c>
      <c r="D332" s="3" t="s">
        <v>13</v>
      </c>
      <c r="E332" s="3" t="s">
        <v>14</v>
      </c>
      <c r="F332" s="3">
        <v>3.279</v>
      </c>
      <c r="G332" s="3">
        <v>1.0</v>
      </c>
      <c r="H332" s="3">
        <v>2.3356687E7</v>
      </c>
      <c r="I332" s="3">
        <v>2.3356687E7</v>
      </c>
      <c r="J332" s="3">
        <v>0.0</v>
      </c>
      <c r="K332" s="3">
        <v>12039.0</v>
      </c>
      <c r="L332" s="3">
        <v>0.0</v>
      </c>
      <c r="M332" s="3">
        <v>0.0</v>
      </c>
    </row>
    <row r="333">
      <c r="A333" s="3">
        <v>4000.0</v>
      </c>
      <c r="B333" s="3">
        <v>10.0</v>
      </c>
      <c r="C333" s="3">
        <v>1.0</v>
      </c>
      <c r="D333" s="3" t="s">
        <v>15</v>
      </c>
      <c r="E333" s="3" t="s">
        <v>14</v>
      </c>
      <c r="F333" s="3">
        <v>15.093</v>
      </c>
      <c r="G333" s="3">
        <v>1.0</v>
      </c>
      <c r="H333" s="3">
        <v>2.335002E7</v>
      </c>
      <c r="I333" s="3">
        <v>2.335002E7</v>
      </c>
      <c r="J333" s="3">
        <v>0.0</v>
      </c>
      <c r="K333" s="3">
        <v>11559.0</v>
      </c>
      <c r="L333" s="3">
        <v>0.0</v>
      </c>
      <c r="M333" s="3">
        <v>0.0</v>
      </c>
    </row>
    <row r="334">
      <c r="A334" s="3">
        <v>4000.0</v>
      </c>
      <c r="B334" s="3">
        <v>10.0</v>
      </c>
      <c r="C334" s="3">
        <v>1.0</v>
      </c>
      <c r="D334" s="3" t="s">
        <v>16</v>
      </c>
      <c r="E334" s="3" t="s">
        <v>14</v>
      </c>
      <c r="F334" s="3">
        <v>14.76</v>
      </c>
      <c r="G334" s="3">
        <v>1.0</v>
      </c>
      <c r="H334" s="3">
        <v>2.3347997E7</v>
      </c>
      <c r="I334" s="3">
        <v>2.3347997E7</v>
      </c>
      <c r="J334" s="3">
        <v>0.0</v>
      </c>
      <c r="K334" s="3">
        <v>11637.0</v>
      </c>
      <c r="L334" s="3">
        <v>0.0</v>
      </c>
      <c r="M334" s="3">
        <v>1.0</v>
      </c>
    </row>
    <row r="335">
      <c r="A335" s="3">
        <v>4000.0</v>
      </c>
      <c r="B335" s="3">
        <v>10.0</v>
      </c>
      <c r="C335" s="3">
        <v>2.0</v>
      </c>
      <c r="D335" s="3" t="s">
        <v>13</v>
      </c>
      <c r="E335" s="3" t="s">
        <v>14</v>
      </c>
      <c r="F335" s="3">
        <v>3.364</v>
      </c>
      <c r="G335" s="3">
        <v>1.0</v>
      </c>
      <c r="H335" s="3">
        <v>2.3390825E7</v>
      </c>
      <c r="I335" s="3">
        <v>2.3390825E7</v>
      </c>
      <c r="J335" s="3">
        <v>0.0</v>
      </c>
      <c r="K335" s="3">
        <v>12064.0</v>
      </c>
      <c r="L335" s="3">
        <v>0.0</v>
      </c>
      <c r="M335" s="3">
        <v>0.0</v>
      </c>
    </row>
    <row r="336">
      <c r="A336" s="3">
        <v>4000.0</v>
      </c>
      <c r="B336" s="3">
        <v>10.0</v>
      </c>
      <c r="C336" s="3">
        <v>2.0</v>
      </c>
      <c r="D336" s="3" t="s">
        <v>15</v>
      </c>
      <c r="E336" s="3" t="s">
        <v>14</v>
      </c>
      <c r="F336" s="3">
        <v>15.22</v>
      </c>
      <c r="G336" s="3">
        <v>1.0</v>
      </c>
      <c r="H336" s="3">
        <v>2.3379294E7</v>
      </c>
      <c r="I336" s="3">
        <v>2.3379294E7</v>
      </c>
      <c r="J336" s="3">
        <v>0.0</v>
      </c>
      <c r="K336" s="3">
        <v>11532.0</v>
      </c>
      <c r="L336" s="3">
        <v>0.0</v>
      </c>
      <c r="M336" s="3">
        <v>0.0</v>
      </c>
    </row>
    <row r="337">
      <c r="A337" s="3">
        <v>4000.0</v>
      </c>
      <c r="B337" s="3">
        <v>10.0</v>
      </c>
      <c r="C337" s="3">
        <v>2.0</v>
      </c>
      <c r="D337" s="3" t="s">
        <v>16</v>
      </c>
      <c r="E337" s="3" t="s">
        <v>14</v>
      </c>
      <c r="F337" s="3">
        <v>17.817</v>
      </c>
      <c r="G337" s="3">
        <v>1.0</v>
      </c>
      <c r="H337" s="3">
        <v>2.3397257E7</v>
      </c>
      <c r="I337" s="3">
        <v>2.3397257E7</v>
      </c>
      <c r="J337" s="3">
        <v>0.0</v>
      </c>
      <c r="K337" s="3">
        <v>11922.0</v>
      </c>
      <c r="L337" s="3">
        <v>0.0</v>
      </c>
      <c r="M337" s="3">
        <v>1.0</v>
      </c>
    </row>
    <row r="338">
      <c r="A338" s="3">
        <v>4000.0</v>
      </c>
      <c r="B338" s="3">
        <v>10.0</v>
      </c>
      <c r="C338" s="3">
        <v>3.0</v>
      </c>
      <c r="D338" s="3" t="s">
        <v>13</v>
      </c>
      <c r="E338" s="3" t="s">
        <v>14</v>
      </c>
      <c r="F338" s="3">
        <v>3.42</v>
      </c>
      <c r="G338" s="3">
        <v>1.0</v>
      </c>
      <c r="H338" s="3">
        <v>2.3341987E7</v>
      </c>
      <c r="I338" s="3">
        <v>2.3341987E7</v>
      </c>
      <c r="J338" s="3">
        <v>0.0</v>
      </c>
      <c r="K338" s="3">
        <v>11679.0</v>
      </c>
      <c r="L338" s="3">
        <v>0.0</v>
      </c>
      <c r="M338" s="3">
        <v>0.0</v>
      </c>
    </row>
    <row r="339">
      <c r="A339" s="3">
        <v>4000.0</v>
      </c>
      <c r="B339" s="3">
        <v>10.0</v>
      </c>
      <c r="C339" s="3">
        <v>3.0</v>
      </c>
      <c r="D339" s="3" t="s">
        <v>15</v>
      </c>
      <c r="E339" s="3" t="s">
        <v>14</v>
      </c>
      <c r="F339" s="3">
        <v>17.14</v>
      </c>
      <c r="G339" s="3">
        <v>1.0</v>
      </c>
      <c r="H339" s="3">
        <v>2.3368425E7</v>
      </c>
      <c r="I339" s="3">
        <v>2.3368425E7</v>
      </c>
      <c r="J339" s="3">
        <v>0.0</v>
      </c>
      <c r="K339" s="3">
        <v>12503.0</v>
      </c>
      <c r="L339" s="3">
        <v>0.0</v>
      </c>
      <c r="M339" s="3">
        <v>0.0</v>
      </c>
    </row>
    <row r="340">
      <c r="A340" s="3">
        <v>4000.0</v>
      </c>
      <c r="B340" s="3">
        <v>10.0</v>
      </c>
      <c r="C340" s="3">
        <v>3.0</v>
      </c>
      <c r="D340" s="3" t="s">
        <v>16</v>
      </c>
      <c r="E340" s="3" t="s">
        <v>14</v>
      </c>
      <c r="F340" s="3">
        <v>15.263</v>
      </c>
      <c r="G340" s="3">
        <v>1.0</v>
      </c>
      <c r="H340" s="3">
        <v>2.3352303E7</v>
      </c>
      <c r="I340" s="3">
        <v>2.3352303E7</v>
      </c>
      <c r="J340" s="3">
        <v>0.0</v>
      </c>
      <c r="K340" s="3">
        <v>11937.0</v>
      </c>
      <c r="L340" s="3">
        <v>0.0</v>
      </c>
      <c r="M340" s="3">
        <v>1.0</v>
      </c>
    </row>
    <row r="341">
      <c r="A341" s="3">
        <v>4000.0</v>
      </c>
      <c r="B341" s="3">
        <v>10.0</v>
      </c>
      <c r="C341" s="3">
        <v>4.0</v>
      </c>
      <c r="D341" s="3" t="s">
        <v>13</v>
      </c>
      <c r="E341" s="3" t="s">
        <v>14</v>
      </c>
      <c r="F341" s="3">
        <v>3.365</v>
      </c>
      <c r="G341" s="3">
        <v>1.0</v>
      </c>
      <c r="H341" s="3">
        <v>2.3412398E7</v>
      </c>
      <c r="I341" s="3">
        <v>2.3412398E7</v>
      </c>
      <c r="J341" s="3">
        <v>0.0</v>
      </c>
      <c r="K341" s="3">
        <v>12095.0</v>
      </c>
      <c r="L341" s="3">
        <v>0.0</v>
      </c>
      <c r="M341" s="3">
        <v>0.0</v>
      </c>
    </row>
    <row r="342">
      <c r="A342" s="3">
        <v>4000.0</v>
      </c>
      <c r="B342" s="3">
        <v>10.0</v>
      </c>
      <c r="C342" s="3">
        <v>4.0</v>
      </c>
      <c r="D342" s="3" t="s">
        <v>15</v>
      </c>
      <c r="E342" s="3" t="s">
        <v>14</v>
      </c>
      <c r="F342" s="3">
        <v>15.821</v>
      </c>
      <c r="G342" s="3">
        <v>1.0</v>
      </c>
      <c r="H342" s="3">
        <v>2.3419101E7</v>
      </c>
      <c r="I342" s="3">
        <v>2.3419101E7</v>
      </c>
      <c r="J342" s="3">
        <v>0.0</v>
      </c>
      <c r="K342" s="3">
        <v>11637.0</v>
      </c>
      <c r="L342" s="3">
        <v>0.0</v>
      </c>
      <c r="M342" s="3">
        <v>0.0</v>
      </c>
    </row>
    <row r="343">
      <c r="A343" s="3">
        <v>4000.0</v>
      </c>
      <c r="B343" s="3">
        <v>10.0</v>
      </c>
      <c r="C343" s="3">
        <v>4.0</v>
      </c>
      <c r="D343" s="3" t="s">
        <v>16</v>
      </c>
      <c r="E343" s="3" t="s">
        <v>14</v>
      </c>
      <c r="F343" s="3">
        <v>20.633</v>
      </c>
      <c r="G343" s="3">
        <v>1.0</v>
      </c>
      <c r="H343" s="3">
        <v>2.3400819E7</v>
      </c>
      <c r="I343" s="3">
        <v>2.3400819E7</v>
      </c>
      <c r="J343" s="3">
        <v>0.0</v>
      </c>
      <c r="K343" s="3">
        <v>11761.0</v>
      </c>
      <c r="L343" s="3">
        <v>0.0</v>
      </c>
      <c r="M343" s="3">
        <v>1.0</v>
      </c>
    </row>
    <row r="344">
      <c r="A344" s="3">
        <v>4000.0</v>
      </c>
      <c r="B344" s="3">
        <v>10.0</v>
      </c>
      <c r="C344" s="3">
        <v>5.0</v>
      </c>
      <c r="D344" s="3" t="s">
        <v>13</v>
      </c>
      <c r="E344" s="3" t="s">
        <v>14</v>
      </c>
      <c r="F344" s="3">
        <v>3.128</v>
      </c>
      <c r="G344" s="3">
        <v>1.0</v>
      </c>
      <c r="H344" s="3">
        <v>2.3398372E7</v>
      </c>
      <c r="I344" s="3">
        <v>2.3398372E7</v>
      </c>
      <c r="J344" s="3">
        <v>0.0</v>
      </c>
      <c r="K344" s="3">
        <v>11611.0</v>
      </c>
      <c r="L344" s="3">
        <v>0.0</v>
      </c>
      <c r="M344" s="3">
        <v>0.0</v>
      </c>
    </row>
    <row r="345">
      <c r="A345" s="3">
        <v>4000.0</v>
      </c>
      <c r="B345" s="3">
        <v>10.0</v>
      </c>
      <c r="C345" s="3">
        <v>5.0</v>
      </c>
      <c r="D345" s="3" t="s">
        <v>15</v>
      </c>
      <c r="E345" s="3" t="s">
        <v>14</v>
      </c>
      <c r="F345" s="3">
        <v>16.155</v>
      </c>
      <c r="G345" s="3">
        <v>1.0</v>
      </c>
      <c r="H345" s="3">
        <v>2.3397095E7</v>
      </c>
      <c r="I345" s="3">
        <v>2.3397095E7</v>
      </c>
      <c r="J345" s="3">
        <v>0.0</v>
      </c>
      <c r="K345" s="3">
        <v>11909.0</v>
      </c>
      <c r="L345" s="3">
        <v>0.0</v>
      </c>
      <c r="M345" s="3">
        <v>0.0</v>
      </c>
    </row>
    <row r="346">
      <c r="A346" s="3">
        <v>4000.0</v>
      </c>
      <c r="B346" s="3">
        <v>10.0</v>
      </c>
      <c r="C346" s="3">
        <v>5.0</v>
      </c>
      <c r="D346" s="3" t="s">
        <v>16</v>
      </c>
      <c r="E346" s="3" t="s">
        <v>14</v>
      </c>
      <c r="F346" s="3">
        <v>16.232</v>
      </c>
      <c r="G346" s="3">
        <v>1.0</v>
      </c>
      <c r="H346" s="3">
        <v>2.3412194E7</v>
      </c>
      <c r="I346" s="3">
        <v>2.3412194E7</v>
      </c>
      <c r="J346" s="3">
        <v>0.0</v>
      </c>
      <c r="K346" s="3">
        <v>12161.0</v>
      </c>
      <c r="L346" s="3">
        <v>0.0</v>
      </c>
      <c r="M346" s="3">
        <v>1.0</v>
      </c>
    </row>
    <row r="347">
      <c r="A347" s="3">
        <v>4000.0</v>
      </c>
      <c r="B347" s="3">
        <v>50.0</v>
      </c>
      <c r="C347" s="3">
        <v>1.0</v>
      </c>
      <c r="D347" s="3" t="s">
        <v>13</v>
      </c>
      <c r="E347" s="3" t="s">
        <v>14</v>
      </c>
      <c r="F347" s="3">
        <v>58.838</v>
      </c>
      <c r="G347" s="3">
        <v>1.0</v>
      </c>
      <c r="H347" s="3">
        <v>1.2331721E8</v>
      </c>
      <c r="I347" s="3">
        <v>1.2331721E8</v>
      </c>
      <c r="J347" s="3">
        <v>0.0</v>
      </c>
      <c r="K347" s="3">
        <v>16534.0</v>
      </c>
      <c r="L347" s="3">
        <v>0.0</v>
      </c>
      <c r="M347" s="3">
        <v>2.0</v>
      </c>
    </row>
    <row r="348">
      <c r="A348" s="3">
        <v>4000.0</v>
      </c>
      <c r="B348" s="3">
        <v>50.0</v>
      </c>
      <c r="C348" s="3">
        <v>1.0</v>
      </c>
      <c r="D348" s="3" t="s">
        <v>15</v>
      </c>
      <c r="E348" s="3" t="s">
        <v>14</v>
      </c>
      <c r="F348" s="3">
        <v>144.787</v>
      </c>
      <c r="G348" s="3">
        <v>1.0</v>
      </c>
      <c r="H348" s="3">
        <v>1.23323669E8</v>
      </c>
      <c r="I348" s="3">
        <v>1.23323669E8</v>
      </c>
      <c r="J348" s="3">
        <v>0.0</v>
      </c>
      <c r="K348" s="3">
        <v>17250.0</v>
      </c>
      <c r="L348" s="3">
        <v>0.0</v>
      </c>
      <c r="M348" s="3">
        <v>7.0</v>
      </c>
    </row>
    <row r="349">
      <c r="A349" s="3">
        <v>4000.0</v>
      </c>
      <c r="B349" s="3">
        <v>50.0</v>
      </c>
      <c r="C349" s="3">
        <v>1.0</v>
      </c>
      <c r="D349" s="3" t="s">
        <v>16</v>
      </c>
      <c r="E349" s="3" t="s">
        <v>14</v>
      </c>
      <c r="F349" s="3">
        <v>26.696</v>
      </c>
      <c r="G349" s="3">
        <v>1.0</v>
      </c>
      <c r="H349" s="3">
        <v>1.23351476E8</v>
      </c>
      <c r="I349" s="3">
        <v>1.23351476E8</v>
      </c>
      <c r="J349" s="3">
        <v>0.0</v>
      </c>
      <c r="K349" s="3">
        <v>17115.0</v>
      </c>
      <c r="L349" s="3">
        <v>0.0</v>
      </c>
      <c r="M349" s="3">
        <v>1.0</v>
      </c>
    </row>
    <row r="350">
      <c r="A350" s="3">
        <v>4000.0</v>
      </c>
      <c r="B350" s="3">
        <v>50.0</v>
      </c>
      <c r="C350" s="3">
        <v>2.0</v>
      </c>
      <c r="D350" s="3" t="s">
        <v>13</v>
      </c>
      <c r="E350" s="3" t="s">
        <v>14</v>
      </c>
      <c r="F350" s="3">
        <v>59.645</v>
      </c>
      <c r="G350" s="3">
        <v>1.0</v>
      </c>
      <c r="H350" s="3">
        <v>1.23428547E8</v>
      </c>
      <c r="I350" s="3">
        <v>1.23428547E8</v>
      </c>
      <c r="J350" s="3">
        <v>0.0</v>
      </c>
      <c r="K350" s="3">
        <v>17280.0</v>
      </c>
      <c r="L350" s="3">
        <v>0.0</v>
      </c>
      <c r="M350" s="3">
        <v>2.0</v>
      </c>
    </row>
    <row r="351">
      <c r="A351" s="3">
        <v>4000.0</v>
      </c>
      <c r="B351" s="3">
        <v>50.0</v>
      </c>
      <c r="C351" s="3">
        <v>2.0</v>
      </c>
      <c r="D351" s="3" t="s">
        <v>15</v>
      </c>
      <c r="E351" s="3" t="s">
        <v>14</v>
      </c>
      <c r="F351" s="3">
        <v>142.049</v>
      </c>
      <c r="G351" s="3">
        <v>1.0</v>
      </c>
      <c r="H351" s="3">
        <v>1.23409996E8</v>
      </c>
      <c r="I351" s="3">
        <v>1.23409996E8</v>
      </c>
      <c r="J351" s="3">
        <v>0.0</v>
      </c>
      <c r="K351" s="3">
        <v>16672.0</v>
      </c>
      <c r="L351" s="3">
        <v>0.0</v>
      </c>
      <c r="M351" s="3">
        <v>8.0</v>
      </c>
    </row>
    <row r="352">
      <c r="A352" s="3">
        <v>4000.0</v>
      </c>
      <c r="B352" s="3">
        <v>50.0</v>
      </c>
      <c r="C352" s="3">
        <v>2.0</v>
      </c>
      <c r="D352" s="3" t="s">
        <v>16</v>
      </c>
      <c r="E352" s="3" t="s">
        <v>14</v>
      </c>
      <c r="F352" s="3">
        <v>21.589</v>
      </c>
      <c r="G352" s="3">
        <v>1.0</v>
      </c>
      <c r="H352" s="3">
        <v>1.23465817E8</v>
      </c>
      <c r="I352" s="3">
        <v>1.23465817E8</v>
      </c>
      <c r="J352" s="3">
        <v>0.0</v>
      </c>
      <c r="K352" s="3">
        <v>17167.0</v>
      </c>
      <c r="L352" s="3">
        <v>0.0</v>
      </c>
      <c r="M352" s="3">
        <v>0.0</v>
      </c>
    </row>
    <row r="353">
      <c r="A353" s="3">
        <v>4000.0</v>
      </c>
      <c r="B353" s="3">
        <v>50.0</v>
      </c>
      <c r="C353" s="3">
        <v>3.0</v>
      </c>
      <c r="D353" s="3" t="s">
        <v>13</v>
      </c>
      <c r="E353" s="3" t="s">
        <v>14</v>
      </c>
      <c r="F353" s="3">
        <v>61.725</v>
      </c>
      <c r="G353" s="3">
        <v>1.0</v>
      </c>
      <c r="H353" s="3">
        <v>1.23430268E8</v>
      </c>
      <c r="I353" s="3">
        <v>1.23430268E8</v>
      </c>
      <c r="J353" s="3">
        <v>0.0</v>
      </c>
      <c r="K353" s="3">
        <v>17936.0</v>
      </c>
      <c r="L353" s="3">
        <v>0.0</v>
      </c>
      <c r="M353" s="3">
        <v>2.0</v>
      </c>
    </row>
    <row r="354">
      <c r="A354" s="3">
        <v>4000.0</v>
      </c>
      <c r="B354" s="3">
        <v>50.0</v>
      </c>
      <c r="C354" s="3">
        <v>3.0</v>
      </c>
      <c r="D354" s="3" t="s">
        <v>15</v>
      </c>
      <c r="E354" s="3" t="s">
        <v>14</v>
      </c>
      <c r="F354" s="3">
        <v>134.17</v>
      </c>
      <c r="G354" s="3">
        <v>1.0</v>
      </c>
      <c r="H354" s="3">
        <v>1.23403158E8</v>
      </c>
      <c r="I354" s="3">
        <v>1.23403158E8</v>
      </c>
      <c r="J354" s="3">
        <v>0.0</v>
      </c>
      <c r="K354" s="3">
        <v>15669.0</v>
      </c>
      <c r="L354" s="3">
        <v>0.0</v>
      </c>
      <c r="M354" s="3">
        <v>8.0</v>
      </c>
    </row>
    <row r="355">
      <c r="A355" s="3">
        <v>4000.0</v>
      </c>
      <c r="B355" s="3">
        <v>50.0</v>
      </c>
      <c r="C355" s="3">
        <v>3.0</v>
      </c>
      <c r="D355" s="3" t="s">
        <v>16</v>
      </c>
      <c r="E355" s="3" t="s">
        <v>14</v>
      </c>
      <c r="F355" s="3">
        <v>16.428</v>
      </c>
      <c r="G355" s="3">
        <v>1.0</v>
      </c>
      <c r="H355" s="3">
        <v>1.23373948E8</v>
      </c>
      <c r="I355" s="3">
        <v>1.23373948E8</v>
      </c>
      <c r="J355" s="3">
        <v>0.0</v>
      </c>
      <c r="K355" s="3">
        <v>15766.0</v>
      </c>
      <c r="L355" s="3">
        <v>0.0</v>
      </c>
      <c r="M355" s="3">
        <v>0.0</v>
      </c>
    </row>
    <row r="356">
      <c r="A356" s="3">
        <v>4000.0</v>
      </c>
      <c r="B356" s="3">
        <v>50.0</v>
      </c>
      <c r="C356" s="3">
        <v>4.0</v>
      </c>
      <c r="D356" s="3" t="s">
        <v>13</v>
      </c>
      <c r="E356" s="3" t="s">
        <v>14</v>
      </c>
      <c r="F356" s="3">
        <v>58.194</v>
      </c>
      <c r="G356" s="3">
        <v>1.0</v>
      </c>
      <c r="H356" s="3">
        <v>1.23562937E8</v>
      </c>
      <c r="I356" s="3">
        <v>1.23562937E8</v>
      </c>
      <c r="J356" s="3">
        <v>0.0</v>
      </c>
      <c r="K356" s="3">
        <v>16754.0</v>
      </c>
      <c r="L356" s="3">
        <v>0.0</v>
      </c>
      <c r="M356" s="3">
        <v>2.0</v>
      </c>
    </row>
    <row r="357">
      <c r="A357" s="3">
        <v>4000.0</v>
      </c>
      <c r="B357" s="3">
        <v>50.0</v>
      </c>
      <c r="C357" s="3">
        <v>4.0</v>
      </c>
      <c r="D357" s="3" t="s">
        <v>15</v>
      </c>
      <c r="E357" s="3" t="s">
        <v>14</v>
      </c>
      <c r="F357" s="3">
        <v>144.885</v>
      </c>
      <c r="G357" s="3">
        <v>1.0</v>
      </c>
      <c r="H357" s="3">
        <v>1.23567215E8</v>
      </c>
      <c r="I357" s="3">
        <v>1.23567215E8</v>
      </c>
      <c r="J357" s="3">
        <v>0.0</v>
      </c>
      <c r="K357" s="3">
        <v>16758.0</v>
      </c>
      <c r="L357" s="3">
        <v>0.0</v>
      </c>
      <c r="M357" s="3">
        <v>8.0</v>
      </c>
    </row>
    <row r="358">
      <c r="A358" s="3">
        <v>4000.0</v>
      </c>
      <c r="B358" s="3">
        <v>50.0</v>
      </c>
      <c r="C358" s="3">
        <v>4.0</v>
      </c>
      <c r="D358" s="3" t="s">
        <v>16</v>
      </c>
      <c r="E358" s="3" t="s">
        <v>14</v>
      </c>
      <c r="F358" s="3">
        <v>16.728</v>
      </c>
      <c r="G358" s="3">
        <v>1.0</v>
      </c>
      <c r="H358" s="3">
        <v>1.23550963E8</v>
      </c>
      <c r="I358" s="3">
        <v>1.23550963E8</v>
      </c>
      <c r="J358" s="3">
        <v>0.0</v>
      </c>
      <c r="K358" s="3">
        <v>16334.0</v>
      </c>
      <c r="L358" s="3">
        <v>0.0</v>
      </c>
      <c r="M358" s="3">
        <v>0.0</v>
      </c>
    </row>
    <row r="359">
      <c r="A359" s="3">
        <v>4000.0</v>
      </c>
      <c r="B359" s="3">
        <v>50.0</v>
      </c>
      <c r="C359" s="3">
        <v>5.0</v>
      </c>
      <c r="D359" s="3" t="s">
        <v>13</v>
      </c>
      <c r="E359" s="3" t="s">
        <v>14</v>
      </c>
      <c r="F359" s="3">
        <v>58.273</v>
      </c>
      <c r="G359" s="3">
        <v>1.0</v>
      </c>
      <c r="H359" s="3">
        <v>1.23392418E8</v>
      </c>
      <c r="I359" s="3">
        <v>1.23392418E8</v>
      </c>
      <c r="J359" s="3">
        <v>0.0</v>
      </c>
      <c r="K359" s="3">
        <v>16664.0</v>
      </c>
      <c r="L359" s="3">
        <v>0.0</v>
      </c>
      <c r="M359" s="3">
        <v>2.0</v>
      </c>
    </row>
    <row r="360">
      <c r="A360" s="3">
        <v>4000.0</v>
      </c>
      <c r="B360" s="3">
        <v>50.0</v>
      </c>
      <c r="C360" s="3">
        <v>5.0</v>
      </c>
      <c r="D360" s="3" t="s">
        <v>15</v>
      </c>
      <c r="E360" s="3" t="s">
        <v>14</v>
      </c>
      <c r="F360" s="3">
        <v>143.646</v>
      </c>
      <c r="G360" s="3">
        <v>1.0</v>
      </c>
      <c r="H360" s="3">
        <v>1.23383774E8</v>
      </c>
      <c r="I360" s="3">
        <v>1.23383774E8</v>
      </c>
      <c r="J360" s="3">
        <v>0.0</v>
      </c>
      <c r="K360" s="3">
        <v>16865.0</v>
      </c>
      <c r="L360" s="3">
        <v>0.0</v>
      </c>
      <c r="M360" s="3">
        <v>8.0</v>
      </c>
    </row>
    <row r="361">
      <c r="A361" s="3">
        <v>4000.0</v>
      </c>
      <c r="B361" s="3">
        <v>50.0</v>
      </c>
      <c r="C361" s="3">
        <v>5.0</v>
      </c>
      <c r="D361" s="3" t="s">
        <v>16</v>
      </c>
      <c r="E361" s="3" t="s">
        <v>14</v>
      </c>
      <c r="F361" s="3">
        <v>23.808</v>
      </c>
      <c r="G361" s="3">
        <v>1.0</v>
      </c>
      <c r="H361" s="3">
        <v>1.23408441E8</v>
      </c>
      <c r="I361" s="3">
        <v>1.23408441E8</v>
      </c>
      <c r="J361" s="3">
        <v>0.0</v>
      </c>
      <c r="K361" s="3">
        <v>16551.0</v>
      </c>
      <c r="L361" s="3">
        <v>0.0</v>
      </c>
      <c r="M361" s="3">
        <v>1.0</v>
      </c>
    </row>
    <row r="362">
      <c r="A362" s="3">
        <v>4000.0</v>
      </c>
      <c r="B362" s="3">
        <v>100.0</v>
      </c>
      <c r="C362" s="3">
        <v>1.0</v>
      </c>
      <c r="D362" s="3" t="s">
        <v>13</v>
      </c>
      <c r="E362" s="3" t="s">
        <v>14</v>
      </c>
      <c r="F362" s="3">
        <v>198.98</v>
      </c>
      <c r="G362" s="3">
        <v>1.0</v>
      </c>
      <c r="H362" s="3">
        <v>4.06403539E8</v>
      </c>
      <c r="I362" s="3">
        <v>4.06403539E8</v>
      </c>
      <c r="J362" s="3">
        <v>0.0</v>
      </c>
      <c r="K362" s="3">
        <v>17870.0</v>
      </c>
      <c r="L362" s="3">
        <v>0.0</v>
      </c>
      <c r="M362" s="3">
        <v>10.0</v>
      </c>
    </row>
    <row r="363">
      <c r="A363" s="3">
        <v>4000.0</v>
      </c>
      <c r="B363" s="3">
        <v>100.0</v>
      </c>
      <c r="C363" s="3">
        <v>1.0</v>
      </c>
      <c r="D363" s="3" t="s">
        <v>15</v>
      </c>
      <c r="E363" s="3" t="s">
        <v>14</v>
      </c>
      <c r="F363" s="3">
        <v>344.146</v>
      </c>
      <c r="G363" s="3">
        <v>1.0</v>
      </c>
      <c r="H363" s="3">
        <v>4.06458644E8</v>
      </c>
      <c r="I363" s="3">
        <v>4.06458644E8</v>
      </c>
      <c r="J363" s="3">
        <v>0.0</v>
      </c>
      <c r="K363" s="3">
        <v>19251.0</v>
      </c>
      <c r="L363" s="3">
        <v>0.0</v>
      </c>
      <c r="M363" s="3">
        <v>17.0</v>
      </c>
    </row>
    <row r="364">
      <c r="A364" s="3">
        <v>4000.0</v>
      </c>
      <c r="B364" s="3">
        <v>100.0</v>
      </c>
      <c r="C364" s="3">
        <v>1.0</v>
      </c>
      <c r="D364" s="3" t="s">
        <v>16</v>
      </c>
      <c r="E364" s="3" t="s">
        <v>14</v>
      </c>
      <c r="F364" s="3">
        <v>24.644</v>
      </c>
      <c r="G364" s="3">
        <v>1.0</v>
      </c>
      <c r="H364" s="3">
        <v>4.06474549E8</v>
      </c>
      <c r="I364" s="3">
        <v>4.06474549E8</v>
      </c>
      <c r="J364" s="3">
        <v>0.0</v>
      </c>
      <c r="K364" s="3">
        <v>19079.0</v>
      </c>
      <c r="L364" s="3">
        <v>0.0</v>
      </c>
      <c r="M364" s="3">
        <v>1.0</v>
      </c>
    </row>
    <row r="365">
      <c r="A365" s="3">
        <v>4000.0</v>
      </c>
      <c r="B365" s="3">
        <v>100.0</v>
      </c>
      <c r="C365" s="3">
        <v>2.0</v>
      </c>
      <c r="D365" s="3" t="s">
        <v>13</v>
      </c>
      <c r="E365" s="3" t="s">
        <v>14</v>
      </c>
      <c r="F365" s="3">
        <v>198.489</v>
      </c>
      <c r="G365" s="3">
        <v>1.0</v>
      </c>
      <c r="H365" s="3">
        <v>4.0637862E8</v>
      </c>
      <c r="I365" s="3">
        <v>4.0637862E8</v>
      </c>
      <c r="J365" s="3">
        <v>0.0</v>
      </c>
      <c r="K365" s="3">
        <v>17645.0</v>
      </c>
      <c r="L365" s="3">
        <v>0.0</v>
      </c>
      <c r="M365" s="3">
        <v>10.0</v>
      </c>
    </row>
    <row r="366">
      <c r="A366" s="3">
        <v>4000.0</v>
      </c>
      <c r="B366" s="3">
        <v>100.0</v>
      </c>
      <c r="C366" s="3">
        <v>2.0</v>
      </c>
      <c r="D366" s="3" t="s">
        <v>15</v>
      </c>
      <c r="E366" s="3" t="s">
        <v>14</v>
      </c>
      <c r="F366" s="3">
        <v>356.028</v>
      </c>
      <c r="G366" s="3">
        <v>1.0</v>
      </c>
      <c r="H366" s="3">
        <v>4.06408742E8</v>
      </c>
      <c r="I366" s="3">
        <v>4.06408742E8</v>
      </c>
      <c r="J366" s="3">
        <v>0.0</v>
      </c>
      <c r="K366" s="3">
        <v>19910.0</v>
      </c>
      <c r="L366" s="3">
        <v>0.0</v>
      </c>
      <c r="M366" s="3">
        <v>17.0</v>
      </c>
    </row>
    <row r="367">
      <c r="A367" s="3">
        <v>4000.0</v>
      </c>
      <c r="B367" s="3">
        <v>100.0</v>
      </c>
      <c r="C367" s="3">
        <v>2.0</v>
      </c>
      <c r="D367" s="3" t="s">
        <v>16</v>
      </c>
      <c r="E367" s="3" t="s">
        <v>14</v>
      </c>
      <c r="F367" s="3">
        <v>18.288</v>
      </c>
      <c r="G367" s="3">
        <v>1.0</v>
      </c>
      <c r="H367" s="3">
        <v>4.06380873E8</v>
      </c>
      <c r="I367" s="3">
        <v>4.06380873E8</v>
      </c>
      <c r="J367" s="3">
        <v>0.0</v>
      </c>
      <c r="K367" s="3">
        <v>17959.0</v>
      </c>
      <c r="L367" s="3">
        <v>0.0</v>
      </c>
      <c r="M367" s="3">
        <v>0.0</v>
      </c>
    </row>
    <row r="368">
      <c r="A368" s="3">
        <v>4000.0</v>
      </c>
      <c r="B368" s="3">
        <v>100.0</v>
      </c>
      <c r="C368" s="3">
        <v>3.0</v>
      </c>
      <c r="D368" s="3" t="s">
        <v>13</v>
      </c>
      <c r="E368" s="3" t="s">
        <v>14</v>
      </c>
      <c r="F368" s="3">
        <v>207.758</v>
      </c>
      <c r="G368" s="3">
        <v>1.0</v>
      </c>
      <c r="H368" s="3">
        <v>4.06541838E8</v>
      </c>
      <c r="I368" s="3">
        <v>4.06541838E8</v>
      </c>
      <c r="J368" s="3">
        <v>0.0</v>
      </c>
      <c r="K368" s="3">
        <v>19465.0</v>
      </c>
      <c r="L368" s="3">
        <v>0.0</v>
      </c>
      <c r="M368" s="3">
        <v>10.0</v>
      </c>
    </row>
    <row r="369">
      <c r="A369" s="3">
        <v>4000.0</v>
      </c>
      <c r="B369" s="3">
        <v>100.0</v>
      </c>
      <c r="C369" s="3">
        <v>3.0</v>
      </c>
      <c r="D369" s="3" t="s">
        <v>15</v>
      </c>
      <c r="E369" s="3" t="s">
        <v>14</v>
      </c>
      <c r="F369" s="3">
        <v>341.794</v>
      </c>
      <c r="G369" s="3">
        <v>1.0</v>
      </c>
      <c r="H369" s="3">
        <v>4.06543899E8</v>
      </c>
      <c r="I369" s="3">
        <v>4.06543899E8</v>
      </c>
      <c r="J369" s="3">
        <v>0.0</v>
      </c>
      <c r="K369" s="3">
        <v>18720.0</v>
      </c>
      <c r="L369" s="3">
        <v>0.0</v>
      </c>
      <c r="M369" s="3">
        <v>17.0</v>
      </c>
    </row>
    <row r="370">
      <c r="A370" s="3">
        <v>4000.0</v>
      </c>
      <c r="B370" s="3">
        <v>100.0</v>
      </c>
      <c r="C370" s="3">
        <v>3.0</v>
      </c>
      <c r="D370" s="3" t="s">
        <v>16</v>
      </c>
      <c r="E370" s="3" t="s">
        <v>14</v>
      </c>
      <c r="F370" s="3">
        <v>36.618</v>
      </c>
      <c r="G370" s="3">
        <v>1.0</v>
      </c>
      <c r="H370" s="3">
        <v>4.0653723E8</v>
      </c>
      <c r="I370" s="3">
        <v>4.0653723E8</v>
      </c>
      <c r="J370" s="3">
        <v>0.0</v>
      </c>
      <c r="K370" s="3">
        <v>20792.0</v>
      </c>
      <c r="L370" s="3">
        <v>0.0</v>
      </c>
      <c r="M370" s="3">
        <v>1.0</v>
      </c>
    </row>
    <row r="371">
      <c r="A371" s="3">
        <v>4000.0</v>
      </c>
      <c r="B371" s="3">
        <v>100.0</v>
      </c>
      <c r="C371" s="3">
        <v>4.0</v>
      </c>
      <c r="D371" s="3" t="s">
        <v>13</v>
      </c>
      <c r="E371" s="3" t="s">
        <v>14</v>
      </c>
      <c r="F371" s="3">
        <v>201.014</v>
      </c>
      <c r="G371" s="3">
        <v>1.0</v>
      </c>
      <c r="H371" s="3">
        <v>4.06449336E8</v>
      </c>
      <c r="I371" s="3">
        <v>4.06449336E8</v>
      </c>
      <c r="J371" s="3">
        <v>0.0</v>
      </c>
      <c r="K371" s="3">
        <v>18377.0</v>
      </c>
      <c r="L371" s="3">
        <v>0.0</v>
      </c>
      <c r="M371" s="3">
        <v>10.0</v>
      </c>
    </row>
    <row r="372">
      <c r="A372" s="3">
        <v>4000.0</v>
      </c>
      <c r="B372" s="3">
        <v>100.0</v>
      </c>
      <c r="C372" s="3">
        <v>4.0</v>
      </c>
      <c r="D372" s="3" t="s">
        <v>15</v>
      </c>
      <c r="E372" s="3" t="s">
        <v>14</v>
      </c>
      <c r="F372" s="3">
        <v>363.757</v>
      </c>
      <c r="G372" s="3">
        <v>1.0</v>
      </c>
      <c r="H372" s="3">
        <v>4.06518117E8</v>
      </c>
      <c r="I372" s="3">
        <v>4.06518117E8</v>
      </c>
      <c r="J372" s="3">
        <v>0.0</v>
      </c>
      <c r="K372" s="3">
        <v>20110.0</v>
      </c>
      <c r="L372" s="3">
        <v>0.0</v>
      </c>
      <c r="M372" s="3">
        <v>17.0</v>
      </c>
    </row>
    <row r="373">
      <c r="A373" s="3">
        <v>4000.0</v>
      </c>
      <c r="B373" s="3">
        <v>100.0</v>
      </c>
      <c r="C373" s="3">
        <v>4.0</v>
      </c>
      <c r="D373" s="3" t="s">
        <v>16</v>
      </c>
      <c r="E373" s="3" t="s">
        <v>14</v>
      </c>
      <c r="F373" s="3">
        <v>25.624</v>
      </c>
      <c r="G373" s="3">
        <v>1.0</v>
      </c>
      <c r="H373" s="3">
        <v>4.06487784E8</v>
      </c>
      <c r="I373" s="3">
        <v>4.06487784E8</v>
      </c>
      <c r="J373" s="3">
        <v>0.0</v>
      </c>
      <c r="K373" s="3">
        <v>19522.0</v>
      </c>
      <c r="L373" s="3">
        <v>0.0</v>
      </c>
      <c r="M373" s="3">
        <v>1.0</v>
      </c>
    </row>
    <row r="374">
      <c r="A374" s="3">
        <v>4000.0</v>
      </c>
      <c r="B374" s="3">
        <v>100.0</v>
      </c>
      <c r="C374" s="3">
        <v>5.0</v>
      </c>
      <c r="D374" s="3" t="s">
        <v>13</v>
      </c>
      <c r="E374" s="3" t="s">
        <v>14</v>
      </c>
      <c r="F374" s="3">
        <v>207.27</v>
      </c>
      <c r="G374" s="3">
        <v>1.0</v>
      </c>
      <c r="H374" s="3">
        <v>4.06356663E8</v>
      </c>
      <c r="I374" s="3">
        <v>4.06356663E8</v>
      </c>
      <c r="J374" s="3">
        <v>0.0</v>
      </c>
      <c r="K374" s="3">
        <v>18018.0</v>
      </c>
      <c r="L374" s="3">
        <v>0.0</v>
      </c>
      <c r="M374" s="3">
        <v>11.0</v>
      </c>
    </row>
    <row r="375">
      <c r="A375" s="3">
        <v>4000.0</v>
      </c>
      <c r="B375" s="3">
        <v>100.0</v>
      </c>
      <c r="C375" s="3">
        <v>5.0</v>
      </c>
      <c r="D375" s="3" t="s">
        <v>15</v>
      </c>
      <c r="E375" s="3" t="s">
        <v>14</v>
      </c>
      <c r="F375" s="3">
        <v>354.261</v>
      </c>
      <c r="G375" s="3">
        <v>1.0</v>
      </c>
      <c r="H375" s="3">
        <v>4.06397598E8</v>
      </c>
      <c r="I375" s="3">
        <v>4.06397598E8</v>
      </c>
      <c r="J375" s="3">
        <v>0.0</v>
      </c>
      <c r="K375" s="3">
        <v>19124.0</v>
      </c>
      <c r="L375" s="3">
        <v>0.0</v>
      </c>
      <c r="M375" s="3">
        <v>18.0</v>
      </c>
    </row>
    <row r="376">
      <c r="A376" s="3">
        <v>4000.0</v>
      </c>
      <c r="B376" s="3">
        <v>100.0</v>
      </c>
      <c r="C376" s="3">
        <v>5.0</v>
      </c>
      <c r="D376" s="3" t="s">
        <v>16</v>
      </c>
      <c r="E376" s="3" t="s">
        <v>14</v>
      </c>
      <c r="F376" s="3">
        <v>28.285</v>
      </c>
      <c r="G376" s="3">
        <v>1.0</v>
      </c>
      <c r="H376" s="3">
        <v>4.06393368E8</v>
      </c>
      <c r="I376" s="3">
        <v>4.06393368E8</v>
      </c>
      <c r="J376" s="3">
        <v>0.0</v>
      </c>
      <c r="K376" s="3">
        <v>18461.0</v>
      </c>
      <c r="L376" s="3">
        <v>0.0</v>
      </c>
      <c r="M376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5.57"/>
    <col customWidth="1" min="4" max="4" width="10.57"/>
    <col customWidth="1" hidden="1" min="5" max="5" width="5.0"/>
    <col customWidth="1" hidden="1" min="6" max="6" width="4.0"/>
    <col customWidth="1" hidden="1" min="7" max="7" width="14.29"/>
    <col customWidth="1" min="8" max="8" width="10.14"/>
    <col customWidth="1" min="9" max="9" width="9.71"/>
    <col customWidth="1" min="10" max="10" width="7.86"/>
    <col customWidth="1" hidden="1" min="11" max="11" width="7.0"/>
    <col customWidth="1" hidden="1" min="12" max="12" width="9.0"/>
    <col customWidth="1" hidden="1" min="13" max="14" width="11.57"/>
    <col customWidth="1" hidden="1" min="15" max="15" width="23.57"/>
    <col hidden="1" min="18" max="19"/>
  </cols>
  <sheetData>
    <row r="1">
      <c r="A1" s="1" t="str">
        <f>IFERROR(__xludf.DUMMYFUNCTION("UNIQUE(Data!A:C)"),"N")</f>
        <v>N</v>
      </c>
      <c r="B1" s="1" t="s">
        <v>1</v>
      </c>
      <c r="C1" s="1" t="s">
        <v>2</v>
      </c>
      <c r="D1" s="1" t="s">
        <v>17</v>
      </c>
      <c r="E1" s="1"/>
      <c r="F1" s="1"/>
      <c r="G1" s="1"/>
      <c r="H1" s="1" t="s">
        <v>18</v>
      </c>
      <c r="I1" s="1" t="s">
        <v>19</v>
      </c>
      <c r="J1" s="1" t="s">
        <v>20</v>
      </c>
      <c r="K1" s="1" t="s">
        <v>21</v>
      </c>
      <c r="L1" s="1"/>
      <c r="M1" s="1" t="s">
        <v>22</v>
      </c>
      <c r="N1" s="1" t="s">
        <v>23</v>
      </c>
      <c r="O1" s="1" t="s">
        <v>24</v>
      </c>
      <c r="P1" s="1" t="s">
        <v>25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500.0</v>
      </c>
      <c r="B2" s="4">
        <v>1.0</v>
      </c>
      <c r="C2" s="4">
        <v>1.0</v>
      </c>
      <c r="D2" s="4" t="str">
        <f>IFERROR(__xludf.DUMMYFUNCTION("DMAX({{Data!$A$1:$J$1};filter(Data!$A$2:$J1000,Data!$A$2:$A1000=$A2 , Data!$B$2:$B1000 = $B2, Data!$C$2:$C1000 = $C2)},$P$2, $P$22:$P$23)"),"58555")</f>
        <v>58555</v>
      </c>
      <c r="E2" s="4" t="str">
        <f>IFERROR(__xludf.DUMMYFUNCTION("filter(Data!$A$2:$J1000,Data!$A$2:$A1000=$A2 , Data!$B$2:$B1000 = $B2, Data!$C$2:$C1000 = $C2, Data!$H$2:$H1000 =$D2)"),"500")</f>
        <v>500</v>
      </c>
      <c r="F2" s="4">
        <v>1.0</v>
      </c>
      <c r="G2" s="4">
        <v>1.0</v>
      </c>
      <c r="H2" s="4" t="s">
        <v>13</v>
      </c>
      <c r="I2" s="4" t="s">
        <v>14</v>
      </c>
      <c r="J2" s="4">
        <v>0.001</v>
      </c>
      <c r="K2" s="4">
        <v>1.0</v>
      </c>
      <c r="L2" s="4">
        <v>58555.0</v>
      </c>
      <c r="M2" s="4">
        <v>58555.0</v>
      </c>
      <c r="N2" s="5">
        <v>0.0</v>
      </c>
      <c r="O2" s="6" t="str">
        <f t="shared" ref="O2:O26" si="1">(D2-M2)/N2</f>
        <v>#DIV/0!</v>
      </c>
      <c r="P2" s="3" t="s">
        <v>7</v>
      </c>
      <c r="R2" s="3">
        <v>1.0</v>
      </c>
      <c r="S2" s="3">
        <v>2.0</v>
      </c>
    </row>
    <row r="3">
      <c r="A3" s="4">
        <v>500.0</v>
      </c>
      <c r="B3" s="4">
        <v>1.0</v>
      </c>
      <c r="C3" s="4">
        <v>2.0</v>
      </c>
      <c r="D3" s="4" t="str">
        <f>IFERROR(__xludf.DUMMYFUNCTION("DMAX({{Data!$A$1:$J$1};filter(Data!$A$2:$J1000,Data!$A$2:$A1000=$A3 , Data!$B$2:$B1000 = $B3, Data!$C$2:$C1000 = $C3)},$P$2, $P$22:$P$23)"),"52765")</f>
        <v>52765</v>
      </c>
      <c r="E3" s="4" t="str">
        <f>IFERROR(__xludf.DUMMYFUNCTION("filter(Data!$A$2:$J1000,Data!$A$2:$A1000=$A3 , Data!$B$2:$B1000 = $B3, Data!$C$2:$C1000 = $C3, Data!$H$2:$H1000 =$D3)"),"500")</f>
        <v>500</v>
      </c>
      <c r="F3" s="4">
        <v>1.0</v>
      </c>
      <c r="G3" s="4">
        <v>2.0</v>
      </c>
      <c r="H3" s="4" t="s">
        <v>15</v>
      </c>
      <c r="I3" s="4" t="s">
        <v>14</v>
      </c>
      <c r="J3" s="4">
        <v>0.001</v>
      </c>
      <c r="K3" s="4">
        <v>1.0</v>
      </c>
      <c r="L3" s="4">
        <v>52765.0</v>
      </c>
      <c r="M3" s="4">
        <v>52765.0</v>
      </c>
      <c r="N3" s="5">
        <v>0.0</v>
      </c>
      <c r="O3" s="6" t="str">
        <f t="shared" si="1"/>
        <v>#DIV/0!</v>
      </c>
      <c r="R3" s="3">
        <v>2.0</v>
      </c>
      <c r="S3" s="3">
        <v>3.0</v>
      </c>
    </row>
    <row r="4">
      <c r="A4" s="4">
        <v>500.0</v>
      </c>
      <c r="B4" s="4">
        <v>1.0</v>
      </c>
      <c r="C4" s="4">
        <v>3.0</v>
      </c>
      <c r="D4" s="4" t="str">
        <f>IFERROR(__xludf.DUMMYFUNCTION("DMAX({{Data!$A$1:$J$1};filter(Data!$A$2:$J1000,Data!$A$2:$A1000=$A4 , Data!$B$2:$B1000 = $B4, Data!$C$2:$C1000 = $C4)},$P$2, $P$22:$P$23)"),"54590")</f>
        <v>54590</v>
      </c>
      <c r="E4" s="4" t="str">
        <f>IFERROR(__xludf.DUMMYFUNCTION("filter(Data!$A$2:$J1000,Data!$A$2:$A1000=$A4 , Data!$B$2:$B1000 = $B4, Data!$C$2:$C1000 = $C4, Data!$H$2:$H1000 =$D4)"),"500")</f>
        <v>500</v>
      </c>
      <c r="F4" s="4">
        <v>1.0</v>
      </c>
      <c r="G4" s="4">
        <v>3.0</v>
      </c>
      <c r="H4" s="4" t="s">
        <v>13</v>
      </c>
      <c r="I4" s="4" t="s">
        <v>14</v>
      </c>
      <c r="J4" s="4">
        <v>0.0</v>
      </c>
      <c r="K4" s="4">
        <v>1.0</v>
      </c>
      <c r="L4" s="4">
        <v>54590.0</v>
      </c>
      <c r="M4" s="4">
        <v>54590.0</v>
      </c>
      <c r="N4" s="5">
        <v>0.0</v>
      </c>
      <c r="O4" s="6" t="str">
        <f t="shared" si="1"/>
        <v>#DIV/0!</v>
      </c>
      <c r="R4" s="3">
        <v>3.0</v>
      </c>
      <c r="S4" s="3">
        <v>4.0</v>
      </c>
    </row>
    <row r="5">
      <c r="A5" s="4">
        <v>500.0</v>
      </c>
      <c r="B5" s="4">
        <v>1.0</v>
      </c>
      <c r="C5" s="4">
        <v>4.0</v>
      </c>
      <c r="D5" s="4" t="str">
        <f>IFERROR(__xludf.DUMMYFUNCTION("DMAX({{Data!$A$1:$J$1};filter(Data!$A$2:$J1000,Data!$A$2:$A1000=$A5 , Data!$B$2:$B1000 = $B5, Data!$C$2:$C1000 = $C5)},$P$2, $P$22:$P$23)"),"58639")</f>
        <v>58639</v>
      </c>
      <c r="E5" s="4" t="str">
        <f>IFERROR(__xludf.DUMMYFUNCTION("filter(Data!$A$2:$J1000,Data!$A$2:$A1000=$A5 , Data!$B$2:$B1000 = $B5, Data!$C$2:$C1000 = $C5, Data!$H$2:$H1000 =$D5)"),"500")</f>
        <v>500</v>
      </c>
      <c r="F5" s="4">
        <v>1.0</v>
      </c>
      <c r="G5" s="4">
        <v>4.0</v>
      </c>
      <c r="H5" s="4" t="s">
        <v>13</v>
      </c>
      <c r="I5" s="4" t="s">
        <v>14</v>
      </c>
      <c r="J5" s="4">
        <v>0.0</v>
      </c>
      <c r="K5" s="4">
        <v>1.0</v>
      </c>
      <c r="L5" s="4">
        <v>58639.0</v>
      </c>
      <c r="M5" s="4">
        <v>58639.0</v>
      </c>
      <c r="N5" s="5">
        <v>0.0</v>
      </c>
      <c r="O5" s="6" t="str">
        <f t="shared" si="1"/>
        <v>#DIV/0!</v>
      </c>
      <c r="R5" s="3">
        <v>4.0</v>
      </c>
      <c r="S5" s="3">
        <v>5.0</v>
      </c>
    </row>
    <row r="6">
      <c r="A6" s="4">
        <v>500.0</v>
      </c>
      <c r="B6" s="4">
        <v>1.0</v>
      </c>
      <c r="C6" s="4">
        <v>5.0</v>
      </c>
      <c r="D6" s="4" t="str">
        <f>IFERROR(__xludf.DUMMYFUNCTION("DMAX({{Data!$A$1:$J$1};filter(Data!$A$2:$J1000,Data!$A$2:$A1000=$A6 , Data!$B$2:$B1000 = $B6, Data!$C$2:$C1000 = $C6)},$P$2, $P$22:$P$23)"),"58336")</f>
        <v>58336</v>
      </c>
      <c r="E6" s="4" t="str">
        <f>IFERROR(__xludf.DUMMYFUNCTION("filter(Data!$A$2:$J1000,Data!$A$2:$A1000=$A6 , Data!$B$2:$B1000 = $B6, Data!$C$2:$C1000 = $C6, Data!$H$2:$H1000 =$D6)"),"500")</f>
        <v>500</v>
      </c>
      <c r="F6" s="4">
        <v>1.0</v>
      </c>
      <c r="G6" s="4">
        <v>5.0</v>
      </c>
      <c r="H6" s="4" t="s">
        <v>15</v>
      </c>
      <c r="I6" s="4" t="s">
        <v>14</v>
      </c>
      <c r="J6" s="4">
        <v>0.001</v>
      </c>
      <c r="K6" s="4">
        <v>1.0</v>
      </c>
      <c r="L6" s="4">
        <v>58336.0</v>
      </c>
      <c r="M6" s="4">
        <v>58336.0</v>
      </c>
      <c r="N6" s="5">
        <v>0.0</v>
      </c>
      <c r="O6" s="6" t="str">
        <f t="shared" si="1"/>
        <v>#DIV/0!</v>
      </c>
      <c r="R6" s="3">
        <v>5.0</v>
      </c>
    </row>
    <row r="7">
      <c r="A7" s="3">
        <v>500.0</v>
      </c>
      <c r="B7" s="3">
        <v>5.0</v>
      </c>
      <c r="C7" s="3">
        <v>1.0</v>
      </c>
      <c r="D7" s="7" t="str">
        <f>IFERROR(__xludf.DUMMYFUNCTION("DMAX({{Data!$A$1:$J$1};filter(Data!$A$2:$J1000,Data!$A$2:$A1000=$A7 , Data!$B$2:$B1000 = $B7, Data!$C$2:$C1000 = $C7)},$P$2, $P$22:$P$23)"),"234807")</f>
        <v>234807</v>
      </c>
      <c r="E7" s="7" t="str">
        <f>IFERROR(__xludf.DUMMYFUNCTION("filter(Data!$A$2:$J1000,Data!$A$2:$A1000=$A7 , Data!$B$2:$B1000 = $B7, Data!$C$2:$C1000 = $C7, Data!$H$2:$H1000 =$D7)"),"500")</f>
        <v>500</v>
      </c>
      <c r="F7" s="3">
        <v>5.0</v>
      </c>
      <c r="G7" s="3">
        <v>1.0</v>
      </c>
      <c r="H7" s="7" t="s">
        <v>16</v>
      </c>
      <c r="I7" s="3" t="s">
        <v>14</v>
      </c>
      <c r="J7" s="3">
        <v>0.012</v>
      </c>
      <c r="K7" s="3">
        <v>1.0</v>
      </c>
      <c r="L7" s="3">
        <v>234807.0</v>
      </c>
      <c r="M7" s="3">
        <v>234807.0</v>
      </c>
      <c r="N7">
        <v>0.0</v>
      </c>
      <c r="O7" t="str">
        <f t="shared" si="1"/>
        <v>#DIV/0!</v>
      </c>
      <c r="R7" s="3">
        <v>6.0</v>
      </c>
    </row>
    <row r="8">
      <c r="A8" s="3">
        <v>500.0</v>
      </c>
      <c r="B8" s="3">
        <v>5.0</v>
      </c>
      <c r="C8" s="3">
        <v>2.0</v>
      </c>
      <c r="D8" s="7" t="str">
        <f>IFERROR(__xludf.DUMMYFUNCTION("DMAX({{Data!$A$1:$J$1};filter(Data!$A$2:$J1000,Data!$A$2:$A1000=$A8 , Data!$B$2:$B1000 = $B8, Data!$C$2:$C1000 = $C8)},$P$2, $P$22:$P$23)"),"234137")</f>
        <v>234137</v>
      </c>
      <c r="E8" s="7" t="str">
        <f>IFERROR(__xludf.DUMMYFUNCTION("filter(Data!$A$2:$J1000,Data!$A$2:$A1000=$A8 , Data!$B$2:$B1000 = $B8, Data!$C$2:$C1000 = $C8, Data!$H$2:$H1000 =$D8)"),"500")</f>
        <v>500</v>
      </c>
      <c r="F8" s="3">
        <v>5.0</v>
      </c>
      <c r="G8" s="3">
        <v>2.0</v>
      </c>
      <c r="H8" s="7" t="s">
        <v>15</v>
      </c>
      <c r="I8" s="3" t="s">
        <v>14</v>
      </c>
      <c r="J8" s="3">
        <v>0.017</v>
      </c>
      <c r="K8" s="3">
        <v>1.0</v>
      </c>
      <c r="L8" s="3">
        <v>234137.0</v>
      </c>
      <c r="M8" s="3">
        <v>234137.0</v>
      </c>
      <c r="N8">
        <v>0.0</v>
      </c>
      <c r="O8" t="str">
        <f t="shared" si="1"/>
        <v>#DIV/0!</v>
      </c>
      <c r="R8" s="3">
        <v>7.0</v>
      </c>
    </row>
    <row r="9">
      <c r="A9" s="3">
        <v>500.0</v>
      </c>
      <c r="B9" s="3">
        <v>5.0</v>
      </c>
      <c r="C9" s="3">
        <v>3.0</v>
      </c>
      <c r="D9" s="7" t="str">
        <f>IFERROR(__xludf.DUMMYFUNCTION("DMAX({{Data!$A$1:$J$1};filter(Data!$A$2:$J1000,Data!$A$2:$A1000=$A9 , Data!$B$2:$B1000 = $B9, Data!$C$2:$C1000 = $C9)},$P$2, $P$22:$P$23)"),"237076")</f>
        <v>237076</v>
      </c>
      <c r="E9" s="7" t="str">
        <f>IFERROR(__xludf.DUMMYFUNCTION("filter(Data!$A$2:$J1000,Data!$A$2:$A1000=$A9 , Data!$B$2:$B1000 = $B9, Data!$C$2:$C1000 = $C9, Data!$H$2:$H1000 =$D9)"),"500")</f>
        <v>500</v>
      </c>
      <c r="F9" s="3">
        <v>5.0</v>
      </c>
      <c r="G9" s="3">
        <v>3.0</v>
      </c>
      <c r="H9" s="7" t="s">
        <v>13</v>
      </c>
      <c r="I9" s="3" t="s">
        <v>14</v>
      </c>
      <c r="J9" s="3">
        <v>0.003</v>
      </c>
      <c r="K9" s="3">
        <v>1.0</v>
      </c>
      <c r="L9" s="3">
        <v>237076.0</v>
      </c>
      <c r="M9" s="3">
        <v>237076.0</v>
      </c>
      <c r="N9">
        <v>0.0</v>
      </c>
      <c r="O9" t="str">
        <f t="shared" si="1"/>
        <v>#DIV/0!</v>
      </c>
      <c r="R9" s="3">
        <v>8.0</v>
      </c>
    </row>
    <row r="10">
      <c r="A10" s="3">
        <v>500.0</v>
      </c>
      <c r="B10" s="3">
        <v>5.0</v>
      </c>
      <c r="C10" s="3">
        <v>4.0</v>
      </c>
      <c r="D10" s="7" t="str">
        <f>IFERROR(__xludf.DUMMYFUNCTION("DMAX({{Data!$A$1:$J$1};filter(Data!$A$2:$J1000,Data!$A$2:$A1000=$A10 , Data!$B$2:$B1000 = $B10, Data!$C$2:$C1000 = $C10)},$P$2, $P$22:$P$23)"),"237577")</f>
        <v>237577</v>
      </c>
      <c r="E10" s="7" t="str">
        <f>IFERROR(__xludf.DUMMYFUNCTION("filter(Data!$A$2:$J1000,Data!$A$2:$A1000=$A10 , Data!$B$2:$B1000 = $B10, Data!$C$2:$C1000 = $C10, Data!$H$2:$H1000 =$D10)"),"500")</f>
        <v>500</v>
      </c>
      <c r="F10" s="3">
        <v>5.0</v>
      </c>
      <c r="G10" s="3">
        <v>4.0</v>
      </c>
      <c r="H10" s="7" t="s">
        <v>16</v>
      </c>
      <c r="I10" s="3" t="s">
        <v>14</v>
      </c>
      <c r="J10" s="3">
        <v>0.013</v>
      </c>
      <c r="K10" s="3">
        <v>1.0</v>
      </c>
      <c r="L10" s="3">
        <v>237577.0</v>
      </c>
      <c r="M10" s="3">
        <v>237577.0</v>
      </c>
      <c r="N10">
        <v>0.0</v>
      </c>
      <c r="O10" t="str">
        <f t="shared" si="1"/>
        <v>#DIV/0!</v>
      </c>
      <c r="R10" s="3">
        <v>9.0</v>
      </c>
    </row>
    <row r="11">
      <c r="A11" s="3">
        <v>500.0</v>
      </c>
      <c r="B11" s="3">
        <v>5.0</v>
      </c>
      <c r="C11" s="3">
        <v>5.0</v>
      </c>
      <c r="D11" s="7" t="str">
        <f>IFERROR(__xludf.DUMMYFUNCTION("DMAX({{Data!$A$1:$J$1};filter(Data!$A$2:$J1000,Data!$A$2:$A1000=$A11 , Data!$B$2:$B1000 = $B11, Data!$C$2:$C1000 = $C11)},$P$2, $P$22:$P$23)"),"235691")</f>
        <v>235691</v>
      </c>
      <c r="E11" s="7" t="str">
        <f>IFERROR(__xludf.DUMMYFUNCTION("filter(Data!$A$2:$J1000,Data!$A$2:$A1000=$A11 , Data!$B$2:$B1000 = $B11, Data!$C$2:$C1000 = $C11, Data!$H$2:$H1000 =$D11)"),"500")</f>
        <v>500</v>
      </c>
      <c r="F11" s="3">
        <v>5.0</v>
      </c>
      <c r="G11" s="3">
        <v>5.0</v>
      </c>
      <c r="H11" s="7" t="s">
        <v>13</v>
      </c>
      <c r="I11" s="3" t="s">
        <v>14</v>
      </c>
      <c r="J11" s="3">
        <v>0.003</v>
      </c>
      <c r="K11" s="3">
        <v>1.0</v>
      </c>
      <c r="L11" s="3">
        <v>235691.0</v>
      </c>
      <c r="M11" s="3">
        <v>235691.0</v>
      </c>
      <c r="N11">
        <v>0.0</v>
      </c>
      <c r="O11" t="str">
        <f t="shared" si="1"/>
        <v>#DIV/0!</v>
      </c>
      <c r="R11" s="3">
        <v>10.0</v>
      </c>
    </row>
    <row r="12">
      <c r="A12" s="4">
        <v>500.0</v>
      </c>
      <c r="B12" s="4">
        <v>10.0</v>
      </c>
      <c r="C12" s="4">
        <v>1.0</v>
      </c>
      <c r="D12" s="4" t="str">
        <f>IFERROR(__xludf.DUMMYFUNCTION("DMAX({{Data!$A$1:$J$1};filter(Data!$A$2:$J1000,Data!$A$2:$A1000=$A12 , Data!$B$2:$B1000 = $B12, Data!$C$2:$C1000 = $C12)},$P$2, $P$22:$P$23)"),"432853")</f>
        <v>432853</v>
      </c>
      <c r="E12" s="4" t="str">
        <f>IFERROR(__xludf.DUMMYFUNCTION("filter(Data!$A$2:$J1000,Data!$A$2:$A1000=$A12 , Data!$B$2:$B1000 = $B12, Data!$C$2:$C1000 = $C12, Data!$H$2:$H1000 =$D12)"),"500")</f>
        <v>500</v>
      </c>
      <c r="F12" s="4">
        <v>10.0</v>
      </c>
      <c r="G12" s="4">
        <v>1.0</v>
      </c>
      <c r="H12" s="4" t="s">
        <v>16</v>
      </c>
      <c r="I12" s="4" t="s">
        <v>14</v>
      </c>
      <c r="J12" s="4">
        <v>0.015</v>
      </c>
      <c r="K12" s="4">
        <v>1.0</v>
      </c>
      <c r="L12" s="4">
        <v>432853.0</v>
      </c>
      <c r="M12" s="4">
        <v>432853.0</v>
      </c>
      <c r="N12" s="5">
        <v>0.0</v>
      </c>
      <c r="O12" s="6" t="str">
        <f t="shared" si="1"/>
        <v>#DIV/0!</v>
      </c>
      <c r="R12" s="3">
        <v>11.0</v>
      </c>
    </row>
    <row r="13">
      <c r="A13" s="4">
        <v>500.0</v>
      </c>
      <c r="B13" s="4">
        <v>10.0</v>
      </c>
      <c r="C13" s="4">
        <v>2.0</v>
      </c>
      <c r="D13" s="4" t="str">
        <f>IFERROR(__xludf.DUMMYFUNCTION("DMAX({{Data!$A$1:$J$1};filter(Data!$A$2:$J1000,Data!$A$2:$A1000=$A13 , Data!$B$2:$B1000 = $B13, Data!$C$2:$C1000 = $C13)},$P$2, $P$22:$P$23)"),"433377")</f>
        <v>433377</v>
      </c>
      <c r="E13" s="4" t="str">
        <f>IFERROR(__xludf.DUMMYFUNCTION("filter(Data!$A$2:$J1000,Data!$A$2:$A1000=$A13 , Data!$B$2:$B1000 = $B13, Data!$C$2:$C1000 = $C13, Data!$H$2:$H1000 =$D13)"),"500")</f>
        <v>500</v>
      </c>
      <c r="F13" s="4">
        <v>10.0</v>
      </c>
      <c r="G13" s="4">
        <v>2.0</v>
      </c>
      <c r="H13" s="4" t="s">
        <v>16</v>
      </c>
      <c r="I13" s="4" t="s">
        <v>14</v>
      </c>
      <c r="J13" s="4">
        <v>0.019</v>
      </c>
      <c r="K13" s="4">
        <v>1.0</v>
      </c>
      <c r="L13" s="4">
        <v>433377.0</v>
      </c>
      <c r="M13" s="4">
        <v>433377.0</v>
      </c>
      <c r="N13" s="5">
        <v>0.0</v>
      </c>
      <c r="O13" s="6" t="str">
        <f t="shared" si="1"/>
        <v>#DIV/0!</v>
      </c>
      <c r="R13" s="3">
        <v>12.0</v>
      </c>
    </row>
    <row r="14">
      <c r="A14" s="4">
        <v>500.0</v>
      </c>
      <c r="B14" s="4">
        <v>10.0</v>
      </c>
      <c r="C14" s="4">
        <v>3.0</v>
      </c>
      <c r="D14" s="4" t="str">
        <f>IFERROR(__xludf.DUMMYFUNCTION("DMAX({{Data!$A$1:$J$1};filter(Data!$A$2:$J1000,Data!$A$2:$A1000=$A14 , Data!$B$2:$B1000 = $B14, Data!$C$2:$C1000 = $C14)},$P$2, $P$22:$P$23)"),"434551")</f>
        <v>434551</v>
      </c>
      <c r="E14" s="4" t="str">
        <f>IFERROR(__xludf.DUMMYFUNCTION("filter(Data!$A$2:$J1000,Data!$A$2:$A1000=$A14 , Data!$B$2:$B1000 = $B14, Data!$C$2:$C1000 = $C14, Data!$H$2:$H1000 =$D14)"),"500")</f>
        <v>500</v>
      </c>
      <c r="F14" s="4">
        <v>10.0</v>
      </c>
      <c r="G14" s="4">
        <v>3.0</v>
      </c>
      <c r="H14" s="4" t="s">
        <v>16</v>
      </c>
      <c r="I14" s="4" t="s">
        <v>14</v>
      </c>
      <c r="J14" s="4">
        <v>0.014</v>
      </c>
      <c r="K14" s="4">
        <v>1.0</v>
      </c>
      <c r="L14" s="4">
        <v>434551.0</v>
      </c>
      <c r="M14" s="4">
        <v>434551.0</v>
      </c>
      <c r="N14" s="5">
        <v>0.0</v>
      </c>
      <c r="O14" s="6" t="str">
        <f t="shared" si="1"/>
        <v>#DIV/0!</v>
      </c>
      <c r="R14" s="3">
        <v>13.0</v>
      </c>
    </row>
    <row r="15">
      <c r="A15" s="4">
        <v>500.0</v>
      </c>
      <c r="B15" s="4">
        <v>10.0</v>
      </c>
      <c r="C15" s="4">
        <v>4.0</v>
      </c>
      <c r="D15" s="4" t="str">
        <f>IFERROR(__xludf.DUMMYFUNCTION("DMAX({{Data!$A$1:$J$1};filter(Data!$A$2:$J1000,Data!$A$2:$A1000=$A15 , Data!$B$2:$B1000 = $B15, Data!$C$2:$C1000 = $C15)},$P$2, $P$22:$P$23)"),"435571")</f>
        <v>435571</v>
      </c>
      <c r="E15" s="4" t="str">
        <f>IFERROR(__xludf.DUMMYFUNCTION("filter(Data!$A$2:$J1000,Data!$A$2:$A1000=$A15 , Data!$B$2:$B1000 = $B15, Data!$C$2:$C1000 = $C15, Data!$H$2:$H1000 =$D15)"),"500")</f>
        <v>500</v>
      </c>
      <c r="F15" s="4">
        <v>10.0</v>
      </c>
      <c r="G15" s="4">
        <v>4.0</v>
      </c>
      <c r="H15" s="4" t="s">
        <v>15</v>
      </c>
      <c r="I15" s="4" t="s">
        <v>14</v>
      </c>
      <c r="J15" s="4">
        <v>0.052</v>
      </c>
      <c r="K15" s="4">
        <v>1.0</v>
      </c>
      <c r="L15" s="4">
        <v>435571.0</v>
      </c>
      <c r="M15" s="4">
        <v>435571.0</v>
      </c>
      <c r="N15" s="5">
        <v>0.0</v>
      </c>
      <c r="O15" s="6" t="str">
        <f t="shared" si="1"/>
        <v>#DIV/0!</v>
      </c>
      <c r="R15" s="3">
        <v>14.0</v>
      </c>
    </row>
    <row r="16">
      <c r="A16" s="4">
        <v>500.0</v>
      </c>
      <c r="B16" s="4">
        <v>10.0</v>
      </c>
      <c r="C16" s="4">
        <v>5.0</v>
      </c>
      <c r="D16" s="4" t="str">
        <f>IFERROR(__xludf.DUMMYFUNCTION("DMAX({{Data!$A$1:$J$1};filter(Data!$A$2:$J1000,Data!$A$2:$A1000=$A16 , Data!$B$2:$B1000 = $B16, Data!$C$2:$C1000 = $C16)},$P$2, $P$22:$P$23)"),"434535")</f>
        <v>434535</v>
      </c>
      <c r="E16" s="4" t="str">
        <f>IFERROR(__xludf.DUMMYFUNCTION("filter(Data!$A$2:$J1000,Data!$A$2:$A1000=$A16 , Data!$B$2:$B1000 = $B16, Data!$C$2:$C1000 = $C16, Data!$H$2:$H1000 =$D16)"),"500")</f>
        <v>500</v>
      </c>
      <c r="F16" s="4">
        <v>10.0</v>
      </c>
      <c r="G16" s="4">
        <v>5.0</v>
      </c>
      <c r="H16" s="4" t="s">
        <v>13</v>
      </c>
      <c r="I16" s="4" t="s">
        <v>14</v>
      </c>
      <c r="J16" s="4">
        <v>0.009</v>
      </c>
      <c r="K16" s="4">
        <v>1.0</v>
      </c>
      <c r="L16" s="4">
        <v>434535.0</v>
      </c>
      <c r="M16" s="4">
        <v>434535.0</v>
      </c>
      <c r="N16" s="5">
        <v>0.0</v>
      </c>
      <c r="O16" s="6" t="str">
        <f t="shared" si="1"/>
        <v>#DIV/0!</v>
      </c>
      <c r="R16" s="3">
        <v>15.0</v>
      </c>
    </row>
    <row r="17">
      <c r="A17" s="3">
        <v>500.0</v>
      </c>
      <c r="B17" s="3">
        <v>50.0</v>
      </c>
      <c r="C17" s="3">
        <v>1.0</v>
      </c>
      <c r="D17" s="7" t="str">
        <f>IFERROR(__xludf.DUMMYFUNCTION("DMAX({{Data!$A$1:$J$1};filter(Data!$A$2:$J1000,Data!$A$2:$A1000=$A17 , Data!$B$2:$B1000 = $B17, Data!$C$2:$C1000 = $C17)},$P$2, $P$22:$P$23)"),"2094553")</f>
        <v>2094553</v>
      </c>
      <c r="E17" s="7" t="str">
        <f>IFERROR(__xludf.DUMMYFUNCTION("filter(Data!$A$2:$J1000,Data!$A$2:$A1000=$A17 , Data!$B$2:$B1000 = $B17, Data!$C$2:$C1000 = $C17, Data!$H$2:$H1000 =$D17)"),"500")</f>
        <v>500</v>
      </c>
      <c r="F17" s="3">
        <v>50.0</v>
      </c>
      <c r="G17" s="3">
        <v>1.0</v>
      </c>
      <c r="H17" s="7" t="s">
        <v>15</v>
      </c>
      <c r="I17" s="3" t="s">
        <v>14</v>
      </c>
      <c r="J17" s="3">
        <v>0.619</v>
      </c>
      <c r="K17" s="3">
        <v>1.0</v>
      </c>
      <c r="L17" s="3">
        <v>2094553.0</v>
      </c>
      <c r="M17" s="3">
        <v>2094553.0</v>
      </c>
      <c r="N17">
        <v>0.0</v>
      </c>
      <c r="O17" t="str">
        <f t="shared" si="1"/>
        <v>#DIV/0!</v>
      </c>
      <c r="R17" s="3">
        <v>16.0</v>
      </c>
    </row>
    <row r="18">
      <c r="A18" s="3">
        <v>500.0</v>
      </c>
      <c r="B18" s="3">
        <v>50.0</v>
      </c>
      <c r="C18" s="3">
        <v>2.0</v>
      </c>
      <c r="D18" s="7" t="str">
        <f>IFERROR(__xludf.DUMMYFUNCTION("DMAX({{Data!$A$1:$J$1};filter(Data!$A$2:$J1000,Data!$A$2:$A1000=$A18 , Data!$B$2:$B1000 = $B18, Data!$C$2:$C1000 = $C18)},$P$2, $P$22:$P$23)"),"2093552")</f>
        <v>2093552</v>
      </c>
      <c r="E18" s="7" t="str">
        <f>IFERROR(__xludf.DUMMYFUNCTION("filter(Data!$A$2:$J1000,Data!$A$2:$A1000=$A18 , Data!$B$2:$B1000 = $B18, Data!$C$2:$C1000 = $C18, Data!$H$2:$H1000 =$D18)"),"500")</f>
        <v>500</v>
      </c>
      <c r="F18" s="3">
        <v>50.0</v>
      </c>
      <c r="G18" s="3">
        <v>2.0</v>
      </c>
      <c r="H18" s="7" t="s">
        <v>15</v>
      </c>
      <c r="I18" s="3" t="s">
        <v>14</v>
      </c>
      <c r="J18" s="3">
        <v>0.594</v>
      </c>
      <c r="K18" s="3">
        <v>1.0</v>
      </c>
      <c r="L18" s="3">
        <v>2093552.0</v>
      </c>
      <c r="M18" s="3">
        <v>2093552.0</v>
      </c>
      <c r="N18">
        <v>0.0</v>
      </c>
      <c r="O18" t="str">
        <f t="shared" si="1"/>
        <v>#DIV/0!</v>
      </c>
      <c r="R18" s="3">
        <v>17.0</v>
      </c>
    </row>
    <row r="19">
      <c r="A19" s="3">
        <v>500.0</v>
      </c>
      <c r="B19" s="3">
        <v>50.0</v>
      </c>
      <c r="C19" s="3">
        <v>3.0</v>
      </c>
      <c r="D19" s="7" t="str">
        <f>IFERROR(__xludf.DUMMYFUNCTION("DMAX({{Data!$A$1:$J$1};filter(Data!$A$2:$J1000,Data!$A$2:$A1000=$A19 , Data!$B$2:$B1000 = $B19, Data!$C$2:$C1000 = $C19)},$P$2, $P$22:$P$23)"),"2088898")</f>
        <v>2088898</v>
      </c>
      <c r="E19" s="7" t="str">
        <f>IFERROR(__xludf.DUMMYFUNCTION("filter(Data!$A$2:$J1000,Data!$A$2:$A1000=$A19 , Data!$B$2:$B1000 = $B19, Data!$C$2:$C1000 = $C19, Data!$H$2:$H1000 =$D19)"),"500")</f>
        <v>500</v>
      </c>
      <c r="F19" s="3">
        <v>50.0</v>
      </c>
      <c r="G19" s="3">
        <v>3.0</v>
      </c>
      <c r="H19" s="7" t="s">
        <v>15</v>
      </c>
      <c r="I19" s="3" t="s">
        <v>14</v>
      </c>
      <c r="J19" s="3">
        <v>0.692</v>
      </c>
      <c r="K19" s="3">
        <v>1.0</v>
      </c>
      <c r="L19" s="3">
        <v>2088898.0</v>
      </c>
      <c r="M19" s="3">
        <v>2088898.0</v>
      </c>
      <c r="N19">
        <v>0.0</v>
      </c>
      <c r="O19" t="str">
        <f t="shared" si="1"/>
        <v>#DIV/0!</v>
      </c>
      <c r="R19" s="3">
        <v>18.0</v>
      </c>
    </row>
    <row r="20">
      <c r="A20" s="3">
        <v>500.0</v>
      </c>
      <c r="B20" s="3">
        <v>50.0</v>
      </c>
      <c r="C20" s="3">
        <v>4.0</v>
      </c>
      <c r="D20" s="7" t="str">
        <f>IFERROR(__xludf.DUMMYFUNCTION("DMAX({{Data!$A$1:$J$1};filter(Data!$A$2:$J1000,Data!$A$2:$A1000=$A20 , Data!$B$2:$B1000 = $B20, Data!$C$2:$C1000 = $C20)},$P$2, $P$22:$P$23)"),"2088303")</f>
        <v>2088303</v>
      </c>
      <c r="E20" s="7" t="str">
        <f>IFERROR(__xludf.DUMMYFUNCTION("filter(Data!$A$2:$J1000,Data!$A$2:$A1000=$A20 , Data!$B$2:$B1000 = $B20, Data!$C$2:$C1000 = $C20, Data!$H$2:$H1000 =$D20)"),"500")</f>
        <v>500</v>
      </c>
      <c r="F20" s="3">
        <v>50.0</v>
      </c>
      <c r="G20" s="3">
        <v>4.0</v>
      </c>
      <c r="H20" s="7" t="s">
        <v>13</v>
      </c>
      <c r="I20" s="3" t="s">
        <v>14</v>
      </c>
      <c r="J20" s="3">
        <v>0.117</v>
      </c>
      <c r="K20" s="3">
        <v>1.0</v>
      </c>
      <c r="L20" s="3">
        <v>2088303.0</v>
      </c>
      <c r="M20" s="3">
        <v>2088303.0</v>
      </c>
      <c r="N20">
        <v>0.0</v>
      </c>
      <c r="O20" t="str">
        <f t="shared" si="1"/>
        <v>#DIV/0!</v>
      </c>
      <c r="R20" s="3">
        <v>19.0</v>
      </c>
    </row>
    <row r="21">
      <c r="A21" s="3">
        <v>500.0</v>
      </c>
      <c r="B21" s="3">
        <v>50.0</v>
      </c>
      <c r="C21" s="3">
        <v>5.0</v>
      </c>
      <c r="D21" s="7" t="str">
        <f>IFERROR(__xludf.DUMMYFUNCTION("DMAX({{Data!$A$1:$J$1};filter(Data!$A$2:$J1000,Data!$A$2:$A1000=$A21 , Data!$B$2:$B1000 = $B21, Data!$C$2:$C1000 = $C21)},$P$2, $P$22:$P$23)"),"2094034")</f>
        <v>2094034</v>
      </c>
      <c r="E21" s="7" t="str">
        <f>IFERROR(__xludf.DUMMYFUNCTION("filter(Data!$A$2:$J1000,Data!$A$2:$A1000=$A21 , Data!$B$2:$B1000 = $B21, Data!$C$2:$C1000 = $C21, Data!$H$2:$H1000 =$D21)"),"500")</f>
        <v>500</v>
      </c>
      <c r="F21" s="3">
        <v>50.0</v>
      </c>
      <c r="G21" s="3">
        <v>5.0</v>
      </c>
      <c r="H21" s="7" t="s">
        <v>16</v>
      </c>
      <c r="I21" s="3" t="s">
        <v>14</v>
      </c>
      <c r="J21" s="3">
        <v>0.026</v>
      </c>
      <c r="K21" s="3">
        <v>1.0</v>
      </c>
      <c r="L21" s="3">
        <v>2094034.0</v>
      </c>
      <c r="M21" s="3">
        <v>2094034.0</v>
      </c>
      <c r="N21">
        <v>0.0</v>
      </c>
      <c r="O21" t="str">
        <f t="shared" si="1"/>
        <v>#DIV/0!</v>
      </c>
      <c r="R21" s="3">
        <v>20.0</v>
      </c>
    </row>
    <row r="22">
      <c r="A22" s="4">
        <v>500.0</v>
      </c>
      <c r="B22" s="4">
        <v>100.0</v>
      </c>
      <c r="C22" s="4">
        <v>1.0</v>
      </c>
      <c r="D22" s="4" t="str">
        <f>IFERROR(__xludf.DUMMYFUNCTION("DMAX({{Data!$A$1:$J$1};filter(Data!$A$2:$J1000,Data!$A$2:$A1000=$A22 , Data!$B$2:$B1000 = $B22, Data!$C$2:$C1000 = $C22)},$P$2, $P$22:$P$23)"),"6516189")</f>
        <v>6516189</v>
      </c>
      <c r="E22" s="4" t="str">
        <f>IFERROR(__xludf.DUMMYFUNCTION("filter(Data!$A$2:$J1000,Data!$A$2:$A1000=$A22 , Data!$B$2:$B1000 = $B22, Data!$C$2:$C1000 = $C22, Data!$H$2:$H1000 =$D22)"),"500")</f>
        <v>500</v>
      </c>
      <c r="F22" s="4">
        <v>100.0</v>
      </c>
      <c r="G22" s="4">
        <v>1.0</v>
      </c>
      <c r="H22" s="4" t="s">
        <v>15</v>
      </c>
      <c r="I22" s="4" t="s">
        <v>14</v>
      </c>
      <c r="J22" s="4">
        <v>1.903</v>
      </c>
      <c r="K22" s="4">
        <v>1.0</v>
      </c>
      <c r="L22" s="4">
        <v>6516189.0</v>
      </c>
      <c r="M22" s="4">
        <v>6516189.0</v>
      </c>
      <c r="N22" s="5">
        <v>0.0</v>
      </c>
      <c r="O22" s="6" t="str">
        <f t="shared" si="1"/>
        <v>#DIV/0!</v>
      </c>
      <c r="R22" s="3">
        <v>21.0</v>
      </c>
    </row>
    <row r="23">
      <c r="A23" s="4">
        <v>500.0</v>
      </c>
      <c r="B23" s="4">
        <v>100.0</v>
      </c>
      <c r="C23" s="4">
        <v>2.0</v>
      </c>
      <c r="D23" s="4" t="str">
        <f>IFERROR(__xludf.DUMMYFUNCTION("DMAX({{Data!$A$1:$J$1};filter(Data!$A$2:$J1000,Data!$A$2:$A1000=$A23 , Data!$B$2:$B1000 = $B23, Data!$C$2:$C1000 = $C23)},$P$2, $P$22:$P$23)"),"6510686")</f>
        <v>6510686</v>
      </c>
      <c r="E23" s="4" t="str">
        <f>IFERROR(__xludf.DUMMYFUNCTION("filter(Data!$A$2:$J1000,Data!$A$2:$A1000=$A23 , Data!$B$2:$B1000 = $B23, Data!$C$2:$C1000 = $C23, Data!$H$2:$H1000 =$D23)"),"500")</f>
        <v>500</v>
      </c>
      <c r="F23" s="4">
        <v>100.0</v>
      </c>
      <c r="G23" s="4">
        <v>2.0</v>
      </c>
      <c r="H23" s="4" t="s">
        <v>15</v>
      </c>
      <c r="I23" s="4" t="s">
        <v>14</v>
      </c>
      <c r="J23" s="4">
        <v>2.159</v>
      </c>
      <c r="K23" s="4">
        <v>1.0</v>
      </c>
      <c r="L23" s="4">
        <v>6510686.0</v>
      </c>
      <c r="M23" s="4">
        <v>6510686.0</v>
      </c>
      <c r="N23" s="5">
        <v>0.0</v>
      </c>
      <c r="O23" s="6" t="str">
        <f t="shared" si="1"/>
        <v>#DIV/0!</v>
      </c>
      <c r="R23" s="3">
        <v>22.0</v>
      </c>
    </row>
    <row r="24">
      <c r="A24" s="4">
        <v>500.0</v>
      </c>
      <c r="B24" s="4">
        <v>100.0</v>
      </c>
      <c r="C24" s="4">
        <v>3.0</v>
      </c>
      <c r="D24" s="4" t="str">
        <f>IFERROR(__xludf.DUMMYFUNCTION("DMAX({{Data!$A$1:$J$1};filter(Data!$A$2:$J1000,Data!$A$2:$A1000=$A24 , Data!$B$2:$B1000 = $B24, Data!$C$2:$C1000 = $C24)},$P$2, $P$22:$P$23)"),"6527583")</f>
        <v>6527583</v>
      </c>
      <c r="E24" s="4" t="str">
        <f>IFERROR(__xludf.DUMMYFUNCTION("filter(Data!$A$2:$J1000,Data!$A$2:$A1000=$A24 , Data!$B$2:$B1000 = $B24, Data!$C$2:$C1000 = $C24, Data!$H$2:$H1000 =$D24)"),"500")</f>
        <v>500</v>
      </c>
      <c r="F24" s="4">
        <v>100.0</v>
      </c>
      <c r="G24" s="4">
        <v>3.0</v>
      </c>
      <c r="H24" s="4" t="s">
        <v>15</v>
      </c>
      <c r="I24" s="4" t="s">
        <v>14</v>
      </c>
      <c r="J24" s="4">
        <v>2.344</v>
      </c>
      <c r="K24" s="4">
        <v>1.0</v>
      </c>
      <c r="L24" s="4">
        <v>6527583.0</v>
      </c>
      <c r="M24" s="4">
        <v>6527583.0</v>
      </c>
      <c r="N24" s="5">
        <v>0.0</v>
      </c>
      <c r="O24" s="6" t="str">
        <f t="shared" si="1"/>
        <v>#DIV/0!</v>
      </c>
      <c r="R24" s="3">
        <v>23.0</v>
      </c>
    </row>
    <row r="25">
      <c r="A25" s="4">
        <v>500.0</v>
      </c>
      <c r="B25" s="4">
        <v>100.0</v>
      </c>
      <c r="C25" s="4">
        <v>4.0</v>
      </c>
      <c r="D25" s="4" t="str">
        <f>IFERROR(__xludf.DUMMYFUNCTION("DMAX({{Data!$A$1:$J$1};filter(Data!$A$2:$J1000,Data!$A$2:$A1000=$A25 , Data!$B$2:$B1000 = $B25, Data!$C$2:$C1000 = $C25)},$P$2, $P$22:$P$23)"),"6520025")</f>
        <v>6520025</v>
      </c>
      <c r="E25" s="4" t="str">
        <f>IFERROR(__xludf.DUMMYFUNCTION("filter(Data!$A$2:$J1000,Data!$A$2:$A1000=$A25 , Data!$B$2:$B1000 = $B25, Data!$C$2:$C1000 = $C25, Data!$H$2:$H1000 =$D25)"),"500")</f>
        <v>500</v>
      </c>
      <c r="F25" s="4">
        <v>100.0</v>
      </c>
      <c r="G25" s="4">
        <v>4.0</v>
      </c>
      <c r="H25" s="4" t="s">
        <v>13</v>
      </c>
      <c r="I25" s="4" t="s">
        <v>14</v>
      </c>
      <c r="J25" s="4">
        <v>0.462</v>
      </c>
      <c r="K25" s="4">
        <v>1.0</v>
      </c>
      <c r="L25" s="4">
        <v>6520025.0</v>
      </c>
      <c r="M25" s="4">
        <v>6520025.0</v>
      </c>
      <c r="N25" s="5">
        <v>0.0</v>
      </c>
      <c r="O25" s="6" t="str">
        <f t="shared" si="1"/>
        <v>#DIV/0!</v>
      </c>
      <c r="R25" s="3">
        <v>24.0</v>
      </c>
    </row>
    <row r="26">
      <c r="A26" s="4">
        <v>500.0</v>
      </c>
      <c r="B26" s="4">
        <v>100.0</v>
      </c>
      <c r="C26" s="4">
        <v>5.0</v>
      </c>
      <c r="D26" s="4" t="str">
        <f>IFERROR(__xludf.DUMMYFUNCTION("DMAX({{Data!$A$1:$J$1};filter(Data!$A$2:$J1000,Data!$A$2:$A1000=$A26 , Data!$B$2:$B1000 = $B26, Data!$C$2:$C1000 = $C26)},$P$2, $P$22:$P$23)"),"6511722")</f>
        <v>6511722</v>
      </c>
      <c r="E26" s="4" t="str">
        <f>IFERROR(__xludf.DUMMYFUNCTION("filter(Data!$A$2:$J1000,Data!$A$2:$A1000=$A26 , Data!$B$2:$B1000 = $B26, Data!$C$2:$C1000 = $C26, Data!$H$2:$H1000 =$D26)"),"500")</f>
        <v>500</v>
      </c>
      <c r="F26" s="4">
        <v>100.0</v>
      </c>
      <c r="G26" s="4">
        <v>5.0</v>
      </c>
      <c r="H26" s="4" t="s">
        <v>13</v>
      </c>
      <c r="I26" s="4" t="s">
        <v>14</v>
      </c>
      <c r="J26" s="4">
        <v>0.398</v>
      </c>
      <c r="K26" s="4">
        <v>1.0</v>
      </c>
      <c r="L26" s="4">
        <v>6511722.0</v>
      </c>
      <c r="M26" s="4">
        <v>6511722.0</v>
      </c>
      <c r="N26" s="5">
        <v>0.0</v>
      </c>
      <c r="O26" s="6" t="str">
        <f t="shared" si="1"/>
        <v>#DIV/0!</v>
      </c>
      <c r="R26" s="3">
        <v>25.0</v>
      </c>
    </row>
    <row r="27">
      <c r="A27" s="3">
        <v>1000.0</v>
      </c>
      <c r="B27" s="3">
        <v>1.0</v>
      </c>
      <c r="C27" s="3">
        <v>1.0</v>
      </c>
      <c r="D27" s="7" t="str">
        <f>IFERROR(__xludf.DUMMYFUNCTION("DMAX({{Data!$A$1:$J$1};filter(Data!$A$2:$J1000,Data!$A$2:$A1000=$A27 , Data!$B$2:$B1000 = $B27, Data!$C$2:$C1000 = $C27)},$P$2, $P$22:$P$23)"),"208446")</f>
        <v>208446</v>
      </c>
      <c r="E27" s="7" t="str">
        <f>IFERROR(__xludf.DUMMYFUNCTION("filter(Data!$A$2:$J1000,Data!$A$2:$A1000=$A27 , Data!$B$2:$B1000 = $B27, Data!$C$2:$C1000 = $C27, Data!$H$2:$H1000 =$D27)"),"1000")</f>
        <v>1000</v>
      </c>
      <c r="F27" s="3">
        <v>1.0</v>
      </c>
      <c r="G27" s="3">
        <v>1.0</v>
      </c>
      <c r="H27" s="7" t="s">
        <v>15</v>
      </c>
      <c r="I27" s="3" t="s">
        <v>14</v>
      </c>
      <c r="J27" s="3">
        <v>0.008</v>
      </c>
      <c r="K27" s="3">
        <v>1.0</v>
      </c>
      <c r="L27" s="3">
        <v>208446.0</v>
      </c>
      <c r="M27" s="3">
        <v>208446.0</v>
      </c>
      <c r="N27">
        <v>0.0</v>
      </c>
      <c r="R27" s="3">
        <v>26.0</v>
      </c>
    </row>
    <row r="28">
      <c r="A28" s="3">
        <v>1000.0</v>
      </c>
      <c r="B28" s="3">
        <v>1.0</v>
      </c>
      <c r="C28" s="3">
        <v>2.0</v>
      </c>
      <c r="D28" s="7" t="str">
        <f>IFERROR(__xludf.DUMMYFUNCTION("DMAX({{Data!$A$1:$J$1};filter(Data!$A$2:$J1000,Data!$A$2:$A1000=$A28 , Data!$B$2:$B1000 = $B28, Data!$C$2:$C1000 = $C28)},$P$2, $P$22:$P$23)"),"204527")</f>
        <v>204527</v>
      </c>
      <c r="E28" s="7" t="str">
        <f>IFERROR(__xludf.DUMMYFUNCTION("filter(Data!$A$2:$J1000,Data!$A$2:$A1000=$A28 , Data!$B$2:$B1000 = $B28, Data!$C$2:$C1000 = $C28, Data!$H$2:$H1000 =$D28)"),"1000")</f>
        <v>1000</v>
      </c>
      <c r="F28" s="3">
        <v>1.0</v>
      </c>
      <c r="G28" s="3">
        <v>2.0</v>
      </c>
      <c r="H28" s="7" t="s">
        <v>15</v>
      </c>
      <c r="I28" s="3" t="s">
        <v>14</v>
      </c>
      <c r="J28" s="3">
        <v>0.008</v>
      </c>
      <c r="K28" s="3">
        <v>1.0</v>
      </c>
      <c r="L28" s="3">
        <v>204527.0</v>
      </c>
      <c r="M28" s="3">
        <v>204527.0</v>
      </c>
      <c r="N28">
        <v>0.0</v>
      </c>
      <c r="R28" s="3">
        <v>27.0</v>
      </c>
    </row>
    <row r="29">
      <c r="A29" s="3">
        <v>1000.0</v>
      </c>
      <c r="B29" s="3">
        <v>1.0</v>
      </c>
      <c r="C29" s="3">
        <v>3.0</v>
      </c>
      <c r="D29" s="7" t="str">
        <f>IFERROR(__xludf.DUMMYFUNCTION("DMAX({{Data!$A$1:$J$1};filter(Data!$A$2:$J1000,Data!$A$2:$A1000=$A29 , Data!$B$2:$B1000 = $B29, Data!$C$2:$C1000 = $C29)},$P$2, $P$22:$P$23)"),"203900")</f>
        <v>203900</v>
      </c>
      <c r="E29" s="7" t="str">
        <f>IFERROR(__xludf.DUMMYFUNCTION("filter(Data!$A$2:$J1000,Data!$A$2:$A1000=$A29 , Data!$B$2:$B1000 = $B29, Data!$C$2:$C1000 = $C29, Data!$H$2:$H1000 =$D29)"),"1000")</f>
        <v>1000</v>
      </c>
      <c r="F29" s="3">
        <v>1.0</v>
      </c>
      <c r="G29" s="3">
        <v>3.0</v>
      </c>
      <c r="H29" s="7" t="s">
        <v>13</v>
      </c>
      <c r="I29" s="3" t="s">
        <v>14</v>
      </c>
      <c r="J29" s="3">
        <v>0.003</v>
      </c>
      <c r="K29" s="3">
        <v>1.0</v>
      </c>
      <c r="L29" s="3">
        <v>203900.0</v>
      </c>
      <c r="M29" s="3">
        <v>203900.0</v>
      </c>
      <c r="N29">
        <v>0.0</v>
      </c>
      <c r="R29" s="3">
        <v>28.0</v>
      </c>
    </row>
    <row r="30">
      <c r="A30" s="3">
        <v>1000.0</v>
      </c>
      <c r="B30" s="3">
        <v>1.0</v>
      </c>
      <c r="C30" s="3">
        <v>4.0</v>
      </c>
      <c r="D30" s="7" t="str">
        <f>IFERROR(__xludf.DUMMYFUNCTION("DMAX({{Data!$A$1:$J$1};filter(Data!$A$2:$J1000,Data!$A$2:$A1000=$A30 , Data!$B$2:$B1000 = $B30, Data!$C$2:$C1000 = $C30)},$P$2, $P$22:$P$23)"),"212339")</f>
        <v>212339</v>
      </c>
      <c r="E30" s="7" t="str">
        <f>IFERROR(__xludf.DUMMYFUNCTION("filter(Data!$A$2:$J1000,Data!$A$2:$A1000=$A30 , Data!$B$2:$B1000 = $B30, Data!$C$2:$C1000 = $C30, Data!$H$2:$H1000 =$D30)"),"1000")</f>
        <v>1000</v>
      </c>
      <c r="F30" s="3">
        <v>1.0</v>
      </c>
      <c r="G30" s="3">
        <v>4.0</v>
      </c>
      <c r="H30" s="3" t="s">
        <v>16</v>
      </c>
      <c r="I30" s="3" t="s">
        <v>14</v>
      </c>
      <c r="J30" s="3">
        <v>0.101</v>
      </c>
      <c r="K30" s="3">
        <v>1.0</v>
      </c>
      <c r="L30" s="3">
        <v>212339.0</v>
      </c>
      <c r="M30" s="3">
        <v>212339.0</v>
      </c>
      <c r="N30">
        <v>0.0</v>
      </c>
      <c r="R30" s="3">
        <v>29.0</v>
      </c>
    </row>
    <row r="31">
      <c r="A31" s="3">
        <v>1000.0</v>
      </c>
      <c r="B31" s="3">
        <v>1.0</v>
      </c>
      <c r="C31" s="3">
        <v>5.0</v>
      </c>
      <c r="D31" s="7" t="str">
        <f>IFERROR(__xludf.DUMMYFUNCTION("DMAX({{Data!$A$1:$J$1};filter(Data!$A$2:$J1000,Data!$A$2:$A1000=$A31 , Data!$B$2:$B1000 = $B31, Data!$C$2:$C1000 = $C31)},$P$2, $P$22:$P$23)"),"210956")</f>
        <v>210956</v>
      </c>
      <c r="E31" s="7" t="str">
        <f>IFERROR(__xludf.DUMMYFUNCTION("filter(Data!$A$2:$J1000,Data!$A$2:$A1000=$A31 , Data!$B$2:$B1000 = $B31, Data!$C$2:$C1000 = $C31, Data!$H$2:$H1000 =$D31)"),"1000")</f>
        <v>1000</v>
      </c>
      <c r="F31" s="3">
        <v>1.0</v>
      </c>
      <c r="G31" s="3">
        <v>5.0</v>
      </c>
      <c r="H31" s="3" t="s">
        <v>13</v>
      </c>
      <c r="I31" s="3" t="s">
        <v>14</v>
      </c>
      <c r="J31" s="3">
        <v>0.003</v>
      </c>
      <c r="K31" s="3">
        <v>1.0</v>
      </c>
      <c r="L31" s="3">
        <v>210956.0</v>
      </c>
      <c r="M31" s="3">
        <v>210956.0</v>
      </c>
      <c r="N31">
        <v>0.0</v>
      </c>
      <c r="R31" s="3">
        <v>30.0</v>
      </c>
    </row>
    <row r="32">
      <c r="A32" s="4">
        <v>1000.0</v>
      </c>
      <c r="B32" s="4">
        <v>5.0</v>
      </c>
      <c r="C32" s="4">
        <v>1.0</v>
      </c>
      <c r="D32" s="4" t="str">
        <f>IFERROR(__xludf.DUMMYFUNCTION("DMAX({{Data!$A$1:$J$1};filter(Data!$A$2:$J1000,Data!$A$2:$A1000=$A32 , Data!$B$2:$B1000 = $B32, Data!$C$2:$C1000 = $C32)},$P$2, $P$22:$P$23)"),"854844")</f>
        <v>854844</v>
      </c>
      <c r="E32" s="4" t="str">
        <f>IFERROR(__xludf.DUMMYFUNCTION("filter(Data!$A$2:$J1000,Data!$A$2:$A1000=$A32 , Data!$B$2:$B1000 = $B32, Data!$C$2:$C1000 = $C32, Data!$H$2:$H1000 =$D32)"),"1000")</f>
        <v>1000</v>
      </c>
      <c r="F32" s="4">
        <v>5.0</v>
      </c>
      <c r="G32" s="4">
        <v>1.0</v>
      </c>
      <c r="H32" s="4" t="s">
        <v>13</v>
      </c>
      <c r="I32" s="4" t="s">
        <v>14</v>
      </c>
      <c r="J32" s="4">
        <v>0.018</v>
      </c>
      <c r="K32" s="4">
        <v>1.0</v>
      </c>
      <c r="L32" s="4">
        <v>854844.0</v>
      </c>
      <c r="M32" s="4">
        <v>854844.0</v>
      </c>
      <c r="N32" s="5">
        <v>0.0</v>
      </c>
      <c r="R32" s="3">
        <v>31.0</v>
      </c>
    </row>
    <row r="33">
      <c r="A33" s="4">
        <v>1000.0</v>
      </c>
      <c r="B33" s="4">
        <v>5.0</v>
      </c>
      <c r="C33" s="4">
        <v>2.0</v>
      </c>
      <c r="D33" s="4" t="str">
        <f>IFERROR(__xludf.DUMMYFUNCTION("DMAX({{Data!$A$1:$J$1};filter(Data!$A$2:$J1000,Data!$A$2:$A1000=$A33 , Data!$B$2:$B1000 = $B33, Data!$C$2:$C1000 = $C33)},$P$2, $P$22:$P$23)"),"860539")</f>
        <v>860539</v>
      </c>
      <c r="E33" s="4" t="str">
        <f>IFERROR(__xludf.DUMMYFUNCTION("filter(Data!$A$2:$J1000,Data!$A$2:$A1000=$A33 , Data!$B$2:$B1000 = $B33, Data!$C$2:$C1000 = $C33, Data!$H$2:$H1000 =$D33)"),"1000")</f>
        <v>1000</v>
      </c>
      <c r="F33" s="4">
        <v>5.0</v>
      </c>
      <c r="G33" s="4">
        <v>2.0</v>
      </c>
      <c r="H33" s="4" t="s">
        <v>16</v>
      </c>
      <c r="I33" s="4" t="s">
        <v>14</v>
      </c>
      <c r="J33" s="4">
        <v>0.203</v>
      </c>
      <c r="K33" s="4">
        <v>1.0</v>
      </c>
      <c r="L33" s="4">
        <v>860539.0</v>
      </c>
      <c r="M33" s="4">
        <v>860539.0</v>
      </c>
      <c r="N33" s="5">
        <v>0.0</v>
      </c>
      <c r="R33" s="3">
        <v>32.0</v>
      </c>
    </row>
    <row r="34">
      <c r="A34" s="4">
        <v>1000.0</v>
      </c>
      <c r="B34" s="4">
        <v>5.0</v>
      </c>
      <c r="C34" s="4">
        <v>3.0</v>
      </c>
      <c r="D34" s="4" t="str">
        <f>IFERROR(__xludf.DUMMYFUNCTION("DMAX({{Data!$A$1:$J$1};filter(Data!$A$2:$J1000,Data!$A$2:$A1000=$A34 , Data!$B$2:$B1000 = $B34, Data!$C$2:$C1000 = $C34)},$P$2, $P$22:$P$23)"),"866347")</f>
        <v>866347</v>
      </c>
      <c r="E34" s="4" t="str">
        <f>IFERROR(__xludf.DUMMYFUNCTION("filter(Data!$A$2:$J1000,Data!$A$2:$A1000=$A34 , Data!$B$2:$B1000 = $B34, Data!$C$2:$C1000 = $C34, Data!$H$2:$H1000 =$D34)"),"1000")</f>
        <v>1000</v>
      </c>
      <c r="F34" s="4">
        <v>5.0</v>
      </c>
      <c r="G34" s="4">
        <v>3.0</v>
      </c>
      <c r="H34" s="4" t="s">
        <v>15</v>
      </c>
      <c r="I34" s="4" t="s">
        <v>14</v>
      </c>
      <c r="J34" s="4">
        <v>0.11</v>
      </c>
      <c r="K34" s="4">
        <v>1.0</v>
      </c>
      <c r="L34" s="4">
        <v>866347.0</v>
      </c>
      <c r="M34" s="4">
        <v>866347.0</v>
      </c>
      <c r="N34" s="5">
        <v>0.0</v>
      </c>
      <c r="R34" s="3">
        <v>33.0</v>
      </c>
    </row>
    <row r="35">
      <c r="A35" s="4">
        <v>1000.0</v>
      </c>
      <c r="B35" s="4">
        <v>5.0</v>
      </c>
      <c r="C35" s="4">
        <v>4.0</v>
      </c>
      <c r="D35" s="4" t="str">
        <f>IFERROR(__xludf.DUMMYFUNCTION("DMAX({{Data!$A$1:$J$1};filter(Data!$A$2:$J1000,Data!$A$2:$A1000=$A35 , Data!$B$2:$B1000 = $B35, Data!$C$2:$C1000 = $C35)},$P$2, $P$22:$P$23)"),"865311")</f>
        <v>865311</v>
      </c>
      <c r="E35" s="4" t="str">
        <f>IFERROR(__xludf.DUMMYFUNCTION("filter(Data!$A$2:$J1000,Data!$A$2:$A1000=$A35 , Data!$B$2:$B1000 = $B35, Data!$C$2:$C1000 = $C35, Data!$H$2:$H1000 =$D35)"),"1000")</f>
        <v>1000</v>
      </c>
      <c r="F35" s="4">
        <v>5.0</v>
      </c>
      <c r="G35" s="4">
        <v>4.0</v>
      </c>
      <c r="H35" s="4" t="s">
        <v>13</v>
      </c>
      <c r="I35" s="4" t="s">
        <v>14</v>
      </c>
      <c r="J35" s="4">
        <v>0.026</v>
      </c>
      <c r="K35" s="4">
        <v>1.0</v>
      </c>
      <c r="L35" s="4">
        <v>865311.0</v>
      </c>
      <c r="M35" s="4">
        <v>865311.0</v>
      </c>
      <c r="N35" s="5">
        <v>0.0</v>
      </c>
      <c r="R35" s="3">
        <v>34.0</v>
      </c>
    </row>
    <row r="36">
      <c r="A36" s="4">
        <v>1000.0</v>
      </c>
      <c r="B36" s="4">
        <v>5.0</v>
      </c>
      <c r="C36" s="4">
        <v>5.0</v>
      </c>
      <c r="D36" s="4" t="str">
        <f>IFERROR(__xludf.DUMMYFUNCTION("DMAX({{Data!$A$1:$J$1};filter(Data!$A$2:$J1000,Data!$A$2:$A1000=$A36 , Data!$B$2:$B1000 = $B36, Data!$C$2:$C1000 = $C36)},$P$2, $P$22:$P$23)"),"861139")</f>
        <v>861139</v>
      </c>
      <c r="E36" s="4" t="str">
        <f>IFERROR(__xludf.DUMMYFUNCTION("filter(Data!$A$2:$J1000,Data!$A$2:$A1000=$A36 , Data!$B$2:$B1000 = $B36, Data!$C$2:$C1000 = $C36, Data!$H$2:$H1000 =$D36)"),"1000")</f>
        <v>1000</v>
      </c>
      <c r="F36" s="4">
        <v>5.0</v>
      </c>
      <c r="G36" s="4">
        <v>5.0</v>
      </c>
      <c r="H36" s="4" t="s">
        <v>15</v>
      </c>
      <c r="I36" s="4" t="s">
        <v>14</v>
      </c>
      <c r="J36" s="4">
        <v>0.103</v>
      </c>
      <c r="K36" s="4">
        <v>1.0</v>
      </c>
      <c r="L36" s="4">
        <v>861139.0</v>
      </c>
      <c r="M36" s="4">
        <v>861139.0</v>
      </c>
      <c r="N36" s="5">
        <v>0.0</v>
      </c>
      <c r="R36" s="3">
        <v>35.0</v>
      </c>
    </row>
    <row r="37">
      <c r="A37" s="3">
        <v>1000.0</v>
      </c>
      <c r="B37" s="3">
        <v>10.0</v>
      </c>
      <c r="C37" s="3">
        <v>1.0</v>
      </c>
      <c r="D37" s="7" t="str">
        <f>IFERROR(__xludf.DUMMYFUNCTION("DMAX({{Data!$A$1:$J$1};filter(Data!$A$2:$J1000,Data!$A$2:$A1000=$A37 , Data!$B$2:$B1000 = $B37, Data!$C$2:$C1000 = $C37)},$P$2, $P$22:$P$23)"),"1604942")</f>
        <v>1604942</v>
      </c>
      <c r="E37" s="7" t="str">
        <f>IFERROR(__xludf.DUMMYFUNCTION("filter(Data!$A$2:$J1000,Data!$A$2:$A1000=$A37 , Data!$B$2:$B1000 = $B37, Data!$C$2:$C1000 = $C37, Data!$H$2:$H1000 =$D37)"),"1000")</f>
        <v>1000</v>
      </c>
      <c r="F37" s="3">
        <v>10.0</v>
      </c>
      <c r="G37" s="3">
        <v>1.0</v>
      </c>
      <c r="H37" s="3" t="s">
        <v>15</v>
      </c>
      <c r="I37" s="3" t="s">
        <v>14</v>
      </c>
      <c r="J37" s="3">
        <v>0.335</v>
      </c>
      <c r="K37" s="3">
        <v>1.0</v>
      </c>
      <c r="L37" s="3">
        <v>1604942.0</v>
      </c>
      <c r="M37" s="3">
        <v>1604942.0</v>
      </c>
      <c r="N37">
        <v>0.0</v>
      </c>
      <c r="R37" s="3">
        <v>36.0</v>
      </c>
    </row>
    <row r="38">
      <c r="A38" s="3">
        <v>1000.0</v>
      </c>
      <c r="B38" s="3">
        <v>10.0</v>
      </c>
      <c r="C38" s="3">
        <v>2.0</v>
      </c>
      <c r="D38" s="7" t="str">
        <f>IFERROR(__xludf.DUMMYFUNCTION("DMAX({{Data!$A$1:$J$1};filter(Data!$A$2:$J1000,Data!$A$2:$A1000=$A38 , Data!$B$2:$B1000 = $B38, Data!$C$2:$C1000 = $C38)},$P$2, $P$22:$P$23)"),"1627387")</f>
        <v>1627387</v>
      </c>
      <c r="E38" s="7" t="str">
        <f>IFERROR(__xludf.DUMMYFUNCTION("filter(Data!$A$2:$J1000,Data!$A$2:$A1000=$A38 , Data!$B$2:$B1000 = $B38, Data!$C$2:$C1000 = $C38, Data!$H$2:$H1000 =$D38)"),"1000")</f>
        <v>1000</v>
      </c>
      <c r="F38" s="3">
        <v>10.0</v>
      </c>
      <c r="G38" s="3">
        <v>2.0</v>
      </c>
      <c r="H38" s="3" t="s">
        <v>15</v>
      </c>
      <c r="I38" s="3" t="s">
        <v>14</v>
      </c>
      <c r="J38" s="3">
        <v>0.389</v>
      </c>
      <c r="K38" s="3">
        <v>1.0</v>
      </c>
      <c r="L38" s="3">
        <v>1627387.0</v>
      </c>
      <c r="M38" s="3">
        <v>1627387.0</v>
      </c>
      <c r="N38">
        <v>0.0</v>
      </c>
      <c r="R38" s="3">
        <v>37.0</v>
      </c>
    </row>
    <row r="39">
      <c r="A39" s="3">
        <v>1000.0</v>
      </c>
      <c r="B39" s="3">
        <v>10.0</v>
      </c>
      <c r="C39" s="3">
        <v>3.0</v>
      </c>
      <c r="D39" s="7" t="str">
        <f>IFERROR(__xludf.DUMMYFUNCTION("DMAX({{Data!$A$1:$J$1};filter(Data!$A$2:$J1000,Data!$A$2:$A1000=$A39 , Data!$B$2:$B1000 = $B39, Data!$C$2:$C1000 = $C39)},$P$2, $P$22:$P$23)"),"1623589")</f>
        <v>1623589</v>
      </c>
      <c r="E39" s="7" t="str">
        <f>IFERROR(__xludf.DUMMYFUNCTION("filter(Data!$A$2:$J1000,Data!$A$2:$A1000=$A39 , Data!$B$2:$B1000 = $B39, Data!$C$2:$C1000 = $C39, Data!$H$2:$H1000 =$D39)"),"1000")</f>
        <v>1000</v>
      </c>
      <c r="F39" s="3">
        <v>10.0</v>
      </c>
      <c r="G39" s="3">
        <v>3.0</v>
      </c>
      <c r="H39" s="3" t="s">
        <v>16</v>
      </c>
      <c r="I39" s="3" t="s">
        <v>14</v>
      </c>
      <c r="J39" s="3">
        <v>0.25</v>
      </c>
      <c r="K39" s="3">
        <v>1.0</v>
      </c>
      <c r="L39" s="3">
        <v>1623589.0</v>
      </c>
      <c r="M39" s="3">
        <v>1623589.0</v>
      </c>
      <c r="N39">
        <v>0.0</v>
      </c>
      <c r="R39" s="3">
        <v>38.0</v>
      </c>
    </row>
    <row r="40">
      <c r="A40" s="3">
        <v>1000.0</v>
      </c>
      <c r="B40" s="3">
        <v>10.0</v>
      </c>
      <c r="C40" s="3">
        <v>4.0</v>
      </c>
      <c r="D40" s="7" t="str">
        <f>IFERROR(__xludf.DUMMYFUNCTION("DMAX({{Data!$A$1:$J$1};filter(Data!$A$2:$J1000,Data!$A$2:$A1000=$A40 , Data!$B$2:$B1000 = $B40, Data!$C$2:$C1000 = $C40)},$P$2, $P$22:$P$23)"),"1620935")</f>
        <v>1620935</v>
      </c>
      <c r="E40" s="7" t="str">
        <f>IFERROR(__xludf.DUMMYFUNCTION("filter(Data!$A$2:$J1000,Data!$A$2:$A1000=$A40 , Data!$B$2:$B1000 = $B40, Data!$C$2:$C1000 = $C40, Data!$H$2:$H1000 =$D40)"),"1000")</f>
        <v>1000</v>
      </c>
      <c r="F40" s="3">
        <v>10.0</v>
      </c>
      <c r="G40" s="3">
        <v>4.0</v>
      </c>
      <c r="H40" s="3" t="s">
        <v>15</v>
      </c>
      <c r="I40" s="3" t="s">
        <v>14</v>
      </c>
      <c r="J40" s="3">
        <v>0.362</v>
      </c>
      <c r="K40" s="3">
        <v>1.0</v>
      </c>
      <c r="L40" s="3">
        <v>1620935.0</v>
      </c>
      <c r="M40" s="3">
        <v>1620935.0</v>
      </c>
      <c r="N40">
        <v>0.0</v>
      </c>
      <c r="R40" s="3">
        <v>39.0</v>
      </c>
    </row>
    <row r="41">
      <c r="A41" s="3">
        <v>1000.0</v>
      </c>
      <c r="B41" s="3">
        <v>10.0</v>
      </c>
      <c r="C41" s="3">
        <v>5.0</v>
      </c>
      <c r="D41" s="7" t="str">
        <f>IFERROR(__xludf.DUMMYFUNCTION("DMAX({{Data!$A$1:$J$1};filter(Data!$A$2:$J1000,Data!$A$2:$A1000=$A41 , Data!$B$2:$B1000 = $B41, Data!$C$2:$C1000 = $C41)},$P$2, $P$22:$P$23)"),"1617658")</f>
        <v>1617658</v>
      </c>
      <c r="E41" s="7" t="str">
        <f>IFERROR(__xludf.DUMMYFUNCTION("filter(Data!$A$2:$J1000,Data!$A$2:$A1000=$A41 , Data!$B$2:$B1000 = $B41, Data!$C$2:$C1000 = $C41, Data!$H$2:$H1000 =$D41)"),"1000")</f>
        <v>1000</v>
      </c>
      <c r="F41" s="3">
        <v>10.0</v>
      </c>
      <c r="G41" s="3">
        <v>5.0</v>
      </c>
      <c r="H41" s="3" t="s">
        <v>15</v>
      </c>
      <c r="I41" s="3" t="s">
        <v>14</v>
      </c>
      <c r="J41" s="3">
        <v>0.387</v>
      </c>
      <c r="K41" s="3">
        <v>1.0</v>
      </c>
      <c r="L41" s="3">
        <v>1617658.0</v>
      </c>
      <c r="M41" s="3">
        <v>1617658.0</v>
      </c>
      <c r="N41">
        <v>0.0</v>
      </c>
      <c r="R41" s="3">
        <v>40.0</v>
      </c>
    </row>
    <row r="42">
      <c r="A42" s="4">
        <v>1000.0</v>
      </c>
      <c r="B42" s="4">
        <v>50.0</v>
      </c>
      <c r="C42" s="4">
        <v>1.0</v>
      </c>
      <c r="D42" s="4" t="str">
        <f>IFERROR(__xludf.DUMMYFUNCTION("DMAX({{Data!$A$1:$J$1};filter(Data!$A$2:$J1000,Data!$A$2:$A1000=$A42 , Data!$B$2:$B1000 = $B42, Data!$C$2:$C1000 = $C42)},$P$2, $P$22:$P$23)"),"8073439")</f>
        <v>8073439</v>
      </c>
      <c r="E42" s="4" t="str">
        <f>IFERROR(__xludf.DUMMYFUNCTION("filter(Data!$A$2:$J1000,Data!$A$2:$A1000=$A42 , Data!$B$2:$B1000 = $B42, Data!$C$2:$C1000 = $C42, Data!$H$2:$H1000 =$D42)"),"1000")</f>
        <v>1000</v>
      </c>
      <c r="F42" s="4">
        <v>50.0</v>
      </c>
      <c r="G42" s="4">
        <v>1.0</v>
      </c>
      <c r="H42" s="4" t="s">
        <v>16</v>
      </c>
      <c r="I42" s="4" t="s">
        <v>14</v>
      </c>
      <c r="J42" s="4">
        <v>0.236</v>
      </c>
      <c r="K42" s="4">
        <v>1.0</v>
      </c>
      <c r="L42" s="4">
        <v>8073439.0</v>
      </c>
      <c r="M42" s="4">
        <v>8073439.0</v>
      </c>
      <c r="N42" s="5">
        <v>0.0</v>
      </c>
      <c r="R42" s="3">
        <v>41.0</v>
      </c>
    </row>
    <row r="43">
      <c r="A43" s="4">
        <v>1000.0</v>
      </c>
      <c r="B43" s="4">
        <v>50.0</v>
      </c>
      <c r="C43" s="4">
        <v>2.0</v>
      </c>
      <c r="D43" s="4" t="str">
        <f>IFERROR(__xludf.DUMMYFUNCTION("DMAX({{Data!$A$1:$J$1};filter(Data!$A$2:$J1000,Data!$A$2:$A1000=$A43 , Data!$B$2:$B1000 = $B43, Data!$C$2:$C1000 = $C43)},$P$2, $P$22:$P$23)"),"8073419")</f>
        <v>8073419</v>
      </c>
      <c r="E43" s="4" t="str">
        <f>IFERROR(__xludf.DUMMYFUNCTION("filter(Data!$A$2:$J1000,Data!$A$2:$A1000=$A43 , Data!$B$2:$B1000 = $B43, Data!$C$2:$C1000 = $C43, Data!$H$2:$H1000 =$D43)"),"1000")</f>
        <v>1000</v>
      </c>
      <c r="F43" s="4">
        <v>50.0</v>
      </c>
      <c r="G43" s="4">
        <v>2.0</v>
      </c>
      <c r="H43" s="4" t="s">
        <v>16</v>
      </c>
      <c r="I43" s="4" t="s">
        <v>14</v>
      </c>
      <c r="J43" s="4">
        <v>0.219</v>
      </c>
      <c r="K43" s="4">
        <v>1.0</v>
      </c>
      <c r="L43" s="4">
        <v>8073419.0</v>
      </c>
      <c r="M43" s="4">
        <v>8073419.0</v>
      </c>
      <c r="N43" s="5">
        <v>0.0</v>
      </c>
      <c r="R43" s="3">
        <v>42.0</v>
      </c>
    </row>
    <row r="44">
      <c r="A44" s="4">
        <v>1000.0</v>
      </c>
      <c r="B44" s="4">
        <v>50.0</v>
      </c>
      <c r="C44" s="4">
        <v>3.0</v>
      </c>
      <c r="D44" s="4" t="str">
        <f>IFERROR(__xludf.DUMMYFUNCTION("DMAX({{Data!$A$1:$J$1};filter(Data!$A$2:$J1000,Data!$A$2:$A1000=$A44 , Data!$B$2:$B1000 = $B44, Data!$C$2:$C1000 = $C44)},$P$2, $P$22:$P$23)"),"8071459")</f>
        <v>8071459</v>
      </c>
      <c r="E44" s="4" t="str">
        <f>IFERROR(__xludf.DUMMYFUNCTION("filter(Data!$A$2:$J1000,Data!$A$2:$A1000=$A44 , Data!$B$2:$B1000 = $B44, Data!$C$2:$C1000 = $C44, Data!$H$2:$H1000 =$D44)"),"1000")</f>
        <v>1000</v>
      </c>
      <c r="F44" s="4">
        <v>50.0</v>
      </c>
      <c r="G44" s="4">
        <v>3.0</v>
      </c>
      <c r="H44" s="4" t="s">
        <v>13</v>
      </c>
      <c r="I44" s="4" t="s">
        <v>14</v>
      </c>
      <c r="J44" s="4">
        <v>0.999</v>
      </c>
      <c r="K44" s="4">
        <v>1.0</v>
      </c>
      <c r="L44" s="4">
        <v>8071459.0</v>
      </c>
      <c r="M44" s="4">
        <v>8071459.0</v>
      </c>
      <c r="N44" s="5">
        <v>0.0</v>
      </c>
      <c r="R44" s="3">
        <v>43.0</v>
      </c>
    </row>
    <row r="45">
      <c r="A45" s="4">
        <v>1000.0</v>
      </c>
      <c r="B45" s="4">
        <v>50.0</v>
      </c>
      <c r="C45" s="4">
        <v>4.0</v>
      </c>
      <c r="D45" s="4" t="str">
        <f>IFERROR(__xludf.DUMMYFUNCTION("DMAX({{Data!$A$1:$J$1};filter(Data!$A$2:$J1000,Data!$A$2:$A1000=$A45 , Data!$B$2:$B1000 = $B45, Data!$C$2:$C1000 = $C45)},$P$2, $P$22:$P$23)"),"8068570")</f>
        <v>8068570</v>
      </c>
      <c r="E45" s="4" t="str">
        <f>IFERROR(__xludf.DUMMYFUNCTION("filter(Data!$A$2:$J1000,Data!$A$2:$A1000=$A45 , Data!$B$2:$B1000 = $B45, Data!$C$2:$C1000 = $C45, Data!$H$2:$H1000 =$D45)"),"1000")</f>
        <v>1000</v>
      </c>
      <c r="F45" s="4">
        <v>50.0</v>
      </c>
      <c r="G45" s="4">
        <v>4.0</v>
      </c>
      <c r="H45" s="4" t="s">
        <v>13</v>
      </c>
      <c r="I45" s="4" t="s">
        <v>14</v>
      </c>
      <c r="J45" s="4">
        <v>0.956</v>
      </c>
      <c r="K45" s="4">
        <v>1.0</v>
      </c>
      <c r="L45" s="4">
        <v>8068570.0</v>
      </c>
      <c r="M45" s="4">
        <v>8068570.0</v>
      </c>
      <c r="N45" s="5">
        <v>0.0</v>
      </c>
      <c r="R45" s="3">
        <v>44.0</v>
      </c>
    </row>
    <row r="46">
      <c r="A46" s="4">
        <v>1000.0</v>
      </c>
      <c r="B46" s="4">
        <v>50.0</v>
      </c>
      <c r="C46" s="4">
        <v>5.0</v>
      </c>
      <c r="D46" s="4" t="str">
        <f>IFERROR(__xludf.DUMMYFUNCTION("DMAX({{Data!$A$1:$J$1};filter(Data!$A$2:$J1000,Data!$A$2:$A1000=$A46 , Data!$B$2:$B1000 = $B46, Data!$C$2:$C1000 = $C46)},$P$2, $P$22:$P$23)"),"8070335")</f>
        <v>8070335</v>
      </c>
      <c r="E46" s="4" t="str">
        <f>IFERROR(__xludf.DUMMYFUNCTION("filter(Data!$A$2:$J1000,Data!$A$2:$A1000=$A46 , Data!$B$2:$B1000 = $B46, Data!$C$2:$C1000 = $C46, Data!$H$2:$H1000 =$D46)"),"1000")</f>
        <v>1000</v>
      </c>
      <c r="F46" s="4">
        <v>50.0</v>
      </c>
      <c r="G46" s="4">
        <v>5.0</v>
      </c>
      <c r="H46" s="4" t="s">
        <v>15</v>
      </c>
      <c r="I46" s="4" t="s">
        <v>14</v>
      </c>
      <c r="J46" s="4">
        <v>4.826</v>
      </c>
      <c r="K46" s="4">
        <v>1.0</v>
      </c>
      <c r="L46" s="4">
        <v>8070335.0</v>
      </c>
      <c r="M46" s="4">
        <v>8070335.0</v>
      </c>
      <c r="N46" s="5">
        <v>0.0</v>
      </c>
      <c r="R46" s="3">
        <v>45.0</v>
      </c>
    </row>
    <row r="47">
      <c r="A47" s="3">
        <v>1000.0</v>
      </c>
      <c r="B47" s="3">
        <v>100.0</v>
      </c>
      <c r="C47" s="3">
        <v>1.0</v>
      </c>
      <c r="D47" s="7" t="str">
        <f>IFERROR(__xludf.DUMMYFUNCTION("DMAX({{Data!$A$1:$J$1};filter(Data!$A$2:$J1000,Data!$A$2:$A1000=$A47 , Data!$B$2:$B1000 = $B47, Data!$C$2:$C1000 = $C47)},$P$2, $P$22:$P$23)"),"25761673")</f>
        <v>25761673</v>
      </c>
      <c r="E47" s="7" t="str">
        <f>IFERROR(__xludf.DUMMYFUNCTION("filter(Data!$A$2:$J1000,Data!$A$2:$A1000=$A47 , Data!$B$2:$B1000 = $B47, Data!$C$2:$C1000 = $C47, Data!$H$2:$H1000 =$D47)"),"1000")</f>
        <v>1000</v>
      </c>
      <c r="F47" s="3">
        <v>100.0</v>
      </c>
      <c r="G47" s="3">
        <v>1.0</v>
      </c>
      <c r="H47" s="3" t="s">
        <v>15</v>
      </c>
      <c r="I47" s="3" t="s">
        <v>14</v>
      </c>
      <c r="J47" s="3">
        <v>12.511</v>
      </c>
      <c r="K47" s="3">
        <v>1.0</v>
      </c>
      <c r="L47" s="3">
        <v>2.5761673E7</v>
      </c>
      <c r="M47" s="3">
        <v>2.5761673E7</v>
      </c>
      <c r="N47">
        <v>0.0</v>
      </c>
      <c r="R47" s="3">
        <v>46.0</v>
      </c>
    </row>
    <row r="48">
      <c r="A48" s="3">
        <v>1000.0</v>
      </c>
      <c r="B48" s="3">
        <v>100.0</v>
      </c>
      <c r="C48" s="3">
        <v>2.0</v>
      </c>
      <c r="D48" s="7" t="str">
        <f>IFERROR(__xludf.DUMMYFUNCTION("DMAX({{Data!$A$1:$J$1};filter(Data!$A$2:$J1000,Data!$A$2:$A1000=$A48 , Data!$B$2:$B1000 = $B48, Data!$C$2:$C1000 = $C48)},$P$2, $P$22:$P$23)"),"25769025")</f>
        <v>25769025</v>
      </c>
      <c r="E48" s="7" t="str">
        <f>IFERROR(__xludf.DUMMYFUNCTION("filter(Data!$A$2:$J1000,Data!$A$2:$A1000=$A48 , Data!$B$2:$B1000 = $B48, Data!$C$2:$C1000 = $C48, Data!$H$2:$H1000 =$D48)"),"1000")</f>
        <v>1000</v>
      </c>
      <c r="F48" s="3">
        <v>100.0</v>
      </c>
      <c r="G48" s="3">
        <v>2.0</v>
      </c>
      <c r="H48" s="3" t="s">
        <v>13</v>
      </c>
      <c r="I48" s="3" t="s">
        <v>14</v>
      </c>
      <c r="J48" s="3">
        <v>3.666</v>
      </c>
      <c r="K48" s="3">
        <v>1.0</v>
      </c>
      <c r="L48" s="3">
        <v>2.5769025E7</v>
      </c>
      <c r="M48" s="3">
        <v>2.5769025E7</v>
      </c>
      <c r="N48">
        <v>0.0</v>
      </c>
      <c r="R48" s="3">
        <v>47.0</v>
      </c>
    </row>
    <row r="49">
      <c r="A49" s="3">
        <v>1000.0</v>
      </c>
      <c r="B49" s="3">
        <v>100.0</v>
      </c>
      <c r="C49" s="3">
        <v>3.0</v>
      </c>
      <c r="D49" s="7" t="str">
        <f>IFERROR(__xludf.DUMMYFUNCTION("DMAX({{Data!$A$1:$J$1};filter(Data!$A$2:$J1000,Data!$A$2:$A1000=$A49 , Data!$B$2:$B1000 = $B49, Data!$C$2:$C1000 = $C49)},$P$2, $P$22:$P$23)"),"25803793")</f>
        <v>25803793</v>
      </c>
      <c r="E49" s="7" t="str">
        <f>IFERROR(__xludf.DUMMYFUNCTION("filter(Data!$A$2:$J1000,Data!$A$2:$A1000=$A49 , Data!$B$2:$B1000 = $B49, Data!$C$2:$C1000 = $C49, Data!$H$2:$H1000 =$D49)"),"1000")</f>
        <v>1000</v>
      </c>
      <c r="F49" s="3">
        <v>100.0</v>
      </c>
      <c r="G49" s="3">
        <v>3.0</v>
      </c>
      <c r="H49" s="3" t="s">
        <v>13</v>
      </c>
      <c r="I49" s="3" t="s">
        <v>14</v>
      </c>
      <c r="J49" s="3">
        <v>3.716</v>
      </c>
      <c r="K49" s="3">
        <v>1.0</v>
      </c>
      <c r="L49" s="3">
        <v>2.5803793E7</v>
      </c>
      <c r="M49" s="3">
        <v>2.5803793E7</v>
      </c>
      <c r="N49">
        <v>0.0</v>
      </c>
      <c r="R49" s="3">
        <v>48.0</v>
      </c>
    </row>
    <row r="50">
      <c r="A50" s="3">
        <v>1000.0</v>
      </c>
      <c r="B50" s="3">
        <v>100.0</v>
      </c>
      <c r="C50" s="3">
        <v>4.0</v>
      </c>
      <c r="D50" s="7" t="str">
        <f>IFERROR(__xludf.DUMMYFUNCTION("DMAX({{Data!$A$1:$J$1};filter(Data!$A$2:$J1000,Data!$A$2:$A1000=$A50 , Data!$B$2:$B1000 = $B50, Data!$C$2:$C1000 = $C50)},$P$2, $P$22:$P$23)"),"25817764")</f>
        <v>25817764</v>
      </c>
      <c r="E50" s="7" t="str">
        <f>IFERROR(__xludf.DUMMYFUNCTION("filter(Data!$A$2:$J1000,Data!$A$2:$A1000=$A50 , Data!$B$2:$B1000 = $B50, Data!$C$2:$C1000 = $C50, Data!$H$2:$H1000 =$D50)"),"1000")</f>
        <v>1000</v>
      </c>
      <c r="F50" s="3">
        <v>100.0</v>
      </c>
      <c r="G50" s="3">
        <v>4.0</v>
      </c>
      <c r="H50" s="3" t="s">
        <v>13</v>
      </c>
      <c r="I50" s="3" t="s">
        <v>14</v>
      </c>
      <c r="J50" s="3">
        <v>3.697</v>
      </c>
      <c r="K50" s="3">
        <v>1.0</v>
      </c>
      <c r="L50" s="3">
        <v>2.5817764E7</v>
      </c>
      <c r="M50" s="3">
        <v>2.5817764E7</v>
      </c>
      <c r="N50">
        <v>0.0</v>
      </c>
      <c r="R50" s="3">
        <v>49.0</v>
      </c>
    </row>
    <row r="51">
      <c r="A51" s="3">
        <v>1000.0</v>
      </c>
      <c r="B51" s="3">
        <v>100.0</v>
      </c>
      <c r="C51" s="3">
        <v>5.0</v>
      </c>
      <c r="D51" s="7" t="str">
        <f>IFERROR(__xludf.DUMMYFUNCTION("DMAX({{Data!$A$1:$J$1};filter(Data!$A$2:$J1000,Data!$A$2:$A1000=$A51 , Data!$B$2:$B1000 = $B51, Data!$C$2:$C1000 = $C51)},$P$2, $P$22:$P$23)"),"25765161")</f>
        <v>25765161</v>
      </c>
      <c r="E51" s="7" t="str">
        <f>IFERROR(__xludf.DUMMYFUNCTION("filter(Data!$A$2:$J1000,Data!$A$2:$A1000=$A51 , Data!$B$2:$B1000 = $B51, Data!$C$2:$C1000 = $C51, Data!$H$2:$H1000 =$D51)"),"1000")</f>
        <v>1000</v>
      </c>
      <c r="F51" s="3">
        <v>100.0</v>
      </c>
      <c r="G51" s="3">
        <v>5.0</v>
      </c>
      <c r="H51" s="3" t="s">
        <v>15</v>
      </c>
      <c r="I51" s="3" t="s">
        <v>14</v>
      </c>
      <c r="J51" s="3">
        <v>12.074</v>
      </c>
      <c r="K51" s="3">
        <v>1.0</v>
      </c>
      <c r="L51" s="3">
        <v>2.5765161E7</v>
      </c>
      <c r="M51" s="3">
        <v>2.5765161E7</v>
      </c>
      <c r="N51">
        <v>0.0</v>
      </c>
      <c r="R51" s="3">
        <v>50.0</v>
      </c>
    </row>
    <row r="52">
      <c r="A52" s="4">
        <v>2000.0</v>
      </c>
      <c r="B52" s="4">
        <v>1.0</v>
      </c>
      <c r="C52" s="4">
        <v>1.0</v>
      </c>
      <c r="D52" s="4" t="str">
        <f>IFERROR(__xludf.DUMMYFUNCTION("DMAX({{Data!$A$1:$J$1};filter(Data!$A$2:$J1000,Data!$A$2:$A1000=$A52 , Data!$B$2:$B1000 = $B52, Data!$C$2:$C1000 = $C52)},$P$2, $P$22:$P$23)"),"767431")</f>
        <v>767431</v>
      </c>
      <c r="E52" s="4" t="str">
        <f>IFERROR(__xludf.DUMMYFUNCTION("filter(Data!$A$2:$J1000,Data!$A$2:$A1000=$A52 , Data!$B$2:$B1000 = $B52, Data!$C$2:$C1000 = $C52, Data!$H$2:$H1000 =$D52)"),"2000")</f>
        <v>2000</v>
      </c>
      <c r="F52" s="4">
        <v>1.0</v>
      </c>
      <c r="G52" s="4">
        <v>1.0</v>
      </c>
      <c r="H52" s="4" t="s">
        <v>15</v>
      </c>
      <c r="I52" s="4" t="s">
        <v>14</v>
      </c>
      <c r="J52" s="4">
        <v>0.055</v>
      </c>
      <c r="K52" s="4">
        <v>1.0</v>
      </c>
      <c r="L52" s="4">
        <v>767431.0</v>
      </c>
      <c r="M52" s="4">
        <v>767431.0</v>
      </c>
      <c r="N52" s="5">
        <v>0.0</v>
      </c>
      <c r="R52" s="3">
        <v>51.0</v>
      </c>
    </row>
    <row r="53">
      <c r="A53" s="4">
        <v>2000.0</v>
      </c>
      <c r="B53" s="4">
        <v>1.0</v>
      </c>
      <c r="C53" s="4">
        <v>2.0</v>
      </c>
      <c r="D53" s="4" t="str">
        <f>IFERROR(__xludf.DUMMYFUNCTION("DMAX({{Data!$A$1:$J$1};filter(Data!$A$2:$J1000,Data!$A$2:$A1000=$A53 , Data!$B$2:$B1000 = $B53, Data!$C$2:$C1000 = $C53)},$P$2, $P$22:$P$23)"),"772755")</f>
        <v>772755</v>
      </c>
      <c r="E53" s="4" t="str">
        <f>IFERROR(__xludf.DUMMYFUNCTION("filter(Data!$A$2:$J1000,Data!$A$2:$A1000=$A53 , Data!$B$2:$B1000 = $B53, Data!$C$2:$C1000 = $C53, Data!$H$2:$H1000 =$D53)"),"2000")</f>
        <v>2000</v>
      </c>
      <c r="F53" s="4">
        <v>1.0</v>
      </c>
      <c r="G53" s="4">
        <v>2.0</v>
      </c>
      <c r="H53" s="4" t="s">
        <v>13</v>
      </c>
      <c r="I53" s="4" t="s">
        <v>14</v>
      </c>
      <c r="J53" s="4">
        <v>0.015</v>
      </c>
      <c r="K53" s="4">
        <v>1.0</v>
      </c>
      <c r="L53" s="4">
        <v>772755.0</v>
      </c>
      <c r="M53" s="4">
        <v>772755.0</v>
      </c>
      <c r="N53" s="5">
        <v>0.0</v>
      </c>
      <c r="R53" s="3">
        <v>52.0</v>
      </c>
    </row>
    <row r="54">
      <c r="A54" s="4">
        <v>2000.0</v>
      </c>
      <c r="B54" s="4">
        <v>1.0</v>
      </c>
      <c r="C54" s="4">
        <v>3.0</v>
      </c>
      <c r="D54" s="4" t="str">
        <f>IFERROR(__xludf.DUMMYFUNCTION("DMAX({{Data!$A$1:$J$1};filter(Data!$A$2:$J1000,Data!$A$2:$A1000=$A54 , Data!$B$2:$B1000 = $B54, Data!$C$2:$C1000 = $C54)},$P$2, $P$22:$P$23)"),"749134")</f>
        <v>749134</v>
      </c>
      <c r="E54" s="4" t="str">
        <f>IFERROR(__xludf.DUMMYFUNCTION("filter(Data!$A$2:$J1000,Data!$A$2:$A1000=$A54 , Data!$B$2:$B1000 = $B54, Data!$C$2:$C1000 = $C54, Data!$H$2:$H1000 =$D54)"),"2000")</f>
        <v>2000</v>
      </c>
      <c r="F54" s="4">
        <v>1.0</v>
      </c>
      <c r="G54" s="4">
        <v>3.0</v>
      </c>
      <c r="H54" s="4" t="s">
        <v>15</v>
      </c>
      <c r="I54" s="4" t="s">
        <v>14</v>
      </c>
      <c r="J54" s="4">
        <v>0.054</v>
      </c>
      <c r="K54" s="4">
        <v>1.0</v>
      </c>
      <c r="L54" s="4">
        <v>749134.0</v>
      </c>
      <c r="M54" s="4">
        <v>749134.0</v>
      </c>
      <c r="N54" s="5">
        <v>0.0</v>
      </c>
      <c r="R54" s="3">
        <v>53.0</v>
      </c>
    </row>
    <row r="55">
      <c r="A55" s="4">
        <v>2000.0</v>
      </c>
      <c r="B55" s="4">
        <v>1.0</v>
      </c>
      <c r="C55" s="4">
        <v>4.0</v>
      </c>
      <c r="D55" s="4" t="str">
        <f>IFERROR(__xludf.DUMMYFUNCTION("DMAX({{Data!$A$1:$J$1};filter(Data!$A$2:$J1000,Data!$A$2:$A1000=$A55 , Data!$B$2:$B1000 = $B55, Data!$C$2:$C1000 = $C55)},$P$2, $P$22:$P$23)"),"771800")</f>
        <v>771800</v>
      </c>
      <c r="E55" s="4" t="str">
        <f>IFERROR(__xludf.DUMMYFUNCTION("filter(Data!$A$2:$J1000,Data!$A$2:$A1000=$A55 , Data!$B$2:$B1000 = $B55, Data!$C$2:$C1000 = $C55, Data!$H$2:$H1000 =$D55)"),"2000")</f>
        <v>2000</v>
      </c>
      <c r="F55" s="4">
        <v>1.0</v>
      </c>
      <c r="G55" s="4">
        <v>4.0</v>
      </c>
      <c r="H55" s="4" t="s">
        <v>15</v>
      </c>
      <c r="I55" s="4" t="s">
        <v>14</v>
      </c>
      <c r="J55" s="4">
        <v>0.054</v>
      </c>
      <c r="K55" s="4">
        <v>1.0</v>
      </c>
      <c r="L55" s="4">
        <v>771800.0</v>
      </c>
      <c r="M55" s="4">
        <v>771800.0</v>
      </c>
      <c r="N55" s="5">
        <v>0.0</v>
      </c>
      <c r="R55" s="3">
        <v>54.0</v>
      </c>
    </row>
    <row r="56">
      <c r="A56" s="4">
        <v>2000.0</v>
      </c>
      <c r="B56" s="4">
        <v>1.0</v>
      </c>
      <c r="C56" s="4">
        <v>5.0</v>
      </c>
      <c r="D56" s="4" t="str">
        <f>IFERROR(__xludf.DUMMYFUNCTION("DMAX({{Data!$A$1:$J$1};filter(Data!$A$2:$J1000,Data!$A$2:$A1000=$A56 , Data!$B$2:$B1000 = $B56, Data!$C$2:$C1000 = $C56)},$P$2, $P$22:$P$23)"),"768322")</f>
        <v>768322</v>
      </c>
      <c r="E56" s="4" t="str">
        <f>IFERROR(__xludf.DUMMYFUNCTION("filter(Data!$A$2:$J1000,Data!$A$2:$A1000=$A56 , Data!$B$2:$B1000 = $B56, Data!$C$2:$C1000 = $C56, Data!$H$2:$H1000 =$D56)"),"2000")</f>
        <v>2000</v>
      </c>
      <c r="F56" s="4">
        <v>1.0</v>
      </c>
      <c r="G56" s="4">
        <v>5.0</v>
      </c>
      <c r="H56" s="4" t="s">
        <v>15</v>
      </c>
      <c r="I56" s="4" t="s">
        <v>14</v>
      </c>
      <c r="J56" s="4">
        <v>0.064</v>
      </c>
      <c r="K56" s="4">
        <v>1.0</v>
      </c>
      <c r="L56" s="4">
        <v>768322.0</v>
      </c>
      <c r="M56" s="4">
        <v>768322.0</v>
      </c>
      <c r="N56" s="5">
        <v>0.0</v>
      </c>
      <c r="R56" s="3">
        <v>55.0</v>
      </c>
    </row>
    <row r="57">
      <c r="A57" s="3">
        <v>2000.0</v>
      </c>
      <c r="B57" s="3">
        <v>5.0</v>
      </c>
      <c r="C57" s="3">
        <v>1.0</v>
      </c>
      <c r="D57" s="7" t="str">
        <f>IFERROR(__xludf.DUMMYFUNCTION("DMAX({{Data!$A$1:$J$1};filter(Data!$A$2:$J1000,Data!$A$2:$A1000=$A57 , Data!$B$2:$B1000 = $B57, Data!$C$2:$C1000 = $C57)},$P$2, $P$22:$P$23)"),"3206063")</f>
        <v>3206063</v>
      </c>
      <c r="E57" s="7" t="str">
        <f>IFERROR(__xludf.DUMMYFUNCTION("filter(Data!$A$2:$J1000,Data!$A$2:$A1000=$A57 , Data!$B$2:$B1000 = $B57, Data!$C$2:$C1000 = $C57, Data!$H$2:$H1000 =$D57)"),"2000")</f>
        <v>2000</v>
      </c>
      <c r="F57" s="3">
        <v>5.0</v>
      </c>
      <c r="G57" s="3">
        <v>1.0</v>
      </c>
      <c r="H57" s="3" t="s">
        <v>15</v>
      </c>
      <c r="I57" s="3" t="s">
        <v>14</v>
      </c>
      <c r="J57" s="3">
        <v>0.915</v>
      </c>
      <c r="K57" s="3">
        <v>1.0</v>
      </c>
      <c r="L57" s="3">
        <v>3206063.0</v>
      </c>
      <c r="M57" s="3">
        <v>3206063.0</v>
      </c>
      <c r="N57">
        <v>0.0</v>
      </c>
      <c r="R57" s="3">
        <v>56.0</v>
      </c>
    </row>
    <row r="58">
      <c r="A58" s="3">
        <v>2000.0</v>
      </c>
      <c r="B58" s="3">
        <v>5.0</v>
      </c>
      <c r="C58" s="3">
        <v>2.0</v>
      </c>
      <c r="D58" s="7" t="str">
        <f>IFERROR(__xludf.DUMMYFUNCTION("DMAX({{Data!$A$1:$J$1};filter(Data!$A$2:$J1000,Data!$A$2:$A1000=$A58 , Data!$B$2:$B1000 = $B58, Data!$C$2:$C1000 = $C58)},$P$2, $P$22:$P$23)"),"3244982")</f>
        <v>3244982</v>
      </c>
      <c r="E58" s="7" t="str">
        <f>IFERROR(__xludf.DUMMYFUNCTION("filter(Data!$A$2:$J1000,Data!$A$2:$A1000=$A58 , Data!$B$2:$B1000 = $B58, Data!$C$2:$C1000 = $C58, Data!$H$2:$H1000 =$D58)"),"2000")</f>
        <v>2000</v>
      </c>
      <c r="F58" s="3">
        <v>5.0</v>
      </c>
      <c r="G58" s="3">
        <v>2.0</v>
      </c>
      <c r="H58" s="3" t="s">
        <v>13</v>
      </c>
      <c r="I58" s="3" t="s">
        <v>14</v>
      </c>
      <c r="J58" s="3">
        <v>0.132</v>
      </c>
      <c r="K58" s="3">
        <v>1.0</v>
      </c>
      <c r="L58" s="3">
        <v>3244982.0</v>
      </c>
      <c r="M58" s="3">
        <v>3244982.0</v>
      </c>
      <c r="N58">
        <v>0.0</v>
      </c>
      <c r="R58" s="3">
        <v>57.0</v>
      </c>
    </row>
    <row r="59">
      <c r="A59" s="3">
        <v>2000.0</v>
      </c>
      <c r="B59" s="3">
        <v>5.0</v>
      </c>
      <c r="C59" s="3">
        <v>3.0</v>
      </c>
      <c r="D59" s="7" t="str">
        <f>IFERROR(__xludf.DUMMYFUNCTION("DMAX({{Data!$A$1:$J$1};filter(Data!$A$2:$J1000,Data!$A$2:$A1000=$A59 , Data!$B$2:$B1000 = $B59, Data!$C$2:$C1000 = $C59)},$P$2, $P$22:$P$23)"),"3191148")</f>
        <v>3191148</v>
      </c>
      <c r="E59" s="7" t="str">
        <f>IFERROR(__xludf.DUMMYFUNCTION("filter(Data!$A$2:$J1000,Data!$A$2:$A1000=$A59 , Data!$B$2:$B1000 = $B59, Data!$C$2:$C1000 = $C59, Data!$H$2:$H1000 =$D59)"),"2000")</f>
        <v>2000</v>
      </c>
      <c r="F59" s="3">
        <v>5.0</v>
      </c>
      <c r="G59" s="3">
        <v>3.0</v>
      </c>
      <c r="H59" s="3" t="s">
        <v>15</v>
      </c>
      <c r="I59" s="3" t="s">
        <v>14</v>
      </c>
      <c r="J59" s="3">
        <v>0.847</v>
      </c>
      <c r="K59" s="3">
        <v>1.0</v>
      </c>
      <c r="L59" s="3">
        <v>3191148.0</v>
      </c>
      <c r="M59" s="3">
        <v>3191148.0</v>
      </c>
      <c r="N59">
        <v>0.0</v>
      </c>
      <c r="R59" s="3">
        <v>58.0</v>
      </c>
    </row>
    <row r="60">
      <c r="A60" s="3">
        <v>2000.0</v>
      </c>
      <c r="B60" s="3">
        <v>5.0</v>
      </c>
      <c r="C60" s="3">
        <v>4.0</v>
      </c>
      <c r="D60" s="7" t="str">
        <f>IFERROR(__xludf.DUMMYFUNCTION("DMAX({{Data!$A$1:$J$1};filter(Data!$A$2:$J1000,Data!$A$2:$A1000=$A60 , Data!$B$2:$B1000 = $B60, Data!$C$2:$C1000 = $C60)},$P$2, $P$22:$P$23)"),"3238040")</f>
        <v>3238040</v>
      </c>
      <c r="E60" s="7" t="str">
        <f>IFERROR(__xludf.DUMMYFUNCTION("filter(Data!$A$2:$J1000,Data!$A$2:$A1000=$A60 , Data!$B$2:$B1000 = $B60, Data!$C$2:$C1000 = $C60, Data!$H$2:$H1000 =$D60)"),"2000")</f>
        <v>2000</v>
      </c>
      <c r="F60" s="3">
        <v>5.0</v>
      </c>
      <c r="G60" s="3">
        <v>4.0</v>
      </c>
      <c r="H60" s="3" t="s">
        <v>15</v>
      </c>
      <c r="I60" s="3" t="s">
        <v>14</v>
      </c>
      <c r="J60" s="3">
        <v>0.897</v>
      </c>
      <c r="K60" s="3">
        <v>1.0</v>
      </c>
      <c r="L60" s="3">
        <v>3238040.0</v>
      </c>
      <c r="M60" s="3">
        <v>3238040.0</v>
      </c>
      <c r="N60">
        <v>0.0</v>
      </c>
      <c r="R60" s="3">
        <v>59.0</v>
      </c>
    </row>
    <row r="61">
      <c r="A61" s="3">
        <v>2000.0</v>
      </c>
      <c r="B61" s="3">
        <v>5.0</v>
      </c>
      <c r="C61" s="3">
        <v>5.0</v>
      </c>
      <c r="D61" s="7" t="str">
        <f>IFERROR(__xludf.DUMMYFUNCTION("DMAX({{Data!$A$1:$J$1};filter(Data!$A$2:$J1000,Data!$A$2:$A1000=$A61 , Data!$B$2:$B1000 = $B61, Data!$C$2:$C1000 = $C61)},$P$2, $P$22:$P$23)"),"3193814")</f>
        <v>3193814</v>
      </c>
      <c r="E61" s="7" t="str">
        <f>IFERROR(__xludf.DUMMYFUNCTION("filter(Data!$A$2:$J1000,Data!$A$2:$A1000=$A61 , Data!$B$2:$B1000 = $B61, Data!$C$2:$C1000 = $C61, Data!$H$2:$H1000 =$D61)"),"2000")</f>
        <v>2000</v>
      </c>
      <c r="F61" s="3">
        <v>5.0</v>
      </c>
      <c r="G61" s="3">
        <v>5.0</v>
      </c>
      <c r="H61" s="3" t="s">
        <v>15</v>
      </c>
      <c r="I61" s="3" t="s">
        <v>14</v>
      </c>
      <c r="J61" s="3">
        <v>0.875</v>
      </c>
      <c r="K61" s="3">
        <v>1.0</v>
      </c>
      <c r="L61" s="3">
        <v>3193814.0</v>
      </c>
      <c r="M61" s="3">
        <v>3193814.0</v>
      </c>
      <c r="N61">
        <v>0.0</v>
      </c>
      <c r="R61" s="3">
        <v>60.0</v>
      </c>
    </row>
    <row r="62">
      <c r="A62" s="4">
        <v>2000.0</v>
      </c>
      <c r="B62" s="4">
        <v>10.0</v>
      </c>
      <c r="C62" s="4">
        <v>1.0</v>
      </c>
      <c r="D62" s="4" t="str">
        <f>IFERROR(__xludf.DUMMYFUNCTION("DMAX({{Data!$A$1:$J$1};filter(Data!$A$2:$J1000,Data!$A$2:$A1000=$A62 , Data!$B$2:$B1000 = $B62, Data!$C$2:$C1000 = $C62)},$P$2, $P$22:$P$23)"),"6113599")</f>
        <v>6113599</v>
      </c>
      <c r="E62" s="4" t="str">
        <f>IFERROR(__xludf.DUMMYFUNCTION("filter(Data!$A$2:$J1000,Data!$A$2:$A1000=$A62 , Data!$B$2:$B1000 = $B62, Data!$C$2:$C1000 = $C62, Data!$H$2:$H1000 =$D62)"),"2000")</f>
        <v>2000</v>
      </c>
      <c r="F62" s="4">
        <v>10.0</v>
      </c>
      <c r="G62" s="4">
        <v>1.0</v>
      </c>
      <c r="H62" s="4" t="s">
        <v>16</v>
      </c>
      <c r="I62" s="4" t="s">
        <v>14</v>
      </c>
      <c r="J62" s="4">
        <v>3.123</v>
      </c>
      <c r="K62" s="4">
        <v>1.0</v>
      </c>
      <c r="L62" s="4">
        <v>6113599.0</v>
      </c>
      <c r="M62" s="4">
        <v>6113599.0</v>
      </c>
      <c r="N62" s="5">
        <v>0.0</v>
      </c>
      <c r="R62" s="3">
        <v>61.0</v>
      </c>
    </row>
    <row r="63">
      <c r="A63" s="4">
        <v>2000.0</v>
      </c>
      <c r="B63" s="4">
        <v>10.0</v>
      </c>
      <c r="C63" s="4">
        <v>2.0</v>
      </c>
      <c r="D63" s="4" t="str">
        <f>IFERROR(__xludf.DUMMYFUNCTION("DMAX({{Data!$A$1:$J$1};filter(Data!$A$2:$J1000,Data!$A$2:$A1000=$A63 , Data!$B$2:$B1000 = $B63, Data!$C$2:$C1000 = $C63)},$P$2, $P$22:$P$23)"),"6138656")</f>
        <v>6138656</v>
      </c>
      <c r="E63" s="4" t="str">
        <f>IFERROR(__xludf.DUMMYFUNCTION("filter(Data!$A$2:$J1000,Data!$A$2:$A1000=$A63 , Data!$B$2:$B1000 = $B63, Data!$C$2:$C1000 = $C63, Data!$H$2:$H1000 =$D63)"),"2000")</f>
        <v>2000</v>
      </c>
      <c r="F63" s="4">
        <v>10.0</v>
      </c>
      <c r="G63" s="4">
        <v>2.0</v>
      </c>
      <c r="H63" s="4" t="s">
        <v>15</v>
      </c>
      <c r="I63" s="4" t="s">
        <v>14</v>
      </c>
      <c r="J63" s="4">
        <v>2.718</v>
      </c>
      <c r="K63" s="4">
        <v>1.0</v>
      </c>
      <c r="L63" s="4">
        <v>6138656.0</v>
      </c>
      <c r="M63" s="4">
        <v>6138656.0</v>
      </c>
      <c r="N63" s="5">
        <v>0.0</v>
      </c>
      <c r="R63" s="3">
        <v>62.0</v>
      </c>
    </row>
    <row r="64">
      <c r="A64" s="4">
        <v>2000.0</v>
      </c>
      <c r="B64" s="4">
        <v>10.0</v>
      </c>
      <c r="C64" s="4">
        <v>3.0</v>
      </c>
      <c r="D64" s="4" t="str">
        <f>IFERROR(__xludf.DUMMYFUNCTION("DMAX({{Data!$A$1:$J$1};filter(Data!$A$2:$J1000,Data!$A$2:$A1000=$A64 , Data!$B$2:$B1000 = $B64, Data!$C$2:$C1000 = $C64)},$P$2, $P$22:$P$23)"),"6081050")</f>
        <v>6081050</v>
      </c>
      <c r="E64" s="4" t="str">
        <f>IFERROR(__xludf.DUMMYFUNCTION("filter(Data!$A$2:$J1000,Data!$A$2:$A1000=$A64 , Data!$B$2:$B1000 = $B64, Data!$C$2:$C1000 = $C64, Data!$H$2:$H1000 =$D64)"),"2000")</f>
        <v>2000</v>
      </c>
      <c r="F64" s="4">
        <v>10.0</v>
      </c>
      <c r="G64" s="4">
        <v>3.0</v>
      </c>
      <c r="H64" s="4" t="s">
        <v>16</v>
      </c>
      <c r="I64" s="4" t="s">
        <v>14</v>
      </c>
      <c r="J64" s="4">
        <v>1.69</v>
      </c>
      <c r="K64" s="4">
        <v>1.0</v>
      </c>
      <c r="L64" s="4">
        <v>6081050.0</v>
      </c>
      <c r="M64" s="4">
        <v>6081050.0</v>
      </c>
      <c r="N64" s="5">
        <v>0.0</v>
      </c>
      <c r="R64" s="3">
        <v>63.0</v>
      </c>
    </row>
    <row r="65">
      <c r="A65" s="4">
        <v>2000.0</v>
      </c>
      <c r="B65" s="4">
        <v>10.0</v>
      </c>
      <c r="C65" s="4">
        <v>4.0</v>
      </c>
      <c r="D65" s="4" t="str">
        <f>IFERROR(__xludf.DUMMYFUNCTION("DMAX({{Data!$A$1:$J$1};filter(Data!$A$2:$J1000,Data!$A$2:$A1000=$A65 , Data!$B$2:$B1000 = $B65, Data!$C$2:$C1000 = $C65)},$P$2, $P$22:$P$23)"),"6137223")</f>
        <v>6137223</v>
      </c>
      <c r="E65" s="4" t="str">
        <f>IFERROR(__xludf.DUMMYFUNCTION("filter(Data!$A$2:$J1000,Data!$A$2:$A1000=$A65 , Data!$B$2:$B1000 = $B65, Data!$C$2:$C1000 = $C65, Data!$H$2:$H1000 =$D65)"),"2000")</f>
        <v>2000</v>
      </c>
      <c r="F65" s="4">
        <v>10.0</v>
      </c>
      <c r="G65" s="4">
        <v>4.0</v>
      </c>
      <c r="H65" s="4" t="s">
        <v>16</v>
      </c>
      <c r="I65" s="4" t="s">
        <v>14</v>
      </c>
      <c r="J65" s="4">
        <v>2.846</v>
      </c>
      <c r="K65" s="4">
        <v>1.0</v>
      </c>
      <c r="L65" s="4">
        <v>6137223.0</v>
      </c>
      <c r="M65" s="4">
        <v>6137223.0</v>
      </c>
      <c r="N65" s="5">
        <v>0.0</v>
      </c>
      <c r="R65" s="3">
        <v>64.0</v>
      </c>
    </row>
    <row r="66">
      <c r="A66" s="4">
        <v>2000.0</v>
      </c>
      <c r="B66" s="4">
        <v>10.0</v>
      </c>
      <c r="C66" s="4">
        <v>5.0</v>
      </c>
      <c r="D66" s="4" t="str">
        <f>IFERROR(__xludf.DUMMYFUNCTION("DMAX({{Data!$A$1:$J$1};filter(Data!$A$2:$J1000,Data!$A$2:$A1000=$A66 , Data!$B$2:$B1000 = $B66, Data!$C$2:$C1000 = $C66)},$P$2, $P$22:$P$23)"),"6129642")</f>
        <v>6129642</v>
      </c>
      <c r="E66" s="4" t="str">
        <f>IFERROR(__xludf.DUMMYFUNCTION("filter(Data!$A$2:$J1000,Data!$A$2:$A1000=$A66 , Data!$B$2:$B1000 = $B66, Data!$C$2:$C1000 = $C66, Data!$H$2:$H1000 =$D66)"),"2000")</f>
        <v>2000</v>
      </c>
      <c r="F66" s="4">
        <v>10.0</v>
      </c>
      <c r="G66" s="4">
        <v>5.0</v>
      </c>
      <c r="H66" s="4" t="s">
        <v>16</v>
      </c>
      <c r="I66" s="4" t="s">
        <v>14</v>
      </c>
      <c r="J66" s="4">
        <v>2.38</v>
      </c>
      <c r="K66" s="4">
        <v>1.0</v>
      </c>
      <c r="L66" s="4">
        <v>6129642.0</v>
      </c>
      <c r="M66" s="4">
        <v>6129642.0</v>
      </c>
      <c r="N66" s="5">
        <v>0.0</v>
      </c>
      <c r="R66" s="3">
        <v>65.0</v>
      </c>
    </row>
    <row r="67">
      <c r="A67" s="3">
        <v>2000.0</v>
      </c>
      <c r="B67" s="3">
        <v>50.0</v>
      </c>
      <c r="C67" s="3">
        <v>1.0</v>
      </c>
      <c r="D67" s="7" t="str">
        <f>IFERROR(__xludf.DUMMYFUNCTION("DMAX({{Data!$A$1:$J$1};filter(Data!$A$2:$J1000,Data!$A$2:$A1000=$A67 , Data!$B$2:$B1000 = $B67, Data!$C$2:$C1000 = $C67)},$P$2, $P$22:$P$23)"),"31444064")</f>
        <v>31444064</v>
      </c>
      <c r="E67" s="7" t="str">
        <f>IFERROR(__xludf.DUMMYFUNCTION("filter(Data!$A$2:$J1000,Data!$A$2:$A1000=$A67 , Data!$B$2:$B1000 = $B67, Data!$C$2:$C1000 = $C67, Data!$H$2:$H1000 =$D67)"),"2000")</f>
        <v>2000</v>
      </c>
      <c r="F67" s="3">
        <v>50.0</v>
      </c>
      <c r="G67" s="3">
        <v>1.0</v>
      </c>
      <c r="H67" s="3" t="s">
        <v>13</v>
      </c>
      <c r="I67" s="3" t="s">
        <v>14</v>
      </c>
      <c r="J67" s="3">
        <v>8.024</v>
      </c>
      <c r="K67" s="3">
        <v>1.0</v>
      </c>
      <c r="L67" s="3">
        <v>3.1444064E7</v>
      </c>
      <c r="M67" s="3">
        <v>3.1444064E7</v>
      </c>
      <c r="N67">
        <v>0.0</v>
      </c>
      <c r="R67" s="3">
        <v>66.0</v>
      </c>
    </row>
    <row r="68">
      <c r="A68" s="3">
        <v>2000.0</v>
      </c>
      <c r="B68" s="3">
        <v>50.0</v>
      </c>
      <c r="C68" s="3">
        <v>2.0</v>
      </c>
      <c r="D68" s="7" t="str">
        <f>IFERROR(__xludf.DUMMYFUNCTION("DMAX({{Data!$A$1:$J$1};filter(Data!$A$2:$J1000,Data!$A$2:$A1000=$A68 , Data!$B$2:$B1000 = $B68, Data!$C$2:$C1000 = $C68)},$P$2, $P$22:$P$23)"),"31471816")</f>
        <v>31471816</v>
      </c>
      <c r="E68" s="7" t="str">
        <f>IFERROR(__xludf.DUMMYFUNCTION("filter(Data!$A$2:$J1000,Data!$A$2:$A1000=$A68 , Data!$B$2:$B1000 = $B68, Data!$C$2:$C1000 = $C68, Data!$H$2:$H1000 =$D68)"),"2000")</f>
        <v>2000</v>
      </c>
      <c r="F68" s="3">
        <v>50.0</v>
      </c>
      <c r="G68" s="3">
        <v>2.0</v>
      </c>
      <c r="H68" s="3" t="s">
        <v>15</v>
      </c>
      <c r="I68" s="3" t="s">
        <v>14</v>
      </c>
      <c r="J68" s="3">
        <v>25.722</v>
      </c>
      <c r="K68" s="3">
        <v>1.0</v>
      </c>
      <c r="L68" s="3">
        <v>3.1471816E7</v>
      </c>
      <c r="M68" s="3">
        <v>3.1471816E7</v>
      </c>
      <c r="N68">
        <v>0.0</v>
      </c>
      <c r="R68" s="3">
        <v>67.0</v>
      </c>
    </row>
    <row r="69">
      <c r="A69" s="3">
        <v>2000.0</v>
      </c>
      <c r="B69" s="3">
        <v>50.0</v>
      </c>
      <c r="C69" s="3">
        <v>3.0</v>
      </c>
      <c r="D69" s="7" t="str">
        <f>IFERROR(__xludf.DUMMYFUNCTION("DMAX({{Data!$A$1:$J$1};filter(Data!$A$2:$J1000,Data!$A$2:$A1000=$A69 , Data!$B$2:$B1000 = $B69, Data!$C$2:$C1000 = $C69)},$P$2, $P$22:$P$23)"),"31453263")</f>
        <v>31453263</v>
      </c>
      <c r="E69" s="7" t="str">
        <f>IFERROR(__xludf.DUMMYFUNCTION("filter(Data!$A$2:$J1000,Data!$A$2:$A1000=$A69 , Data!$B$2:$B1000 = $B69, Data!$C$2:$C1000 = $C69, Data!$H$2:$H1000 =$D69)"),"2000")</f>
        <v>2000</v>
      </c>
      <c r="F69" s="3">
        <v>50.0</v>
      </c>
      <c r="G69" s="3">
        <v>3.0</v>
      </c>
      <c r="H69" s="3" t="s">
        <v>16</v>
      </c>
      <c r="I69" s="3" t="s">
        <v>14</v>
      </c>
      <c r="J69" s="3">
        <v>4.149</v>
      </c>
      <c r="K69" s="3">
        <v>1.0</v>
      </c>
      <c r="L69" s="3">
        <v>3.1453263E7</v>
      </c>
      <c r="M69" s="3">
        <v>3.1453263E7</v>
      </c>
      <c r="N69">
        <v>0.0</v>
      </c>
      <c r="R69" s="3">
        <v>68.0</v>
      </c>
    </row>
    <row r="70">
      <c r="A70" s="3">
        <v>2000.0</v>
      </c>
      <c r="B70" s="3">
        <v>50.0</v>
      </c>
      <c r="C70" s="3">
        <v>4.0</v>
      </c>
      <c r="D70" s="7" t="str">
        <f>IFERROR(__xludf.DUMMYFUNCTION("DMAX({{Data!$A$1:$J$1};filter(Data!$A$2:$J1000,Data!$A$2:$A1000=$A70 , Data!$B$2:$B1000 = $B70, Data!$C$2:$C1000 = $C70)},$P$2, $P$22:$P$23)"),"31474875")</f>
        <v>31474875</v>
      </c>
      <c r="E70" s="7" t="str">
        <f>IFERROR(__xludf.DUMMYFUNCTION("filter(Data!$A$2:$J1000,Data!$A$2:$A1000=$A70 , Data!$B$2:$B1000 = $B70, Data!$C$2:$C1000 = $C70, Data!$H$2:$H1000 =$D70)"),"2000")</f>
        <v>2000</v>
      </c>
      <c r="F70" s="3">
        <v>50.0</v>
      </c>
      <c r="G70" s="3">
        <v>4.0</v>
      </c>
      <c r="H70" s="3" t="s">
        <v>13</v>
      </c>
      <c r="I70" s="3" t="s">
        <v>14</v>
      </c>
      <c r="J70" s="3">
        <v>7.512</v>
      </c>
      <c r="K70" s="3">
        <v>1.0</v>
      </c>
      <c r="L70" s="3">
        <v>3.1474875E7</v>
      </c>
      <c r="M70" s="3">
        <v>3.1474875E7</v>
      </c>
      <c r="N70">
        <v>0.0</v>
      </c>
      <c r="R70" s="3">
        <v>69.0</v>
      </c>
    </row>
    <row r="71">
      <c r="A71" s="3">
        <v>2000.0</v>
      </c>
      <c r="B71" s="3">
        <v>50.0</v>
      </c>
      <c r="C71" s="3">
        <v>5.0</v>
      </c>
      <c r="D71" s="7" t="str">
        <f>IFERROR(__xludf.DUMMYFUNCTION("DMAX({{Data!$A$1:$J$1};filter(Data!$A$2:$J1000,Data!$A$2:$A1000=$A71 , Data!$B$2:$B1000 = $B71, Data!$C$2:$C1000 = $C71)},$P$2, $P$22:$P$23)"),"31460466")</f>
        <v>31460466</v>
      </c>
      <c r="E71" s="7" t="str">
        <f>IFERROR(__xludf.DUMMYFUNCTION("filter(Data!$A$2:$J1000,Data!$A$2:$A1000=$A71 , Data!$B$2:$B1000 = $B71, Data!$C$2:$C1000 = $C71, Data!$H$2:$H1000 =$D71)"),"2000")</f>
        <v>2000</v>
      </c>
      <c r="F71" s="3">
        <v>50.0</v>
      </c>
      <c r="G71" s="3">
        <v>5.0</v>
      </c>
      <c r="H71" s="3" t="s">
        <v>13</v>
      </c>
      <c r="I71" s="3" t="s">
        <v>14</v>
      </c>
      <c r="J71" s="3">
        <v>7.985</v>
      </c>
      <c r="K71" s="3">
        <v>1.0</v>
      </c>
      <c r="L71" s="3">
        <v>3.1460466E7</v>
      </c>
      <c r="M71" s="3">
        <v>3.1460466E7</v>
      </c>
      <c r="N71">
        <v>0.0</v>
      </c>
      <c r="R71" s="3">
        <v>70.0</v>
      </c>
    </row>
    <row r="72">
      <c r="A72" s="4">
        <v>2000.0</v>
      </c>
      <c r="B72" s="4">
        <v>100.0</v>
      </c>
      <c r="C72" s="4">
        <v>1.0</v>
      </c>
      <c r="D72" s="4" t="str">
        <f>IFERROR(__xludf.DUMMYFUNCTION("DMAX({{Data!$A$1:$J$1};filter(Data!$A$2:$J1000,Data!$A$2:$A1000=$A72 , Data!$B$2:$B1000 = $B72, Data!$C$2:$C1000 = $C72)},$P$2, $P$22:$P$23)"),"102218190")</f>
        <v>102218190</v>
      </c>
      <c r="E72" s="4" t="str">
        <f>IFERROR(__xludf.DUMMYFUNCTION("filter(Data!$A$2:$J1000,Data!$A$2:$A1000=$A72 , Data!$B$2:$B1000 = $B72, Data!$C$2:$C1000 = $C72, Data!$H$2:$H1000 =$D72)"),"2000")</f>
        <v>2000</v>
      </c>
      <c r="F72" s="4">
        <v>100.0</v>
      </c>
      <c r="G72" s="4">
        <v>1.0</v>
      </c>
      <c r="H72" s="4" t="s">
        <v>13</v>
      </c>
      <c r="I72" s="4" t="s">
        <v>14</v>
      </c>
      <c r="J72" s="4">
        <v>27.741</v>
      </c>
      <c r="K72" s="4">
        <v>1.0</v>
      </c>
      <c r="L72" s="4">
        <v>1.0221819E8</v>
      </c>
      <c r="M72" s="4">
        <v>1.0221819E8</v>
      </c>
      <c r="N72" s="5">
        <v>0.0</v>
      </c>
      <c r="R72" s="3">
        <v>71.0</v>
      </c>
    </row>
    <row r="73">
      <c r="A73" s="4">
        <v>2000.0</v>
      </c>
      <c r="B73" s="4">
        <v>100.0</v>
      </c>
      <c r="C73" s="4">
        <v>2.0</v>
      </c>
      <c r="D73" s="4" t="str">
        <f>IFERROR(__xludf.DUMMYFUNCTION("DMAX({{Data!$A$1:$J$1};filter(Data!$A$2:$J1000,Data!$A$2:$A1000=$A73 , Data!$B$2:$B1000 = $B73, Data!$C$2:$C1000 = $C73)},$P$2, $P$22:$P$23)"),"102201199")</f>
        <v>102201199</v>
      </c>
      <c r="E73" s="4" t="str">
        <f>IFERROR(__xludf.DUMMYFUNCTION("filter(Data!$A$2:$J1000,Data!$A$2:$A1000=$A73 , Data!$B$2:$B1000 = $B73, Data!$C$2:$C1000 = $C73, Data!$H$2:$H1000 =$D73)"),"2000")</f>
        <v>2000</v>
      </c>
      <c r="F73" s="4">
        <v>100.0</v>
      </c>
      <c r="G73" s="4">
        <v>2.0</v>
      </c>
      <c r="H73" s="4" t="s">
        <v>13</v>
      </c>
      <c r="I73" s="4" t="s">
        <v>14</v>
      </c>
      <c r="J73" s="4">
        <v>26.556</v>
      </c>
      <c r="K73" s="4">
        <v>1.0</v>
      </c>
      <c r="L73" s="4">
        <v>1.02201199E8</v>
      </c>
      <c r="M73" s="4">
        <v>1.02201199E8</v>
      </c>
      <c r="N73" s="5">
        <v>0.0</v>
      </c>
      <c r="R73" s="3">
        <v>72.0</v>
      </c>
    </row>
    <row r="74">
      <c r="A74" s="4">
        <v>2000.0</v>
      </c>
      <c r="B74" s="4">
        <v>100.0</v>
      </c>
      <c r="C74" s="4">
        <v>3.0</v>
      </c>
      <c r="D74" s="4" t="str">
        <f>IFERROR(__xludf.DUMMYFUNCTION("DMAX({{Data!$A$1:$J$1};filter(Data!$A$2:$J1000,Data!$A$2:$A1000=$A74 , Data!$B$2:$B1000 = $B74, Data!$C$2:$C1000 = $C74)},$P$2, $P$22:$P$23)"),"102267106")</f>
        <v>102267106</v>
      </c>
      <c r="E74" s="4" t="str">
        <f>IFERROR(__xludf.DUMMYFUNCTION("filter(Data!$A$2:$J1000,Data!$A$2:$A1000=$A74 , Data!$B$2:$B1000 = $B74, Data!$C$2:$C1000 = $C74, Data!$H$2:$H1000 =$D74)"),"2000")</f>
        <v>2000</v>
      </c>
      <c r="F74" s="4">
        <v>100.0</v>
      </c>
      <c r="G74" s="4">
        <v>3.0</v>
      </c>
      <c r="H74" s="4" t="s">
        <v>13</v>
      </c>
      <c r="I74" s="4" t="s">
        <v>14</v>
      </c>
      <c r="J74" s="4">
        <v>28.387</v>
      </c>
      <c r="K74" s="4">
        <v>1.0</v>
      </c>
      <c r="L74" s="4">
        <v>1.02267106E8</v>
      </c>
      <c r="M74" s="4">
        <v>1.02267106E8</v>
      </c>
      <c r="N74" s="5">
        <v>0.0</v>
      </c>
      <c r="R74" s="3">
        <v>73.0</v>
      </c>
    </row>
    <row r="75">
      <c r="A75" s="4">
        <v>2000.0</v>
      </c>
      <c r="B75" s="4">
        <v>100.0</v>
      </c>
      <c r="C75" s="4">
        <v>4.0</v>
      </c>
      <c r="D75" s="4" t="str">
        <f>IFERROR(__xludf.DUMMYFUNCTION("DMAX({{Data!$A$1:$J$1};filter(Data!$A$2:$J1000,Data!$A$2:$A1000=$A75 , Data!$B$2:$B1000 = $B75, Data!$C$2:$C1000 = $C75)},$P$2, $P$22:$P$23)"),"102254515")</f>
        <v>102254515</v>
      </c>
      <c r="E75" s="4" t="str">
        <f>IFERROR(__xludf.DUMMYFUNCTION("filter(Data!$A$2:$J1000,Data!$A$2:$A1000=$A75 , Data!$B$2:$B1000 = $B75, Data!$C$2:$C1000 = $C75, Data!$H$2:$H1000 =$D75)"),"2000")</f>
        <v>2000</v>
      </c>
      <c r="F75" s="4">
        <v>100.0</v>
      </c>
      <c r="G75" s="4">
        <v>4.0</v>
      </c>
      <c r="H75" s="4" t="s">
        <v>13</v>
      </c>
      <c r="I75" s="4" t="s">
        <v>14</v>
      </c>
      <c r="J75" s="4">
        <v>29.576</v>
      </c>
      <c r="K75" s="4">
        <v>1.0</v>
      </c>
      <c r="L75" s="4">
        <v>1.02254515E8</v>
      </c>
      <c r="M75" s="4">
        <v>1.02254515E8</v>
      </c>
      <c r="N75" s="5">
        <v>0.0</v>
      </c>
      <c r="R75" s="3">
        <v>74.0</v>
      </c>
    </row>
    <row r="76">
      <c r="A76" s="4">
        <v>2000.0</v>
      </c>
      <c r="B76" s="4">
        <v>100.0</v>
      </c>
      <c r="C76" s="4">
        <v>5.0</v>
      </c>
      <c r="D76" s="4" t="str">
        <f>IFERROR(__xludf.DUMMYFUNCTION("DMAX({{Data!$A$1:$J$1};filter(Data!$A$2:$J1000,Data!$A$2:$A1000=$A76 , Data!$B$2:$B1000 = $B76, Data!$C$2:$C1000 = $C76)},$P$2, $P$22:$P$23)"),"102211685")</f>
        <v>102211685</v>
      </c>
      <c r="E76" s="4" t="str">
        <f>IFERROR(__xludf.DUMMYFUNCTION("filter(Data!$A$2:$J1000,Data!$A$2:$A1000=$A76 , Data!$B$2:$B1000 = $B76, Data!$C$2:$C1000 = $C76, Data!$H$2:$H1000 =$D76)"),"2000")</f>
        <v>2000</v>
      </c>
      <c r="F76" s="4">
        <v>100.0</v>
      </c>
      <c r="G76" s="4">
        <v>5.0</v>
      </c>
      <c r="H76" s="4" t="s">
        <v>13</v>
      </c>
      <c r="I76" s="4" t="s">
        <v>14</v>
      </c>
      <c r="J76" s="4">
        <v>30.067</v>
      </c>
      <c r="K76" s="4">
        <v>1.0</v>
      </c>
      <c r="L76" s="4">
        <v>1.02211685E8</v>
      </c>
      <c r="M76" s="4">
        <v>1.02211685E8</v>
      </c>
      <c r="N76" s="5">
        <v>0.0</v>
      </c>
      <c r="R76" s="3">
        <v>75.0</v>
      </c>
    </row>
    <row r="77">
      <c r="A77" s="3">
        <v>3000.0</v>
      </c>
      <c r="B77" s="3">
        <v>1.0</v>
      </c>
      <c r="C77" s="3">
        <v>1.0</v>
      </c>
      <c r="D77" s="7" t="str">
        <f>IFERROR(__xludf.DUMMYFUNCTION("DMAX({{Data!$A$1:$J$1};filter(Data!$A$2:$J1000,Data!$A$2:$A1000=$A77 , Data!$B$2:$B1000 = $B77, Data!$C$2:$C1000 = $C77)},$P$2, $P$22:$P$23)"),"1639630")</f>
        <v>1639630</v>
      </c>
      <c r="E77" s="7" t="str">
        <f>IFERROR(__xludf.DUMMYFUNCTION("filter(Data!$A$2:$J1000,Data!$A$2:$A1000=$A77 , Data!$B$2:$B1000 = $B77, Data!$C$2:$C1000 = $C77, Data!$H$2:$H1000 =$D77)"),"3000")</f>
        <v>3000</v>
      </c>
      <c r="F77" s="3">
        <v>1.0</v>
      </c>
      <c r="G77" s="3">
        <v>1.0</v>
      </c>
      <c r="H77" s="3" t="s">
        <v>13</v>
      </c>
      <c r="I77" s="3" t="s">
        <v>14</v>
      </c>
      <c r="J77" s="3">
        <v>0.041</v>
      </c>
      <c r="K77" s="3">
        <v>1.0</v>
      </c>
      <c r="L77" s="3">
        <v>1639630.0</v>
      </c>
      <c r="M77" s="3">
        <v>1639630.0</v>
      </c>
      <c r="N77">
        <v>0.0</v>
      </c>
      <c r="R77" s="3">
        <v>76.0</v>
      </c>
    </row>
    <row r="78">
      <c r="A78" s="3">
        <v>3000.0</v>
      </c>
      <c r="B78" s="3">
        <v>1.0</v>
      </c>
      <c r="C78" s="3">
        <v>2.0</v>
      </c>
      <c r="D78" s="7" t="str">
        <f>IFERROR(__xludf.DUMMYFUNCTION("DMAX({{Data!$A$1:$J$1};filter(Data!$A$2:$J1000,Data!$A$2:$A1000=$A78 , Data!$B$2:$B1000 = $B78, Data!$C$2:$C1000 = $C78)},$P$2, $P$22:$P$23)"),"1652319")</f>
        <v>1652319</v>
      </c>
      <c r="E78" s="7" t="str">
        <f>IFERROR(__xludf.DUMMYFUNCTION("filter(Data!$A$2:$J1000,Data!$A$2:$A1000=$A78 , Data!$B$2:$B1000 = $B78, Data!$C$2:$C1000 = $C78, Data!$H$2:$H1000 =$D78)"),"3000")</f>
        <v>3000</v>
      </c>
      <c r="F78" s="3">
        <v>1.0</v>
      </c>
      <c r="G78" s="3">
        <v>2.0</v>
      </c>
      <c r="H78" s="3" t="s">
        <v>16</v>
      </c>
      <c r="I78" s="3" t="s">
        <v>14</v>
      </c>
      <c r="J78" s="3">
        <v>4.13</v>
      </c>
      <c r="K78" s="3">
        <v>1.0</v>
      </c>
      <c r="L78" s="3">
        <v>1652319.0</v>
      </c>
      <c r="M78" s="3">
        <v>1652319.0</v>
      </c>
      <c r="N78">
        <v>0.0</v>
      </c>
      <c r="R78" s="3">
        <v>77.0</v>
      </c>
    </row>
    <row r="79">
      <c r="A79" s="3">
        <v>3000.0</v>
      </c>
      <c r="B79" s="3">
        <v>1.0</v>
      </c>
      <c r="C79" s="3">
        <v>3.0</v>
      </c>
      <c r="D79" s="7" t="str">
        <f>IFERROR(__xludf.DUMMYFUNCTION("DMAX({{Data!$A$1:$J$1};filter(Data!$A$2:$J1000,Data!$A$2:$A1000=$A79 , Data!$B$2:$B1000 = $B79, Data!$C$2:$C1000 = $C79)},$P$2, $P$22:$P$23)"),"1617993")</f>
        <v>1617993</v>
      </c>
      <c r="E79" s="7" t="str">
        <f>IFERROR(__xludf.DUMMYFUNCTION("filter(Data!$A$2:$J1000,Data!$A$2:$A1000=$A79 , Data!$B$2:$B1000 = $B79, Data!$C$2:$C1000 = $C79, Data!$H$2:$H1000 =$D79)"),"3000")</f>
        <v>3000</v>
      </c>
      <c r="F79" s="3">
        <v>1.0</v>
      </c>
      <c r="G79" s="3">
        <v>3.0</v>
      </c>
      <c r="H79" s="3" t="s">
        <v>13</v>
      </c>
      <c r="I79" s="3" t="s">
        <v>14</v>
      </c>
      <c r="J79" s="3">
        <v>0.036</v>
      </c>
      <c r="K79" s="3">
        <v>1.0</v>
      </c>
      <c r="L79" s="3">
        <v>1617993.0</v>
      </c>
      <c r="M79" s="3">
        <v>1617993.0</v>
      </c>
      <c r="N79">
        <v>0.0</v>
      </c>
      <c r="R79" s="3">
        <v>78.0</v>
      </c>
    </row>
    <row r="80">
      <c r="A80" s="3">
        <v>3000.0</v>
      </c>
      <c r="B80" s="3">
        <v>1.0</v>
      </c>
      <c r="C80" s="3">
        <v>4.0</v>
      </c>
      <c r="D80" s="7" t="str">
        <f>IFERROR(__xludf.DUMMYFUNCTION("DMAX({{Data!$A$1:$J$1};filter(Data!$A$2:$J1000,Data!$A$2:$A1000=$A80 , Data!$B$2:$B1000 = $B80, Data!$C$2:$C1000 = $C80)},$P$2, $P$22:$P$23)"),"1648047")</f>
        <v>1648047</v>
      </c>
      <c r="E80" s="7" t="str">
        <f>IFERROR(__xludf.DUMMYFUNCTION("filter(Data!$A$2:$J1000,Data!$A$2:$A1000=$A80 , Data!$B$2:$B1000 = $B80, Data!$C$2:$C1000 = $C80, Data!$H$2:$H1000 =$D80)"),"3000")</f>
        <v>3000</v>
      </c>
      <c r="F80" s="3">
        <v>1.0</v>
      </c>
      <c r="G80" s="3">
        <v>4.0</v>
      </c>
      <c r="H80" s="3" t="s">
        <v>13</v>
      </c>
      <c r="I80" s="3" t="s">
        <v>14</v>
      </c>
      <c r="J80" s="3">
        <v>0.046</v>
      </c>
      <c r="K80" s="3">
        <v>1.0</v>
      </c>
      <c r="L80" s="3">
        <v>1648047.0</v>
      </c>
      <c r="M80" s="3">
        <v>1648047.0</v>
      </c>
      <c r="N80">
        <v>0.0</v>
      </c>
      <c r="R80" s="3">
        <v>79.0</v>
      </c>
    </row>
    <row r="81">
      <c r="A81" s="3">
        <v>3000.0</v>
      </c>
      <c r="B81" s="3">
        <v>1.0</v>
      </c>
      <c r="C81" s="3">
        <v>5.0</v>
      </c>
      <c r="D81" s="7" t="str">
        <f>IFERROR(__xludf.DUMMYFUNCTION("DMAX({{Data!$A$1:$J$1};filter(Data!$A$2:$J1000,Data!$A$2:$A1000=$A81 , Data!$B$2:$B1000 = $B81, Data!$C$2:$C1000 = $C81)},$P$2, $P$22:$P$23)"),"1656866")</f>
        <v>1656866</v>
      </c>
      <c r="E81" s="7" t="str">
        <f>IFERROR(__xludf.DUMMYFUNCTION("filter(Data!$A$2:$J1000,Data!$A$2:$A1000=$A81 , Data!$B$2:$B1000 = $B81, Data!$C$2:$C1000 = $C81, Data!$H$2:$H1000 =$D81)"),"3000")</f>
        <v>3000</v>
      </c>
      <c r="F81" s="3">
        <v>1.0</v>
      </c>
      <c r="G81" s="3">
        <v>5.0</v>
      </c>
      <c r="H81" s="3" t="s">
        <v>13</v>
      </c>
      <c r="I81" s="3" t="s">
        <v>14</v>
      </c>
      <c r="J81" s="3">
        <v>0.039</v>
      </c>
      <c r="K81" s="3">
        <v>1.0</v>
      </c>
      <c r="L81" s="3">
        <v>1656866.0</v>
      </c>
      <c r="M81" s="3">
        <v>1656866.0</v>
      </c>
      <c r="N81">
        <v>0.0</v>
      </c>
      <c r="R81" s="3">
        <v>80.0</v>
      </c>
    </row>
    <row r="82">
      <c r="A82" s="4">
        <v>3000.0</v>
      </c>
      <c r="B82" s="4">
        <v>5.0</v>
      </c>
      <c r="C82" s="4">
        <v>1.0</v>
      </c>
      <c r="D82" s="4" t="str">
        <f>IFERROR(__xludf.DUMMYFUNCTION("DMAX({{Data!$A$1:$J$1};filter(Data!$A$2:$J1000,Data!$A$2:$A1000=$A82 , Data!$B$2:$B1000 = $B82, Data!$C$2:$C1000 = $C82)},$P$2, $P$22:$P$23)"),"6985586")</f>
        <v>6985586</v>
      </c>
      <c r="E82" s="4" t="str">
        <f>IFERROR(__xludf.DUMMYFUNCTION("filter(Data!$A$2:$J1000,Data!$A$2:$A1000=$A82 , Data!$B$2:$B1000 = $B82, Data!$C$2:$C1000 = $C82, Data!$H$2:$H1000 =$D82)"),"3000")</f>
        <v>3000</v>
      </c>
      <c r="F82" s="4">
        <v>5.0</v>
      </c>
      <c r="G82" s="4">
        <v>1.0</v>
      </c>
      <c r="H82" s="4" t="s">
        <v>13</v>
      </c>
      <c r="I82" s="4" t="s">
        <v>14</v>
      </c>
      <c r="J82" s="4">
        <v>0.449</v>
      </c>
      <c r="K82" s="4">
        <v>1.0</v>
      </c>
      <c r="L82" s="4">
        <v>6985586.0</v>
      </c>
      <c r="M82" s="4">
        <v>6985586.0</v>
      </c>
      <c r="N82" s="5">
        <v>0.0</v>
      </c>
      <c r="R82" s="3">
        <v>81.0</v>
      </c>
    </row>
    <row r="83">
      <c r="A83" s="4">
        <v>3000.0</v>
      </c>
      <c r="B83" s="4">
        <v>5.0</v>
      </c>
      <c r="C83" s="4">
        <v>2.0</v>
      </c>
      <c r="D83" s="4" t="str">
        <f>IFERROR(__xludf.DUMMYFUNCTION("DMAX({{Data!$A$1:$J$1};filter(Data!$A$2:$J1000,Data!$A$2:$A1000=$A83 , Data!$B$2:$B1000 = $B83, Data!$C$2:$C1000 = $C83)},$P$2, $P$22:$P$23)"),"7003713")</f>
        <v>7003713</v>
      </c>
      <c r="E83" s="4" t="str">
        <f>IFERROR(__xludf.DUMMYFUNCTION("filter(Data!$A$2:$J1000,Data!$A$2:$A1000=$A83 , Data!$B$2:$B1000 = $B83, Data!$C$2:$C1000 = $C83, Data!$H$2:$H1000 =$D83)"),"3000")</f>
        <v>3000</v>
      </c>
      <c r="F83" s="4">
        <v>5.0</v>
      </c>
      <c r="G83" s="4">
        <v>2.0</v>
      </c>
      <c r="H83" s="4" t="s">
        <v>16</v>
      </c>
      <c r="I83" s="4" t="s">
        <v>14</v>
      </c>
      <c r="J83" s="4">
        <v>4.966</v>
      </c>
      <c r="K83" s="4">
        <v>1.0</v>
      </c>
      <c r="L83" s="4">
        <v>7003713.0</v>
      </c>
      <c r="M83" s="4">
        <v>7003713.0</v>
      </c>
      <c r="N83" s="5">
        <v>0.0</v>
      </c>
      <c r="R83" s="3">
        <v>82.0</v>
      </c>
    </row>
    <row r="84">
      <c r="A84" s="4">
        <v>3000.0</v>
      </c>
      <c r="B84" s="4">
        <v>5.0</v>
      </c>
      <c r="C84" s="4">
        <v>3.0</v>
      </c>
      <c r="D84" s="4" t="str">
        <f>IFERROR(__xludf.DUMMYFUNCTION("DMAX({{Data!$A$1:$J$1};filter(Data!$A$2:$J1000,Data!$A$2:$A1000=$A84 , Data!$B$2:$B1000 = $B84, Data!$C$2:$C1000 = $C84)},$P$2, $P$22:$P$23)"),"6930392")</f>
        <v>6930392</v>
      </c>
      <c r="E84" s="4" t="str">
        <f>IFERROR(__xludf.DUMMYFUNCTION("filter(Data!$A$2:$J1000,Data!$A$2:$A1000=$A84 , Data!$B$2:$B1000 = $B84, Data!$C$2:$C1000 = $C84, Data!$H$2:$H1000 =$D84)"),"3000")</f>
        <v>3000</v>
      </c>
      <c r="F84" s="4">
        <v>5.0</v>
      </c>
      <c r="G84" s="4">
        <v>3.0</v>
      </c>
      <c r="H84" s="4" t="s">
        <v>13</v>
      </c>
      <c r="I84" s="4" t="s">
        <v>14</v>
      </c>
      <c r="J84" s="4">
        <v>0.433</v>
      </c>
      <c r="K84" s="4">
        <v>1.0</v>
      </c>
      <c r="L84" s="4">
        <v>6930392.0</v>
      </c>
      <c r="M84" s="4">
        <v>6930392.0</v>
      </c>
      <c r="N84" s="5">
        <v>0.0</v>
      </c>
      <c r="R84" s="3">
        <v>83.0</v>
      </c>
    </row>
    <row r="85">
      <c r="A85" s="4">
        <v>3000.0</v>
      </c>
      <c r="B85" s="4">
        <v>5.0</v>
      </c>
      <c r="C85" s="4">
        <v>4.0</v>
      </c>
      <c r="D85" s="4" t="str">
        <f>IFERROR(__xludf.DUMMYFUNCTION("DMAX({{Data!$A$1:$J$1};filter(Data!$A$2:$J1000,Data!$A$2:$A1000=$A85 , Data!$B$2:$B1000 = $B85, Data!$C$2:$C1000 = $C85)},$P$2, $P$22:$P$23)"),"7000820")</f>
        <v>7000820</v>
      </c>
      <c r="E85" s="4" t="str">
        <f>IFERROR(__xludf.DUMMYFUNCTION("filter(Data!$A$2:$J1000,Data!$A$2:$A1000=$A85 , Data!$B$2:$B1000 = $B85, Data!$C$2:$C1000 = $C85, Data!$H$2:$H1000 =$D85)"),"3000")</f>
        <v>3000</v>
      </c>
      <c r="F85" s="4">
        <v>5.0</v>
      </c>
      <c r="G85" s="4">
        <v>4.0</v>
      </c>
      <c r="H85" s="4" t="s">
        <v>13</v>
      </c>
      <c r="I85" s="4" t="s">
        <v>14</v>
      </c>
      <c r="J85" s="4">
        <v>0.401</v>
      </c>
      <c r="K85" s="4">
        <v>1.0</v>
      </c>
      <c r="L85" s="4">
        <v>7000820.0</v>
      </c>
      <c r="M85" s="4">
        <v>7000820.0</v>
      </c>
      <c r="N85" s="5">
        <v>0.0</v>
      </c>
      <c r="R85" s="3">
        <v>84.0</v>
      </c>
    </row>
    <row r="86">
      <c r="A86" s="4">
        <v>3000.0</v>
      </c>
      <c r="B86" s="4">
        <v>5.0</v>
      </c>
      <c r="C86" s="4">
        <v>5.0</v>
      </c>
      <c r="D86" s="4" t="str">
        <f>IFERROR(__xludf.DUMMYFUNCTION("DMAX({{Data!$A$1:$J$1};filter(Data!$A$2:$J1000,Data!$A$2:$A1000=$A86 , Data!$B$2:$B1000 = $B86, Data!$C$2:$C1000 = $C86)},$P$2, $P$22:$P$23)"),"6987171")</f>
        <v>6987171</v>
      </c>
      <c r="E86" s="4" t="str">
        <f>IFERROR(__xludf.DUMMYFUNCTION("filter(Data!$A$2:$J1000,Data!$A$2:$A1000=$A86 , Data!$B$2:$B1000 = $B86, Data!$C$2:$C1000 = $C86, Data!$H$2:$H1000 =$D86)"),"3000")</f>
        <v>3000</v>
      </c>
      <c r="F86" s="4">
        <v>5.0</v>
      </c>
      <c r="G86" s="4">
        <v>5.0</v>
      </c>
      <c r="H86" s="4" t="s">
        <v>15</v>
      </c>
      <c r="I86" s="4" t="s">
        <v>14</v>
      </c>
      <c r="J86" s="4">
        <v>3.001</v>
      </c>
      <c r="K86" s="4">
        <v>1.0</v>
      </c>
      <c r="L86" s="4">
        <v>6987171.0</v>
      </c>
      <c r="M86" s="4">
        <v>6987171.0</v>
      </c>
      <c r="N86" s="5">
        <v>0.0</v>
      </c>
      <c r="R86" s="3">
        <v>85.0</v>
      </c>
    </row>
    <row r="87">
      <c r="A87" s="3">
        <v>3000.0</v>
      </c>
      <c r="B87" s="3">
        <v>10.0</v>
      </c>
      <c r="C87" s="3">
        <v>1.0</v>
      </c>
      <c r="D87" s="7" t="str">
        <f>IFERROR(__xludf.DUMMYFUNCTION("DMAX({{Data!$A$1:$J$1};filter(Data!$A$2:$J1000,Data!$A$2:$A1000=$A87 , Data!$B$2:$B1000 = $B87, Data!$C$2:$C1000 = $C87)},$P$2, $P$22:$P$23)"),"13376950")</f>
        <v>13376950</v>
      </c>
      <c r="E87" s="7" t="str">
        <f>IFERROR(__xludf.DUMMYFUNCTION("filter(Data!$A$2:$J1000,Data!$A$2:$A1000=$A87 , Data!$B$2:$B1000 = $B87, Data!$C$2:$C1000 = $C87, Data!$H$2:$H1000 =$D87)"),"3000")</f>
        <v>3000</v>
      </c>
      <c r="F87" s="3">
        <v>10.0</v>
      </c>
      <c r="G87" s="3">
        <v>1.0</v>
      </c>
      <c r="H87" s="3" t="s">
        <v>16</v>
      </c>
      <c r="I87" s="3" t="s">
        <v>14</v>
      </c>
      <c r="J87" s="3">
        <v>6.842</v>
      </c>
      <c r="K87" s="3">
        <v>1.0</v>
      </c>
      <c r="L87" s="3">
        <v>1.337695E7</v>
      </c>
      <c r="M87" s="3">
        <v>1.337695E7</v>
      </c>
      <c r="N87">
        <v>0.0</v>
      </c>
      <c r="R87" s="3">
        <v>86.0</v>
      </c>
    </row>
    <row r="88">
      <c r="A88" s="3">
        <v>3000.0</v>
      </c>
      <c r="B88" s="3">
        <v>10.0</v>
      </c>
      <c r="C88" s="3">
        <v>2.0</v>
      </c>
      <c r="D88" s="7" t="str">
        <f>IFERROR(__xludf.DUMMYFUNCTION("DMAX({{Data!$A$1:$J$1};filter(Data!$A$2:$J1000,Data!$A$2:$A1000=$A88 , Data!$B$2:$B1000 = $B88, Data!$C$2:$C1000 = $C88)},$P$2, $P$22:$P$23)"),"13423712")</f>
        <v>13423712</v>
      </c>
      <c r="E88" s="7" t="str">
        <f>IFERROR(__xludf.DUMMYFUNCTION("filter(Data!$A$2:$J1000,Data!$A$2:$A1000=$A88 , Data!$B$2:$B1000 = $B88, Data!$C$2:$C1000 = $C88, Data!$H$2:$H1000 =$D88)"),"3000")</f>
        <v>3000</v>
      </c>
      <c r="F88" s="3">
        <v>10.0</v>
      </c>
      <c r="G88" s="3">
        <v>2.0</v>
      </c>
      <c r="H88" s="3" t="s">
        <v>16</v>
      </c>
      <c r="I88" s="3" t="s">
        <v>14</v>
      </c>
      <c r="J88" s="3">
        <v>9.332</v>
      </c>
      <c r="K88" s="3">
        <v>1.0</v>
      </c>
      <c r="L88" s="3">
        <v>1.3423712E7</v>
      </c>
      <c r="M88" s="3">
        <v>1.3423712E7</v>
      </c>
      <c r="N88">
        <v>0.0</v>
      </c>
      <c r="R88" s="3">
        <v>87.0</v>
      </c>
    </row>
    <row r="89">
      <c r="A89" s="3">
        <v>3000.0</v>
      </c>
      <c r="B89" s="3">
        <v>10.0</v>
      </c>
      <c r="C89" s="3">
        <v>3.0</v>
      </c>
      <c r="D89" s="7" t="str">
        <f>IFERROR(__xludf.DUMMYFUNCTION("DMAX({{Data!$A$1:$J$1};filter(Data!$A$2:$J1000,Data!$A$2:$A1000=$A89 , Data!$B$2:$B1000 = $B89, Data!$C$2:$C1000 = $C89)},$P$2, $P$22:$P$23)"),"13345644")</f>
        <v>13345644</v>
      </c>
      <c r="E89" s="7" t="str">
        <f>IFERROR(__xludf.DUMMYFUNCTION("filter(Data!$A$2:$J1000,Data!$A$2:$A1000=$A89 , Data!$B$2:$B1000 = $B89, Data!$C$2:$C1000 = $C89, Data!$H$2:$H1000 =$D89)"),"3000")</f>
        <v>3000</v>
      </c>
      <c r="F89" s="3">
        <v>10.0</v>
      </c>
      <c r="G89" s="3">
        <v>3.0</v>
      </c>
      <c r="H89" s="3" t="s">
        <v>13</v>
      </c>
      <c r="I89" s="3" t="s">
        <v>14</v>
      </c>
      <c r="J89" s="3">
        <v>1.42</v>
      </c>
      <c r="K89" s="3">
        <v>1.0</v>
      </c>
      <c r="L89" s="3">
        <v>1.3345644E7</v>
      </c>
      <c r="M89" s="3">
        <v>1.3345644E7</v>
      </c>
      <c r="N89">
        <v>0.0</v>
      </c>
      <c r="R89" s="3">
        <v>88.0</v>
      </c>
    </row>
    <row r="90">
      <c r="A90" s="3">
        <v>3000.0</v>
      </c>
      <c r="B90" s="3">
        <v>10.0</v>
      </c>
      <c r="C90" s="3">
        <v>4.0</v>
      </c>
      <c r="D90" s="7" t="str">
        <f>IFERROR(__xludf.DUMMYFUNCTION("DMAX({{Data!$A$1:$J$1};filter(Data!$A$2:$J1000,Data!$A$2:$A1000=$A90 , Data!$B$2:$B1000 = $B90, Data!$C$2:$C1000 = $C90)},$P$2, $P$22:$P$23)"),"13416519")</f>
        <v>13416519</v>
      </c>
      <c r="E90" s="7" t="str">
        <f>IFERROR(__xludf.DUMMYFUNCTION("filter(Data!$A$2:$J1000,Data!$A$2:$A1000=$A90 , Data!$B$2:$B1000 = $B90, Data!$C$2:$C1000 = $C90, Data!$H$2:$H1000 =$D90)"),"3000")</f>
        <v>3000</v>
      </c>
      <c r="F90" s="3">
        <v>10.0</v>
      </c>
      <c r="G90" s="3">
        <v>4.0</v>
      </c>
      <c r="H90" s="3" t="s">
        <v>16</v>
      </c>
      <c r="I90" s="3" t="s">
        <v>14</v>
      </c>
      <c r="J90" s="3">
        <v>8.218</v>
      </c>
      <c r="K90" s="3">
        <v>1.0</v>
      </c>
      <c r="L90" s="3">
        <v>1.3416519E7</v>
      </c>
      <c r="M90" s="3">
        <v>1.3416519E7</v>
      </c>
      <c r="N90">
        <v>0.0</v>
      </c>
      <c r="R90" s="3">
        <v>89.0</v>
      </c>
    </row>
    <row r="91">
      <c r="A91" s="3">
        <v>3000.0</v>
      </c>
      <c r="B91" s="3">
        <v>10.0</v>
      </c>
      <c r="C91" s="3">
        <v>5.0</v>
      </c>
      <c r="D91" s="7" t="str">
        <f>IFERROR(__xludf.DUMMYFUNCTION("DMAX({{Data!$A$1:$J$1};filter(Data!$A$2:$J1000,Data!$A$2:$A1000=$A91 , Data!$B$2:$B1000 = $B91, Data!$C$2:$C1000 = $C91)},$P$2, $P$22:$P$23)"),"13426716")</f>
        <v>13426716</v>
      </c>
      <c r="E91" s="7" t="str">
        <f>IFERROR(__xludf.DUMMYFUNCTION("filter(Data!$A$2:$J1000,Data!$A$2:$A1000=$A91 , Data!$B$2:$B1000 = $B91, Data!$C$2:$C1000 = $C91, Data!$H$2:$H1000 =$D91)"),"3000")</f>
        <v>3000</v>
      </c>
      <c r="F91" s="3">
        <v>10.0</v>
      </c>
      <c r="G91" s="3">
        <v>5.0</v>
      </c>
      <c r="H91" s="3" t="s">
        <v>13</v>
      </c>
      <c r="I91" s="3" t="s">
        <v>14</v>
      </c>
      <c r="J91" s="3">
        <v>1.44</v>
      </c>
      <c r="K91" s="3">
        <v>1.0</v>
      </c>
      <c r="L91" s="3">
        <v>1.3426716E7</v>
      </c>
      <c r="M91" s="3">
        <v>1.3426716E7</v>
      </c>
      <c r="N91">
        <v>0.0</v>
      </c>
      <c r="R91" s="3">
        <v>90.0</v>
      </c>
    </row>
    <row r="92">
      <c r="A92" s="3">
        <v>3000.0</v>
      </c>
      <c r="B92" s="3">
        <v>50.0</v>
      </c>
      <c r="C92" s="3">
        <v>1.0</v>
      </c>
      <c r="D92" s="7" t="str">
        <f>IFERROR(__xludf.DUMMYFUNCTION("DMAX({{Data!$A$1:$J$1};filter(Data!$A$2:$J1000,Data!$A$2:$A1000=$A92 , Data!$B$2:$B1000 = $B92, Data!$C$2:$C1000 = $C92)},$P$2, $P$22:$P$23)"),"69873340")</f>
        <v>69873340</v>
      </c>
      <c r="E92" s="7" t="str">
        <f>IFERROR(__xludf.DUMMYFUNCTION("filter(Data!$A$2:$J1000,Data!$A$2:$A1000=$A92 , Data!$B$2:$B1000 = $B92, Data!$C$2:$C1000 = $C92, Data!$H$2:$H1000 =$D92)"),"3000")</f>
        <v>3000</v>
      </c>
      <c r="F92" s="3">
        <v>50.0</v>
      </c>
      <c r="G92" s="3">
        <v>1.0</v>
      </c>
      <c r="H92" s="3" t="s">
        <v>16</v>
      </c>
      <c r="I92" s="3" t="s">
        <v>14</v>
      </c>
      <c r="J92" s="3">
        <v>16.658</v>
      </c>
      <c r="K92" s="3">
        <v>1.0</v>
      </c>
      <c r="L92" s="3">
        <v>6.987334E7</v>
      </c>
      <c r="M92" s="3">
        <v>6.987334E7</v>
      </c>
      <c r="N92">
        <v>0.0</v>
      </c>
      <c r="R92" s="3">
        <v>91.0</v>
      </c>
    </row>
    <row r="93">
      <c r="A93" s="3">
        <v>3000.0</v>
      </c>
      <c r="B93" s="3">
        <v>50.0</v>
      </c>
      <c r="C93" s="3">
        <v>2.0</v>
      </c>
      <c r="D93" s="7" t="str">
        <f>IFERROR(__xludf.DUMMYFUNCTION("DMAX({{Data!$A$1:$J$1};filter(Data!$A$2:$J1000,Data!$A$2:$A1000=$A93 , Data!$B$2:$B1000 = $B93, Data!$C$2:$C1000 = $C93)},$P$2, $P$22:$P$23)"),"69969509")</f>
        <v>69969509</v>
      </c>
      <c r="E93" s="7" t="str">
        <f>IFERROR(__xludf.DUMMYFUNCTION("filter(Data!$A$2:$J1000,Data!$A$2:$A1000=$A93 , Data!$B$2:$B1000 = $B93, Data!$C$2:$C1000 = $C93, Data!$H$2:$H1000 =$D93)"),"3000")</f>
        <v>3000</v>
      </c>
      <c r="F93" s="3">
        <v>50.0</v>
      </c>
      <c r="G93" s="3">
        <v>2.0</v>
      </c>
      <c r="H93" s="3" t="s">
        <v>16</v>
      </c>
      <c r="I93" s="3" t="s">
        <v>14</v>
      </c>
      <c r="J93" s="3">
        <v>10.701</v>
      </c>
      <c r="K93" s="3">
        <v>1.0</v>
      </c>
      <c r="L93" s="3">
        <v>6.9969509E7</v>
      </c>
      <c r="M93" s="3">
        <v>6.9969509E7</v>
      </c>
      <c r="N93">
        <v>0.0</v>
      </c>
      <c r="R93" s="3">
        <v>92.0</v>
      </c>
    </row>
    <row r="94">
      <c r="A94" s="3">
        <v>3000.0</v>
      </c>
      <c r="B94" s="3">
        <v>50.0</v>
      </c>
      <c r="C94" s="3">
        <v>3.0</v>
      </c>
      <c r="D94" s="7" t="str">
        <f>IFERROR(__xludf.DUMMYFUNCTION("DMAX({{Data!$A$1:$J$1};filter(Data!$A$2:$J1000,Data!$A$2:$A1000=$A94 , Data!$B$2:$B1000 = $B94, Data!$C$2:$C1000 = $C94)},$P$2, $P$22:$P$23)"),"69927678")</f>
        <v>69927678</v>
      </c>
      <c r="E94" s="7" t="str">
        <f>IFERROR(__xludf.DUMMYFUNCTION("filter(Data!$A$2:$J1000,Data!$A$2:$A1000=$A94 , Data!$B$2:$B1000 = $B94, Data!$C$2:$C1000 = $C94, Data!$H$2:$H1000 =$D94)"),"3000")</f>
        <v>3000</v>
      </c>
      <c r="F94" s="3">
        <v>50.0</v>
      </c>
      <c r="G94" s="3">
        <v>3.0</v>
      </c>
      <c r="H94" s="3" t="s">
        <v>13</v>
      </c>
      <c r="I94" s="3" t="s">
        <v>14</v>
      </c>
      <c r="J94" s="3">
        <v>26.036</v>
      </c>
      <c r="K94" s="3">
        <v>1.0</v>
      </c>
      <c r="L94" s="3">
        <v>6.9927678E7</v>
      </c>
      <c r="M94" s="3">
        <v>6.9927678E7</v>
      </c>
      <c r="N94">
        <v>0.0</v>
      </c>
      <c r="R94" s="3">
        <v>93.0</v>
      </c>
    </row>
    <row r="95">
      <c r="A95" s="3">
        <v>3000.0</v>
      </c>
      <c r="B95" s="3">
        <v>50.0</v>
      </c>
      <c r="C95" s="3">
        <v>4.0</v>
      </c>
      <c r="D95" s="7" t="str">
        <f>IFERROR(__xludf.DUMMYFUNCTION("DMAX({{Data!$A$1:$J$1};filter(Data!$A$2:$J1000,Data!$A$2:$A1000=$A95 , Data!$B$2:$B1000 = $B95, Data!$C$2:$C1000 = $C95)},$P$2, $P$22:$P$23)"),"69978249")</f>
        <v>69978249</v>
      </c>
      <c r="E95" s="7" t="str">
        <f>IFERROR(__xludf.DUMMYFUNCTION("filter(Data!$A$2:$J1000,Data!$A$2:$A1000=$A95 , Data!$B$2:$B1000 = $B95, Data!$C$2:$C1000 = $C95, Data!$H$2:$H1000 =$D95)"),"3000")</f>
        <v>3000</v>
      </c>
      <c r="F95" s="3">
        <v>50.0</v>
      </c>
      <c r="G95" s="3">
        <v>4.0</v>
      </c>
      <c r="H95" s="3" t="s">
        <v>13</v>
      </c>
      <c r="I95" s="3" t="s">
        <v>14</v>
      </c>
      <c r="J95" s="3">
        <v>25.783</v>
      </c>
      <c r="K95" s="3">
        <v>1.0</v>
      </c>
      <c r="L95" s="3">
        <v>6.9978249E7</v>
      </c>
      <c r="M95" s="3">
        <v>6.9978249E7</v>
      </c>
      <c r="N95">
        <v>0.0</v>
      </c>
      <c r="R95" s="3">
        <v>94.0</v>
      </c>
    </row>
    <row r="96">
      <c r="A96" s="3">
        <v>3000.0</v>
      </c>
      <c r="B96" s="3">
        <v>50.0</v>
      </c>
      <c r="C96" s="3">
        <v>5.0</v>
      </c>
      <c r="D96" s="7" t="str">
        <f>IFERROR(__xludf.DUMMYFUNCTION("DMAX({{Data!$A$1:$J$1};filter(Data!$A$2:$J1000,Data!$A$2:$A1000=$A96 , Data!$B$2:$B1000 = $B96, Data!$C$2:$C1000 = $C96)},$P$2, $P$22:$P$23)"),"69993792")</f>
        <v>69993792</v>
      </c>
      <c r="E96" s="7" t="str">
        <f>IFERROR(__xludf.DUMMYFUNCTION("filter(Data!$A$2:$J1000,Data!$A$2:$A1000=$A96 , Data!$B$2:$B1000 = $B96, Data!$C$2:$C1000 = $C96, Data!$H$2:$H1000 =$D96)"),"3000")</f>
        <v>3000</v>
      </c>
      <c r="F96" s="3">
        <v>50.0</v>
      </c>
      <c r="G96" s="3">
        <v>5.0</v>
      </c>
      <c r="H96" s="3" t="s">
        <v>15</v>
      </c>
      <c r="I96" s="3" t="s">
        <v>14</v>
      </c>
      <c r="J96" s="3">
        <v>68.65</v>
      </c>
      <c r="K96" s="3">
        <v>1.0</v>
      </c>
      <c r="L96" s="3">
        <v>6.9993792E7</v>
      </c>
      <c r="M96" s="3">
        <v>6.9993792E7</v>
      </c>
      <c r="N96">
        <v>0.0</v>
      </c>
      <c r="R96" s="3">
        <v>95.0</v>
      </c>
    </row>
    <row r="97">
      <c r="A97" s="3">
        <v>3000.0</v>
      </c>
      <c r="B97" s="3">
        <v>100.0</v>
      </c>
      <c r="C97" s="3">
        <v>1.0</v>
      </c>
      <c r="D97" s="7" t="str">
        <f>IFERROR(__xludf.DUMMYFUNCTION("DMAX({{Data!$A$1:$J$1};filter(Data!$A$2:$J1000,Data!$A$2:$A1000=$A97 , Data!$B$2:$B1000 = $B97, Data!$C$2:$C1000 = $C97)},$P$2, $P$22:$P$23)"),"229117690")</f>
        <v>229117690</v>
      </c>
      <c r="E97" s="7" t="str">
        <f>IFERROR(__xludf.DUMMYFUNCTION("filter(Data!$A$2:$J1000,Data!$A$2:$A1000=$A97 , Data!$B$2:$B1000 = $B97, Data!$C$2:$C1000 = $C97, Data!$H$2:$H1000 =$D97)"),"3000")</f>
        <v>3000</v>
      </c>
      <c r="F97" s="3">
        <v>100.0</v>
      </c>
      <c r="G97" s="3">
        <v>1.0</v>
      </c>
      <c r="H97" s="3" t="s">
        <v>13</v>
      </c>
      <c r="I97" s="3" t="s">
        <v>14</v>
      </c>
      <c r="J97" s="3">
        <v>89.177</v>
      </c>
      <c r="K97" s="3">
        <v>1.0</v>
      </c>
      <c r="L97" s="3">
        <v>2.2911769E8</v>
      </c>
      <c r="M97" s="3">
        <v>2.2911769E8</v>
      </c>
      <c r="N97">
        <v>0.0</v>
      </c>
      <c r="R97" s="3">
        <v>96.0</v>
      </c>
    </row>
    <row r="98">
      <c r="A98" s="3">
        <v>3000.0</v>
      </c>
      <c r="B98" s="3">
        <v>100.0</v>
      </c>
      <c r="C98" s="3">
        <v>2.0</v>
      </c>
      <c r="D98" s="7" t="str">
        <f>IFERROR(__xludf.DUMMYFUNCTION("DMAX({{Data!$A$1:$J$1};filter(Data!$A$2:$J1000,Data!$A$2:$A1000=$A98 , Data!$B$2:$B1000 = $B98, Data!$C$2:$C1000 = $C98)},$P$2, $P$22:$P$23)"),"229132479")</f>
        <v>229132479</v>
      </c>
      <c r="E98" s="7" t="str">
        <f>IFERROR(__xludf.DUMMYFUNCTION("filter(Data!$A$2:$J1000,Data!$A$2:$A1000=$A98 , Data!$B$2:$B1000 = $B98, Data!$C$2:$C1000 = $C98, Data!$H$2:$H1000 =$D98)"),"3000")</f>
        <v>3000</v>
      </c>
      <c r="F98" s="3">
        <v>100.0</v>
      </c>
      <c r="G98" s="3">
        <v>2.0</v>
      </c>
      <c r="H98" s="3" t="s">
        <v>13</v>
      </c>
      <c r="I98" s="3" t="s">
        <v>14</v>
      </c>
      <c r="J98" s="3">
        <v>92.622</v>
      </c>
      <c r="K98" s="3">
        <v>1.0</v>
      </c>
      <c r="L98" s="3">
        <v>2.29132479E8</v>
      </c>
      <c r="M98" s="3">
        <v>2.29132479E8</v>
      </c>
      <c r="N98">
        <v>0.0</v>
      </c>
      <c r="R98" s="3">
        <v>97.0</v>
      </c>
    </row>
    <row r="99">
      <c r="A99" s="3">
        <v>3000.0</v>
      </c>
      <c r="B99" s="3">
        <v>100.0</v>
      </c>
      <c r="C99" s="3">
        <v>3.0</v>
      </c>
      <c r="D99" s="7" t="str">
        <f>IFERROR(__xludf.DUMMYFUNCTION("DMAX({{Data!$A$1:$J$1};filter(Data!$A$2:$J1000,Data!$A$2:$A1000=$A99 , Data!$B$2:$B1000 = $B99, Data!$C$2:$C1000 = $C99)},$P$2, $P$22:$P$23)"),"229248723")</f>
        <v>229248723</v>
      </c>
      <c r="E99" s="7" t="str">
        <f>IFERROR(__xludf.DUMMYFUNCTION("filter(Data!$A$2:$J1000,Data!$A$2:$A1000=$A99 , Data!$B$2:$B1000 = $B99, Data!$C$2:$C1000 = $C99, Data!$H$2:$H1000 =$D99)"),"3000")</f>
        <v>3000</v>
      </c>
      <c r="F99" s="3">
        <v>100.0</v>
      </c>
      <c r="G99" s="3">
        <v>3.0</v>
      </c>
      <c r="H99" s="3" t="s">
        <v>15</v>
      </c>
      <c r="I99" s="3" t="s">
        <v>14</v>
      </c>
      <c r="J99" s="3">
        <v>172.136</v>
      </c>
      <c r="K99" s="3">
        <v>1.0</v>
      </c>
      <c r="L99" s="3">
        <v>2.29248723E8</v>
      </c>
      <c r="M99" s="3">
        <v>2.29248723E8</v>
      </c>
      <c r="N99">
        <v>0.0</v>
      </c>
      <c r="R99" s="3">
        <v>98.0</v>
      </c>
    </row>
    <row r="100">
      <c r="A100" s="3">
        <v>3000.0</v>
      </c>
      <c r="B100" s="3">
        <v>100.0</v>
      </c>
      <c r="C100" s="3">
        <v>4.0</v>
      </c>
      <c r="D100" s="7" t="str">
        <f>IFERROR(__xludf.DUMMYFUNCTION("DMAX({{Data!$A$1:$J$1};filter(Data!$A$2:$J1000,Data!$A$2:$A1000=$A100 , Data!$B$2:$B1000 = $B100, Data!$C$2:$C1000 = $C100)},$P$2, $P$22:$P$23)"),"229144024")</f>
        <v>229144024</v>
      </c>
      <c r="E100" s="7" t="str">
        <f>IFERROR(__xludf.DUMMYFUNCTION("filter(Data!$A$2:$J1000,Data!$A$2:$A1000=$A100 , Data!$B$2:$B1000 = $B100, Data!$C$2:$C1000 = $C100, Data!$H$2:$H1000 =$D100)"),"3000")</f>
        <v>3000</v>
      </c>
      <c r="F100" s="3">
        <v>100.0</v>
      </c>
      <c r="G100" s="3">
        <v>4.0</v>
      </c>
      <c r="H100" s="3" t="s">
        <v>13</v>
      </c>
      <c r="I100" s="3" t="s">
        <v>14</v>
      </c>
      <c r="J100" s="3">
        <v>93.479</v>
      </c>
      <c r="K100" s="3">
        <v>1.0</v>
      </c>
      <c r="L100" s="3">
        <v>2.29144024E8</v>
      </c>
      <c r="M100" s="3">
        <v>2.29144024E8</v>
      </c>
      <c r="N100">
        <v>0.0</v>
      </c>
      <c r="R100" s="3">
        <v>99.0</v>
      </c>
    </row>
    <row r="101">
      <c r="A101" s="3">
        <v>3000.0</v>
      </c>
      <c r="B101" s="3">
        <v>100.0</v>
      </c>
      <c r="C101" s="3">
        <v>5.0</v>
      </c>
      <c r="D101" s="7" t="str">
        <f>IFERROR(__xludf.DUMMYFUNCTION("DMAX({{Data!$A$1:$J$1};filter(Data!$A$2:$J1000,Data!$A$2:$A1000=$A101 , Data!$B$2:$B1000 = $B101, Data!$C$2:$C1000 = $C101)},$P$2, $P$22:$P$23)"),"229157249")</f>
        <v>229157249</v>
      </c>
      <c r="E101" s="7" t="str">
        <f>IFERROR(__xludf.DUMMYFUNCTION("filter(Data!$A$2:$J1000,Data!$A$2:$A1000=$A101 , Data!$B$2:$B1000 = $B101, Data!$C$2:$C1000 = $C101, Data!$H$2:$H1000 =$D101)"),"3000")</f>
        <v>3000</v>
      </c>
      <c r="F101" s="3">
        <v>100.0</v>
      </c>
      <c r="G101" s="3">
        <v>5.0</v>
      </c>
      <c r="H101" s="3" t="s">
        <v>13</v>
      </c>
      <c r="I101" s="3" t="s">
        <v>14</v>
      </c>
      <c r="J101" s="3">
        <v>94.026</v>
      </c>
      <c r="K101" s="3">
        <v>1.0</v>
      </c>
      <c r="L101" s="3">
        <v>2.29157249E8</v>
      </c>
      <c r="M101" s="3">
        <v>2.29157249E8</v>
      </c>
      <c r="N101">
        <v>0.0</v>
      </c>
      <c r="R101" s="3">
        <v>100.0</v>
      </c>
    </row>
    <row r="102">
      <c r="A102" s="3">
        <v>4000.0</v>
      </c>
      <c r="B102" s="3">
        <v>1.0</v>
      </c>
      <c r="C102" s="3">
        <v>1.0</v>
      </c>
      <c r="D102" s="7" t="str">
        <f>IFERROR(__xludf.DUMMYFUNCTION("DMAX({{Data!$A$1:$J$1};filter(Data!$A$2:$J1000,Data!$A$2:$A1000=$A102 , Data!$B$2:$B1000 = $B102, Data!$C$2:$C1000 = $C102)},$P$2, $P$22:$P$23)"),"2828645")</f>
        <v>2828645</v>
      </c>
      <c r="E102" s="7" t="str">
        <f>IFERROR(__xludf.DUMMYFUNCTION("filter(Data!$A$2:$J1000,Data!$A$2:$A1000=$A102 , Data!$B$2:$B1000 = $B102, Data!$C$2:$C1000 = $C102, Data!$H$2:$H1000 =$D102)"),"4000")</f>
        <v>4000</v>
      </c>
      <c r="F102" s="3">
        <v>1.0</v>
      </c>
      <c r="G102" s="3">
        <v>1.0</v>
      </c>
      <c r="H102" s="3" t="s">
        <v>15</v>
      </c>
      <c r="I102" s="3" t="s">
        <v>14</v>
      </c>
      <c r="J102" s="3">
        <v>0.5</v>
      </c>
      <c r="K102" s="3">
        <v>1.0</v>
      </c>
      <c r="L102" s="3">
        <v>2828645.0</v>
      </c>
      <c r="M102" s="3">
        <v>2828645.0</v>
      </c>
      <c r="N102">
        <v>0.0</v>
      </c>
      <c r="R102" s="3">
        <v>101.0</v>
      </c>
    </row>
    <row r="103">
      <c r="A103" s="3">
        <v>4000.0</v>
      </c>
      <c r="B103" s="3">
        <v>1.0</v>
      </c>
      <c r="C103" s="3">
        <v>2.0</v>
      </c>
      <c r="D103" s="7" t="str">
        <f>IFERROR(__xludf.DUMMYFUNCTION("DMAX({{Data!$A$1:$J$1};filter(Data!$A$2:$J1000,Data!$A$2:$A1000=$A103 , Data!$B$2:$B1000 = $B103, Data!$C$2:$C1000 = $C103)},$P$2, $P$22:$P$23)"),"2827882")</f>
        <v>2827882</v>
      </c>
      <c r="E103" s="7" t="str">
        <f>IFERROR(__xludf.DUMMYFUNCTION("filter(Data!$A$2:$J1000,Data!$A$2:$A1000=$A103 , Data!$B$2:$B1000 = $B103, Data!$C$2:$C1000 = $C103, Data!$H$2:$H1000 =$D103)"),"4000")</f>
        <v>4000</v>
      </c>
      <c r="F103" s="3">
        <v>1.0</v>
      </c>
      <c r="G103" s="3">
        <v>2.0</v>
      </c>
      <c r="H103" s="3" t="s">
        <v>15</v>
      </c>
      <c r="I103" s="3" t="s">
        <v>14</v>
      </c>
      <c r="J103" s="3">
        <v>0.545</v>
      </c>
      <c r="K103" s="3">
        <v>1.0</v>
      </c>
      <c r="L103" s="3">
        <v>2827882.0</v>
      </c>
      <c r="M103" s="3">
        <v>2827882.0</v>
      </c>
      <c r="N103">
        <v>0.0</v>
      </c>
      <c r="R103" s="3">
        <v>102.0</v>
      </c>
    </row>
    <row r="104">
      <c r="A104" s="3">
        <v>4000.0</v>
      </c>
      <c r="B104" s="3">
        <v>1.0</v>
      </c>
      <c r="C104" s="3">
        <v>3.0</v>
      </c>
      <c r="D104" s="7" t="str">
        <f>IFERROR(__xludf.DUMMYFUNCTION("DMAX({{Data!$A$1:$J$1};filter(Data!$A$2:$J1000,Data!$A$2:$A1000=$A104 , Data!$B$2:$B1000 = $B104, Data!$C$2:$C1000 = $C104)},$P$2, $P$22:$P$23)"),"2799948")</f>
        <v>2799948</v>
      </c>
      <c r="E104" s="7" t="str">
        <f>IFERROR(__xludf.DUMMYFUNCTION("filter(Data!$A$2:$J1000,Data!$A$2:$A1000=$A104 , Data!$B$2:$B1000 = $B104, Data!$C$2:$C1000 = $C104, Data!$H$2:$H1000 =$D104)"),"4000")</f>
        <v>4000</v>
      </c>
      <c r="F104" s="3">
        <v>1.0</v>
      </c>
      <c r="G104" s="3">
        <v>3.0</v>
      </c>
      <c r="H104" s="3" t="s">
        <v>16</v>
      </c>
      <c r="I104" s="3" t="s">
        <v>14</v>
      </c>
      <c r="J104" s="3">
        <v>8.598</v>
      </c>
      <c r="K104" s="3">
        <v>1.0</v>
      </c>
      <c r="L104" s="3">
        <v>2799948.0</v>
      </c>
      <c r="M104" s="3">
        <v>2799948.0</v>
      </c>
      <c r="N104">
        <v>0.0</v>
      </c>
      <c r="R104" s="3">
        <v>103.0</v>
      </c>
    </row>
    <row r="105">
      <c r="A105" s="3">
        <v>4000.0</v>
      </c>
      <c r="B105" s="3">
        <v>1.0</v>
      </c>
      <c r="C105" s="3">
        <v>4.0</v>
      </c>
      <c r="D105" s="7" t="str">
        <f>IFERROR(__xludf.DUMMYFUNCTION("DMAX({{Data!$A$1:$J$1};filter(Data!$A$2:$J1000,Data!$A$2:$A1000=$A105 , Data!$B$2:$B1000 = $B105, Data!$C$2:$C1000 = $C105)},$P$2, $P$22:$P$23)"),"2835464")</f>
        <v>2835464</v>
      </c>
      <c r="E105" s="7" t="str">
        <f>IFERROR(__xludf.DUMMYFUNCTION("filter(Data!$A$2:$J1000,Data!$A$2:$A1000=$A105 , Data!$B$2:$B1000 = $B105, Data!$C$2:$C1000 = $C105, Data!$H$2:$H1000 =$D105)"),"4000")</f>
        <v>4000</v>
      </c>
      <c r="F105" s="3">
        <v>1.0</v>
      </c>
      <c r="G105" s="3">
        <v>4.0</v>
      </c>
      <c r="H105" s="3" t="s">
        <v>15</v>
      </c>
      <c r="I105" s="3" t="s">
        <v>14</v>
      </c>
      <c r="J105" s="3">
        <v>0.475</v>
      </c>
      <c r="K105" s="3">
        <v>1.0</v>
      </c>
      <c r="L105" s="3">
        <v>2835464.0</v>
      </c>
      <c r="M105" s="3">
        <v>2835464.0</v>
      </c>
      <c r="N105">
        <v>0.0</v>
      </c>
      <c r="R105" s="3">
        <v>104.0</v>
      </c>
    </row>
    <row r="106">
      <c r="A106" s="3">
        <v>4000.0</v>
      </c>
      <c r="B106" s="3">
        <v>1.0</v>
      </c>
      <c r="C106" s="3">
        <v>5.0</v>
      </c>
      <c r="D106" s="7" t="str">
        <f>IFERROR(__xludf.DUMMYFUNCTION("DMAX({{Data!$A$1:$J$1};filter(Data!$A$2:$J1000,Data!$A$2:$A1000=$A106 , Data!$B$2:$B1000 = $B106, Data!$C$2:$C1000 = $C106)},$P$2, $P$22:$P$23)"),"2832579")</f>
        <v>2832579</v>
      </c>
      <c r="E106" s="7" t="str">
        <f>IFERROR(__xludf.DUMMYFUNCTION("filter(Data!$A$2:$J1000,Data!$A$2:$A1000=$A106 , Data!$B$2:$B1000 = $B106, Data!$C$2:$C1000 = $C106, Data!$H$2:$H1000 =$D106)"),"4000")</f>
        <v>4000</v>
      </c>
      <c r="F106" s="3">
        <v>1.0</v>
      </c>
      <c r="G106" s="3">
        <v>5.0</v>
      </c>
      <c r="H106" s="3" t="s">
        <v>15</v>
      </c>
      <c r="I106" s="3" t="s">
        <v>14</v>
      </c>
      <c r="J106" s="3">
        <v>0.486</v>
      </c>
      <c r="K106" s="3">
        <v>1.0</v>
      </c>
      <c r="L106" s="3">
        <v>2832579.0</v>
      </c>
      <c r="M106" s="3">
        <v>2832579.0</v>
      </c>
      <c r="N106">
        <v>0.0</v>
      </c>
      <c r="R106" s="3">
        <v>105.0</v>
      </c>
    </row>
    <row r="107">
      <c r="A107" s="3">
        <v>4000.0</v>
      </c>
      <c r="B107" s="3">
        <v>5.0</v>
      </c>
      <c r="C107" s="3">
        <v>1.0</v>
      </c>
      <c r="D107" s="7" t="str">
        <f>IFERROR(__xludf.DUMMYFUNCTION("DMAX({{Data!$A$1:$J$1};filter(Data!$A$2:$J1000,Data!$A$2:$A1000=$A107 , Data!$B$2:$B1000 = $B107, Data!$C$2:$C1000 = $C107)},$P$2, $P$22:$P$23)"),"12120851")</f>
        <v>12120851</v>
      </c>
      <c r="E107" s="7" t="str">
        <f>IFERROR(__xludf.DUMMYFUNCTION("filter(Data!$A$2:$J1000,Data!$A$2:$A1000=$A107 , Data!$B$2:$B1000 = $B107, Data!$C$2:$C1000 = $C107, Data!$H$2:$H1000 =$D107)"),"4000")</f>
        <v>4000</v>
      </c>
      <c r="F107" s="3">
        <v>5.0</v>
      </c>
      <c r="G107" s="3">
        <v>1.0</v>
      </c>
      <c r="H107" s="3" t="s">
        <v>16</v>
      </c>
      <c r="I107" s="3" t="s">
        <v>14</v>
      </c>
      <c r="J107" s="3">
        <v>14.699</v>
      </c>
      <c r="K107" s="3">
        <v>1.0</v>
      </c>
      <c r="L107" s="3">
        <v>1.2120851E7</v>
      </c>
      <c r="M107" s="3">
        <v>1.2120851E7</v>
      </c>
      <c r="N107">
        <v>0.0</v>
      </c>
      <c r="R107" s="3">
        <v>106.0</v>
      </c>
    </row>
    <row r="108">
      <c r="A108" s="3">
        <v>4000.0</v>
      </c>
      <c r="B108" s="3">
        <v>5.0</v>
      </c>
      <c r="C108" s="3">
        <v>2.0</v>
      </c>
      <c r="D108" s="7" t="str">
        <f>IFERROR(__xludf.DUMMYFUNCTION("DMAX({{Data!$A$1:$J$1};filter(Data!$A$2:$J1000,Data!$A$2:$A1000=$A108 , Data!$B$2:$B1000 = $B108, Data!$C$2:$C1000 = $C108)},$P$2, $P$22:$P$23)"),"12158721")</f>
        <v>12158721</v>
      </c>
      <c r="E108" s="7" t="str">
        <f>IFERROR(__xludf.DUMMYFUNCTION("filter(Data!$A$2:$J1000,Data!$A$2:$A1000=$A108 , Data!$B$2:$B1000 = $B108, Data!$C$2:$C1000 = $C108, Data!$H$2:$H1000 =$D108)"),"4000")</f>
        <v>4000</v>
      </c>
      <c r="F108" s="3">
        <v>5.0</v>
      </c>
      <c r="G108" s="3">
        <v>2.0</v>
      </c>
      <c r="H108" s="3" t="s">
        <v>15</v>
      </c>
      <c r="I108" s="3" t="s">
        <v>14</v>
      </c>
      <c r="J108" s="3">
        <v>6.164</v>
      </c>
      <c r="K108" s="3">
        <v>1.0</v>
      </c>
      <c r="L108" s="3">
        <v>1.2158721E7</v>
      </c>
      <c r="M108" s="3">
        <v>1.2158721E7</v>
      </c>
      <c r="N108">
        <v>0.0</v>
      </c>
      <c r="R108" s="3">
        <v>107.0</v>
      </c>
    </row>
    <row r="109">
      <c r="A109" s="3">
        <v>4000.0</v>
      </c>
      <c r="B109" s="3">
        <v>5.0</v>
      </c>
      <c r="C109" s="3">
        <v>3.0</v>
      </c>
      <c r="D109" s="7" t="str">
        <f>IFERROR(__xludf.DUMMYFUNCTION("DMAX({{Data!$A$1:$J$1};filter(Data!$A$2:$J1000,Data!$A$2:$A1000=$A109 , Data!$B$2:$B1000 = $B109, Data!$C$2:$C1000 = $C109)},$P$2, $P$22:$P$23)"),"12080451")</f>
        <v>12080451</v>
      </c>
      <c r="E109" s="7" t="str">
        <f>IFERROR(__xludf.DUMMYFUNCTION("filter(Data!$A$2:$J1000,Data!$A$2:$A1000=$A109 , Data!$B$2:$B1000 = $B109, Data!$C$2:$C1000 = $C109, Data!$H$2:$H1000 =$D109)"),"4000")</f>
        <v>4000</v>
      </c>
      <c r="F109" s="3">
        <v>5.0</v>
      </c>
      <c r="G109" s="3">
        <v>3.0</v>
      </c>
      <c r="H109" s="3" t="s">
        <v>13</v>
      </c>
      <c r="I109" s="3" t="s">
        <v>14</v>
      </c>
      <c r="J109" s="3">
        <v>1.049</v>
      </c>
      <c r="K109" s="3">
        <v>1.0</v>
      </c>
      <c r="L109" s="3">
        <v>1.2080451E7</v>
      </c>
      <c r="M109" s="3">
        <v>1.2080451E7</v>
      </c>
      <c r="N109">
        <v>0.0</v>
      </c>
      <c r="R109" s="3">
        <v>108.0</v>
      </c>
    </row>
    <row r="110">
      <c r="A110" s="3">
        <v>4000.0</v>
      </c>
      <c r="B110" s="3">
        <v>5.0</v>
      </c>
      <c r="C110" s="3">
        <v>4.0</v>
      </c>
      <c r="D110" s="7" t="str">
        <f>IFERROR(__xludf.DUMMYFUNCTION("DMAX({{Data!$A$1:$J$1};filter(Data!$A$2:$J1000,Data!$A$2:$A1000=$A110 , Data!$B$2:$B1000 = $B110, Data!$C$2:$C1000 = $C110)},$P$2, $P$22:$P$23)"),"12142850")</f>
        <v>12142850</v>
      </c>
      <c r="E110" s="7" t="str">
        <f>IFERROR(__xludf.DUMMYFUNCTION("filter(Data!$A$2:$J1000,Data!$A$2:$A1000=$A110 , Data!$B$2:$B1000 = $B110, Data!$C$2:$C1000 = $C110, Data!$H$2:$H1000 =$D110)"),"4000")</f>
        <v>4000</v>
      </c>
      <c r="F110" s="3">
        <v>5.0</v>
      </c>
      <c r="G110" s="3">
        <v>4.0</v>
      </c>
      <c r="H110" s="3" t="s">
        <v>16</v>
      </c>
      <c r="I110" s="3" t="s">
        <v>14</v>
      </c>
      <c r="J110" s="3">
        <v>15.369</v>
      </c>
      <c r="K110" s="3">
        <v>1.0</v>
      </c>
      <c r="L110" s="3">
        <v>1.214285E7</v>
      </c>
      <c r="M110" s="3">
        <v>1.214285E7</v>
      </c>
      <c r="N110">
        <v>0.0</v>
      </c>
      <c r="R110" s="3">
        <v>109.0</v>
      </c>
    </row>
    <row r="111">
      <c r="A111" s="3">
        <v>4000.0</v>
      </c>
      <c r="B111" s="3">
        <v>5.0</v>
      </c>
      <c r="C111" s="3">
        <v>5.0</v>
      </c>
      <c r="D111" s="7" t="str">
        <f>IFERROR(__xludf.DUMMYFUNCTION("DMAX({{Data!$A$1:$J$1};filter(Data!$A$2:$J1000,Data!$A$2:$A1000=$A111 , Data!$B$2:$B1000 = $B111, Data!$C$2:$C1000 = $C111)},$P$2, $P$22:$P$23)"),"12123000")</f>
        <v>12123000</v>
      </c>
      <c r="E111" s="7" t="str">
        <f>IFERROR(__xludf.DUMMYFUNCTION("filter(Data!$A$2:$J1000,Data!$A$2:$A1000=$A111 , Data!$B$2:$B1000 = $B111, Data!$C$2:$C1000 = $C111, Data!$H$2:$H1000 =$D111)"),"4000")</f>
        <v>4000</v>
      </c>
      <c r="F111" s="3">
        <v>5.0</v>
      </c>
      <c r="G111" s="3">
        <v>5.0</v>
      </c>
      <c r="H111" s="3" t="s">
        <v>16</v>
      </c>
      <c r="I111" s="3" t="s">
        <v>14</v>
      </c>
      <c r="J111" s="3">
        <v>12.448</v>
      </c>
      <c r="K111" s="3">
        <v>1.0</v>
      </c>
      <c r="L111" s="3">
        <v>1.2123E7</v>
      </c>
      <c r="M111" s="3">
        <v>1.2123E7</v>
      </c>
      <c r="N111">
        <v>0.0</v>
      </c>
      <c r="R111" s="3">
        <v>110.0</v>
      </c>
    </row>
    <row r="112">
      <c r="A112" s="3">
        <v>4000.0</v>
      </c>
      <c r="B112" s="3">
        <v>10.0</v>
      </c>
      <c r="C112" s="3">
        <v>1.0</v>
      </c>
      <c r="D112" s="7" t="str">
        <f>IFERROR(__xludf.DUMMYFUNCTION("DMAX({{Data!$A$1:$J$1};filter(Data!$A$2:$J1000,Data!$A$2:$A1000=$A112 , Data!$B$2:$B1000 = $B112, Data!$C$2:$C1000 = $C112)},$P$2, $P$22:$P$23)"),"23356687")</f>
        <v>23356687</v>
      </c>
      <c r="E112" s="7" t="str">
        <f>IFERROR(__xludf.DUMMYFUNCTION("filter(Data!$A$2:$J1000,Data!$A$2:$A1000=$A112 , Data!$B$2:$B1000 = $B112, Data!$C$2:$C1000 = $C112, Data!$H$2:$H1000 =$D112)"),"4000")</f>
        <v>4000</v>
      </c>
      <c r="F112" s="3">
        <v>10.0</v>
      </c>
      <c r="G112" s="3">
        <v>1.0</v>
      </c>
      <c r="H112" s="3" t="s">
        <v>13</v>
      </c>
      <c r="I112" s="3" t="s">
        <v>14</v>
      </c>
      <c r="J112" s="3">
        <v>3.279</v>
      </c>
      <c r="K112" s="3">
        <v>1.0</v>
      </c>
      <c r="L112" s="3">
        <v>2.3356687E7</v>
      </c>
      <c r="M112" s="3">
        <v>2.3356687E7</v>
      </c>
      <c r="N112">
        <v>0.0</v>
      </c>
      <c r="R112" s="3">
        <v>111.0</v>
      </c>
    </row>
    <row r="113">
      <c r="A113" s="3">
        <v>4000.0</v>
      </c>
      <c r="B113" s="3">
        <v>10.0</v>
      </c>
      <c r="C113" s="3">
        <v>2.0</v>
      </c>
      <c r="D113" s="7" t="str">
        <f>IFERROR(__xludf.DUMMYFUNCTION("DMAX({{Data!$A$1:$J$1};filter(Data!$A$2:$J1000,Data!$A$2:$A1000=$A113 , Data!$B$2:$B1000 = $B113, Data!$C$2:$C1000 = $C113)},$P$2, $P$22:$P$23)"),"23397257")</f>
        <v>23397257</v>
      </c>
      <c r="E113" s="7" t="str">
        <f>IFERROR(__xludf.DUMMYFUNCTION("filter(Data!$A$2:$J1000,Data!$A$2:$A1000=$A113 , Data!$B$2:$B1000 = $B113, Data!$C$2:$C1000 = $C113, Data!$H$2:$H1000 =$D113)"),"4000")</f>
        <v>4000</v>
      </c>
      <c r="F113" s="3">
        <v>10.0</v>
      </c>
      <c r="G113" s="3">
        <v>2.0</v>
      </c>
      <c r="H113" s="3" t="s">
        <v>16</v>
      </c>
      <c r="I113" s="3" t="s">
        <v>14</v>
      </c>
      <c r="J113" s="3">
        <v>17.817</v>
      </c>
      <c r="K113" s="3">
        <v>1.0</v>
      </c>
      <c r="L113" s="3">
        <v>2.3397257E7</v>
      </c>
      <c r="M113" s="3">
        <v>2.3397257E7</v>
      </c>
      <c r="N113">
        <v>0.0</v>
      </c>
      <c r="R113" s="3">
        <v>112.0</v>
      </c>
    </row>
    <row r="114">
      <c r="A114" s="3">
        <v>4000.0</v>
      </c>
      <c r="B114" s="3">
        <v>10.0</v>
      </c>
      <c r="C114" s="3">
        <v>3.0</v>
      </c>
      <c r="D114" s="7" t="str">
        <f>IFERROR(__xludf.DUMMYFUNCTION("DMAX({{Data!$A$1:$J$1};filter(Data!$A$2:$J1000,Data!$A$2:$A1000=$A114 , Data!$B$2:$B1000 = $B114, Data!$C$2:$C1000 = $C114)},$P$2, $P$22:$P$23)"),"23368425")</f>
        <v>23368425</v>
      </c>
      <c r="E114" s="7" t="str">
        <f>IFERROR(__xludf.DUMMYFUNCTION("filter(Data!$A$2:$J1000,Data!$A$2:$A1000=$A114 , Data!$B$2:$B1000 = $B114, Data!$C$2:$C1000 = $C114, Data!$H$2:$H1000 =$D114)"),"4000")</f>
        <v>4000</v>
      </c>
      <c r="F114" s="3">
        <v>10.0</v>
      </c>
      <c r="G114" s="3">
        <v>3.0</v>
      </c>
      <c r="H114" s="3" t="s">
        <v>15</v>
      </c>
      <c r="I114" s="3" t="s">
        <v>14</v>
      </c>
      <c r="J114" s="3">
        <v>17.14</v>
      </c>
      <c r="K114" s="3">
        <v>1.0</v>
      </c>
      <c r="L114" s="3">
        <v>2.3368425E7</v>
      </c>
      <c r="M114" s="3">
        <v>2.3368425E7</v>
      </c>
      <c r="N114">
        <v>0.0</v>
      </c>
      <c r="R114" s="3">
        <v>113.0</v>
      </c>
    </row>
    <row r="115">
      <c r="A115" s="3">
        <v>4000.0</v>
      </c>
      <c r="B115" s="3">
        <v>10.0</v>
      </c>
      <c r="C115" s="3">
        <v>4.0</v>
      </c>
      <c r="D115" s="7" t="str">
        <f>IFERROR(__xludf.DUMMYFUNCTION("DMAX({{Data!$A$1:$J$1};filter(Data!$A$2:$J1000,Data!$A$2:$A1000=$A115 , Data!$B$2:$B1000 = $B115, Data!$C$2:$C1000 = $C115)},$P$2, $P$22:$P$23)"),"23419101")</f>
        <v>23419101</v>
      </c>
      <c r="E115" s="7" t="str">
        <f>IFERROR(__xludf.DUMMYFUNCTION("filter(Data!$A$2:$J1000,Data!$A$2:$A1000=$A115 , Data!$B$2:$B1000 = $B115, Data!$C$2:$C1000 = $C115, Data!$H$2:$H1000 =$D115)"),"4000")</f>
        <v>4000</v>
      </c>
      <c r="F115" s="3">
        <v>10.0</v>
      </c>
      <c r="G115" s="3">
        <v>4.0</v>
      </c>
      <c r="H115" s="3" t="s">
        <v>15</v>
      </c>
      <c r="I115" s="3" t="s">
        <v>14</v>
      </c>
      <c r="J115" s="3">
        <v>15.821</v>
      </c>
      <c r="K115" s="3">
        <v>1.0</v>
      </c>
      <c r="L115" s="3">
        <v>2.3419101E7</v>
      </c>
      <c r="M115" s="3">
        <v>2.3419101E7</v>
      </c>
      <c r="N115">
        <v>0.0</v>
      </c>
      <c r="R115" s="3">
        <v>114.0</v>
      </c>
    </row>
    <row r="116">
      <c r="A116" s="3">
        <v>4000.0</v>
      </c>
      <c r="B116" s="3">
        <v>10.0</v>
      </c>
      <c r="C116" s="3">
        <v>5.0</v>
      </c>
      <c r="D116" s="7" t="str">
        <f>IFERROR(__xludf.DUMMYFUNCTION("DMAX({{Data!$A$1:$J$1};filter(Data!$A$2:$J1000,Data!$A$2:$A1000=$A116 , Data!$B$2:$B1000 = $B116, Data!$C$2:$C1000 = $C116)},$P$2, $P$22:$P$23)"),"23412194")</f>
        <v>23412194</v>
      </c>
      <c r="E116" s="7" t="str">
        <f>IFERROR(__xludf.DUMMYFUNCTION("filter(Data!$A$2:$J1000,Data!$A$2:$A1000=$A116 , Data!$B$2:$B1000 = $B116, Data!$C$2:$C1000 = $C116, Data!$H$2:$H1000 =$D116)"),"4000")</f>
        <v>4000</v>
      </c>
      <c r="F116" s="3">
        <v>10.0</v>
      </c>
      <c r="G116" s="3">
        <v>5.0</v>
      </c>
      <c r="H116" s="3" t="s">
        <v>16</v>
      </c>
      <c r="I116" s="3" t="s">
        <v>14</v>
      </c>
      <c r="J116" s="3">
        <v>16.232</v>
      </c>
      <c r="K116" s="3">
        <v>1.0</v>
      </c>
      <c r="L116" s="3">
        <v>2.3412194E7</v>
      </c>
      <c r="M116" s="3">
        <v>2.3412194E7</v>
      </c>
      <c r="N116">
        <v>0.0</v>
      </c>
      <c r="R116" s="3">
        <v>115.0</v>
      </c>
    </row>
    <row r="117">
      <c r="A117" s="3">
        <v>4000.0</v>
      </c>
      <c r="B117" s="3">
        <v>50.0</v>
      </c>
      <c r="C117" s="3">
        <v>1.0</v>
      </c>
      <c r="D117" s="7" t="str">
        <f>IFERROR(__xludf.DUMMYFUNCTION("DMAX({{Data!$A$1:$J$1};filter(Data!$A$2:$J1000,Data!$A$2:$A1000=$A117 , Data!$B$2:$B1000 = $B117, Data!$C$2:$C1000 = $C117)},$P$2, $P$22:$P$23)"),"123351476")</f>
        <v>123351476</v>
      </c>
      <c r="E117" s="7" t="str">
        <f>IFERROR(__xludf.DUMMYFUNCTION("filter(Data!$A$2:$J1000,Data!$A$2:$A1000=$A117 , Data!$B$2:$B1000 = $B117, Data!$C$2:$C1000 = $C117, Data!$H$2:$H1000 =$D117)"),"4000")</f>
        <v>4000</v>
      </c>
      <c r="F117" s="3">
        <v>50.0</v>
      </c>
      <c r="G117" s="3">
        <v>1.0</v>
      </c>
      <c r="H117" s="3" t="s">
        <v>16</v>
      </c>
      <c r="I117" s="3" t="s">
        <v>14</v>
      </c>
      <c r="J117" s="3">
        <v>26.696</v>
      </c>
      <c r="K117" s="3">
        <v>1.0</v>
      </c>
      <c r="L117" s="3">
        <v>1.23351476E8</v>
      </c>
      <c r="M117" s="3">
        <v>1.23351476E8</v>
      </c>
      <c r="N117">
        <v>0.0</v>
      </c>
      <c r="R117" s="3">
        <v>116.0</v>
      </c>
    </row>
    <row r="118">
      <c r="A118" s="3">
        <v>4000.0</v>
      </c>
      <c r="B118" s="3">
        <v>50.0</v>
      </c>
      <c r="C118" s="3">
        <v>2.0</v>
      </c>
      <c r="D118" s="7" t="str">
        <f>IFERROR(__xludf.DUMMYFUNCTION("DMAX({{Data!$A$1:$J$1};filter(Data!$A$2:$J1000,Data!$A$2:$A1000=$A118 , Data!$B$2:$B1000 = $B118, Data!$C$2:$C1000 = $C118)},$P$2, $P$22:$P$23)"),"123465817")</f>
        <v>123465817</v>
      </c>
      <c r="E118" s="7" t="str">
        <f>IFERROR(__xludf.DUMMYFUNCTION("filter(Data!$A$2:$J1000,Data!$A$2:$A1000=$A118 , Data!$B$2:$B1000 = $B118, Data!$C$2:$C1000 = $C118, Data!$H$2:$H1000 =$D118)"),"4000")</f>
        <v>4000</v>
      </c>
      <c r="F118" s="3">
        <v>50.0</v>
      </c>
      <c r="G118" s="3">
        <v>2.0</v>
      </c>
      <c r="H118" s="3" t="s">
        <v>16</v>
      </c>
      <c r="I118" s="3" t="s">
        <v>14</v>
      </c>
      <c r="J118" s="3">
        <v>21.589</v>
      </c>
      <c r="K118" s="3">
        <v>1.0</v>
      </c>
      <c r="L118" s="3">
        <v>1.23465817E8</v>
      </c>
      <c r="M118" s="3">
        <v>1.23465817E8</v>
      </c>
      <c r="N118">
        <v>0.0</v>
      </c>
      <c r="R118" s="3">
        <v>117.0</v>
      </c>
    </row>
    <row r="119">
      <c r="A119" s="3">
        <v>4000.0</v>
      </c>
      <c r="B119" s="3">
        <v>50.0</v>
      </c>
      <c r="C119" s="3">
        <v>3.0</v>
      </c>
      <c r="D119" s="7" t="str">
        <f>IFERROR(__xludf.DUMMYFUNCTION("DMAX({{Data!$A$1:$J$1};filter(Data!$A$2:$J1000,Data!$A$2:$A1000=$A119 , Data!$B$2:$B1000 = $B119, Data!$C$2:$C1000 = $C119)},$P$2, $P$22:$P$23)"),"123430268")</f>
        <v>123430268</v>
      </c>
      <c r="E119" s="7" t="str">
        <f>IFERROR(__xludf.DUMMYFUNCTION("filter(Data!$A$2:$J1000,Data!$A$2:$A1000=$A119 , Data!$B$2:$B1000 = $B119, Data!$C$2:$C1000 = $C119, Data!$H$2:$H1000 =$D119)"),"4000")</f>
        <v>4000</v>
      </c>
      <c r="F119" s="3">
        <v>50.0</v>
      </c>
      <c r="G119" s="3">
        <v>3.0</v>
      </c>
      <c r="H119" s="3" t="s">
        <v>13</v>
      </c>
      <c r="I119" s="3" t="s">
        <v>14</v>
      </c>
      <c r="J119" s="3">
        <v>61.725</v>
      </c>
      <c r="K119" s="3">
        <v>1.0</v>
      </c>
      <c r="L119" s="3">
        <v>1.23430268E8</v>
      </c>
      <c r="M119" s="3">
        <v>1.23430268E8</v>
      </c>
      <c r="N119">
        <v>0.0</v>
      </c>
      <c r="R119" s="3">
        <v>118.0</v>
      </c>
    </row>
    <row r="120">
      <c r="A120" s="3">
        <v>4000.0</v>
      </c>
      <c r="B120" s="3">
        <v>50.0</v>
      </c>
      <c r="C120" s="3">
        <v>4.0</v>
      </c>
      <c r="D120" s="7" t="str">
        <f>IFERROR(__xludf.DUMMYFUNCTION("DMAX({{Data!$A$1:$J$1};filter(Data!$A$2:$J1000,Data!$A$2:$A1000=$A120 , Data!$B$2:$B1000 = $B120, Data!$C$2:$C1000 = $C120)},$P$2, $P$22:$P$23)"),"123567215")</f>
        <v>123567215</v>
      </c>
      <c r="E120" s="7" t="str">
        <f>IFERROR(__xludf.DUMMYFUNCTION("filter(Data!$A$2:$J1000,Data!$A$2:$A1000=$A120 , Data!$B$2:$B1000 = $B120, Data!$C$2:$C1000 = $C120, Data!$H$2:$H1000 =$D120)"),"4000")</f>
        <v>4000</v>
      </c>
      <c r="F120" s="3">
        <v>50.0</v>
      </c>
      <c r="G120" s="3">
        <v>4.0</v>
      </c>
      <c r="H120" s="3" t="s">
        <v>15</v>
      </c>
      <c r="I120" s="3" t="s">
        <v>14</v>
      </c>
      <c r="J120" s="3">
        <v>144.885</v>
      </c>
      <c r="K120" s="3">
        <v>1.0</v>
      </c>
      <c r="L120" s="3">
        <v>1.23567215E8</v>
      </c>
      <c r="M120" s="3">
        <v>1.23567215E8</v>
      </c>
      <c r="N120">
        <v>0.0</v>
      </c>
      <c r="R120" s="3">
        <v>119.0</v>
      </c>
    </row>
    <row r="121">
      <c r="A121" s="3">
        <v>4000.0</v>
      </c>
      <c r="B121" s="3">
        <v>50.0</v>
      </c>
      <c r="C121" s="3">
        <v>5.0</v>
      </c>
      <c r="D121" s="7" t="str">
        <f>IFERROR(__xludf.DUMMYFUNCTION("DMAX({{Data!$A$1:$J$1};filter(Data!$A$2:$J1000,Data!$A$2:$A1000=$A121 , Data!$B$2:$B1000 = $B121, Data!$C$2:$C1000 = $C121)},$P$2, $P$22:$P$23)"),"123408441")</f>
        <v>123408441</v>
      </c>
      <c r="E121" s="7" t="str">
        <f>IFERROR(__xludf.DUMMYFUNCTION("filter(Data!$A$2:$J1000,Data!$A$2:$A1000=$A121 , Data!$B$2:$B1000 = $B121, Data!$C$2:$C1000 = $C121, Data!$H$2:$H1000 =$D121)"),"4000")</f>
        <v>4000</v>
      </c>
      <c r="F121" s="3">
        <v>50.0</v>
      </c>
      <c r="G121" s="3">
        <v>5.0</v>
      </c>
      <c r="H121" s="3" t="s">
        <v>16</v>
      </c>
      <c r="I121" s="3" t="s">
        <v>14</v>
      </c>
      <c r="J121" s="3">
        <v>23.808</v>
      </c>
      <c r="K121" s="3">
        <v>1.0</v>
      </c>
      <c r="L121" s="3">
        <v>1.23408441E8</v>
      </c>
      <c r="M121" s="3">
        <v>1.23408441E8</v>
      </c>
      <c r="N121">
        <v>0.0</v>
      </c>
      <c r="R121" s="3">
        <v>120.0</v>
      </c>
    </row>
    <row r="122">
      <c r="A122" s="3">
        <v>4000.0</v>
      </c>
      <c r="B122" s="3">
        <v>100.0</v>
      </c>
      <c r="C122" s="3">
        <v>1.0</v>
      </c>
      <c r="D122" s="7" t="str">
        <f>IFERROR(__xludf.DUMMYFUNCTION("DMAX({{Data!$A$1:$J$1};filter(Data!$A$2:$J1000,Data!$A$2:$A1000=$A122 , Data!$B$2:$B1000 = $B122, Data!$C$2:$C1000 = $C122)},$P$2, $P$22:$P$23)"),"406474549")</f>
        <v>406474549</v>
      </c>
      <c r="E122" s="7" t="str">
        <f>IFERROR(__xludf.DUMMYFUNCTION("filter(Data!$A$2:$J1000,Data!$A$2:$A1000=$A122 , Data!$B$2:$B1000 = $B122, Data!$C$2:$C1000 = $C122, Data!$H$2:$H1000 =$D122)"),"4000")</f>
        <v>4000</v>
      </c>
      <c r="F122" s="3">
        <v>100.0</v>
      </c>
      <c r="G122" s="3">
        <v>1.0</v>
      </c>
      <c r="H122" s="3" t="s">
        <v>16</v>
      </c>
      <c r="I122" s="3" t="s">
        <v>14</v>
      </c>
      <c r="J122" s="3">
        <v>24.644</v>
      </c>
      <c r="K122" s="3">
        <v>1.0</v>
      </c>
      <c r="L122" s="3">
        <v>4.06474549E8</v>
      </c>
      <c r="M122" s="3">
        <v>4.06474549E8</v>
      </c>
      <c r="N122">
        <v>0.0</v>
      </c>
      <c r="R122" s="3">
        <v>121.0</v>
      </c>
    </row>
    <row r="123">
      <c r="A123" s="3">
        <v>4000.0</v>
      </c>
      <c r="B123" s="3">
        <v>100.0</v>
      </c>
      <c r="C123" s="3">
        <v>2.0</v>
      </c>
      <c r="D123" s="7" t="str">
        <f>IFERROR(__xludf.DUMMYFUNCTION("DMAX({{Data!$A$1:$J$1};filter(Data!$A$2:$J1000,Data!$A$2:$A1000=$A123 , Data!$B$2:$B1000 = $B123, Data!$C$2:$C1000 = $C123)},$P$2, $P$22:$P$23)"),"406408742")</f>
        <v>406408742</v>
      </c>
      <c r="E123" s="7" t="str">
        <f>IFERROR(__xludf.DUMMYFUNCTION("filter(Data!$A$2:$J1000,Data!$A$2:$A1000=$A123 , Data!$B$2:$B1000 = $B123, Data!$C$2:$C1000 = $C123, Data!$H$2:$H1000 =$D123)"),"4000")</f>
        <v>4000</v>
      </c>
      <c r="F123" s="3">
        <v>100.0</v>
      </c>
      <c r="G123" s="3">
        <v>2.0</v>
      </c>
      <c r="H123" s="3" t="s">
        <v>15</v>
      </c>
      <c r="I123" s="3" t="s">
        <v>14</v>
      </c>
      <c r="J123" s="3">
        <v>356.028</v>
      </c>
      <c r="K123" s="3">
        <v>1.0</v>
      </c>
      <c r="L123" s="3">
        <v>4.06408742E8</v>
      </c>
      <c r="M123" s="3">
        <v>4.06408742E8</v>
      </c>
      <c r="N123">
        <v>0.0</v>
      </c>
      <c r="R123" s="3">
        <v>122.0</v>
      </c>
    </row>
    <row r="124">
      <c r="A124" s="3">
        <v>4000.0</v>
      </c>
      <c r="B124" s="3">
        <v>100.0</v>
      </c>
      <c r="C124" s="3">
        <v>3.0</v>
      </c>
      <c r="D124" s="7" t="str">
        <f>IFERROR(__xludf.DUMMYFUNCTION("DMAX({{Data!$A$1:$J$1};filter(Data!$A$2:$J1000,Data!$A$2:$A1000=$A124 , Data!$B$2:$B1000 = $B124, Data!$C$2:$C1000 = $C124)},$P$2, $P$22:$P$23)"),"406543899")</f>
        <v>406543899</v>
      </c>
      <c r="E124" s="7" t="str">
        <f>IFERROR(__xludf.DUMMYFUNCTION("filter(Data!$A$2:$J1000,Data!$A$2:$A1000=$A124 , Data!$B$2:$B1000 = $B124, Data!$C$2:$C1000 = $C124, Data!$H$2:$H1000 =$D124)"),"4000")</f>
        <v>4000</v>
      </c>
      <c r="F124" s="3">
        <v>100.0</v>
      </c>
      <c r="G124" s="3">
        <v>3.0</v>
      </c>
      <c r="H124" s="3" t="s">
        <v>15</v>
      </c>
      <c r="I124" s="3" t="s">
        <v>14</v>
      </c>
      <c r="J124" s="3">
        <v>341.794</v>
      </c>
      <c r="K124" s="3">
        <v>1.0</v>
      </c>
      <c r="L124" s="3">
        <v>4.06543899E8</v>
      </c>
      <c r="M124" s="3">
        <v>4.06543899E8</v>
      </c>
      <c r="N124">
        <v>0.0</v>
      </c>
      <c r="R124" s="3">
        <v>123.0</v>
      </c>
    </row>
    <row r="125">
      <c r="A125" s="3">
        <v>4000.0</v>
      </c>
      <c r="B125" s="3">
        <v>100.0</v>
      </c>
      <c r="C125" s="3">
        <v>4.0</v>
      </c>
      <c r="D125" s="7" t="str">
        <f>IFERROR(__xludf.DUMMYFUNCTION("DMAX({{Data!$A$1:$J$1};filter(Data!$A$2:$J1000,Data!$A$2:$A1000=$A125 , Data!$B$2:$B1000 = $B125, Data!$C$2:$C1000 = $C125)},$P$2, $P$22:$P$23)"),"406518117")</f>
        <v>406518117</v>
      </c>
      <c r="E125" s="7" t="str">
        <f>IFERROR(__xludf.DUMMYFUNCTION("filter(Data!$A$2:$J1000,Data!$A$2:$A1000=$A125 , Data!$B$2:$B1000 = $B125, Data!$C$2:$C1000 = $C125, Data!$H$2:$H1000 =$D125)"),"4000")</f>
        <v>4000</v>
      </c>
      <c r="F125" s="3">
        <v>100.0</v>
      </c>
      <c r="G125" s="3">
        <v>4.0</v>
      </c>
      <c r="H125" s="3" t="s">
        <v>15</v>
      </c>
      <c r="I125" s="3" t="s">
        <v>14</v>
      </c>
      <c r="J125" s="3">
        <v>363.757</v>
      </c>
      <c r="K125" s="3">
        <v>1.0</v>
      </c>
      <c r="L125" s="3">
        <v>4.06518117E8</v>
      </c>
      <c r="M125" s="3">
        <v>4.06518117E8</v>
      </c>
      <c r="N125">
        <v>0.0</v>
      </c>
      <c r="R125" s="3">
        <v>124.0</v>
      </c>
    </row>
    <row r="126">
      <c r="A126" s="3">
        <v>4000.0</v>
      </c>
      <c r="B126" s="3">
        <v>100.0</v>
      </c>
      <c r="C126" s="3">
        <v>5.0</v>
      </c>
      <c r="D126" s="7" t="str">
        <f>IFERROR(__xludf.DUMMYFUNCTION("DMAX({{Data!$A$1:$J$1};filter(Data!$A$2:$J1000,Data!$A$2:$A1000=$A126 , Data!$B$2:$B1000 = $B126, Data!$C$2:$C1000 = $C126)},$P$2, $P$22:$P$23)"),"406397598")</f>
        <v>406397598</v>
      </c>
      <c r="E126" s="7" t="str">
        <f>IFERROR(__xludf.DUMMYFUNCTION("filter(Data!$A$2:$J1000,Data!$A$2:$A1000=$A126 , Data!$B$2:$B1000 = $B126, Data!$C$2:$C1000 = $C126, Data!$H$2:$H1000 =$D126)"),"4000")</f>
        <v>4000</v>
      </c>
      <c r="F126" s="3">
        <v>100.0</v>
      </c>
      <c r="G126" s="3">
        <v>5.0</v>
      </c>
      <c r="H126" s="3" t="s">
        <v>15</v>
      </c>
      <c r="I126" s="3" t="s">
        <v>14</v>
      </c>
      <c r="J126" s="3">
        <v>354.261</v>
      </c>
      <c r="K126" s="3">
        <v>1.0</v>
      </c>
      <c r="L126" s="3">
        <v>4.06397598E8</v>
      </c>
      <c r="M126" s="3">
        <v>4.06397598E8</v>
      </c>
      <c r="N126">
        <v>0.0</v>
      </c>
      <c r="R126" s="3">
        <v>125.0</v>
      </c>
    </row>
    <row r="127">
      <c r="D127" s="4"/>
      <c r="E127" s="4"/>
    </row>
  </sheetData>
  <conditionalFormatting sqref="A2:N126">
    <cfRule type="expression" dxfId="0" priority="1">
      <formula>MOD($R1,10) &lt; 5</formula>
    </cfRule>
  </conditionalFormatting>
  <conditionalFormatting sqref="R2">
    <cfRule type="notContainsBlanks" dxfId="1" priority="2">
      <formula>LEN(TRIM(R2))&gt;0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</cols>
  <sheetData>
    <row r="1">
      <c r="C1" s="8" t="s">
        <v>18</v>
      </c>
      <c r="D1" s="9" t="str">
        <f>IFERROR(__xludf.DUMMYFUNCTION("TRANSPOSE(UNIQUE(Data!D2:E1000))"),"bs_array")</f>
        <v>bs_array</v>
      </c>
      <c r="E1" s="9" t="s">
        <v>15</v>
      </c>
      <c r="F1" s="9" t="s">
        <v>16</v>
      </c>
      <c r="G1" s="10"/>
      <c r="H1" s="10"/>
      <c r="I1" s="11" t="s">
        <v>26</v>
      </c>
      <c r="J1" s="10"/>
      <c r="K1" s="10"/>
      <c r="L1" s="10"/>
      <c r="M1" s="10"/>
      <c r="N1" s="10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C2" s="8" t="s">
        <v>19</v>
      </c>
      <c r="D2" s="9" t="s">
        <v>14</v>
      </c>
      <c r="E2" s="9" t="s">
        <v>14</v>
      </c>
      <c r="F2" s="9" t="s">
        <v>14</v>
      </c>
      <c r="G2" s="10"/>
      <c r="H2" s="10"/>
      <c r="I2" s="11" t="s">
        <v>7</v>
      </c>
      <c r="J2" s="10"/>
      <c r="K2" s="10"/>
      <c r="L2" s="10"/>
      <c r="M2" s="10"/>
      <c r="N2" s="10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8" t="s">
        <v>0</v>
      </c>
      <c r="B3" s="8" t="s">
        <v>1</v>
      </c>
      <c r="C3" s="8" t="s">
        <v>2</v>
      </c>
      <c r="D3" s="13"/>
      <c r="E3" s="13"/>
      <c r="F3" s="13"/>
      <c r="G3" s="11" t="s">
        <v>27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4" t="str">
        <f>IFERROR(__xludf.DUMMYFUNCTION("UNIQUE(Data!A2:C1000)"),"500")</f>
        <v>500</v>
      </c>
      <c r="B4" s="14">
        <v>1.0</v>
      </c>
      <c r="C4" s="14">
        <v>1.0</v>
      </c>
      <c r="D4" s="15" t="str">
        <f>IFERROR(__xludf.DUMMYFUNCTION("(DMAX({{Data!$A$1:$M$1};filter(Data!$A$2:$M1000,Data!$A$2:$A1000=$A4 , Data!$B$2:$B1000 = $B4,Data!$C$2:$C1000 = $C4, Data!$D$2:$D1000 = D$1, Data!$E$2:$E1000 = D$2 )},$I$2  , $O$22:$O$23))"),"58555")</f>
        <v>58555</v>
      </c>
      <c r="E4" s="15" t="str">
        <f>IFERROR(__xludf.DUMMYFUNCTION("(DMAX({{Data!$A$1:$M$1};filter(Data!$A$2:$M1000,Data!$A$2:$A1000=$A4 , Data!$B$2:$B1000 = $B4,Data!$C$2:$C1000 = $C4, Data!$D$2:$D1000 = E$1, Data!$E$2:$E1000 = E$2 )},$I$2  , $O$22:$O$23))"),"58296")</f>
        <v>58296</v>
      </c>
      <c r="F4" s="16" t="str">
        <f>IFERROR(__xludf.DUMMYFUNCTION("(DMAX({{Data!$A$1:$M$1};filter(Data!$A$2:$M1000,Data!$A$2:$A1000=$A4 , Data!$B$2:$B1000 = $B4,Data!$C$2:$C1000 = $C4, Data!$D$2:$D1000 = F$1, Data!$E$2:$E1000 = F$2 )},$I$2  , $O$22:$O$23))"),"58082")</f>
        <v>58082</v>
      </c>
      <c r="G4" s="17" t="str">
        <f t="shared" ref="G4:G129" si="1">MAX(D4:F4)</f>
        <v>58555</v>
      </c>
      <c r="H4" s="18"/>
      <c r="I4" s="18"/>
      <c r="J4" s="18"/>
      <c r="K4" s="18"/>
      <c r="L4" s="18"/>
      <c r="M4" s="18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4">
        <v>500.0</v>
      </c>
      <c r="B5" s="14">
        <v>1.0</v>
      </c>
      <c r="C5" s="14">
        <v>2.0</v>
      </c>
      <c r="D5" s="15" t="str">
        <f>IFERROR(__xludf.DUMMYFUNCTION("(DMAX({{Data!$A$1:$M$1};filter(Data!$A$2:$M1000,Data!$A$2:$A1000=$A5 , Data!$B$2:$B1000 = $B5,Data!$C$2:$C1000 = $C5, Data!$D$2:$D1000 = D$1, Data!$E$2:$E1000 = D$2 )},$I$2  , $O$22:$O$23))"),"52233")</f>
        <v>52233</v>
      </c>
      <c r="E5" s="15" t="str">
        <f>IFERROR(__xludf.DUMMYFUNCTION("(DMAX({{Data!$A$1:$M$1};filter(Data!$A$2:$M1000,Data!$A$2:$A1000=$A5 , Data!$B$2:$B1000 = $B5,Data!$C$2:$C1000 = $C5, Data!$D$2:$D1000 = E$1, Data!$E$2:$E1000 = E$2 )},$I$2  , $O$22:$O$23))"),"52765")</f>
        <v>52765</v>
      </c>
      <c r="F5" s="16" t="str">
        <f>IFERROR(__xludf.DUMMYFUNCTION("(DMAX({{Data!$A$1:$M$1};filter(Data!$A$2:$M1000,Data!$A$2:$A1000=$A5 , Data!$B$2:$B1000 = $B5,Data!$C$2:$C1000 = $C5, Data!$D$2:$D1000 = F$1, Data!$E$2:$E1000 = F$2 )},$I$2  , $O$22:$O$23))"),"52441")</f>
        <v>52441</v>
      </c>
      <c r="G5" s="17" t="str">
        <f t="shared" si="1"/>
        <v>52765</v>
      </c>
      <c r="H5" s="18"/>
      <c r="I5" s="18"/>
      <c r="J5" s="18"/>
      <c r="K5" s="18"/>
      <c r="L5" s="18"/>
      <c r="M5" s="1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4">
        <v>500.0</v>
      </c>
      <c r="B6" s="14">
        <v>1.0</v>
      </c>
      <c r="C6" s="14">
        <v>3.0</v>
      </c>
      <c r="D6" s="15" t="str">
        <f>IFERROR(__xludf.DUMMYFUNCTION("(DMAX({{Data!$A$1:$M$1};filter(Data!$A$2:$M1000,Data!$A$2:$A1000=$A6 , Data!$B$2:$B1000 = $B6,Data!$C$2:$C1000 = $C6, Data!$D$2:$D1000 = D$1, Data!$E$2:$E1000 = D$2 )},$I$2  , $O$22:$O$23))"),"54590")</f>
        <v>54590</v>
      </c>
      <c r="E6" s="15" t="str">
        <f>IFERROR(__xludf.DUMMYFUNCTION("(DMAX({{Data!$A$1:$M$1};filter(Data!$A$2:$M1000,Data!$A$2:$A1000=$A6 , Data!$B$2:$B1000 = $B6,Data!$C$2:$C1000 = $C6, Data!$D$2:$D1000 = E$1, Data!$E$2:$E1000 = E$2 )},$I$2  , $O$22:$O$23))"),"54268")</f>
        <v>54268</v>
      </c>
      <c r="F6" s="16" t="str">
        <f>IFERROR(__xludf.DUMMYFUNCTION("(DMAX({{Data!$A$1:$M$1};filter(Data!$A$2:$M1000,Data!$A$2:$A1000=$A6 , Data!$B$2:$B1000 = $B6,Data!$C$2:$C1000 = $C6, Data!$D$2:$D1000 = F$1, Data!$E$2:$E1000 = F$2 )},$I$2  , $O$22:$O$23))"),"54308")</f>
        <v>54308</v>
      </c>
      <c r="G6" s="17" t="str">
        <f t="shared" si="1"/>
        <v>54590</v>
      </c>
      <c r="H6" s="18"/>
      <c r="I6" s="18"/>
      <c r="J6" s="18"/>
      <c r="K6" s="18"/>
      <c r="L6" s="18"/>
      <c r="M6" s="18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4">
        <v>500.0</v>
      </c>
      <c r="B7" s="14">
        <v>1.0</v>
      </c>
      <c r="C7" s="14">
        <v>4.0</v>
      </c>
      <c r="D7" s="15" t="str">
        <f>IFERROR(__xludf.DUMMYFUNCTION("(DMAX({{Data!$A$1:$M$1};filter(Data!$A$2:$M1000,Data!$A$2:$A1000=$A7 , Data!$B$2:$B1000 = $B7,Data!$C$2:$C1000 = $C7, Data!$D$2:$D1000 = D$1, Data!$E$2:$E1000 = D$2 )},$I$2  , $O$22:$O$23))"),"58639")</f>
        <v>58639</v>
      </c>
      <c r="E7" s="15" t="str">
        <f>IFERROR(__xludf.DUMMYFUNCTION("(DMAX({{Data!$A$1:$M$1};filter(Data!$A$2:$M1000,Data!$A$2:$A1000=$A7 , Data!$B$2:$B1000 = $B7,Data!$C$2:$C1000 = $C7, Data!$D$2:$D1000 = E$1, Data!$E$2:$E1000 = E$2 )},$I$2  , $O$22:$O$23))"),"58300")</f>
        <v>58300</v>
      </c>
      <c r="F7" s="16" t="str">
        <f>IFERROR(__xludf.DUMMYFUNCTION("(DMAX({{Data!$A$1:$M$1};filter(Data!$A$2:$M1000,Data!$A$2:$A1000=$A7 , Data!$B$2:$B1000 = $B7,Data!$C$2:$C1000 = $C7, Data!$D$2:$D1000 = F$1, Data!$E$2:$E1000 = F$2 )},$I$2  , $O$22:$O$23))"),"58327")</f>
        <v>58327</v>
      </c>
      <c r="G7" s="17" t="str">
        <f t="shared" si="1"/>
        <v>58639</v>
      </c>
      <c r="H7" s="18"/>
      <c r="I7" s="18"/>
      <c r="J7" s="18"/>
      <c r="K7" s="18"/>
      <c r="L7" s="18"/>
      <c r="M7" s="1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9">
        <v>500.0</v>
      </c>
      <c r="B8" s="19">
        <v>1.0</v>
      </c>
      <c r="C8" s="19">
        <v>5.0</v>
      </c>
      <c r="D8" s="15" t="str">
        <f>IFERROR(__xludf.DUMMYFUNCTION("(DMAX({{Data!$A$1:$M$1};filter(Data!$A$2:$M1000,Data!$A$2:$A1000=$A8 , Data!$B$2:$B1000 = $B8,Data!$C$2:$C1000 = $C8, Data!$D$2:$D1000 = D$1, Data!$E$2:$E1000 = D$2 )},$I$2  , $O$22:$O$23))"),"58194")</f>
        <v>58194</v>
      </c>
      <c r="E8" s="15" t="str">
        <f>IFERROR(__xludf.DUMMYFUNCTION("(DMAX({{Data!$A$1:$M$1};filter(Data!$A$2:$M1000,Data!$A$2:$A1000=$A8 , Data!$B$2:$B1000 = $B8,Data!$C$2:$C1000 = $C8, Data!$D$2:$D1000 = E$1, Data!$E$2:$E1000 = E$2 )},$I$2  , $O$22:$O$23))"),"58336")</f>
        <v>58336</v>
      </c>
      <c r="F8" s="16" t="str">
        <f>IFERROR(__xludf.DUMMYFUNCTION("(DMAX({{Data!$A$1:$M$1};filter(Data!$A$2:$M1000,Data!$A$2:$A1000=$A8 , Data!$B$2:$B1000 = $B8,Data!$C$2:$C1000 = $C8, Data!$D$2:$D1000 = F$1, Data!$E$2:$E1000 = F$2 )},$I$2  , $O$22:$O$23))"),"58311")</f>
        <v>58311</v>
      </c>
      <c r="G8" s="17" t="str">
        <f t="shared" si="1"/>
        <v>58336</v>
      </c>
      <c r="H8" s="18"/>
      <c r="I8" s="18"/>
      <c r="J8" s="18"/>
      <c r="K8" s="18"/>
      <c r="L8" s="18"/>
      <c r="M8" s="1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4">
        <v>500.0</v>
      </c>
      <c r="B9" s="14">
        <v>5.0</v>
      </c>
      <c r="C9" s="14">
        <v>1.0</v>
      </c>
      <c r="D9" s="15" t="str">
        <f>IFERROR(__xludf.DUMMYFUNCTION("(DMAX({{Data!$A$1:$M$1};filter(Data!$A$2:$M1000,Data!$A$2:$A1000=$A9 , Data!$B$2:$B1000 = $B9,Data!$C$2:$C1000 = $C9, Data!$D$2:$D1000 = D$1, Data!$E$2:$E1000 = D$2 )},$I$2  , $O$22:$O$23))"),"233838")</f>
        <v>233838</v>
      </c>
      <c r="E9" s="15" t="str">
        <f>IFERROR(__xludf.DUMMYFUNCTION("(DMAX({{Data!$A$1:$M$1};filter(Data!$A$2:$M1000,Data!$A$2:$A1000=$A9 , Data!$B$2:$B1000 = $B9,Data!$C$2:$C1000 = $C9, Data!$D$2:$D1000 = E$1, Data!$E$2:$E1000 = E$2 )},$I$2  , $O$22:$O$23))"),"234537")</f>
        <v>234537</v>
      </c>
      <c r="F9" s="16" t="str">
        <f>IFERROR(__xludf.DUMMYFUNCTION("(DMAX({{Data!$A$1:$M$1};filter(Data!$A$2:$M1000,Data!$A$2:$A1000=$A9 , Data!$B$2:$B1000 = $B9,Data!$C$2:$C1000 = $C9, Data!$D$2:$D1000 = F$1, Data!$E$2:$E1000 = F$2 )},$I$2  , $O$22:$O$23))"),"234807")</f>
        <v>234807</v>
      </c>
      <c r="G9" s="17" t="str">
        <f t="shared" si="1"/>
        <v>234807</v>
      </c>
      <c r="H9" s="18"/>
      <c r="I9" s="18"/>
      <c r="J9" s="18"/>
      <c r="K9" s="18"/>
      <c r="L9" s="18"/>
      <c r="M9" s="1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20">
        <v>500.0</v>
      </c>
      <c r="B10" s="20">
        <v>5.0</v>
      </c>
      <c r="C10" s="20">
        <v>2.0</v>
      </c>
      <c r="D10" s="15" t="str">
        <f>IFERROR(__xludf.DUMMYFUNCTION("(DMAX({{Data!$A$1:$M$1};filter(Data!$A$2:$M1000,Data!$A$2:$A1000=$A10 , Data!$B$2:$B1000 = $B10,Data!$C$2:$C1000 = $C10, Data!$D$2:$D1000 = D$1, Data!$E$2:$E1000 = D$2 )},$I$2  , $O$22:$O$23))"),"233698")</f>
        <v>233698</v>
      </c>
      <c r="E10" s="15" t="str">
        <f>IFERROR(__xludf.DUMMYFUNCTION("(DMAX({{Data!$A$1:$M$1};filter(Data!$A$2:$M1000,Data!$A$2:$A1000=$A10 , Data!$B$2:$B1000 = $B10,Data!$C$2:$C1000 = $C10, Data!$D$2:$D1000 = E$1, Data!$E$2:$E1000 = E$2 )},$I$2  , $O$22:$O$23))"),"234137")</f>
        <v>234137</v>
      </c>
      <c r="F10" s="16" t="str">
        <f>IFERROR(__xludf.DUMMYFUNCTION("(DMAX({{Data!$A$1:$M$1};filter(Data!$A$2:$M1000,Data!$A$2:$A1000=$A10 , Data!$B$2:$B1000 = $B10,Data!$C$2:$C1000 = $C10, Data!$D$2:$D1000 = F$1, Data!$E$2:$E1000 = F$2 )},$I$2  , $O$22:$O$23))"),"234121")</f>
        <v>234121</v>
      </c>
      <c r="G10" s="17" t="str">
        <f t="shared" si="1"/>
        <v>234137</v>
      </c>
      <c r="H10" s="18"/>
      <c r="I10" s="18"/>
      <c r="J10" s="18"/>
      <c r="K10" s="18"/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4">
        <v>500.0</v>
      </c>
      <c r="B11" s="14">
        <v>5.0</v>
      </c>
      <c r="C11" s="14">
        <v>3.0</v>
      </c>
      <c r="D11" s="15" t="str">
        <f>IFERROR(__xludf.DUMMYFUNCTION("(DMAX({{Data!$A$1:$M$1};filter(Data!$A$2:$M1000,Data!$A$2:$A1000=$A11 , Data!$B$2:$B1000 = $B11,Data!$C$2:$C1000 = $C11, Data!$D$2:$D1000 = D$1, Data!$E$2:$E1000 = D$2 )},$I$2  , $O$22:$O$23))"),"237076")</f>
        <v>237076</v>
      </c>
      <c r="E11" s="15" t="str">
        <f>IFERROR(__xludf.DUMMYFUNCTION("(DMAX({{Data!$A$1:$M$1};filter(Data!$A$2:$M1000,Data!$A$2:$A1000=$A11 , Data!$B$2:$B1000 = $B11,Data!$C$2:$C1000 = $C11, Data!$D$2:$D1000 = E$1, Data!$E$2:$E1000 = E$2 )},$I$2  , $O$22:$O$23))"),"236902")</f>
        <v>236902</v>
      </c>
      <c r="F11" s="16" t="str">
        <f>IFERROR(__xludf.DUMMYFUNCTION("(DMAX({{Data!$A$1:$M$1};filter(Data!$A$2:$M1000,Data!$A$2:$A1000=$A11 , Data!$B$2:$B1000 = $B11,Data!$C$2:$C1000 = $C11, Data!$D$2:$D1000 = F$1, Data!$E$2:$E1000 = F$2 )},$I$2  , $O$22:$O$23))"),"236048")</f>
        <v>236048</v>
      </c>
      <c r="G11" s="17" t="str">
        <f t="shared" si="1"/>
        <v>237076</v>
      </c>
      <c r="H11" s="18"/>
      <c r="I11" s="18"/>
      <c r="J11" s="18"/>
      <c r="K11" s="18"/>
      <c r="L11" s="18"/>
      <c r="M11" s="1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4">
        <v>500.0</v>
      </c>
      <c r="B12" s="14">
        <v>5.0</v>
      </c>
      <c r="C12" s="14">
        <v>4.0</v>
      </c>
      <c r="D12" s="15" t="str">
        <f>IFERROR(__xludf.DUMMYFUNCTION("(DMAX({{Data!$A$1:$M$1};filter(Data!$A$2:$M1000,Data!$A$2:$A1000=$A12 , Data!$B$2:$B1000 = $B12,Data!$C$2:$C1000 = $C12, Data!$D$2:$D1000 = D$1, Data!$E$2:$E1000 = D$2 )},$I$2  , $O$22:$O$23))"),"237573")</f>
        <v>237573</v>
      </c>
      <c r="E12" s="15" t="str">
        <f>IFERROR(__xludf.DUMMYFUNCTION("(DMAX({{Data!$A$1:$M$1};filter(Data!$A$2:$M1000,Data!$A$2:$A1000=$A12 , Data!$B$2:$B1000 = $B12,Data!$C$2:$C1000 = $C12, Data!$D$2:$D1000 = E$1, Data!$E$2:$E1000 = E$2 )},$I$2  , $O$22:$O$23))"),"236827")</f>
        <v>236827</v>
      </c>
      <c r="F12" s="16" t="str">
        <f>IFERROR(__xludf.DUMMYFUNCTION("(DMAX({{Data!$A$1:$M$1};filter(Data!$A$2:$M1000,Data!$A$2:$A1000=$A12 , Data!$B$2:$B1000 = $B12,Data!$C$2:$C1000 = $C12, Data!$D$2:$D1000 = F$1, Data!$E$2:$E1000 = F$2 )},$I$2  , $O$22:$O$23))"),"237577")</f>
        <v>237577</v>
      </c>
      <c r="G12" s="17" t="str">
        <f t="shared" si="1"/>
        <v>237577</v>
      </c>
      <c r="H12" s="18"/>
      <c r="I12" s="18"/>
      <c r="J12" s="18"/>
      <c r="K12" s="18"/>
      <c r="L12" s="18"/>
      <c r="M12" s="1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4">
        <v>500.0</v>
      </c>
      <c r="B13" s="14">
        <v>5.0</v>
      </c>
      <c r="C13" s="14">
        <v>5.0</v>
      </c>
      <c r="D13" s="15" t="str">
        <f>IFERROR(__xludf.DUMMYFUNCTION("(DMAX({{Data!$A$1:$M$1};filter(Data!$A$2:$M1000,Data!$A$2:$A1000=$A13 , Data!$B$2:$B1000 = $B13,Data!$C$2:$C1000 = $C13, Data!$D$2:$D1000 = D$1, Data!$E$2:$E1000 = D$2 )},$I$2  , $O$22:$O$23))"),"235691")</f>
        <v>235691</v>
      </c>
      <c r="E13" s="15" t="str">
        <f>IFERROR(__xludf.DUMMYFUNCTION("(DMAX({{Data!$A$1:$M$1};filter(Data!$A$2:$M1000,Data!$A$2:$A1000=$A13 , Data!$B$2:$B1000 = $B13,Data!$C$2:$C1000 = $C13, Data!$D$2:$D1000 = E$1, Data!$E$2:$E1000 = E$2 )},$I$2  , $O$22:$O$23))"),"235184")</f>
        <v>235184</v>
      </c>
      <c r="F13" s="16" t="str">
        <f>IFERROR(__xludf.DUMMYFUNCTION("(DMAX({{Data!$A$1:$M$1};filter(Data!$A$2:$M1000,Data!$A$2:$A1000=$A13 , Data!$B$2:$B1000 = $B13,Data!$C$2:$C1000 = $C13, Data!$D$2:$D1000 = F$1, Data!$E$2:$E1000 = F$2 )},$I$2  , $O$22:$O$23))"),"235338")</f>
        <v>235338</v>
      </c>
      <c r="G13" s="17" t="str">
        <f t="shared" si="1"/>
        <v>235691</v>
      </c>
      <c r="H13" s="18"/>
      <c r="I13" s="18"/>
      <c r="J13" s="18"/>
      <c r="K13" s="18"/>
      <c r="L13" s="18"/>
      <c r="M13" s="1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4">
        <v>500.0</v>
      </c>
      <c r="B14" s="14">
        <v>10.0</v>
      </c>
      <c r="C14" s="14">
        <v>1.0</v>
      </c>
      <c r="D14" s="15" t="str">
        <f>IFERROR(__xludf.DUMMYFUNCTION("(DMAX({{Data!$A$1:$M$1};filter(Data!$A$2:$M1000,Data!$A$2:$A1000=$A14 , Data!$B$2:$B1000 = $B14,Data!$C$2:$C1000 = $C14, Data!$D$2:$D1000 = D$1, Data!$E$2:$E1000 = D$2 )},$I$2  , $O$22:$O$23))"),"431326")</f>
        <v>431326</v>
      </c>
      <c r="E14" s="15" t="str">
        <f>IFERROR(__xludf.DUMMYFUNCTION("(DMAX({{Data!$A$1:$M$1};filter(Data!$A$2:$M1000,Data!$A$2:$A1000=$A14 , Data!$B$2:$B1000 = $B14,Data!$C$2:$C1000 = $C14, Data!$D$2:$D1000 = E$1, Data!$E$2:$E1000 = E$2 )},$I$2  , $O$22:$O$23))"),"432613")</f>
        <v>432613</v>
      </c>
      <c r="F14" s="16" t="str">
        <f>IFERROR(__xludf.DUMMYFUNCTION("(DMAX({{Data!$A$1:$M$1};filter(Data!$A$2:$M1000,Data!$A$2:$A1000=$A14 , Data!$B$2:$B1000 = $B14,Data!$C$2:$C1000 = $C14, Data!$D$2:$D1000 = F$1, Data!$E$2:$E1000 = F$2 )},$I$2  , $O$22:$O$23))"),"432853")</f>
        <v>432853</v>
      </c>
      <c r="G14" s="17" t="str">
        <f t="shared" si="1"/>
        <v>432853</v>
      </c>
      <c r="H14" s="18"/>
      <c r="I14" s="18"/>
      <c r="J14" s="18"/>
      <c r="K14" s="18"/>
      <c r="L14" s="18"/>
      <c r="M14" s="18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4">
        <v>500.0</v>
      </c>
      <c r="B15" s="14">
        <v>10.0</v>
      </c>
      <c r="C15" s="14">
        <v>2.0</v>
      </c>
      <c r="D15" s="15" t="str">
        <f>IFERROR(__xludf.DUMMYFUNCTION("(DMAX({{Data!$A$1:$M$1};filter(Data!$A$2:$M1000,Data!$A$2:$A1000=$A15 , Data!$B$2:$B1000 = $B15,Data!$C$2:$C1000 = $C15, Data!$D$2:$D1000 = D$1, Data!$E$2:$E1000 = D$2 )},$I$2  , $O$22:$O$23))"),"431549")</f>
        <v>431549</v>
      </c>
      <c r="E15" s="15" t="str">
        <f>IFERROR(__xludf.DUMMYFUNCTION("(DMAX({{Data!$A$1:$M$1};filter(Data!$A$2:$M1000,Data!$A$2:$A1000=$A15 , Data!$B$2:$B1000 = $B15,Data!$C$2:$C1000 = $C15, Data!$D$2:$D1000 = E$1, Data!$E$2:$E1000 = E$2 )},$I$2  , $O$22:$O$23))"),"431585")</f>
        <v>431585</v>
      </c>
      <c r="F15" s="16" t="str">
        <f>IFERROR(__xludf.DUMMYFUNCTION("(DMAX({{Data!$A$1:$M$1};filter(Data!$A$2:$M1000,Data!$A$2:$A1000=$A15 , Data!$B$2:$B1000 = $B15,Data!$C$2:$C1000 = $C15, Data!$D$2:$D1000 = F$1, Data!$E$2:$E1000 = F$2 )},$I$2  , $O$22:$O$23))"),"433377")</f>
        <v>433377</v>
      </c>
      <c r="G15" s="17" t="str">
        <f t="shared" si="1"/>
        <v>433377</v>
      </c>
      <c r="H15" s="18"/>
      <c r="I15" s="18"/>
      <c r="J15" s="18"/>
      <c r="K15" s="18"/>
      <c r="L15" s="18"/>
      <c r="M15" s="1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4">
        <v>500.0</v>
      </c>
      <c r="B16" s="14">
        <v>10.0</v>
      </c>
      <c r="C16" s="14">
        <v>3.0</v>
      </c>
      <c r="D16" s="15" t="str">
        <f>IFERROR(__xludf.DUMMYFUNCTION("(DMAX({{Data!$A$1:$M$1};filter(Data!$A$2:$M1000,Data!$A$2:$A1000=$A16 , Data!$B$2:$B1000 = $B16,Data!$C$2:$C1000 = $C16, Data!$D$2:$D1000 = D$1, Data!$E$2:$E1000 = D$2 )},$I$2  , $O$22:$O$23))"),"432301")</f>
        <v>432301</v>
      </c>
      <c r="E16" s="15" t="str">
        <f>IFERROR(__xludf.DUMMYFUNCTION("(DMAX({{Data!$A$1:$M$1};filter(Data!$A$2:$M1000,Data!$A$2:$A1000=$A16 , Data!$B$2:$B1000 = $B16,Data!$C$2:$C1000 = $C16, Data!$D$2:$D1000 = E$1, Data!$E$2:$E1000 = E$2 )},$I$2  , $O$22:$O$23))"),"432878")</f>
        <v>432878</v>
      </c>
      <c r="F16" s="16" t="str">
        <f>IFERROR(__xludf.DUMMYFUNCTION("(DMAX({{Data!$A$1:$M$1};filter(Data!$A$2:$M1000,Data!$A$2:$A1000=$A16 , Data!$B$2:$B1000 = $B16,Data!$C$2:$C1000 = $C16, Data!$D$2:$D1000 = F$1, Data!$E$2:$E1000 = F$2 )},$I$2  , $O$22:$O$23))"),"434551")</f>
        <v>434551</v>
      </c>
      <c r="G16" s="17" t="str">
        <f t="shared" si="1"/>
        <v>434551</v>
      </c>
      <c r="H16" s="18"/>
      <c r="I16" s="18"/>
      <c r="J16" s="18"/>
      <c r="K16" s="18"/>
      <c r="L16" s="18"/>
      <c r="M16" s="18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4">
        <v>500.0</v>
      </c>
      <c r="B17" s="14">
        <v>10.0</v>
      </c>
      <c r="C17" s="14">
        <v>4.0</v>
      </c>
      <c r="D17" s="15" t="str">
        <f>IFERROR(__xludf.DUMMYFUNCTION("(DMAX({{Data!$A$1:$M$1};filter(Data!$A$2:$M1000,Data!$A$2:$A1000=$A17 , Data!$B$2:$B1000 = $B17,Data!$C$2:$C1000 = $C17, Data!$D$2:$D1000 = D$1, Data!$E$2:$E1000 = D$2 )},$I$2  , $O$22:$O$23))"),"434143")</f>
        <v>434143</v>
      </c>
      <c r="E17" s="15" t="str">
        <f>IFERROR(__xludf.DUMMYFUNCTION("(DMAX({{Data!$A$1:$M$1};filter(Data!$A$2:$M1000,Data!$A$2:$A1000=$A17 , Data!$B$2:$B1000 = $B17,Data!$C$2:$C1000 = $C17, Data!$D$2:$D1000 = E$1, Data!$E$2:$E1000 = E$2 )},$I$2  , $O$22:$O$23))"),"435571")</f>
        <v>435571</v>
      </c>
      <c r="F17" s="16" t="str">
        <f>IFERROR(__xludf.DUMMYFUNCTION("(DMAX({{Data!$A$1:$M$1};filter(Data!$A$2:$M1000,Data!$A$2:$A1000=$A17 , Data!$B$2:$B1000 = $B17,Data!$C$2:$C1000 = $C17, Data!$D$2:$D1000 = F$1, Data!$E$2:$E1000 = F$2 )},$I$2  , $O$22:$O$23))"),"434910")</f>
        <v>434910</v>
      </c>
      <c r="G17" s="17" t="str">
        <f t="shared" si="1"/>
        <v>435571</v>
      </c>
      <c r="H17" s="18"/>
      <c r="I17" s="18"/>
      <c r="J17" s="18"/>
      <c r="K17" s="18"/>
      <c r="L17" s="18"/>
      <c r="M17" s="18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4">
        <v>500.0</v>
      </c>
      <c r="B18" s="14">
        <v>10.0</v>
      </c>
      <c r="C18" s="14">
        <v>5.0</v>
      </c>
      <c r="D18" s="15" t="str">
        <f>IFERROR(__xludf.DUMMYFUNCTION("(DMAX({{Data!$A$1:$M$1};filter(Data!$A$2:$M1000,Data!$A$2:$A1000=$A18 , Data!$B$2:$B1000 = $B18,Data!$C$2:$C1000 = $C18, Data!$D$2:$D1000 = D$1, Data!$E$2:$E1000 = D$2 )},$I$2  , $O$22:$O$23))"),"434535")</f>
        <v>434535</v>
      </c>
      <c r="E18" s="15" t="str">
        <f>IFERROR(__xludf.DUMMYFUNCTION("(DMAX({{Data!$A$1:$M$1};filter(Data!$A$2:$M1000,Data!$A$2:$A1000=$A18 , Data!$B$2:$B1000 = $B18,Data!$C$2:$C1000 = $C18, Data!$D$2:$D1000 = E$1, Data!$E$2:$E1000 = E$2 )},$I$2  , $O$22:$O$23))"),"432765")</f>
        <v>432765</v>
      </c>
      <c r="F18" s="16" t="str">
        <f>IFERROR(__xludf.DUMMYFUNCTION("(DMAX({{Data!$A$1:$M$1};filter(Data!$A$2:$M1000,Data!$A$2:$A1000=$A18 , Data!$B$2:$B1000 = $B18,Data!$C$2:$C1000 = $C18, Data!$D$2:$D1000 = F$1, Data!$E$2:$E1000 = F$2 )},$I$2  , $O$22:$O$23))"),"431475")</f>
        <v>431475</v>
      </c>
      <c r="G18" s="17" t="str">
        <f t="shared" si="1"/>
        <v>434535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9">
        <v>500.0</v>
      </c>
      <c r="B19" s="9">
        <v>50.0</v>
      </c>
      <c r="C19" s="9">
        <v>1.0</v>
      </c>
      <c r="D19" s="15" t="str">
        <f>IFERROR(__xludf.DUMMYFUNCTION("(DMAX({{Data!$A$1:$M$1};filter(Data!$A$2:$M1000,Data!$A$2:$A1000=$A19 , Data!$B$2:$B1000 = $B19,Data!$C$2:$C1000 = $C19, Data!$D$2:$D1000 = D$1, Data!$E$2:$E1000 = D$2 )},$I$2  , $O$22:$O$23))"),"2092731")</f>
        <v>2092731</v>
      </c>
      <c r="E19" s="15" t="str">
        <f>IFERROR(__xludf.DUMMYFUNCTION("(DMAX({{Data!$A$1:$M$1};filter(Data!$A$2:$M1000,Data!$A$2:$A1000=$A19 , Data!$B$2:$B1000 = $B19,Data!$C$2:$C1000 = $C19, Data!$D$2:$D1000 = E$1, Data!$E$2:$E1000 = E$2 )},$I$2  , $O$22:$O$23))"),"2094553")</f>
        <v>2094553</v>
      </c>
      <c r="F19" s="16" t="str">
        <f>IFERROR(__xludf.DUMMYFUNCTION("(DMAX({{Data!$A$1:$M$1};filter(Data!$A$2:$M1000,Data!$A$2:$A1000=$A19 , Data!$B$2:$B1000 = $B19,Data!$C$2:$C1000 = $C19, Data!$D$2:$D1000 = F$1, Data!$E$2:$E1000 = F$2 )},$I$2  , $O$22:$O$23))"),"2091965")</f>
        <v>2091965</v>
      </c>
      <c r="G19" s="17" t="str">
        <f t="shared" si="1"/>
        <v>2094553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1">
        <v>500.0</v>
      </c>
      <c r="B20" s="21">
        <v>50.0</v>
      </c>
      <c r="C20" s="21">
        <v>2.0</v>
      </c>
      <c r="D20" s="15" t="str">
        <f>IFERROR(__xludf.DUMMYFUNCTION("(DMAX({{Data!$A$1:$M$1};filter(Data!$A$2:$M1000,Data!$A$2:$A1000=$A20 , Data!$B$2:$B1000 = $B20,Data!$C$2:$C1000 = $C20, Data!$D$2:$D1000 = D$1, Data!$E$2:$E1000 = D$2 )},$I$2  , $O$22:$O$23))"),"2090692")</f>
        <v>2090692</v>
      </c>
      <c r="E20" s="15" t="str">
        <f>IFERROR(__xludf.DUMMYFUNCTION("(DMAX({{Data!$A$1:$M$1};filter(Data!$A$2:$M1000,Data!$A$2:$A1000=$A20 , Data!$B$2:$B1000 = $B20,Data!$C$2:$C1000 = $C20, Data!$D$2:$D1000 = E$1, Data!$E$2:$E1000 = E$2 )},$I$2  , $O$22:$O$23))"),"2093552")</f>
        <v>2093552</v>
      </c>
      <c r="F20" s="16" t="str">
        <f>IFERROR(__xludf.DUMMYFUNCTION("(DMAX({{Data!$A$1:$M$1};filter(Data!$A$2:$M1000,Data!$A$2:$A1000=$A20 , Data!$B$2:$B1000 = $B20,Data!$C$2:$C1000 = $C20, Data!$D$2:$D1000 = F$1, Data!$E$2:$E1000 = F$2 )},$I$2  , $O$22:$O$23))"),"2090552")</f>
        <v>2090552</v>
      </c>
      <c r="G20" s="17" t="str">
        <f t="shared" si="1"/>
        <v>2093552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1">
        <v>500.0</v>
      </c>
      <c r="B21" s="21">
        <v>50.0</v>
      </c>
      <c r="C21" s="21">
        <v>3.0</v>
      </c>
      <c r="D21" s="15" t="str">
        <f>IFERROR(__xludf.DUMMYFUNCTION("(DMAX({{Data!$A$1:$M$1};filter(Data!$A$2:$M1000,Data!$A$2:$A1000=$A21 , Data!$B$2:$B1000 = $B21,Data!$C$2:$C1000 = $C21, Data!$D$2:$D1000 = D$1, Data!$E$2:$E1000 = D$2 )},$I$2  , $O$22:$O$23))"),"2081065")</f>
        <v>2081065</v>
      </c>
      <c r="E21" s="15" t="str">
        <f>IFERROR(__xludf.DUMMYFUNCTION("(DMAX({{Data!$A$1:$M$1};filter(Data!$A$2:$M1000,Data!$A$2:$A1000=$A21 , Data!$B$2:$B1000 = $B21,Data!$C$2:$C1000 = $C21, Data!$D$2:$D1000 = E$1, Data!$E$2:$E1000 = E$2 )},$I$2  , $O$22:$O$23))"),"2088898")</f>
        <v>2088898</v>
      </c>
      <c r="F21" s="16" t="str">
        <f>IFERROR(__xludf.DUMMYFUNCTION("(DMAX({{Data!$A$1:$M$1};filter(Data!$A$2:$M1000,Data!$A$2:$A1000=$A21 , Data!$B$2:$B1000 = $B21,Data!$C$2:$C1000 = $C21, Data!$D$2:$D1000 = F$1, Data!$E$2:$E1000 = F$2 )},$I$2  , $O$22:$O$23))"),"2084527")</f>
        <v>2084527</v>
      </c>
      <c r="G21" s="17" t="str">
        <f t="shared" si="1"/>
        <v>2088898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4">
        <v>500.0</v>
      </c>
      <c r="B22" s="21">
        <v>50.0</v>
      </c>
      <c r="C22" s="21">
        <v>4.0</v>
      </c>
      <c r="D22" s="15" t="str">
        <f>IFERROR(__xludf.DUMMYFUNCTION("(DMAX({{Data!$A$1:$M$1};filter(Data!$A$2:$M1000,Data!$A$2:$A1000=$A22 , Data!$B$2:$B1000 = $B22,Data!$C$2:$C1000 = $C22, Data!$D$2:$D1000 = D$1, Data!$E$2:$E1000 = D$2 )},$I$2  , $O$22:$O$23))"),"2088303")</f>
        <v>2088303</v>
      </c>
      <c r="E22" s="15" t="str">
        <f>IFERROR(__xludf.DUMMYFUNCTION("(DMAX({{Data!$A$1:$M$1};filter(Data!$A$2:$M1000,Data!$A$2:$A1000=$A22 , Data!$B$2:$B1000 = $B22,Data!$C$2:$C1000 = $C22, Data!$D$2:$D1000 = E$1, Data!$E$2:$E1000 = E$2 )},$I$2  , $O$22:$O$23))"),"2085735")</f>
        <v>2085735</v>
      </c>
      <c r="F22" s="16" t="str">
        <f>IFERROR(__xludf.DUMMYFUNCTION("(DMAX({{Data!$A$1:$M$1};filter(Data!$A$2:$M1000,Data!$A$2:$A1000=$A22 , Data!$B$2:$B1000 = $B22,Data!$C$2:$C1000 = $C22, Data!$D$2:$D1000 = F$1, Data!$E$2:$E1000 = F$2 )},$I$2  , $O$22:$O$23))"),"2085154")</f>
        <v>2085154</v>
      </c>
      <c r="G22" s="17" t="str">
        <f t="shared" si="1"/>
        <v>2088303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1">
        <v>500.0</v>
      </c>
      <c r="B23" s="21">
        <v>50.0</v>
      </c>
      <c r="C23" s="21">
        <v>5.0</v>
      </c>
      <c r="D23" s="15" t="str">
        <f>IFERROR(__xludf.DUMMYFUNCTION("(DMAX({{Data!$A$1:$M$1};filter(Data!$A$2:$M1000,Data!$A$2:$A1000=$A23 , Data!$B$2:$B1000 = $B23,Data!$C$2:$C1000 = $C23, Data!$D$2:$D1000 = D$1, Data!$E$2:$E1000 = D$2 )},$I$2  , $O$22:$O$23))"),"2093797")</f>
        <v>2093797</v>
      </c>
      <c r="E23" s="15" t="str">
        <f>IFERROR(__xludf.DUMMYFUNCTION("(DMAX({{Data!$A$1:$M$1};filter(Data!$A$2:$M1000,Data!$A$2:$A1000=$A23 , Data!$B$2:$B1000 = $B23,Data!$C$2:$C1000 = $C23, Data!$D$2:$D1000 = E$1, Data!$E$2:$E1000 = E$2 )},$I$2  , $O$22:$O$23))"),"2090376")</f>
        <v>2090376</v>
      </c>
      <c r="F23" s="16" t="str">
        <f>IFERROR(__xludf.DUMMYFUNCTION("(DMAX({{Data!$A$1:$M$1};filter(Data!$A$2:$M1000,Data!$A$2:$A1000=$A23 , Data!$B$2:$B1000 = $B23,Data!$C$2:$C1000 = $C23, Data!$D$2:$D1000 = F$1, Data!$E$2:$E1000 = F$2 )},$I$2  , $O$22:$O$23))"),"2094034")</f>
        <v>2094034</v>
      </c>
      <c r="G23" s="17" t="str">
        <f t="shared" si="1"/>
        <v>2094034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9">
        <v>500.0</v>
      </c>
      <c r="B24" s="9">
        <v>100.0</v>
      </c>
      <c r="C24" s="9">
        <v>1.0</v>
      </c>
      <c r="D24" s="15" t="str">
        <f>IFERROR(__xludf.DUMMYFUNCTION("(DMAX({{Data!$A$1:$M$1};filter(Data!$A$2:$M1000,Data!$A$2:$A1000=$A24 , Data!$B$2:$B1000 = $B24,Data!$C$2:$C1000 = $C24, Data!$D$2:$D1000 = D$1, Data!$E$2:$E1000 = D$2 )},$I$2  , $O$22:$O$23))"),"6512474")</f>
        <v>6512474</v>
      </c>
      <c r="E24" s="15" t="str">
        <f>IFERROR(__xludf.DUMMYFUNCTION("(DMAX({{Data!$A$1:$M$1};filter(Data!$A$2:$M1000,Data!$A$2:$A1000=$A24 , Data!$B$2:$B1000 = $B24,Data!$C$2:$C1000 = $C24, Data!$D$2:$D1000 = E$1, Data!$E$2:$E1000 = E$2 )},$I$2  , $O$22:$O$23))"),"6516189")</f>
        <v>6516189</v>
      </c>
      <c r="F24" s="16" t="str">
        <f>IFERROR(__xludf.DUMMYFUNCTION("(DMAX({{Data!$A$1:$M$1};filter(Data!$A$2:$M1000,Data!$A$2:$A1000=$A24 , Data!$B$2:$B1000 = $B24,Data!$C$2:$C1000 = $C24, Data!$D$2:$D1000 = F$1, Data!$E$2:$E1000 = F$2 )},$I$2  , $O$22:$O$23))"),"6516151")</f>
        <v>6516151</v>
      </c>
      <c r="G24" s="17" t="str">
        <f t="shared" si="1"/>
        <v>6516189</v>
      </c>
      <c r="H24" s="10"/>
      <c r="I24" s="10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4">
        <v>500.0</v>
      </c>
      <c r="B25" s="22">
        <v>100.0</v>
      </c>
      <c r="C25" s="14">
        <v>2.0</v>
      </c>
      <c r="D25" s="15" t="str">
        <f>IFERROR(__xludf.DUMMYFUNCTION("(DMAX({{Data!$A$1:$M$1};filter(Data!$A$2:$M1000,Data!$A$2:$A1000=$A25 , Data!$B$2:$B1000 = $B25,Data!$C$2:$C1000 = $C25, Data!$D$2:$D1000 = D$1, Data!$E$2:$E1000 = D$2 )},$I$2  , $O$22:$O$23))"),"6502817")</f>
        <v>6502817</v>
      </c>
      <c r="E25" s="15" t="str">
        <f>IFERROR(__xludf.DUMMYFUNCTION("(DMAX({{Data!$A$1:$M$1};filter(Data!$A$2:$M1000,Data!$A$2:$A1000=$A25 , Data!$B$2:$B1000 = $B25,Data!$C$2:$C1000 = $C25, Data!$D$2:$D1000 = E$1, Data!$E$2:$E1000 = E$2 )},$I$2  , $O$22:$O$23))"),"6510686")</f>
        <v>6510686</v>
      </c>
      <c r="F25" s="16" t="str">
        <f>IFERROR(__xludf.DUMMYFUNCTION("(DMAX({{Data!$A$1:$M$1};filter(Data!$A$2:$M1000,Data!$A$2:$A1000=$A25 , Data!$B$2:$B1000 = $B25,Data!$C$2:$C1000 = $C25, Data!$D$2:$D1000 = F$1, Data!$E$2:$E1000 = F$2 )},$I$2  , $O$22:$O$23))"),"6510076")</f>
        <v>6510076</v>
      </c>
      <c r="G25" s="17" t="str">
        <f t="shared" si="1"/>
        <v>6510686</v>
      </c>
      <c r="H25" s="17"/>
      <c r="I25" s="1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4">
        <v>500.0</v>
      </c>
      <c r="B26" s="14">
        <v>100.0</v>
      </c>
      <c r="C26" s="14">
        <v>3.0</v>
      </c>
      <c r="D26" s="15" t="str">
        <f>IFERROR(__xludf.DUMMYFUNCTION("(DMAX({{Data!$A$1:$M$1};filter(Data!$A$2:$M1000,Data!$A$2:$A1000=$A26 , Data!$B$2:$B1000 = $B26,Data!$C$2:$C1000 = $C26, Data!$D$2:$D1000 = D$1, Data!$E$2:$E1000 = D$2 )},$I$2  , $O$22:$O$23))"),"6522921")</f>
        <v>6522921</v>
      </c>
      <c r="E26" s="15" t="str">
        <f>IFERROR(__xludf.DUMMYFUNCTION("(DMAX({{Data!$A$1:$M$1};filter(Data!$A$2:$M1000,Data!$A$2:$A1000=$A26 , Data!$B$2:$B1000 = $B26,Data!$C$2:$C1000 = $C26, Data!$D$2:$D1000 = E$1, Data!$E$2:$E1000 = E$2 )},$I$2  , $O$22:$O$23))"),"6527583")</f>
        <v>6527583</v>
      </c>
      <c r="F26" s="16" t="str">
        <f>IFERROR(__xludf.DUMMYFUNCTION("(DMAX({{Data!$A$1:$M$1};filter(Data!$A$2:$M1000,Data!$A$2:$A1000=$A26 , Data!$B$2:$B1000 = $B26,Data!$C$2:$C1000 = $C26, Data!$D$2:$D1000 = F$1, Data!$E$2:$E1000 = F$2 )},$I$2  , $O$22:$O$23))"),"6524611")</f>
        <v>6524611</v>
      </c>
      <c r="G26" s="17" t="str">
        <f t="shared" si="1"/>
        <v>6527583</v>
      </c>
      <c r="H26" s="17"/>
      <c r="I26" s="3" t="s">
        <v>28</v>
      </c>
      <c r="J26" s="12"/>
      <c r="K26" s="12"/>
      <c r="L26" s="11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4">
        <v>500.0</v>
      </c>
      <c r="B27" s="14">
        <v>100.0</v>
      </c>
      <c r="C27" s="14">
        <v>4.0</v>
      </c>
      <c r="D27" s="15" t="str">
        <f>IFERROR(__xludf.DUMMYFUNCTION("(DMAX({{Data!$A$1:$M$1};filter(Data!$A$2:$M1000,Data!$A$2:$A1000=$A27 , Data!$B$2:$B1000 = $B27,Data!$C$2:$C1000 = $C27, Data!$D$2:$D1000 = D$1, Data!$E$2:$E1000 = D$2 )},$I$2  , $O$22:$O$23))"),"6520025")</f>
        <v>6520025</v>
      </c>
      <c r="E27" s="15" t="str">
        <f>IFERROR(__xludf.DUMMYFUNCTION("(DMAX({{Data!$A$1:$M$1};filter(Data!$A$2:$M1000,Data!$A$2:$A1000=$A27 , Data!$B$2:$B1000 = $B27,Data!$C$2:$C1000 = $C27, Data!$D$2:$D1000 = E$1, Data!$E$2:$E1000 = E$2 )},$I$2  , $O$22:$O$23))"),"6518056")</f>
        <v>6518056</v>
      </c>
      <c r="F27" s="16" t="str">
        <f>IFERROR(__xludf.DUMMYFUNCTION("(DMAX({{Data!$A$1:$M$1};filter(Data!$A$2:$M1000,Data!$A$2:$A1000=$A27 , Data!$B$2:$B1000 = $B27,Data!$C$2:$C1000 = $C27, Data!$D$2:$D1000 = F$1, Data!$E$2:$E1000 = F$2 )},$I$2  , $O$22:$O$23))"),"6514609")</f>
        <v>6514609</v>
      </c>
      <c r="G27" s="17" t="str">
        <f t="shared" si="1"/>
        <v>6520025</v>
      </c>
      <c r="H27" s="17"/>
      <c r="I27" s="23" t="s">
        <v>0</v>
      </c>
      <c r="J27" s="23" t="s">
        <v>1</v>
      </c>
      <c r="K27" s="23" t="s">
        <v>2</v>
      </c>
      <c r="L27" s="8" t="s">
        <v>29</v>
      </c>
      <c r="M27" s="8" t="s">
        <v>30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9">
        <v>500.0</v>
      </c>
      <c r="B28" s="19">
        <v>100.0</v>
      </c>
      <c r="C28" s="19">
        <v>5.0</v>
      </c>
      <c r="D28" s="15" t="str">
        <f>IFERROR(__xludf.DUMMYFUNCTION("(DMAX({{Data!$A$1:$M$1};filter(Data!$A$2:$M1000,Data!$A$2:$A1000=$A28 , Data!$B$2:$B1000 = $B28,Data!$C$2:$C1000 = $C28, Data!$D$2:$D1000 = D$1, Data!$E$2:$E1000 = D$2 )},$I$2  , $O$22:$O$23))"),"6511722")</f>
        <v>6511722</v>
      </c>
      <c r="E28" s="15" t="str">
        <f>IFERROR(__xludf.DUMMYFUNCTION("(DMAX({{Data!$A$1:$M$1};filter(Data!$A$2:$M1000,Data!$A$2:$A1000=$A28 , Data!$B$2:$B1000 = $B28,Data!$C$2:$C1000 = $C28, Data!$D$2:$D1000 = E$1, Data!$E$2:$E1000 = E$2 )},$I$2  , $O$22:$O$23))"),"6508453")</f>
        <v>6508453</v>
      </c>
      <c r="F28" s="16" t="str">
        <f>IFERROR(__xludf.DUMMYFUNCTION("(DMAX({{Data!$A$1:$M$1};filter(Data!$A$2:$M1000,Data!$A$2:$A1000=$A28 , Data!$B$2:$B1000 = $B28,Data!$C$2:$C1000 = $C28, Data!$D$2:$D1000 = F$1, Data!$E$2:$E1000 = F$2 )},$I$2  , $O$22:$O$23))"),"6510078")</f>
        <v>6510078</v>
      </c>
      <c r="G28" s="17" t="str">
        <f t="shared" si="1"/>
        <v>6511722</v>
      </c>
      <c r="I28" s="21">
        <v>1000.0</v>
      </c>
      <c r="J28" s="21">
        <v>1.0</v>
      </c>
      <c r="K28" s="21">
        <v>1.0</v>
      </c>
      <c r="L28" s="24" t="str">
        <f t="shared" ref="L28:L52" si="2">E4/D4</f>
        <v>0.9955768081</v>
      </c>
      <c r="M28" s="24" t="str">
        <f t="shared" ref="M28:M52" si="3">#REF!/F4</f>
        <v>#REF!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5">
        <v>1000.0</v>
      </c>
      <c r="B29" s="25">
        <v>1.0</v>
      </c>
      <c r="C29" s="25">
        <v>1.0</v>
      </c>
      <c r="D29" s="26" t="str">
        <f>IFERROR(__xludf.DUMMYFUNCTION("(DMAX({{Data!$A$1:$M$1};filter(Data!$A$2:$M1000,Data!$A$2:$A1000=$A29 , Data!$B$2:$B1000 = $B29,Data!$C$2:$C1000 = $C29, Data!$D$2:$D1000 = D$1, Data!$E$2:$E1000 = D$2 )},$I$2  , $O$22:$O$23))"),"208349")</f>
        <v>208349</v>
      </c>
      <c r="E29" s="15" t="str">
        <f>IFERROR(__xludf.DUMMYFUNCTION("(DMAX({{Data!$A$1:$M$1};filter(Data!$A$2:$M1000,Data!$A$2:$A1000=$A29 , Data!$B$2:$B1000 = $B29,Data!$C$2:$C1000 = $C29, Data!$D$2:$D1000 = E$1, Data!$E$2:$E1000 = E$2 )},$I$2  , $O$22:$O$23))"),"208446")</f>
        <v>208446</v>
      </c>
      <c r="F29" s="16" t="str">
        <f>IFERROR(__xludf.DUMMYFUNCTION("(DMAX({{Data!$A$1:$M$1};filter(Data!$A$2:$M1000,Data!$A$2:$A1000=$A29 , Data!$B$2:$B1000 = $B29,Data!$C$2:$C1000 = $C29, Data!$D$2:$D1000 = F$1, Data!$E$2:$E1000 = F$2 )},$I$2  , $O$22:$O$23))"),"207804")</f>
        <v>207804</v>
      </c>
      <c r="G29" s="17" t="str">
        <f t="shared" si="1"/>
        <v>208446</v>
      </c>
      <c r="I29" s="21">
        <v>1000.0</v>
      </c>
      <c r="J29" s="21">
        <v>1.0</v>
      </c>
      <c r="K29" s="21">
        <v>2.0</v>
      </c>
      <c r="L29" s="24" t="str">
        <f t="shared" si="2"/>
        <v>1.010185132</v>
      </c>
      <c r="M29" s="24" t="str">
        <f t="shared" si="3"/>
        <v>#REF!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7">
        <v>1000.0</v>
      </c>
      <c r="B30" s="27">
        <v>1.0</v>
      </c>
      <c r="C30" s="27">
        <v>2.0</v>
      </c>
      <c r="D30" s="26" t="str">
        <f>IFERROR(__xludf.DUMMYFUNCTION("(DMAX({{Data!$A$1:$M$1};filter(Data!$A$2:$M1000,Data!$A$2:$A1000=$A30 , Data!$B$2:$B1000 = $B30,Data!$C$2:$C1000 = $C30, Data!$D$2:$D1000 = D$1, Data!$E$2:$E1000 = D$2 )},$I$2  , $O$22:$O$23))"),"204329")</f>
        <v>204329</v>
      </c>
      <c r="E30" s="15" t="str">
        <f>IFERROR(__xludf.DUMMYFUNCTION("(DMAX({{Data!$A$1:$M$1};filter(Data!$A$2:$M1000,Data!$A$2:$A1000=$A30 , Data!$B$2:$B1000 = $B30,Data!$C$2:$C1000 = $C30, Data!$D$2:$D1000 = E$1, Data!$E$2:$E1000 = E$2 )},$I$2  , $O$22:$O$23))"),"204527")</f>
        <v>204527</v>
      </c>
      <c r="F30" s="16" t="str">
        <f>IFERROR(__xludf.DUMMYFUNCTION("(DMAX({{Data!$A$1:$M$1};filter(Data!$A$2:$M1000,Data!$A$2:$A1000=$A30 , Data!$B$2:$B1000 = $B30,Data!$C$2:$C1000 = $C30, Data!$D$2:$D1000 = F$1, Data!$E$2:$E1000 = F$2 )},$I$2  , $O$22:$O$23))"),"204042")</f>
        <v>204042</v>
      </c>
      <c r="G30" s="17" t="str">
        <f t="shared" si="1"/>
        <v>204527</v>
      </c>
      <c r="I30" s="21">
        <v>1000.0</v>
      </c>
      <c r="J30" s="21">
        <v>1.0</v>
      </c>
      <c r="K30" s="21">
        <v>3.0</v>
      </c>
      <c r="L30" s="24" t="str">
        <f t="shared" si="2"/>
        <v>0.9941014838</v>
      </c>
      <c r="M30" s="24" t="str">
        <f t="shared" si="3"/>
        <v>#REF!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7">
        <v>1000.0</v>
      </c>
      <c r="B31" s="27">
        <v>1.0</v>
      </c>
      <c r="C31" s="27">
        <v>3.0</v>
      </c>
      <c r="D31" s="26" t="str">
        <f>IFERROR(__xludf.DUMMYFUNCTION("(DMAX({{Data!$A$1:$M$1};filter(Data!$A$2:$M1000,Data!$A$2:$A1000=$A31 , Data!$B$2:$B1000 = $B31,Data!$C$2:$C1000 = $C31, Data!$D$2:$D1000 = D$1, Data!$E$2:$E1000 = D$2 )},$I$2  , $O$22:$O$23))"),"203900")</f>
        <v>203900</v>
      </c>
      <c r="E31" s="15" t="str">
        <f>IFERROR(__xludf.DUMMYFUNCTION("(DMAX({{Data!$A$1:$M$1};filter(Data!$A$2:$M1000,Data!$A$2:$A1000=$A31 , Data!$B$2:$B1000 = $B31,Data!$C$2:$C1000 = $C31, Data!$D$2:$D1000 = E$1, Data!$E$2:$E1000 = E$2 )},$I$2  , $O$22:$O$23))"),"201927")</f>
        <v>201927</v>
      </c>
      <c r="F31" s="16" t="str">
        <f>IFERROR(__xludf.DUMMYFUNCTION("(DMAX({{Data!$A$1:$M$1};filter(Data!$A$2:$M1000,Data!$A$2:$A1000=$A31 , Data!$B$2:$B1000 = $B31,Data!$C$2:$C1000 = $C31, Data!$D$2:$D1000 = F$1, Data!$E$2:$E1000 = F$2 )},$I$2  , $O$22:$O$23))"),"202889")</f>
        <v>202889</v>
      </c>
      <c r="G31" s="17" t="str">
        <f t="shared" si="1"/>
        <v>203900</v>
      </c>
      <c r="I31" s="21">
        <v>1000.0</v>
      </c>
      <c r="J31" s="21">
        <v>1.0</v>
      </c>
      <c r="K31" s="21">
        <v>4.0</v>
      </c>
      <c r="L31" s="24" t="str">
        <f t="shared" si="2"/>
        <v>0.9942188646</v>
      </c>
      <c r="M31" s="24" t="str">
        <f t="shared" si="3"/>
        <v>#REF!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7">
        <v>1000.0</v>
      </c>
      <c r="B32" s="27">
        <v>1.0</v>
      </c>
      <c r="C32" s="27">
        <v>4.0</v>
      </c>
      <c r="D32" s="26" t="str">
        <f>IFERROR(__xludf.DUMMYFUNCTION("(DMAX({{Data!$A$1:$M$1};filter(Data!$A$2:$M1000,Data!$A$2:$A1000=$A32 , Data!$B$2:$B1000 = $B32,Data!$C$2:$C1000 = $C32, Data!$D$2:$D1000 = D$1, Data!$E$2:$E1000 = D$2 )},$I$2  , $O$22:$O$23))"),"212174")</f>
        <v>212174</v>
      </c>
      <c r="E32" s="15" t="str">
        <f>IFERROR(__xludf.DUMMYFUNCTION("(DMAX({{Data!$A$1:$M$1};filter(Data!$A$2:$M1000,Data!$A$2:$A1000=$A32 , Data!$B$2:$B1000 = $B32,Data!$C$2:$C1000 = $C32, Data!$D$2:$D1000 = E$1, Data!$E$2:$E1000 = E$2 )},$I$2  , $O$22:$O$23))"),"212338")</f>
        <v>212338</v>
      </c>
      <c r="F32" s="16" t="str">
        <f>IFERROR(__xludf.DUMMYFUNCTION("(DMAX({{Data!$A$1:$M$1};filter(Data!$A$2:$M1000,Data!$A$2:$A1000=$A32 , Data!$B$2:$B1000 = $B32,Data!$C$2:$C1000 = $C32, Data!$D$2:$D1000 = F$1, Data!$E$2:$E1000 = F$2 )},$I$2  , $O$22:$O$23))"),"212339")</f>
        <v>212339</v>
      </c>
      <c r="G32" s="17" t="str">
        <f t="shared" si="1"/>
        <v>212339</v>
      </c>
      <c r="I32" s="21">
        <v>1000.0</v>
      </c>
      <c r="J32" s="21">
        <v>1.0</v>
      </c>
      <c r="K32" s="21">
        <v>5.0</v>
      </c>
      <c r="L32" s="24" t="str">
        <f t="shared" si="2"/>
        <v>1.002440114</v>
      </c>
      <c r="M32" s="24" t="str">
        <f t="shared" si="3"/>
        <v>#REF!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7">
        <v>1000.0</v>
      </c>
      <c r="B33" s="27">
        <v>1.0</v>
      </c>
      <c r="C33" s="27">
        <v>5.0</v>
      </c>
      <c r="D33" s="26" t="str">
        <f>IFERROR(__xludf.DUMMYFUNCTION("(DMAX({{Data!$A$1:$M$1};filter(Data!$A$2:$M1000,Data!$A$2:$A1000=$A33 , Data!$B$2:$B1000 = $B33,Data!$C$2:$C1000 = $C33, Data!$D$2:$D1000 = D$1, Data!$E$2:$E1000 = D$2 )},$I$2  , $O$22:$O$23))"),"210956")</f>
        <v>210956</v>
      </c>
      <c r="E33" s="15" t="str">
        <f>IFERROR(__xludf.DUMMYFUNCTION("(DMAX({{Data!$A$1:$M$1};filter(Data!$A$2:$M1000,Data!$A$2:$A1000=$A33 , Data!$B$2:$B1000 = $B33,Data!$C$2:$C1000 = $C33, Data!$D$2:$D1000 = E$1, Data!$E$2:$E1000 = E$2 )},$I$2  , $O$22:$O$23))"),"209287")</f>
        <v>209287</v>
      </c>
      <c r="F33" s="16" t="str">
        <f>IFERROR(__xludf.DUMMYFUNCTION("(DMAX({{Data!$A$1:$M$1};filter(Data!$A$2:$M1000,Data!$A$2:$A1000=$A33 , Data!$B$2:$B1000 = $B33,Data!$C$2:$C1000 = $C33, Data!$D$2:$D1000 = F$1, Data!$E$2:$E1000 = F$2 )},$I$2  , $O$22:$O$23))"),"210167")</f>
        <v>210167</v>
      </c>
      <c r="G33" s="17" t="str">
        <f t="shared" si="1"/>
        <v>210956</v>
      </c>
      <c r="I33" s="21">
        <v>1000.0</v>
      </c>
      <c r="J33" s="21">
        <v>5.0</v>
      </c>
      <c r="K33" s="21">
        <v>1.0</v>
      </c>
      <c r="L33" s="24" t="str">
        <f t="shared" si="2"/>
        <v>1.002989249</v>
      </c>
      <c r="M33" s="24" t="str">
        <f t="shared" si="3"/>
        <v>#REF!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27">
        <v>1000.0</v>
      </c>
      <c r="B34" s="27">
        <v>5.0</v>
      </c>
      <c r="C34" s="27">
        <v>1.0</v>
      </c>
      <c r="D34" s="26" t="str">
        <f>IFERROR(__xludf.DUMMYFUNCTION("(DMAX({{Data!$A$1:$M$1};filter(Data!$A$2:$M1000,Data!$A$2:$A1000=$A34 , Data!$B$2:$B1000 = $B34,Data!$C$2:$C1000 = $C34, Data!$D$2:$D1000 = D$1, Data!$E$2:$E1000 = D$2 )},$I$2  , $O$22:$O$23))"),"854844")</f>
        <v>854844</v>
      </c>
      <c r="E34" s="15" t="str">
        <f>IFERROR(__xludf.DUMMYFUNCTION("(DMAX({{Data!$A$1:$M$1};filter(Data!$A$2:$M1000,Data!$A$2:$A1000=$A34 , Data!$B$2:$B1000 = $B34,Data!$C$2:$C1000 = $C34, Data!$D$2:$D1000 = E$1, Data!$E$2:$E1000 = E$2 )},$I$2  , $O$22:$O$23))"),"853866")</f>
        <v>853866</v>
      </c>
      <c r="F34" s="16" t="str">
        <f>IFERROR(__xludf.DUMMYFUNCTION("(DMAX({{Data!$A$1:$M$1};filter(Data!$A$2:$M1000,Data!$A$2:$A1000=$A34 , Data!$B$2:$B1000 = $B34,Data!$C$2:$C1000 = $C34, Data!$D$2:$D1000 = F$1, Data!$E$2:$E1000 = F$2 )},$I$2  , $O$22:$O$23))"),"853407")</f>
        <v>853407</v>
      </c>
      <c r="G34" s="17" t="str">
        <f t="shared" si="1"/>
        <v>854844</v>
      </c>
      <c r="I34" s="21">
        <v>1000.0</v>
      </c>
      <c r="J34" s="21">
        <v>5.0</v>
      </c>
      <c r="K34" s="21">
        <v>2.0</v>
      </c>
      <c r="L34" s="24" t="str">
        <f t="shared" si="2"/>
        <v>1.001878493</v>
      </c>
      <c r="M34" s="24" t="str">
        <f t="shared" si="3"/>
        <v>#REF!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27">
        <v>1000.0</v>
      </c>
      <c r="B35" s="27">
        <v>5.0</v>
      </c>
      <c r="C35" s="27">
        <v>2.0</v>
      </c>
      <c r="D35" s="26" t="str">
        <f>IFERROR(__xludf.DUMMYFUNCTION("(DMAX({{Data!$A$1:$M$1};filter(Data!$A$2:$M1000,Data!$A$2:$A1000=$A35 , Data!$B$2:$B1000 = $B35,Data!$C$2:$C1000 = $C35, Data!$D$2:$D1000 = D$1, Data!$E$2:$E1000 = D$2 )},$I$2  , $O$22:$O$23))"),"859510")</f>
        <v>859510</v>
      </c>
      <c r="E35" s="15" t="str">
        <f>IFERROR(__xludf.DUMMYFUNCTION("(DMAX({{Data!$A$1:$M$1};filter(Data!$A$2:$M1000,Data!$A$2:$A1000=$A35 , Data!$B$2:$B1000 = $B35,Data!$C$2:$C1000 = $C35, Data!$D$2:$D1000 = E$1, Data!$E$2:$E1000 = E$2 )},$I$2  , $O$22:$O$23))"),"859834")</f>
        <v>859834</v>
      </c>
      <c r="F35" s="15" t="str">
        <f>IFERROR(__xludf.DUMMYFUNCTION("(DMAX({{Data!$A$1:$M$1};filter(Data!$A$2:$M1000,Data!$A$2:$A1000=$A35 , Data!$B$2:$B1000 = $B35,Data!$C$2:$C1000 = $C35, Data!$D$2:$D1000 = F$1, Data!$E$2:$E1000 = F$2 )},$I$2  , $O$22:$O$23))"),"860539")</f>
        <v>860539</v>
      </c>
      <c r="G35" s="17" t="str">
        <f t="shared" si="1"/>
        <v>860539</v>
      </c>
      <c r="I35" s="21">
        <v>1000.0</v>
      </c>
      <c r="J35" s="21">
        <v>5.0</v>
      </c>
      <c r="K35" s="21">
        <v>3.0</v>
      </c>
      <c r="L35" s="24" t="str">
        <f t="shared" si="2"/>
        <v>0.9992660581</v>
      </c>
      <c r="M35" s="24" t="str">
        <f t="shared" si="3"/>
        <v>#REF!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27">
        <v>1000.0</v>
      </c>
      <c r="B36" s="27">
        <v>5.0</v>
      </c>
      <c r="C36" s="27">
        <v>3.0</v>
      </c>
      <c r="D36" s="26" t="str">
        <f>IFERROR(__xludf.DUMMYFUNCTION("(DMAX({{Data!$A$1:$M$1};filter(Data!$A$2:$M1000,Data!$A$2:$A1000=$A36 , Data!$B$2:$B1000 = $B36,Data!$C$2:$C1000 = $C36, Data!$D$2:$D1000 = D$1, Data!$E$2:$E1000 = D$2 )},$I$2  , $O$22:$O$23))"),"863653")</f>
        <v>863653</v>
      </c>
      <c r="E36" s="15" t="str">
        <f>IFERROR(__xludf.DUMMYFUNCTION("(DMAX({{Data!$A$1:$M$1};filter(Data!$A$2:$M1000,Data!$A$2:$A1000=$A36 , Data!$B$2:$B1000 = $B36,Data!$C$2:$C1000 = $C36, Data!$D$2:$D1000 = E$1, Data!$E$2:$E1000 = E$2 )},$I$2  , $O$22:$O$23))"),"866347")</f>
        <v>866347</v>
      </c>
      <c r="F36" s="15" t="str">
        <f>IFERROR(__xludf.DUMMYFUNCTION("(DMAX({{Data!$A$1:$M$1};filter(Data!$A$2:$M1000,Data!$A$2:$A1000=$A36 , Data!$B$2:$B1000 = $B36,Data!$C$2:$C1000 = $C36, Data!$D$2:$D1000 = F$1, Data!$E$2:$E1000 = F$2 )},$I$2  , $O$22:$O$23))"),"863927")</f>
        <v>863927</v>
      </c>
      <c r="G36" s="17" t="str">
        <f t="shared" si="1"/>
        <v>866347</v>
      </c>
      <c r="I36" s="21">
        <v>1000.0</v>
      </c>
      <c r="J36" s="21">
        <v>5.0</v>
      </c>
      <c r="K36" s="21">
        <v>4.0</v>
      </c>
      <c r="L36" s="24" t="str">
        <f t="shared" si="2"/>
        <v>0.9968599125</v>
      </c>
      <c r="M36" s="24" t="str">
        <f t="shared" si="3"/>
        <v>#REF!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27">
        <v>1000.0</v>
      </c>
      <c r="B37" s="27">
        <v>5.0</v>
      </c>
      <c r="C37" s="27">
        <v>4.0</v>
      </c>
      <c r="D37" s="26" t="str">
        <f>IFERROR(__xludf.DUMMYFUNCTION("(DMAX({{Data!$A$1:$M$1};filter(Data!$A$2:$M1000,Data!$A$2:$A1000=$A37 , Data!$B$2:$B1000 = $B37,Data!$C$2:$C1000 = $C37, Data!$D$2:$D1000 = D$1, Data!$E$2:$E1000 = D$2 )},$I$2  , $O$22:$O$23))"),"865311")</f>
        <v>865311</v>
      </c>
      <c r="E37" s="15" t="str">
        <f>IFERROR(__xludf.DUMMYFUNCTION("(DMAX({{Data!$A$1:$M$1};filter(Data!$A$2:$M1000,Data!$A$2:$A1000=$A37 , Data!$B$2:$B1000 = $B37,Data!$C$2:$C1000 = $C37, Data!$D$2:$D1000 = E$1, Data!$E$2:$E1000 = E$2 )},$I$2  , $O$22:$O$23))"),"861031")</f>
        <v>861031</v>
      </c>
      <c r="F37" s="15" t="str">
        <f>IFERROR(__xludf.DUMMYFUNCTION("(DMAX({{Data!$A$1:$M$1};filter(Data!$A$2:$M1000,Data!$A$2:$A1000=$A37 , Data!$B$2:$B1000 = $B37,Data!$C$2:$C1000 = $C37, Data!$D$2:$D1000 = F$1, Data!$E$2:$E1000 = F$2 )},$I$2  , $O$22:$O$23))"),"863242")</f>
        <v>863242</v>
      </c>
      <c r="G37" s="17" t="str">
        <f t="shared" si="1"/>
        <v>865311</v>
      </c>
      <c r="I37" s="21">
        <v>1000.0</v>
      </c>
      <c r="J37" s="21">
        <v>5.0</v>
      </c>
      <c r="K37" s="21">
        <v>5.0</v>
      </c>
      <c r="L37" s="24" t="str">
        <f t="shared" si="2"/>
        <v>0.9978488784</v>
      </c>
      <c r="M37" s="24" t="str">
        <f t="shared" si="3"/>
        <v>#REF!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27">
        <v>1000.0</v>
      </c>
      <c r="B38" s="27">
        <v>5.0</v>
      </c>
      <c r="C38" s="27">
        <v>5.0</v>
      </c>
      <c r="D38" s="26" t="str">
        <f>IFERROR(__xludf.DUMMYFUNCTION("(DMAX({{Data!$A$1:$M$1};filter(Data!$A$2:$M1000,Data!$A$2:$A1000=$A38 , Data!$B$2:$B1000 = $B38,Data!$C$2:$C1000 = $C38, Data!$D$2:$D1000 = D$1, Data!$E$2:$E1000 = D$2 )},$I$2  , $O$22:$O$23))"),"856406")</f>
        <v>856406</v>
      </c>
      <c r="E38" s="15" t="str">
        <f>IFERROR(__xludf.DUMMYFUNCTION("(DMAX({{Data!$A$1:$M$1};filter(Data!$A$2:$M1000,Data!$A$2:$A1000=$A38 , Data!$B$2:$B1000 = $B38,Data!$C$2:$C1000 = $C38, Data!$D$2:$D1000 = E$1, Data!$E$2:$E1000 = E$2 )},$I$2  , $O$22:$O$23))"),"861139")</f>
        <v>861139</v>
      </c>
      <c r="F38" s="15" t="str">
        <f>IFERROR(__xludf.DUMMYFUNCTION("(DMAX({{Data!$A$1:$M$1};filter(Data!$A$2:$M1000,Data!$A$2:$A1000=$A38 , Data!$B$2:$B1000 = $B38,Data!$C$2:$C1000 = $C38, Data!$D$2:$D1000 = F$1, Data!$E$2:$E1000 = F$2 )},$I$2  , $O$22:$O$23))"),"858856")</f>
        <v>858856</v>
      </c>
      <c r="G38" s="17" t="str">
        <f t="shared" si="1"/>
        <v>861139</v>
      </c>
      <c r="I38" s="21">
        <v>1000.0</v>
      </c>
      <c r="J38" s="21">
        <v>10.0</v>
      </c>
      <c r="K38" s="21">
        <v>1.0</v>
      </c>
      <c r="L38" s="24" t="str">
        <f t="shared" si="2"/>
        <v>1.002983822</v>
      </c>
      <c r="M38" s="24" t="str">
        <f t="shared" si="3"/>
        <v>#REF!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27">
        <v>1000.0</v>
      </c>
      <c r="B39" s="27">
        <v>10.0</v>
      </c>
      <c r="C39" s="27">
        <v>1.0</v>
      </c>
      <c r="D39" s="26" t="str">
        <f>IFERROR(__xludf.DUMMYFUNCTION("(DMAX({{Data!$A$1:$M$1};filter(Data!$A$2:$M1000,Data!$A$2:$A1000=$A39 , Data!$B$2:$B1000 = $B39,Data!$C$2:$C1000 = $C39, Data!$D$2:$D1000 = D$1, Data!$E$2:$E1000 = D$2 )},$I$2  , $O$22:$O$23))"),"1601048")</f>
        <v>1601048</v>
      </c>
      <c r="E39" s="15" t="str">
        <f>IFERROR(__xludf.DUMMYFUNCTION("(DMAX({{Data!$A$1:$M$1};filter(Data!$A$2:$M1000,Data!$A$2:$A1000=$A39 , Data!$B$2:$B1000 = $B39,Data!$C$2:$C1000 = $C39, Data!$D$2:$D1000 = E$1, Data!$E$2:$E1000 = E$2 )},$I$2  , $O$22:$O$23))"),"1604942")</f>
        <v>1604942</v>
      </c>
      <c r="F39" s="15" t="str">
        <f>IFERROR(__xludf.DUMMYFUNCTION("(DMAX({{Data!$A$1:$M$1};filter(Data!$A$2:$M1000,Data!$A$2:$A1000=$A39 , Data!$B$2:$B1000 = $B39,Data!$C$2:$C1000 = $C39, Data!$D$2:$D1000 = F$1, Data!$E$2:$E1000 = F$2 )},$I$2  , $O$22:$O$23))"),"1600815")</f>
        <v>1600815</v>
      </c>
      <c r="G39" s="17" t="str">
        <f t="shared" si="1"/>
        <v>1604942</v>
      </c>
      <c r="I39" s="21">
        <v>1000.0</v>
      </c>
      <c r="J39" s="21">
        <v>10.0</v>
      </c>
      <c r="K39" s="21">
        <v>2.0</v>
      </c>
      <c r="L39" s="24" t="str">
        <f t="shared" si="2"/>
        <v>1.00008342</v>
      </c>
      <c r="M39" s="24" t="str">
        <f t="shared" si="3"/>
        <v>#REF!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27">
        <v>1000.0</v>
      </c>
      <c r="B40" s="27">
        <v>10.0</v>
      </c>
      <c r="C40" s="27">
        <v>2.0</v>
      </c>
      <c r="D40" s="26" t="str">
        <f>IFERROR(__xludf.DUMMYFUNCTION("(DMAX({{Data!$A$1:$M$1};filter(Data!$A$2:$M1000,Data!$A$2:$A1000=$A40 , Data!$B$2:$B1000 = $B40,Data!$C$2:$C1000 = $C40, Data!$D$2:$D1000 = D$1, Data!$E$2:$E1000 = D$2 )},$I$2  , $O$22:$O$23))"),"1623923")</f>
        <v>1623923</v>
      </c>
      <c r="E40" s="15" t="str">
        <f>IFERROR(__xludf.DUMMYFUNCTION("(DMAX({{Data!$A$1:$M$1};filter(Data!$A$2:$M1000,Data!$A$2:$A1000=$A40 , Data!$B$2:$B1000 = $B40,Data!$C$2:$C1000 = $C40, Data!$D$2:$D1000 = E$1, Data!$E$2:$E1000 = E$2 )},$I$2  , $O$22:$O$23))"),"1627387")</f>
        <v>1627387</v>
      </c>
      <c r="F40" s="15" t="str">
        <f>IFERROR(__xludf.DUMMYFUNCTION("(DMAX({{Data!$A$1:$M$1};filter(Data!$A$2:$M1000,Data!$A$2:$A1000=$A40 , Data!$B$2:$B1000 = $B40,Data!$C$2:$C1000 = $C40, Data!$D$2:$D1000 = F$1, Data!$E$2:$E1000 = F$2 )},$I$2  , $O$22:$O$23))"),"1623724")</f>
        <v>1623724</v>
      </c>
      <c r="G40" s="17" t="str">
        <f t="shared" si="1"/>
        <v>1627387</v>
      </c>
      <c r="I40" s="21">
        <v>1000.0</v>
      </c>
      <c r="J40" s="21">
        <v>10.0</v>
      </c>
      <c r="K40" s="21">
        <v>3.0</v>
      </c>
      <c r="L40" s="24" t="str">
        <f t="shared" si="2"/>
        <v>1.001334718</v>
      </c>
      <c r="M40" s="24" t="str">
        <f t="shared" si="3"/>
        <v>#REF!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27">
        <v>1000.0</v>
      </c>
      <c r="B41" s="27">
        <v>10.0</v>
      </c>
      <c r="C41" s="27">
        <v>3.0</v>
      </c>
      <c r="D41" s="26" t="str">
        <f>IFERROR(__xludf.DUMMYFUNCTION("(DMAX({{Data!$A$1:$M$1};filter(Data!$A$2:$M1000,Data!$A$2:$A1000=$A41 , Data!$B$2:$B1000 = $B41,Data!$C$2:$C1000 = $C41, Data!$D$2:$D1000 = D$1, Data!$E$2:$E1000 = D$2 )},$I$2  , $O$22:$O$23))"),"1621610")</f>
        <v>1621610</v>
      </c>
      <c r="E41" s="15" t="str">
        <f>IFERROR(__xludf.DUMMYFUNCTION("(DMAX({{Data!$A$1:$M$1};filter(Data!$A$2:$M1000,Data!$A$2:$A1000=$A41 , Data!$B$2:$B1000 = $B41,Data!$C$2:$C1000 = $C41, Data!$D$2:$D1000 = E$1, Data!$E$2:$E1000 = E$2 )},$I$2  , $O$22:$O$23))"),"1623099")</f>
        <v>1623099</v>
      </c>
      <c r="F41" s="15" t="str">
        <f>IFERROR(__xludf.DUMMYFUNCTION("(DMAX({{Data!$A$1:$M$1};filter(Data!$A$2:$M1000,Data!$A$2:$A1000=$A41 , Data!$B$2:$B1000 = $B41,Data!$C$2:$C1000 = $C41, Data!$D$2:$D1000 = F$1, Data!$E$2:$E1000 = F$2 )},$I$2  , $O$22:$O$23))"),"1623589")</f>
        <v>1623589</v>
      </c>
      <c r="G41" s="17" t="str">
        <f t="shared" si="1"/>
        <v>1623589</v>
      </c>
      <c r="I41" s="21">
        <v>1000.0</v>
      </c>
      <c r="J41" s="21">
        <v>10.0</v>
      </c>
      <c r="K41" s="21">
        <v>4.0</v>
      </c>
      <c r="L41" s="24" t="str">
        <f t="shared" si="2"/>
        <v>1.003289239</v>
      </c>
      <c r="M41" s="24" t="str">
        <f t="shared" si="3"/>
        <v>#REF!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27">
        <v>1000.0</v>
      </c>
      <c r="B42" s="27">
        <v>10.0</v>
      </c>
      <c r="C42" s="27">
        <v>4.0</v>
      </c>
      <c r="D42" s="26" t="str">
        <f>IFERROR(__xludf.DUMMYFUNCTION("(DMAX({{Data!$A$1:$M$1};filter(Data!$A$2:$M1000,Data!$A$2:$A1000=$A42 , Data!$B$2:$B1000 = $B42,Data!$C$2:$C1000 = $C42, Data!$D$2:$D1000 = D$1, Data!$E$2:$E1000 = D$2 )},$I$2  , $O$22:$O$23))"),"1617446")</f>
        <v>1617446</v>
      </c>
      <c r="E42" s="15" t="str">
        <f>IFERROR(__xludf.DUMMYFUNCTION("(DMAX({{Data!$A$1:$M$1};filter(Data!$A$2:$M1000,Data!$A$2:$A1000=$A42 , Data!$B$2:$B1000 = $B42,Data!$C$2:$C1000 = $C42, Data!$D$2:$D1000 = E$1, Data!$E$2:$E1000 = E$2 )},$I$2  , $O$22:$O$23))"),"1620935")</f>
        <v>1620935</v>
      </c>
      <c r="F42" s="15" t="str">
        <f>IFERROR(__xludf.DUMMYFUNCTION("(DMAX({{Data!$A$1:$M$1};filter(Data!$A$2:$M1000,Data!$A$2:$A1000=$A42 , Data!$B$2:$B1000 = $B42,Data!$C$2:$C1000 = $C42, Data!$D$2:$D1000 = F$1, Data!$E$2:$E1000 = F$2 )},$I$2  , $O$22:$O$23))"),"1617531")</f>
        <v>1617531</v>
      </c>
      <c r="G42" s="17" t="str">
        <f t="shared" si="1"/>
        <v>1620935</v>
      </c>
      <c r="I42" s="21">
        <v>1000.0</v>
      </c>
      <c r="J42" s="21">
        <v>10.0</v>
      </c>
      <c r="K42" s="21">
        <v>5.0</v>
      </c>
      <c r="L42" s="24" t="str">
        <f t="shared" si="2"/>
        <v>0.9959266802</v>
      </c>
      <c r="M42" s="24" t="str">
        <f t="shared" si="3"/>
        <v>#REF!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27">
        <v>1000.0</v>
      </c>
      <c r="B43" s="27">
        <v>10.0</v>
      </c>
      <c r="C43" s="27">
        <v>5.0</v>
      </c>
      <c r="D43" s="26" t="str">
        <f>IFERROR(__xludf.DUMMYFUNCTION("(DMAX({{Data!$A$1:$M$1};filter(Data!$A$2:$M1000,Data!$A$2:$A1000=$A43 , Data!$B$2:$B1000 = $B43,Data!$C$2:$C1000 = $C43, Data!$D$2:$D1000 = D$1, Data!$E$2:$E1000 = D$2 )},$I$2  , $O$22:$O$23))"),"1616855")</f>
        <v>1616855</v>
      </c>
      <c r="E43" s="15" t="str">
        <f>IFERROR(__xludf.DUMMYFUNCTION("(DMAX({{Data!$A$1:$M$1};filter(Data!$A$2:$M1000,Data!$A$2:$A1000=$A43 , Data!$B$2:$B1000 = $B43,Data!$C$2:$C1000 = $C43, Data!$D$2:$D1000 = E$1, Data!$E$2:$E1000 = E$2 )},$I$2  , $O$22:$O$23))"),"1617658")</f>
        <v>1617658</v>
      </c>
      <c r="F43" s="15" t="str">
        <f>IFERROR(__xludf.DUMMYFUNCTION("(DMAX({{Data!$A$1:$M$1};filter(Data!$A$2:$M1000,Data!$A$2:$A1000=$A43 , Data!$B$2:$B1000 = $B43,Data!$C$2:$C1000 = $C43, Data!$D$2:$D1000 = F$1, Data!$E$2:$E1000 = F$2 )},$I$2  , $O$22:$O$23))"),"1617488")</f>
        <v>1617488</v>
      </c>
      <c r="G43" s="17" t="str">
        <f t="shared" si="1"/>
        <v>1617658</v>
      </c>
      <c r="I43" s="21">
        <v>1000.0</v>
      </c>
      <c r="J43" s="21">
        <v>50.0</v>
      </c>
      <c r="K43" s="21">
        <v>1.0</v>
      </c>
      <c r="L43" s="24" t="str">
        <f t="shared" si="2"/>
        <v>1.000870633</v>
      </c>
      <c r="M43" s="24" t="str">
        <f t="shared" si="3"/>
        <v>#REF!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27">
        <v>1000.0</v>
      </c>
      <c r="B44" s="27">
        <v>50.0</v>
      </c>
      <c r="C44" s="27">
        <v>1.0</v>
      </c>
      <c r="D44" s="26" t="str">
        <f>IFERROR(__xludf.DUMMYFUNCTION("(DMAX({{Data!$A$1:$M$1};filter(Data!$A$2:$M1000,Data!$A$2:$A1000=$A44 , Data!$B$2:$B1000 = $B44,Data!$C$2:$C1000 = $C44, Data!$D$2:$D1000 = D$1, Data!$E$2:$E1000 = D$2 )},$I$2  , $O$22:$O$23))"),"8062075")</f>
        <v>8062075</v>
      </c>
      <c r="E44" s="15" t="str">
        <f>IFERROR(__xludf.DUMMYFUNCTION("(DMAX({{Data!$A$1:$M$1};filter(Data!$A$2:$M1000,Data!$A$2:$A1000=$A44 , Data!$B$2:$B1000 = $B44,Data!$C$2:$C1000 = $C44, Data!$D$2:$D1000 = E$1, Data!$E$2:$E1000 = E$2 )},$I$2  , $O$22:$O$23))"),"8068919")</f>
        <v>8068919</v>
      </c>
      <c r="F44" s="15" t="str">
        <f>IFERROR(__xludf.DUMMYFUNCTION("(DMAX({{Data!$A$1:$M$1};filter(Data!$A$2:$M1000,Data!$A$2:$A1000=$A44 , Data!$B$2:$B1000 = $B44,Data!$C$2:$C1000 = $C44, Data!$D$2:$D1000 = F$1, Data!$E$2:$E1000 = F$2 )},$I$2  , $O$22:$O$23))"),"8073439")</f>
        <v>8073439</v>
      </c>
      <c r="G44" s="17" t="str">
        <f t="shared" si="1"/>
        <v>8073439</v>
      </c>
      <c r="I44" s="21">
        <v>1000.0</v>
      </c>
      <c r="J44" s="21">
        <v>50.0</v>
      </c>
      <c r="K44" s="21">
        <v>2.0</v>
      </c>
      <c r="L44" s="24" t="str">
        <f t="shared" si="2"/>
        <v>1.001367968</v>
      </c>
      <c r="M44" s="24" t="str">
        <f t="shared" si="3"/>
        <v>#REF!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27">
        <v>1000.0</v>
      </c>
      <c r="B45" s="27">
        <v>50.0</v>
      </c>
      <c r="C45" s="27">
        <v>2.0</v>
      </c>
      <c r="D45" s="26" t="str">
        <f>IFERROR(__xludf.DUMMYFUNCTION("(DMAX({{Data!$A$1:$M$1};filter(Data!$A$2:$M1000,Data!$A$2:$A1000=$A45 , Data!$B$2:$B1000 = $B45,Data!$C$2:$C1000 = $C45, Data!$D$2:$D1000 = D$1, Data!$E$2:$E1000 = D$2 )},$I$2  , $O$22:$O$23))"),"8070430")</f>
        <v>8070430</v>
      </c>
      <c r="E45" s="15" t="str">
        <f>IFERROR(__xludf.DUMMYFUNCTION("(DMAX({{Data!$A$1:$M$1};filter(Data!$A$2:$M1000,Data!$A$2:$A1000=$A45 , Data!$B$2:$B1000 = $B45,Data!$C$2:$C1000 = $C45, Data!$D$2:$D1000 = E$1, Data!$E$2:$E1000 = E$2 )},$I$2  , $O$22:$O$23))"),"8071049")</f>
        <v>8071049</v>
      </c>
      <c r="F45" s="15" t="str">
        <f>IFERROR(__xludf.DUMMYFUNCTION("(DMAX({{Data!$A$1:$M$1};filter(Data!$A$2:$M1000,Data!$A$2:$A1000=$A45 , Data!$B$2:$B1000 = $B45,Data!$C$2:$C1000 = $C45, Data!$D$2:$D1000 = F$1, Data!$E$2:$E1000 = F$2 )},$I$2  , $O$22:$O$23))"),"8073419")</f>
        <v>8073419</v>
      </c>
      <c r="G45" s="17" t="str">
        <f t="shared" si="1"/>
        <v>8073419</v>
      </c>
      <c r="I45" s="21">
        <v>1000.0</v>
      </c>
      <c r="J45" s="21">
        <v>50.0</v>
      </c>
      <c r="K45" s="21">
        <v>3.0</v>
      </c>
      <c r="L45" s="24" t="str">
        <f t="shared" si="2"/>
        <v>1.003763938</v>
      </c>
      <c r="M45" s="24" t="str">
        <f t="shared" si="3"/>
        <v>#REF!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27">
        <v>1000.0</v>
      </c>
      <c r="B46" s="27">
        <v>50.0</v>
      </c>
      <c r="C46" s="27">
        <v>3.0</v>
      </c>
      <c r="D46" s="26" t="str">
        <f>IFERROR(__xludf.DUMMYFUNCTION("(DMAX({{Data!$A$1:$M$1};filter(Data!$A$2:$M1000,Data!$A$2:$A1000=$A46 , Data!$B$2:$B1000 = $B46,Data!$C$2:$C1000 = $C46, Data!$D$2:$D1000 = D$1, Data!$E$2:$E1000 = D$2 )},$I$2  , $O$22:$O$23))"),"8071459")</f>
        <v>8071459</v>
      </c>
      <c r="E46" s="15" t="str">
        <f>IFERROR(__xludf.DUMMYFUNCTION("(DMAX({{Data!$A$1:$M$1};filter(Data!$A$2:$M1000,Data!$A$2:$A1000=$A46 , Data!$B$2:$B1000 = $B46,Data!$C$2:$C1000 = $C46, Data!$D$2:$D1000 = E$1, Data!$E$2:$E1000 = E$2 )},$I$2  , $O$22:$O$23))"),"8067433")</f>
        <v>8067433</v>
      </c>
      <c r="F46" s="15" t="str">
        <f>IFERROR(__xludf.DUMMYFUNCTION("(DMAX({{Data!$A$1:$M$1};filter(Data!$A$2:$M1000,Data!$A$2:$A1000=$A46 , Data!$B$2:$B1000 = $B46,Data!$C$2:$C1000 = $C46, Data!$D$2:$D1000 = F$1, Data!$E$2:$E1000 = F$2 )},$I$2  , $O$22:$O$23))"),"8063673")</f>
        <v>8063673</v>
      </c>
      <c r="G46" s="17" t="str">
        <f t="shared" si="1"/>
        <v>8071459</v>
      </c>
      <c r="I46" s="21">
        <v>1000.0</v>
      </c>
      <c r="J46" s="21">
        <v>50.0</v>
      </c>
      <c r="K46" s="21">
        <v>4.0</v>
      </c>
      <c r="L46" s="24" t="str">
        <f t="shared" si="2"/>
        <v>0.9987702934</v>
      </c>
      <c r="M46" s="24" t="str">
        <f t="shared" si="3"/>
        <v>#REF!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27">
        <v>1000.0</v>
      </c>
      <c r="B47" s="27">
        <v>50.0</v>
      </c>
      <c r="C47" s="27">
        <v>4.0</v>
      </c>
      <c r="D47" s="26" t="str">
        <f>IFERROR(__xludf.DUMMYFUNCTION("(DMAX({{Data!$A$1:$M$1};filter(Data!$A$2:$M1000,Data!$A$2:$A1000=$A47 , Data!$B$2:$B1000 = $B47,Data!$C$2:$C1000 = $C47, Data!$D$2:$D1000 = D$1, Data!$E$2:$E1000 = D$2 )},$I$2  , $O$22:$O$23))"),"8068570")</f>
        <v>8068570</v>
      </c>
      <c r="E47" s="15" t="str">
        <f>IFERROR(__xludf.DUMMYFUNCTION("(DMAX({{Data!$A$1:$M$1};filter(Data!$A$2:$M1000,Data!$A$2:$A1000=$A47 , Data!$B$2:$B1000 = $B47,Data!$C$2:$C1000 = $C47, Data!$D$2:$D1000 = E$1, Data!$E$2:$E1000 = E$2 )},$I$2  , $O$22:$O$23))"),"8062608")</f>
        <v>8062608</v>
      </c>
      <c r="F47" s="15" t="str">
        <f>IFERROR(__xludf.DUMMYFUNCTION("(DMAX({{Data!$A$1:$M$1};filter(Data!$A$2:$M1000,Data!$A$2:$A1000=$A47 , Data!$B$2:$B1000 = $B47,Data!$C$2:$C1000 = $C47, Data!$D$2:$D1000 = F$1, Data!$E$2:$E1000 = F$2 )},$I$2  , $O$22:$O$23))"),"8067637")</f>
        <v>8067637</v>
      </c>
      <c r="G47" s="17" t="str">
        <f t="shared" si="1"/>
        <v>8068570</v>
      </c>
      <c r="I47" s="21">
        <v>1000.0</v>
      </c>
      <c r="J47" s="21">
        <v>50.0</v>
      </c>
      <c r="K47" s="21">
        <v>5.0</v>
      </c>
      <c r="L47" s="24" t="str">
        <f t="shared" si="2"/>
        <v>0.9983661262</v>
      </c>
      <c r="M47" s="24" t="str">
        <f t="shared" si="3"/>
        <v>#REF!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27">
        <v>1000.0</v>
      </c>
      <c r="B48" s="27">
        <v>50.0</v>
      </c>
      <c r="C48" s="27">
        <v>5.0</v>
      </c>
      <c r="D48" s="26" t="str">
        <f>IFERROR(__xludf.DUMMYFUNCTION("(DMAX({{Data!$A$1:$M$1};filter(Data!$A$2:$M1000,Data!$A$2:$A1000=$A48 , Data!$B$2:$B1000 = $B48,Data!$C$2:$C1000 = $C48, Data!$D$2:$D1000 = D$1, Data!$E$2:$E1000 = D$2 )},$I$2  , $O$22:$O$23))"),"8068783")</f>
        <v>8068783</v>
      </c>
      <c r="E48" s="15" t="str">
        <f>IFERROR(__xludf.DUMMYFUNCTION("(DMAX({{Data!$A$1:$M$1};filter(Data!$A$2:$M1000,Data!$A$2:$A1000=$A48 , Data!$B$2:$B1000 = $B48,Data!$C$2:$C1000 = $C48, Data!$D$2:$D1000 = E$1, Data!$E$2:$E1000 = E$2 )},$I$2  , $O$22:$O$23))"),"8070335")</f>
        <v>8070335</v>
      </c>
      <c r="F48" s="15" t="str">
        <f>IFERROR(__xludf.DUMMYFUNCTION("(DMAX({{Data!$A$1:$M$1};filter(Data!$A$2:$M1000,Data!$A$2:$A1000=$A48 , Data!$B$2:$B1000 = $B48,Data!$C$2:$C1000 = $C48, Data!$D$2:$D1000 = F$1, Data!$E$2:$E1000 = F$2 )},$I$2  , $O$22:$O$23))"),"8057978")</f>
        <v>8057978</v>
      </c>
      <c r="G48" s="17" t="str">
        <f t="shared" si="1"/>
        <v>8070335</v>
      </c>
      <c r="I48" s="21">
        <v>1000.0</v>
      </c>
      <c r="J48" s="21">
        <v>100.0</v>
      </c>
      <c r="K48" s="21">
        <v>1.0</v>
      </c>
      <c r="L48" s="24" t="str">
        <f t="shared" si="2"/>
        <v>1.000570444</v>
      </c>
      <c r="M48" s="24" t="str">
        <f t="shared" si="3"/>
        <v>#REF!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27">
        <v>1000.0</v>
      </c>
      <c r="B49" s="27">
        <v>100.0</v>
      </c>
      <c r="C49" s="27">
        <v>1.0</v>
      </c>
      <c r="D49" s="26" t="str">
        <f>IFERROR(__xludf.DUMMYFUNCTION("(DMAX({{Data!$A$1:$M$1};filter(Data!$A$2:$M1000,Data!$A$2:$A1000=$A49 , Data!$B$2:$B1000 = $B49,Data!$C$2:$C1000 = $C49, Data!$D$2:$D1000 = D$1, Data!$E$2:$E1000 = D$2 )},$I$2  , $O$22:$O$23))"),"25756700")</f>
        <v>25756700</v>
      </c>
      <c r="E49" s="15" t="str">
        <f>IFERROR(__xludf.DUMMYFUNCTION("(DMAX({{Data!$A$1:$M$1};filter(Data!$A$2:$M1000,Data!$A$2:$A1000=$A49 , Data!$B$2:$B1000 = $B49,Data!$C$2:$C1000 = $C49, Data!$D$2:$D1000 = E$1, Data!$E$2:$E1000 = E$2 )},$I$2  , $O$22:$O$23))"),"25761673")</f>
        <v>25761673</v>
      </c>
      <c r="F49" s="15" t="str">
        <f>IFERROR(__xludf.DUMMYFUNCTION("(DMAX({{Data!$A$1:$M$1};filter(Data!$A$2:$M1000,Data!$A$2:$A1000=$A49 , Data!$B$2:$B1000 = $B49,Data!$C$2:$C1000 = $C49, Data!$D$2:$D1000 = F$1, Data!$E$2:$E1000 = F$2 )},$I$2  , $O$22:$O$23))"),"25750159")</f>
        <v>25750159</v>
      </c>
      <c r="G49" s="17" t="str">
        <f t="shared" si="1"/>
        <v>25761673</v>
      </c>
      <c r="I49" s="21">
        <v>1000.0</v>
      </c>
      <c r="J49" s="21">
        <v>100.0</v>
      </c>
      <c r="K49" s="21">
        <v>2.0</v>
      </c>
      <c r="L49" s="24" t="str">
        <f t="shared" si="2"/>
        <v>1.001210091</v>
      </c>
      <c r="M49" s="24" t="str">
        <f t="shared" si="3"/>
        <v>#REF!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27">
        <v>1000.0</v>
      </c>
      <c r="B50" s="27">
        <v>100.0</v>
      </c>
      <c r="C50" s="27">
        <v>2.0</v>
      </c>
      <c r="D50" s="26" t="str">
        <f>IFERROR(__xludf.DUMMYFUNCTION("(DMAX({{Data!$A$1:$M$1};filter(Data!$A$2:$M1000,Data!$A$2:$A1000=$A50 , Data!$B$2:$B1000 = $B50,Data!$C$2:$C1000 = $C50, Data!$D$2:$D1000 = D$1, Data!$E$2:$E1000 = D$2 )},$I$2  , $O$22:$O$23))"),"25769025")</f>
        <v>25769025</v>
      </c>
      <c r="E50" s="15" t="str">
        <f>IFERROR(__xludf.DUMMYFUNCTION("(DMAX({{Data!$A$1:$M$1};filter(Data!$A$2:$M1000,Data!$A$2:$A1000=$A50 , Data!$B$2:$B1000 = $B50,Data!$C$2:$C1000 = $C50, Data!$D$2:$D1000 = E$1, Data!$E$2:$E1000 = E$2 )},$I$2  , $O$22:$O$23))"),"25763953")</f>
        <v>25763953</v>
      </c>
      <c r="F50" s="15" t="str">
        <f>IFERROR(__xludf.DUMMYFUNCTION("(DMAX({{Data!$A$1:$M$1};filter(Data!$A$2:$M1000,Data!$A$2:$A1000=$A50 , Data!$B$2:$B1000 = $B50,Data!$C$2:$C1000 = $C50, Data!$D$2:$D1000 = F$1, Data!$E$2:$E1000 = F$2 )},$I$2  , $O$22:$O$23))"),"25757087")</f>
        <v>25757087</v>
      </c>
      <c r="G50" s="17" t="str">
        <f t="shared" si="1"/>
        <v>25769025</v>
      </c>
      <c r="I50" s="21">
        <v>1000.0</v>
      </c>
      <c r="J50" s="21">
        <v>100.0</v>
      </c>
      <c r="K50" s="21">
        <v>3.0</v>
      </c>
      <c r="L50" s="24" t="str">
        <f t="shared" si="2"/>
        <v>1.00071471</v>
      </c>
      <c r="M50" s="24" t="str">
        <f t="shared" si="3"/>
        <v>#REF!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27">
        <v>1000.0</v>
      </c>
      <c r="B51" s="27">
        <v>100.0</v>
      </c>
      <c r="C51" s="27">
        <v>3.0</v>
      </c>
      <c r="D51" s="26" t="str">
        <f>IFERROR(__xludf.DUMMYFUNCTION("(DMAX({{Data!$A$1:$M$1};filter(Data!$A$2:$M1000,Data!$A$2:$A1000=$A51 , Data!$B$2:$B1000 = $B51,Data!$C$2:$C1000 = $C51, Data!$D$2:$D1000 = D$1, Data!$E$2:$E1000 = D$2 )},$I$2  , $O$22:$O$23))"),"25803793")</f>
        <v>25803793</v>
      </c>
      <c r="E51" s="15" t="str">
        <f>IFERROR(__xludf.DUMMYFUNCTION("(DMAX({{Data!$A$1:$M$1};filter(Data!$A$2:$M1000,Data!$A$2:$A1000=$A51 , Data!$B$2:$B1000 = $B51,Data!$C$2:$C1000 = $C51, Data!$D$2:$D1000 = E$1, Data!$E$2:$E1000 = E$2 )},$I$2  , $O$22:$O$23))"),"25787073")</f>
        <v>25787073</v>
      </c>
      <c r="F51" s="15" t="str">
        <f>IFERROR(__xludf.DUMMYFUNCTION("(DMAX({{Data!$A$1:$M$1};filter(Data!$A$2:$M1000,Data!$A$2:$A1000=$A51 , Data!$B$2:$B1000 = $B51,Data!$C$2:$C1000 = $C51, Data!$D$2:$D1000 = F$1, Data!$E$2:$E1000 = F$2 )},$I$2  , $O$22:$O$23))"),"25796084")</f>
        <v>25796084</v>
      </c>
      <c r="G51" s="17" t="str">
        <f t="shared" si="1"/>
        <v>25803793</v>
      </c>
      <c r="I51" s="21">
        <v>1000.0</v>
      </c>
      <c r="J51" s="21">
        <v>100.0</v>
      </c>
      <c r="K51" s="21">
        <v>4.0</v>
      </c>
      <c r="L51" s="24" t="str">
        <f t="shared" si="2"/>
        <v>0.9996980073</v>
      </c>
      <c r="M51" s="24" t="str">
        <f t="shared" si="3"/>
        <v>#REF!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27">
        <v>1000.0</v>
      </c>
      <c r="B52" s="27">
        <v>100.0</v>
      </c>
      <c r="C52" s="27">
        <v>4.0</v>
      </c>
      <c r="D52" s="26" t="str">
        <f>IFERROR(__xludf.DUMMYFUNCTION("(DMAX({{Data!$A$1:$M$1};filter(Data!$A$2:$M1000,Data!$A$2:$A1000=$A52 , Data!$B$2:$B1000 = $B52,Data!$C$2:$C1000 = $C52, Data!$D$2:$D1000 = D$1, Data!$E$2:$E1000 = D$2 )},$I$2  , $O$22:$O$23))"),"25817764")</f>
        <v>25817764</v>
      </c>
      <c r="E52" s="15" t="str">
        <f>IFERROR(__xludf.DUMMYFUNCTION("(DMAX({{Data!$A$1:$M$1};filter(Data!$A$2:$M1000,Data!$A$2:$A1000=$A52 , Data!$B$2:$B1000 = $B52,Data!$C$2:$C1000 = $C52, Data!$D$2:$D1000 = E$1, Data!$E$2:$E1000 = E$2 )},$I$2  , $O$22:$O$23))"),"25813169")</f>
        <v>25813169</v>
      </c>
      <c r="F52" s="15" t="str">
        <f>IFERROR(__xludf.DUMMYFUNCTION("(DMAX({{Data!$A$1:$M$1};filter(Data!$A$2:$M1000,Data!$A$2:$A1000=$A52 , Data!$B$2:$B1000 = $B52,Data!$C$2:$C1000 = $C52, Data!$D$2:$D1000 = F$1, Data!$E$2:$E1000 = F$2 )},$I$2  , $O$22:$O$23))"),"25807663")</f>
        <v>25807663</v>
      </c>
      <c r="G52" s="17" t="str">
        <f t="shared" si="1"/>
        <v>25817764</v>
      </c>
      <c r="I52" s="21">
        <v>1000.0</v>
      </c>
      <c r="J52" s="21">
        <v>100.0</v>
      </c>
      <c r="K52" s="21">
        <v>5.0</v>
      </c>
      <c r="L52" s="24" t="str">
        <f t="shared" si="2"/>
        <v>0.9994979823</v>
      </c>
      <c r="M52" s="24" t="str">
        <f t="shared" si="3"/>
        <v>#REF!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27">
        <v>1000.0</v>
      </c>
      <c r="B53" s="27">
        <v>100.0</v>
      </c>
      <c r="C53" s="27">
        <v>5.0</v>
      </c>
      <c r="D53" s="26" t="str">
        <f>IFERROR(__xludf.DUMMYFUNCTION("(DMAX({{Data!$A$1:$M$1};filter(Data!$A$2:$M1000,Data!$A$2:$A1000=$A53 , Data!$B$2:$B1000 = $B53,Data!$C$2:$C1000 = $C53, Data!$D$2:$D1000 = D$1, Data!$E$2:$E1000 = D$2 )},$I$2  , $O$22:$O$23))"),"25760463")</f>
        <v>25760463</v>
      </c>
      <c r="E53" s="15" t="str">
        <f>IFERROR(__xludf.DUMMYFUNCTION("(DMAX({{Data!$A$1:$M$1};filter(Data!$A$2:$M1000,Data!$A$2:$A1000=$A53 , Data!$B$2:$B1000 = $B53,Data!$C$2:$C1000 = $C53, Data!$D$2:$D1000 = E$1, Data!$E$2:$E1000 = E$2 )},$I$2  , $O$22:$O$23))"),"25765161")</f>
        <v>25765161</v>
      </c>
      <c r="F53" s="15" t="str">
        <f>IFERROR(__xludf.DUMMYFUNCTION("(DMAX({{Data!$A$1:$M$1};filter(Data!$A$2:$M1000,Data!$A$2:$A1000=$A53 , Data!$B$2:$B1000 = $B53,Data!$C$2:$C1000 = $C53, Data!$D$2:$D1000 = F$1, Data!$E$2:$E1000 = F$2 )},$I$2  , $O$22:$O$23))"),"25761694")</f>
        <v>25761694</v>
      </c>
      <c r="G53" s="17" t="str">
        <f t="shared" si="1"/>
        <v>25765161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27">
        <v>2000.0</v>
      </c>
      <c r="B54" s="27">
        <v>1.0</v>
      </c>
      <c r="C54" s="27">
        <v>1.0</v>
      </c>
      <c r="D54" s="26" t="str">
        <f>IFERROR(__xludf.DUMMYFUNCTION("(DMAX({{Data!$A$1:$M$1};filter(Data!$A$2:$M1000,Data!$A$2:$A1000=$A54 , Data!$B$2:$B1000 = $B54,Data!$C$2:$C1000 = $C54, Data!$D$2:$D1000 = D$1, Data!$E$2:$E1000 = D$2 )},$I$2  , $O$22:$O$23))"),"765753")</f>
        <v>765753</v>
      </c>
      <c r="E54" s="15" t="str">
        <f>IFERROR(__xludf.DUMMYFUNCTION("(DMAX({{Data!$A$1:$M$1};filter(Data!$A$2:$M1000,Data!$A$2:$A1000=$A54 , Data!$B$2:$B1000 = $B54,Data!$C$2:$C1000 = $C54, Data!$D$2:$D1000 = E$1, Data!$E$2:$E1000 = E$2 )},$I$2  , $O$22:$O$23))"),"767431")</f>
        <v>767431</v>
      </c>
      <c r="F54" s="15" t="str">
        <f>IFERROR(__xludf.DUMMYFUNCTION("(DMAX({{Data!$A$1:$M$1};filter(Data!$A$2:$M1000,Data!$A$2:$A1000=$A54 , Data!$B$2:$B1000 = $B54,Data!$C$2:$C1000 = $C54, Data!$D$2:$D1000 = F$1, Data!$E$2:$E1000 = F$2 )},$I$2  , $O$22:$O$23))"),"767315")</f>
        <v>767315</v>
      </c>
      <c r="G54" s="17" t="str">
        <f t="shared" si="1"/>
        <v>767431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27">
        <v>2000.0</v>
      </c>
      <c r="B55" s="27">
        <v>1.0</v>
      </c>
      <c r="C55" s="27">
        <v>2.0</v>
      </c>
      <c r="D55" s="26" t="str">
        <f>IFERROR(__xludf.DUMMYFUNCTION("(DMAX({{Data!$A$1:$M$1};filter(Data!$A$2:$M1000,Data!$A$2:$A1000=$A55 , Data!$B$2:$B1000 = $B55,Data!$C$2:$C1000 = $C55, Data!$D$2:$D1000 = D$1, Data!$E$2:$E1000 = D$2 )},$I$2  , $O$22:$O$23))"),"772755")</f>
        <v>772755</v>
      </c>
      <c r="E55" s="15" t="str">
        <f>IFERROR(__xludf.DUMMYFUNCTION("(DMAX({{Data!$A$1:$M$1};filter(Data!$A$2:$M1000,Data!$A$2:$A1000=$A55 , Data!$B$2:$B1000 = $B55,Data!$C$2:$C1000 = $C55, Data!$D$2:$D1000 = E$1, Data!$E$2:$E1000 = E$2 )},$I$2  , $O$22:$O$23))"),"771142")</f>
        <v>771142</v>
      </c>
      <c r="F55" s="15" t="str">
        <f>IFERROR(__xludf.DUMMYFUNCTION("(DMAX({{Data!$A$1:$M$1};filter(Data!$A$2:$M1000,Data!$A$2:$A1000=$A55 , Data!$B$2:$B1000 = $B55,Data!$C$2:$C1000 = $C55, Data!$D$2:$D1000 = F$1, Data!$E$2:$E1000 = F$2 )},$I$2  , $O$22:$O$23))"),"772392")</f>
        <v>772392</v>
      </c>
      <c r="G55" s="17" t="str">
        <f t="shared" si="1"/>
        <v>772755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27">
        <v>2000.0</v>
      </c>
      <c r="B56" s="27">
        <v>1.0</v>
      </c>
      <c r="C56" s="27">
        <v>3.0</v>
      </c>
      <c r="D56" s="26" t="str">
        <f>IFERROR(__xludf.DUMMYFUNCTION("(DMAX({{Data!$A$1:$M$1};filter(Data!$A$2:$M1000,Data!$A$2:$A1000=$A56 , Data!$B$2:$B1000 = $B56,Data!$C$2:$C1000 = $C56, Data!$D$2:$D1000 = D$1, Data!$E$2:$E1000 = D$2 )},$I$2  , $O$22:$O$23))"),"747529")</f>
        <v>747529</v>
      </c>
      <c r="E56" s="15" t="str">
        <f>IFERROR(__xludf.DUMMYFUNCTION("(DMAX({{Data!$A$1:$M$1};filter(Data!$A$2:$M1000,Data!$A$2:$A1000=$A56 , Data!$B$2:$B1000 = $B56,Data!$C$2:$C1000 = $C56, Data!$D$2:$D1000 = E$1, Data!$E$2:$E1000 = E$2 )},$I$2  , $O$22:$O$23))"),"749134")</f>
        <v>749134</v>
      </c>
      <c r="F56" s="15" t="str">
        <f>IFERROR(__xludf.DUMMYFUNCTION("(DMAX({{Data!$A$1:$M$1};filter(Data!$A$2:$M1000,Data!$A$2:$A1000=$A56 , Data!$B$2:$B1000 = $B56,Data!$C$2:$C1000 = $C56, Data!$D$2:$D1000 = F$1, Data!$E$2:$E1000 = F$2 )},$I$2  , $O$22:$O$23))"),"748436")</f>
        <v>748436</v>
      </c>
      <c r="G56" s="17" t="str">
        <f t="shared" si="1"/>
        <v>749134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27">
        <v>2000.0</v>
      </c>
      <c r="B57" s="27">
        <v>1.0</v>
      </c>
      <c r="C57" s="27">
        <v>4.0</v>
      </c>
      <c r="D57" s="26" t="str">
        <f>IFERROR(__xludf.DUMMYFUNCTION("(DMAX({{Data!$A$1:$M$1};filter(Data!$A$2:$M1000,Data!$A$2:$A1000=$A57 , Data!$B$2:$B1000 = $B57,Data!$C$2:$C1000 = $C57, Data!$D$2:$D1000 = D$1, Data!$E$2:$E1000 = D$2 )},$I$2  , $O$22:$O$23))"),"769756")</f>
        <v>769756</v>
      </c>
      <c r="E57" s="15" t="str">
        <f>IFERROR(__xludf.DUMMYFUNCTION("(DMAX({{Data!$A$1:$M$1};filter(Data!$A$2:$M1000,Data!$A$2:$A1000=$A57 , Data!$B$2:$B1000 = $B57,Data!$C$2:$C1000 = $C57, Data!$D$2:$D1000 = E$1, Data!$E$2:$E1000 = E$2 )},$I$2  , $O$22:$O$23))"),"771800")</f>
        <v>771800</v>
      </c>
      <c r="F57" s="15" t="str">
        <f>IFERROR(__xludf.DUMMYFUNCTION("(DMAX({{Data!$A$1:$M$1};filter(Data!$A$2:$M1000,Data!$A$2:$A1000=$A57 , Data!$B$2:$B1000 = $B57,Data!$C$2:$C1000 = $C57, Data!$D$2:$D1000 = F$1, Data!$E$2:$E1000 = F$2 )},$I$2  , $O$22:$O$23))"),"771309")</f>
        <v>771309</v>
      </c>
      <c r="G57" s="17" t="str">
        <f t="shared" si="1"/>
        <v>771800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27">
        <v>2000.0</v>
      </c>
      <c r="B58" s="27">
        <v>1.0</v>
      </c>
      <c r="C58" s="27">
        <v>5.0</v>
      </c>
      <c r="D58" s="26" t="str">
        <f>IFERROR(__xludf.DUMMYFUNCTION("(DMAX({{Data!$A$1:$M$1};filter(Data!$A$2:$M1000,Data!$A$2:$A1000=$A58 , Data!$B$2:$B1000 = $B58,Data!$C$2:$C1000 = $C58, Data!$D$2:$D1000 = D$1, Data!$E$2:$E1000 = D$2 )},$I$2  , $O$22:$O$23))"),"766543")</f>
        <v>766543</v>
      </c>
      <c r="E58" s="15" t="str">
        <f>IFERROR(__xludf.DUMMYFUNCTION("(DMAX({{Data!$A$1:$M$1};filter(Data!$A$2:$M1000,Data!$A$2:$A1000=$A58 , Data!$B$2:$B1000 = $B58,Data!$C$2:$C1000 = $C58, Data!$D$2:$D1000 = E$1, Data!$E$2:$E1000 = E$2 )},$I$2  , $O$22:$O$23))"),"768322")</f>
        <v>768322</v>
      </c>
      <c r="F58" s="15" t="str">
        <f>IFERROR(__xludf.DUMMYFUNCTION("(DMAX({{Data!$A$1:$M$1};filter(Data!$A$2:$M1000,Data!$A$2:$A1000=$A58 , Data!$B$2:$B1000 = $B58,Data!$C$2:$C1000 = $C58, Data!$D$2:$D1000 = F$1, Data!$E$2:$E1000 = F$2 )},$I$2  , $O$22:$O$23))"),"765839")</f>
        <v>765839</v>
      </c>
      <c r="G58" s="17" t="str">
        <f t="shared" si="1"/>
        <v>768322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28">
        <v>2000.0</v>
      </c>
      <c r="B59" s="28">
        <v>5.0</v>
      </c>
      <c r="C59" s="28">
        <v>1.0</v>
      </c>
      <c r="D59" s="26" t="str">
        <f>IFERROR(__xludf.DUMMYFUNCTION("(DMAX({{Data!$A$1:$M$1};filter(Data!$A$2:$M1000,Data!$A$2:$A1000=$A59 , Data!$B$2:$B1000 = $B59,Data!$C$2:$C1000 = $C59, Data!$D$2:$D1000 = D$1, Data!$E$2:$E1000 = D$2 )},$I$2  , $O$22:$O$23))"),"3205872")</f>
        <v>3205872</v>
      </c>
      <c r="E59" s="15" t="str">
        <f>IFERROR(__xludf.DUMMYFUNCTION("(DMAX({{Data!$A$1:$M$1};filter(Data!$A$2:$M1000,Data!$A$2:$A1000=$A59 , Data!$B$2:$B1000 = $B59,Data!$C$2:$C1000 = $C59, Data!$D$2:$D1000 = E$1, Data!$E$2:$E1000 = E$2 )},$I$2  , $O$22:$O$23))"),"3206063")</f>
        <v>3206063</v>
      </c>
      <c r="F59" s="15" t="str">
        <f>IFERROR(__xludf.DUMMYFUNCTION("(DMAX({{Data!$A$1:$M$1};filter(Data!$A$2:$M1000,Data!$A$2:$A1000=$A59 , Data!$B$2:$B1000 = $B59,Data!$C$2:$C1000 = $C59, Data!$D$2:$D1000 = F$1, Data!$E$2:$E1000 = F$2 )},$I$2  , $O$22:$O$23))"),"3205211")</f>
        <v>3205211</v>
      </c>
      <c r="G59" s="17" t="str">
        <f t="shared" si="1"/>
        <v>3206063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28">
        <v>2000.0</v>
      </c>
      <c r="B60" s="28">
        <v>5.0</v>
      </c>
      <c r="C60" s="28">
        <v>2.0</v>
      </c>
      <c r="D60" s="26" t="str">
        <f>IFERROR(__xludf.DUMMYFUNCTION("(DMAX({{Data!$A$1:$M$1};filter(Data!$A$2:$M1000,Data!$A$2:$A1000=$A60 , Data!$B$2:$B1000 = $B60,Data!$C$2:$C1000 = $C60, Data!$D$2:$D1000 = D$1, Data!$E$2:$E1000 = D$2 )},$I$2  , $O$22:$O$23))"),"3244982")</f>
        <v>3244982</v>
      </c>
      <c r="E60" s="15" t="str">
        <f>IFERROR(__xludf.DUMMYFUNCTION("(DMAX({{Data!$A$1:$M$1};filter(Data!$A$2:$M1000,Data!$A$2:$A1000=$A60 , Data!$B$2:$B1000 = $B60,Data!$C$2:$C1000 = $C60, Data!$D$2:$D1000 = E$1, Data!$E$2:$E1000 = E$2 )},$I$2  , $O$22:$O$23))"),"3234211")</f>
        <v>3234211</v>
      </c>
      <c r="F60" s="15" t="str">
        <f>IFERROR(__xludf.DUMMYFUNCTION("(DMAX({{Data!$A$1:$M$1};filter(Data!$A$2:$M1000,Data!$A$2:$A1000=$A60 , Data!$B$2:$B1000 = $B60,Data!$C$2:$C1000 = $C60, Data!$D$2:$D1000 = F$1, Data!$E$2:$E1000 = F$2 )},$I$2  , $O$22:$O$23))"),"3240838")</f>
        <v>3240838</v>
      </c>
      <c r="G60" s="17" t="str">
        <f t="shared" si="1"/>
        <v>3244982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28">
        <v>2000.0</v>
      </c>
      <c r="B61" s="28">
        <v>5.0</v>
      </c>
      <c r="C61" s="28">
        <v>3.0</v>
      </c>
      <c r="D61" s="26" t="str">
        <f>IFERROR(__xludf.DUMMYFUNCTION("(DMAX({{Data!$A$1:$M$1};filter(Data!$A$2:$M1000,Data!$A$2:$A1000=$A61 , Data!$B$2:$B1000 = $B61,Data!$C$2:$C1000 = $C61, Data!$D$2:$D1000 = D$1, Data!$E$2:$E1000 = D$2 )},$I$2  , $O$22:$O$23))"),"3190144")</f>
        <v>3190144</v>
      </c>
      <c r="E61" s="15" t="str">
        <f>IFERROR(__xludf.DUMMYFUNCTION("(DMAX({{Data!$A$1:$M$1};filter(Data!$A$2:$M1000,Data!$A$2:$A1000=$A61 , Data!$B$2:$B1000 = $B61,Data!$C$2:$C1000 = $C61, Data!$D$2:$D1000 = E$1, Data!$E$2:$E1000 = E$2 )},$I$2  , $O$22:$O$23))"),"3191148")</f>
        <v>3191148</v>
      </c>
      <c r="F61" s="15" t="str">
        <f>IFERROR(__xludf.DUMMYFUNCTION("(DMAX({{Data!$A$1:$M$1};filter(Data!$A$2:$M1000,Data!$A$2:$A1000=$A61 , Data!$B$2:$B1000 = $B61,Data!$C$2:$C1000 = $C61, Data!$D$2:$D1000 = F$1, Data!$E$2:$E1000 = F$2 )},$I$2  , $O$22:$O$23))"),"3189604")</f>
        <v>3189604</v>
      </c>
      <c r="G61" s="17" t="str">
        <f t="shared" si="1"/>
        <v>3191148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28">
        <v>2000.0</v>
      </c>
      <c r="B62" s="28">
        <v>5.0</v>
      </c>
      <c r="C62" s="28">
        <v>4.0</v>
      </c>
      <c r="D62" s="26" t="str">
        <f>IFERROR(__xludf.DUMMYFUNCTION("(DMAX({{Data!$A$1:$M$1};filter(Data!$A$2:$M1000,Data!$A$2:$A1000=$A62 , Data!$B$2:$B1000 = $B62,Data!$C$2:$C1000 = $C62, Data!$D$2:$D1000 = D$1, Data!$E$2:$E1000 = D$2 )},$I$2  , $O$22:$O$23))"),"3228459")</f>
        <v>3228459</v>
      </c>
      <c r="E62" s="15" t="str">
        <f>IFERROR(__xludf.DUMMYFUNCTION("(DMAX({{Data!$A$1:$M$1};filter(Data!$A$2:$M1000,Data!$A$2:$A1000=$A62 , Data!$B$2:$B1000 = $B62,Data!$C$2:$C1000 = $C62, Data!$D$2:$D1000 = E$1, Data!$E$2:$E1000 = E$2 )},$I$2  , $O$22:$O$23))"),"3238040")</f>
        <v>3238040</v>
      </c>
      <c r="F62" s="15" t="str">
        <f>IFERROR(__xludf.DUMMYFUNCTION("(DMAX({{Data!$A$1:$M$1};filter(Data!$A$2:$M1000,Data!$A$2:$A1000=$A62 , Data!$B$2:$B1000 = $B62,Data!$C$2:$C1000 = $C62, Data!$D$2:$D1000 = F$1, Data!$E$2:$E1000 = F$2 )},$I$2  , $O$22:$O$23))"),"3234791")</f>
        <v>3234791</v>
      </c>
      <c r="G62" s="17" t="str">
        <f t="shared" si="1"/>
        <v>3238040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28">
        <v>2000.0</v>
      </c>
      <c r="B63" s="28">
        <v>5.0</v>
      </c>
      <c r="C63" s="28">
        <v>5.0</v>
      </c>
      <c r="D63" s="26" t="str">
        <f>IFERROR(__xludf.DUMMYFUNCTION("(DMAX({{Data!$A$1:$M$1};filter(Data!$A$2:$M1000,Data!$A$2:$A1000=$A63 , Data!$B$2:$B1000 = $B63,Data!$C$2:$C1000 = $C63, Data!$D$2:$D1000 = D$1, Data!$E$2:$E1000 = D$2 )},$I$2  , $O$22:$O$23))"),"3192773")</f>
        <v>3192773</v>
      </c>
      <c r="E63" s="15" t="str">
        <f>IFERROR(__xludf.DUMMYFUNCTION("(DMAX({{Data!$A$1:$M$1};filter(Data!$A$2:$M1000,Data!$A$2:$A1000=$A63 , Data!$B$2:$B1000 = $B63,Data!$C$2:$C1000 = $C63, Data!$D$2:$D1000 = E$1, Data!$E$2:$E1000 = E$2 )},$I$2  , $O$22:$O$23))"),"3193814")</f>
        <v>3193814</v>
      </c>
      <c r="F63" s="15" t="str">
        <f>IFERROR(__xludf.DUMMYFUNCTION("(DMAX({{Data!$A$1:$M$1};filter(Data!$A$2:$M1000,Data!$A$2:$A1000=$A63 , Data!$B$2:$B1000 = $B63,Data!$C$2:$C1000 = $C63, Data!$D$2:$D1000 = F$1, Data!$E$2:$E1000 = F$2 )},$I$2  , $O$22:$O$23))"),"3191908")</f>
        <v>3191908</v>
      </c>
      <c r="G63" s="17" t="str">
        <f t="shared" si="1"/>
        <v>3193814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28">
        <v>2000.0</v>
      </c>
      <c r="B64" s="28">
        <v>10.0</v>
      </c>
      <c r="C64" s="28">
        <v>1.0</v>
      </c>
      <c r="D64" s="26" t="str">
        <f>IFERROR(__xludf.DUMMYFUNCTION("(DMAX({{Data!$A$1:$M$1};filter(Data!$A$2:$M1000,Data!$A$2:$A1000=$A64 , Data!$B$2:$B1000 = $B64,Data!$C$2:$C1000 = $C64, Data!$D$2:$D1000 = D$1, Data!$E$2:$E1000 = D$2 )},$I$2  , $O$22:$O$23))"),"6110622")</f>
        <v>6110622</v>
      </c>
      <c r="E64" s="15" t="str">
        <f>IFERROR(__xludf.DUMMYFUNCTION("(DMAX({{Data!$A$1:$M$1};filter(Data!$A$2:$M1000,Data!$A$2:$A1000=$A64 , Data!$B$2:$B1000 = $B64,Data!$C$2:$C1000 = $C64, Data!$D$2:$D1000 = E$1, Data!$E$2:$E1000 = E$2 )},$I$2  , $O$22:$O$23))"),"6109141")</f>
        <v>6109141</v>
      </c>
      <c r="F64" s="15" t="str">
        <f>IFERROR(__xludf.DUMMYFUNCTION("(DMAX({{Data!$A$1:$M$1};filter(Data!$A$2:$M1000,Data!$A$2:$A1000=$A64 , Data!$B$2:$B1000 = $B64,Data!$C$2:$C1000 = $C64, Data!$D$2:$D1000 = F$1, Data!$E$2:$E1000 = F$2 )},$I$2  , $O$22:$O$23))"),"6113599")</f>
        <v>6113599</v>
      </c>
      <c r="G64" s="17" t="str">
        <f t="shared" si="1"/>
        <v>6113599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28">
        <v>2000.0</v>
      </c>
      <c r="B65" s="28">
        <v>10.0</v>
      </c>
      <c r="C65" s="28">
        <v>2.0</v>
      </c>
      <c r="D65" s="26" t="str">
        <f>IFERROR(__xludf.DUMMYFUNCTION("(DMAX({{Data!$A$1:$M$1};filter(Data!$A$2:$M1000,Data!$A$2:$A1000=$A65 , Data!$B$2:$B1000 = $B65,Data!$C$2:$C1000 = $C65, Data!$D$2:$D1000 = D$1, Data!$E$2:$E1000 = D$2 )},$I$2  , $O$22:$O$23))"),"6128005")</f>
        <v>6128005</v>
      </c>
      <c r="E65" s="15" t="str">
        <f>IFERROR(__xludf.DUMMYFUNCTION("(DMAX({{Data!$A$1:$M$1};filter(Data!$A$2:$M1000,Data!$A$2:$A1000=$A65 , Data!$B$2:$B1000 = $B65,Data!$C$2:$C1000 = $C65, Data!$D$2:$D1000 = E$1, Data!$E$2:$E1000 = E$2 )},$I$2  , $O$22:$O$23))"),"6138656")</f>
        <v>6138656</v>
      </c>
      <c r="F65" s="15" t="str">
        <f>IFERROR(__xludf.DUMMYFUNCTION("(DMAX({{Data!$A$1:$M$1};filter(Data!$A$2:$M1000,Data!$A$2:$A1000=$A65 , Data!$B$2:$B1000 = $B65,Data!$C$2:$C1000 = $C65, Data!$D$2:$D1000 = F$1, Data!$E$2:$E1000 = F$2 )},$I$2  , $O$22:$O$23))"),"6129862")</f>
        <v>6129862</v>
      </c>
      <c r="G65" s="17" t="str">
        <f t="shared" si="1"/>
        <v>6138656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28">
        <v>2000.0</v>
      </c>
      <c r="B66" s="28">
        <v>10.0</v>
      </c>
      <c r="C66" s="28">
        <v>3.0</v>
      </c>
      <c r="D66" s="26" t="str">
        <f>IFERROR(__xludf.DUMMYFUNCTION("(DMAX({{Data!$A$1:$M$1};filter(Data!$A$2:$M1000,Data!$A$2:$A1000=$A66 , Data!$B$2:$B1000 = $B66,Data!$C$2:$C1000 = $C66, Data!$D$2:$D1000 = D$1, Data!$E$2:$E1000 = D$2 )},$I$2  , $O$22:$O$23))"),"6080192")</f>
        <v>6080192</v>
      </c>
      <c r="E66" s="15" t="str">
        <f>IFERROR(__xludf.DUMMYFUNCTION("(DMAX({{Data!$A$1:$M$1};filter(Data!$A$2:$M1000,Data!$A$2:$A1000=$A66 , Data!$B$2:$B1000 = $B66,Data!$C$2:$C1000 = $C66, Data!$D$2:$D1000 = E$1, Data!$E$2:$E1000 = E$2 )},$I$2  , $O$22:$O$23))"),"6078146")</f>
        <v>6078146</v>
      </c>
      <c r="F66" s="15" t="str">
        <f>IFERROR(__xludf.DUMMYFUNCTION("(DMAX({{Data!$A$1:$M$1};filter(Data!$A$2:$M1000,Data!$A$2:$A1000=$A66 , Data!$B$2:$B1000 = $B66,Data!$C$2:$C1000 = $C66, Data!$D$2:$D1000 = F$1, Data!$E$2:$E1000 = F$2 )},$I$2  , $O$22:$O$23))"),"6081050")</f>
        <v>6081050</v>
      </c>
      <c r="G66" s="17" t="str">
        <f t="shared" si="1"/>
        <v>6081050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28">
        <v>2000.0</v>
      </c>
      <c r="B67" s="28">
        <v>10.0</v>
      </c>
      <c r="C67" s="28">
        <v>4.0</v>
      </c>
      <c r="D67" s="26" t="str">
        <f>IFERROR(__xludf.DUMMYFUNCTION("(DMAX({{Data!$A$1:$M$1};filter(Data!$A$2:$M1000,Data!$A$2:$A1000=$A67 , Data!$B$2:$B1000 = $B67,Data!$C$2:$C1000 = $C67, Data!$D$2:$D1000 = D$1, Data!$E$2:$E1000 = D$2 )},$I$2  , $O$22:$O$23))"),"6130120")</f>
        <v>6130120</v>
      </c>
      <c r="E67" s="15" t="str">
        <f>IFERROR(__xludf.DUMMYFUNCTION("(DMAX({{Data!$A$1:$M$1};filter(Data!$A$2:$M1000,Data!$A$2:$A1000=$A67 , Data!$B$2:$B1000 = $B67,Data!$C$2:$C1000 = $C67, Data!$D$2:$D1000 = E$1, Data!$E$2:$E1000 = E$2 )},$I$2  , $O$22:$O$23))"),"6122938")</f>
        <v>6122938</v>
      </c>
      <c r="F67" s="15" t="str">
        <f>IFERROR(__xludf.DUMMYFUNCTION("(DMAX({{Data!$A$1:$M$1};filter(Data!$A$2:$M1000,Data!$A$2:$A1000=$A67 , Data!$B$2:$B1000 = $B67,Data!$C$2:$C1000 = $C67, Data!$D$2:$D1000 = F$1, Data!$E$2:$E1000 = F$2 )},$I$2  , $O$22:$O$23))"),"6137223")</f>
        <v>6137223</v>
      </c>
      <c r="G67" s="17" t="str">
        <f t="shared" si="1"/>
        <v>6137223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28">
        <v>2000.0</v>
      </c>
      <c r="B68" s="28">
        <v>10.0</v>
      </c>
      <c r="C68" s="28">
        <v>5.0</v>
      </c>
      <c r="D68" s="26" t="str">
        <f>IFERROR(__xludf.DUMMYFUNCTION("(DMAX({{Data!$A$1:$M$1};filter(Data!$A$2:$M1000,Data!$A$2:$A1000=$A68 , Data!$B$2:$B1000 = $B68,Data!$C$2:$C1000 = $C68, Data!$D$2:$D1000 = D$1, Data!$E$2:$E1000 = D$2 )},$I$2  , $O$22:$O$23))"),"6117171")</f>
        <v>6117171</v>
      </c>
      <c r="E68" s="15" t="str">
        <f>IFERROR(__xludf.DUMMYFUNCTION("(DMAX({{Data!$A$1:$M$1};filter(Data!$A$2:$M1000,Data!$A$2:$A1000=$A68 , Data!$B$2:$B1000 = $B68,Data!$C$2:$C1000 = $C68, Data!$D$2:$D1000 = E$1, Data!$E$2:$E1000 = E$2 )},$I$2  , $O$22:$O$23))"),"6113895")</f>
        <v>6113895</v>
      </c>
      <c r="F68" s="15" t="str">
        <f>IFERROR(__xludf.DUMMYFUNCTION("(DMAX({{Data!$A$1:$M$1};filter(Data!$A$2:$M1000,Data!$A$2:$A1000=$A68 , Data!$B$2:$B1000 = $B68,Data!$C$2:$C1000 = $C68, Data!$D$2:$D1000 = F$1, Data!$E$2:$E1000 = F$2 )},$I$2  , $O$22:$O$23))"),"6129642")</f>
        <v>6129642</v>
      </c>
      <c r="G68" s="17" t="str">
        <f t="shared" si="1"/>
        <v>6129642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28">
        <v>2000.0</v>
      </c>
      <c r="B69" s="28">
        <v>50.0</v>
      </c>
      <c r="C69" s="28">
        <v>1.0</v>
      </c>
      <c r="D69" s="26" t="str">
        <f>IFERROR(__xludf.DUMMYFUNCTION("(DMAX({{Data!$A$1:$M$1};filter(Data!$A$2:$M1000,Data!$A$2:$A1000=$A69 , Data!$B$2:$B1000 = $B69,Data!$C$2:$C1000 = $C69, Data!$D$2:$D1000 = D$1, Data!$E$2:$E1000 = D$2 )},$I$2  , $O$22:$O$23))"),"31444064")</f>
        <v>31444064</v>
      </c>
      <c r="E69" s="15" t="str">
        <f>IFERROR(__xludf.DUMMYFUNCTION("(DMAX({{Data!$A$1:$M$1};filter(Data!$A$2:$M1000,Data!$A$2:$A1000=$A69 , Data!$B$2:$B1000 = $B69,Data!$C$2:$C1000 = $C69, Data!$D$2:$D1000 = E$1, Data!$E$2:$E1000 = E$2 )},$I$2  , $O$22:$O$23))"),"31414002")</f>
        <v>31414002</v>
      </c>
      <c r="F69" s="15" t="str">
        <f>IFERROR(__xludf.DUMMYFUNCTION("(DMAX({{Data!$A$1:$M$1};filter(Data!$A$2:$M1000,Data!$A$2:$A1000=$A69 , Data!$B$2:$B1000 = $B69,Data!$C$2:$C1000 = $C69, Data!$D$2:$D1000 = F$1, Data!$E$2:$E1000 = F$2 )},$I$2  , $O$22:$O$23))"),"31427555")</f>
        <v>31427555</v>
      </c>
      <c r="G69" s="17" t="str">
        <f t="shared" si="1"/>
        <v>31444064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28">
        <v>2000.0</v>
      </c>
      <c r="B70" s="28">
        <v>50.0</v>
      </c>
      <c r="C70" s="28">
        <v>2.0</v>
      </c>
      <c r="D70" s="26" t="str">
        <f>IFERROR(__xludf.DUMMYFUNCTION("(DMAX({{Data!$A$1:$M$1};filter(Data!$A$2:$M1000,Data!$A$2:$A1000=$A70 , Data!$B$2:$B1000 = $B70,Data!$C$2:$C1000 = $C70, Data!$D$2:$D1000 = D$1, Data!$E$2:$E1000 = D$2 )},$I$2  , $O$22:$O$23))"),"31458221")</f>
        <v>31458221</v>
      </c>
      <c r="E70" s="15" t="str">
        <f>IFERROR(__xludf.DUMMYFUNCTION("(DMAX({{Data!$A$1:$M$1};filter(Data!$A$2:$M1000,Data!$A$2:$A1000=$A70 , Data!$B$2:$B1000 = $B70,Data!$C$2:$C1000 = $C70, Data!$D$2:$D1000 = E$1, Data!$E$2:$E1000 = E$2 )},$I$2  , $O$22:$O$23))"),"31471816")</f>
        <v>31471816</v>
      </c>
      <c r="F70" s="15" t="str">
        <f>IFERROR(__xludf.DUMMYFUNCTION("(DMAX({{Data!$A$1:$M$1};filter(Data!$A$2:$M1000,Data!$A$2:$A1000=$A70 , Data!$B$2:$B1000 = $B70,Data!$C$2:$C1000 = $C70, Data!$D$2:$D1000 = F$1, Data!$E$2:$E1000 = F$2 )},$I$2  , $O$22:$O$23))"),"31455838")</f>
        <v>31455838</v>
      </c>
      <c r="G70" s="17" t="str">
        <f t="shared" si="1"/>
        <v>31471816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28">
        <v>2000.0</v>
      </c>
      <c r="B71" s="28">
        <v>50.0</v>
      </c>
      <c r="C71" s="28">
        <v>3.0</v>
      </c>
      <c r="D71" s="26" t="str">
        <f>IFERROR(__xludf.DUMMYFUNCTION("(DMAX({{Data!$A$1:$M$1};filter(Data!$A$2:$M1000,Data!$A$2:$A1000=$A71 , Data!$B$2:$B1000 = $B71,Data!$C$2:$C1000 = $C71, Data!$D$2:$D1000 = D$1, Data!$E$2:$E1000 = D$2 )},$I$2  , $O$22:$O$23))"),"31430381")</f>
        <v>31430381</v>
      </c>
      <c r="E71" s="15" t="str">
        <f>IFERROR(__xludf.DUMMYFUNCTION("(DMAX({{Data!$A$1:$M$1};filter(Data!$A$2:$M1000,Data!$A$2:$A1000=$A71 , Data!$B$2:$B1000 = $B71,Data!$C$2:$C1000 = $C71, Data!$D$2:$D1000 = E$1, Data!$E$2:$E1000 = E$2 )},$I$2  , $O$22:$O$23))"),"31443519")</f>
        <v>31443519</v>
      </c>
      <c r="F71" s="15" t="str">
        <f>IFERROR(__xludf.DUMMYFUNCTION("(DMAX({{Data!$A$1:$M$1};filter(Data!$A$2:$M1000,Data!$A$2:$A1000=$A71 , Data!$B$2:$B1000 = $B71,Data!$C$2:$C1000 = $C71, Data!$D$2:$D1000 = F$1, Data!$E$2:$E1000 = F$2 )},$I$2  , $O$22:$O$23))"),"31453263")</f>
        <v>31453263</v>
      </c>
      <c r="G71" s="17" t="str">
        <f t="shared" si="1"/>
        <v>31453263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28">
        <v>2000.0</v>
      </c>
      <c r="B72" s="28">
        <v>50.0</v>
      </c>
      <c r="C72" s="28">
        <v>4.0</v>
      </c>
      <c r="D72" s="26" t="str">
        <f>IFERROR(__xludf.DUMMYFUNCTION("(DMAX({{Data!$A$1:$M$1};filter(Data!$A$2:$M1000,Data!$A$2:$A1000=$A72 , Data!$B$2:$B1000 = $B72,Data!$C$2:$C1000 = $C72, Data!$D$2:$D1000 = D$1, Data!$E$2:$E1000 = D$2 )},$I$2  , $O$22:$O$23))"),"31474875")</f>
        <v>31474875</v>
      </c>
      <c r="E72" s="15" t="str">
        <f>IFERROR(__xludf.DUMMYFUNCTION("(DMAX({{Data!$A$1:$M$1};filter(Data!$A$2:$M1000,Data!$A$2:$A1000=$A72 , Data!$B$2:$B1000 = $B72,Data!$C$2:$C1000 = $C72, Data!$D$2:$D1000 = E$1, Data!$E$2:$E1000 = E$2 )},$I$2  , $O$22:$O$23))"),"31462294")</f>
        <v>31462294</v>
      </c>
      <c r="F72" s="15" t="str">
        <f>IFERROR(__xludf.DUMMYFUNCTION("(DMAX({{Data!$A$1:$M$1};filter(Data!$A$2:$M1000,Data!$A$2:$A1000=$A72 , Data!$B$2:$B1000 = $B72,Data!$C$2:$C1000 = $C72, Data!$D$2:$D1000 = F$1, Data!$E$2:$E1000 = F$2 )},$I$2  , $O$22:$O$23))"),"31469161")</f>
        <v>31469161</v>
      </c>
      <c r="G72" s="17" t="str">
        <f t="shared" si="1"/>
        <v>31474875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28">
        <v>2000.0</v>
      </c>
      <c r="B73" s="28">
        <v>50.0</v>
      </c>
      <c r="C73" s="28">
        <v>5.0</v>
      </c>
      <c r="D73" s="26" t="str">
        <f>IFERROR(__xludf.DUMMYFUNCTION("(DMAX({{Data!$A$1:$M$1};filter(Data!$A$2:$M1000,Data!$A$2:$A1000=$A73 , Data!$B$2:$B1000 = $B73,Data!$C$2:$C1000 = $C73, Data!$D$2:$D1000 = D$1, Data!$E$2:$E1000 = D$2 )},$I$2  , $O$22:$O$23))"),"31460466")</f>
        <v>31460466</v>
      </c>
      <c r="E73" s="15" t="str">
        <f>IFERROR(__xludf.DUMMYFUNCTION("(DMAX({{Data!$A$1:$M$1};filter(Data!$A$2:$M1000,Data!$A$2:$A1000=$A73 , Data!$B$2:$B1000 = $B73,Data!$C$2:$C1000 = $C73, Data!$D$2:$D1000 = E$1, Data!$E$2:$E1000 = E$2 )},$I$2  , $O$22:$O$23))"),"31445930")</f>
        <v>31445930</v>
      </c>
      <c r="F73" s="15" t="str">
        <f>IFERROR(__xludf.DUMMYFUNCTION("(DMAX({{Data!$A$1:$M$1};filter(Data!$A$2:$M1000,Data!$A$2:$A1000=$A73 , Data!$B$2:$B1000 = $B73,Data!$C$2:$C1000 = $C73, Data!$D$2:$D1000 = F$1, Data!$E$2:$E1000 = F$2 )},$I$2  , $O$22:$O$23))"),"31435138")</f>
        <v>31435138</v>
      </c>
      <c r="G73" s="17" t="str">
        <f t="shared" si="1"/>
        <v>31460466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28">
        <v>2000.0</v>
      </c>
      <c r="B74" s="28">
        <v>100.0</v>
      </c>
      <c r="C74" s="28">
        <v>1.0</v>
      </c>
      <c r="D74" s="26" t="str">
        <f>IFERROR(__xludf.DUMMYFUNCTION("(DMAX({{Data!$A$1:$M$1};filter(Data!$A$2:$M1000,Data!$A$2:$A1000=$A74 , Data!$B$2:$B1000 = $B74,Data!$C$2:$C1000 = $C74, Data!$D$2:$D1000 = D$1, Data!$E$2:$E1000 = D$2 )},$I$2  , $O$22:$O$23))"),"102218190")</f>
        <v>102218190</v>
      </c>
      <c r="E74" s="15" t="str">
        <f>IFERROR(__xludf.DUMMYFUNCTION("(DMAX({{Data!$A$1:$M$1};filter(Data!$A$2:$M1000,Data!$A$2:$A1000=$A74 , Data!$B$2:$B1000 = $B74,Data!$C$2:$C1000 = $C74, Data!$D$2:$D1000 = E$1, Data!$E$2:$E1000 = E$2 )},$I$2  , $O$22:$O$23))"),"102217312")</f>
        <v>102217312</v>
      </c>
      <c r="F74" s="15" t="str">
        <f>IFERROR(__xludf.DUMMYFUNCTION("(DMAX({{Data!$A$1:$M$1};filter(Data!$A$2:$M1000,Data!$A$2:$A1000=$A74 , Data!$B$2:$B1000 = $B74,Data!$C$2:$C1000 = $C74, Data!$D$2:$D1000 = F$1, Data!$E$2:$E1000 = F$2 )},$I$2  , $O$22:$O$23))"),"102214836")</f>
        <v>102214836</v>
      </c>
      <c r="G74" s="17" t="str">
        <f t="shared" si="1"/>
        <v>102218190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28">
        <v>2000.0</v>
      </c>
      <c r="B75" s="28">
        <v>100.0</v>
      </c>
      <c r="C75" s="28">
        <v>2.0</v>
      </c>
      <c r="D75" s="26" t="str">
        <f>IFERROR(__xludf.DUMMYFUNCTION("(DMAX({{Data!$A$1:$M$1};filter(Data!$A$2:$M1000,Data!$A$2:$A1000=$A75 , Data!$B$2:$B1000 = $B75,Data!$C$2:$C1000 = $C75, Data!$D$2:$D1000 = D$1, Data!$E$2:$E1000 = D$2 )},$I$2  , $O$22:$O$23))"),"102201199")</f>
        <v>102201199</v>
      </c>
      <c r="E75" s="15" t="str">
        <f>IFERROR(__xludf.DUMMYFUNCTION("(DMAX({{Data!$A$1:$M$1};filter(Data!$A$2:$M1000,Data!$A$2:$A1000=$A75 , Data!$B$2:$B1000 = $B75,Data!$C$2:$C1000 = $C75, Data!$D$2:$D1000 = E$1, Data!$E$2:$E1000 = E$2 )},$I$2  , $O$22:$O$23))"),"102198443")</f>
        <v>102198443</v>
      </c>
      <c r="F75" s="15" t="str">
        <f>IFERROR(__xludf.DUMMYFUNCTION("(DMAX({{Data!$A$1:$M$1};filter(Data!$A$2:$M1000,Data!$A$2:$A1000=$A75 , Data!$B$2:$B1000 = $B75,Data!$C$2:$C1000 = $C75, Data!$D$2:$D1000 = F$1, Data!$E$2:$E1000 = F$2 )},$I$2  , $O$22:$O$23))"),"102196780")</f>
        <v>102196780</v>
      </c>
      <c r="G75" s="17" t="str">
        <f t="shared" si="1"/>
        <v>102201199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28">
        <v>2000.0</v>
      </c>
      <c r="B76" s="28">
        <v>100.0</v>
      </c>
      <c r="C76" s="28">
        <v>3.0</v>
      </c>
      <c r="D76" s="26" t="str">
        <f>IFERROR(__xludf.DUMMYFUNCTION("(DMAX({{Data!$A$1:$M$1};filter(Data!$A$2:$M1000,Data!$A$2:$A1000=$A76 , Data!$B$2:$B1000 = $B76,Data!$C$2:$C1000 = $C76, Data!$D$2:$D1000 = D$1, Data!$E$2:$E1000 = D$2 )},$I$2  , $O$22:$O$23))"),"102267106")</f>
        <v>102267106</v>
      </c>
      <c r="E76" s="15" t="str">
        <f>IFERROR(__xludf.DUMMYFUNCTION("(DMAX({{Data!$A$1:$M$1};filter(Data!$A$2:$M1000,Data!$A$2:$A1000=$A76 , Data!$B$2:$B1000 = $B76,Data!$C$2:$C1000 = $C76, Data!$D$2:$D1000 = E$1, Data!$E$2:$E1000 = E$2 )},$I$2  , $O$22:$O$23))"),"102238090")</f>
        <v>102238090</v>
      </c>
      <c r="F76" s="15" t="str">
        <f>IFERROR(__xludf.DUMMYFUNCTION("(DMAX({{Data!$A$1:$M$1};filter(Data!$A$2:$M1000,Data!$A$2:$A1000=$A76 , Data!$B$2:$B1000 = $B76,Data!$C$2:$C1000 = $C76, Data!$D$2:$D1000 = F$1, Data!$E$2:$E1000 = F$2 )},$I$2  , $O$22:$O$23))"),"102259765")</f>
        <v>102259765</v>
      </c>
      <c r="G76" s="17" t="str">
        <f t="shared" si="1"/>
        <v>102267106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28">
        <v>2000.0</v>
      </c>
      <c r="B77" s="28">
        <v>100.0</v>
      </c>
      <c r="C77" s="28">
        <v>4.0</v>
      </c>
      <c r="D77" s="26" t="str">
        <f>IFERROR(__xludf.DUMMYFUNCTION("(DMAX({{Data!$A$1:$M$1};filter(Data!$A$2:$M1000,Data!$A$2:$A1000=$A77 , Data!$B$2:$B1000 = $B77,Data!$C$2:$C1000 = $C77, Data!$D$2:$D1000 = D$1, Data!$E$2:$E1000 = D$2 )},$I$2  , $O$22:$O$23))"),"102254515")</f>
        <v>102254515</v>
      </c>
      <c r="E77" s="15" t="str">
        <f>IFERROR(__xludf.DUMMYFUNCTION("(DMAX({{Data!$A$1:$M$1};filter(Data!$A$2:$M1000,Data!$A$2:$A1000=$A77 , Data!$B$2:$B1000 = $B77,Data!$C$2:$C1000 = $C77, Data!$D$2:$D1000 = E$1, Data!$E$2:$E1000 = E$2 )},$I$2  , $O$22:$O$23))"),"102246477")</f>
        <v>102246477</v>
      </c>
      <c r="F77" s="15" t="str">
        <f>IFERROR(__xludf.DUMMYFUNCTION("(DMAX({{Data!$A$1:$M$1};filter(Data!$A$2:$M1000,Data!$A$2:$A1000=$A77 , Data!$B$2:$B1000 = $B77,Data!$C$2:$C1000 = $C77, Data!$D$2:$D1000 = F$1, Data!$E$2:$E1000 = F$2 )},$I$2  , $O$22:$O$23))"),"102231911")</f>
        <v>102231911</v>
      </c>
      <c r="G77" s="17" t="str">
        <f t="shared" si="1"/>
        <v>102254515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28">
        <v>2000.0</v>
      </c>
      <c r="B78" s="28">
        <v>100.0</v>
      </c>
      <c r="C78" s="28">
        <v>5.0</v>
      </c>
      <c r="D78" s="26" t="str">
        <f>IFERROR(__xludf.DUMMYFUNCTION("(DMAX({{Data!$A$1:$M$1};filter(Data!$A$2:$M1000,Data!$A$2:$A1000=$A78 , Data!$B$2:$B1000 = $B78,Data!$C$2:$C1000 = $C78, Data!$D$2:$D1000 = D$1, Data!$E$2:$E1000 = D$2 )},$I$2  , $O$22:$O$23))"),"102211685")</f>
        <v>102211685</v>
      </c>
      <c r="E78" s="15" t="str">
        <f>IFERROR(__xludf.DUMMYFUNCTION("(DMAX({{Data!$A$1:$M$1};filter(Data!$A$2:$M1000,Data!$A$2:$A1000=$A78 , Data!$B$2:$B1000 = $B78,Data!$C$2:$C1000 = $C78, Data!$D$2:$D1000 = E$1, Data!$E$2:$E1000 = E$2 )},$I$2  , $O$22:$O$23))"),"102202155")</f>
        <v>102202155</v>
      </c>
      <c r="F78" s="15" t="str">
        <f>IFERROR(__xludf.DUMMYFUNCTION("(DMAX({{Data!$A$1:$M$1};filter(Data!$A$2:$M1000,Data!$A$2:$A1000=$A78 , Data!$B$2:$B1000 = $B78,Data!$C$2:$C1000 = $C78, Data!$D$2:$D1000 = F$1, Data!$E$2:$E1000 = F$2 )},$I$2  , $O$22:$O$23))"),"102193508")</f>
        <v>102193508</v>
      </c>
      <c r="G78" s="17" t="str">
        <f t="shared" si="1"/>
        <v>102211685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28">
        <v>3000.0</v>
      </c>
      <c r="B79" s="28">
        <v>1.0</v>
      </c>
      <c r="C79" s="28">
        <v>1.0</v>
      </c>
      <c r="D79" s="26" t="str">
        <f>IFERROR(__xludf.DUMMYFUNCTION("(DMAX({{Data!$A$1:$M$1};filter(Data!$A$2:$M1000,Data!$A$2:$A1000=$A79 , Data!$B$2:$B1000 = $B79,Data!$C$2:$C1000 = $C79, Data!$D$2:$D1000 = D$1, Data!$E$2:$E1000 = D$2 )},$I$2  , $O$22:$O$23))"),"1639630")</f>
        <v>1639630</v>
      </c>
      <c r="E79" s="15" t="str">
        <f>IFERROR(__xludf.DUMMYFUNCTION("(DMAX({{Data!$A$1:$M$1};filter(Data!$A$2:$M1000,Data!$A$2:$A1000=$A79 , Data!$B$2:$B1000 = $B79,Data!$C$2:$C1000 = $C79, Data!$D$2:$D1000 = E$1, Data!$E$2:$E1000 = E$2 )},$I$2  , $O$22:$O$23))"),"1636495")</f>
        <v>1636495</v>
      </c>
      <c r="F79" s="15" t="str">
        <f>IFERROR(__xludf.DUMMYFUNCTION("(DMAX({{Data!$A$1:$M$1};filter(Data!$A$2:$M1000,Data!$A$2:$A1000=$A79 , Data!$B$2:$B1000 = $B79,Data!$C$2:$C1000 = $C79, Data!$D$2:$D1000 = F$1, Data!$E$2:$E1000 = F$2 )},$I$2  , $O$22:$O$23))"),"1637203")</f>
        <v>1637203</v>
      </c>
      <c r="G79" s="17" t="str">
        <f t="shared" si="1"/>
        <v>1639630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28">
        <v>3000.0</v>
      </c>
      <c r="B80" s="28">
        <v>1.0</v>
      </c>
      <c r="C80" s="28">
        <v>2.0</v>
      </c>
      <c r="D80" s="26" t="str">
        <f>IFERROR(__xludf.DUMMYFUNCTION("(DMAX({{Data!$A$1:$M$1};filter(Data!$A$2:$M1000,Data!$A$2:$A1000=$A80 , Data!$B$2:$B1000 = $B80,Data!$C$2:$C1000 = $C80, Data!$D$2:$D1000 = D$1, Data!$E$2:$E1000 = D$2 )},$I$2  , $O$22:$O$23))"),"1652317")</f>
        <v>1652317</v>
      </c>
      <c r="E80" s="15" t="str">
        <f>IFERROR(__xludf.DUMMYFUNCTION("(DMAX({{Data!$A$1:$M$1};filter(Data!$A$2:$M1000,Data!$A$2:$A1000=$A80 , Data!$B$2:$B1000 = $B80,Data!$C$2:$C1000 = $C80, Data!$D$2:$D1000 = E$1, Data!$E$2:$E1000 = E$2 )},$I$2  , $O$22:$O$23))"),"1645185")</f>
        <v>1645185</v>
      </c>
      <c r="F80" s="15" t="str">
        <f>IFERROR(__xludf.DUMMYFUNCTION("(DMAX({{Data!$A$1:$M$1};filter(Data!$A$2:$M1000,Data!$A$2:$A1000=$A80 , Data!$B$2:$B1000 = $B80,Data!$C$2:$C1000 = $C80, Data!$D$2:$D1000 = F$1, Data!$E$2:$E1000 = F$2 )},$I$2  , $O$22:$O$23))"),"1652319")</f>
        <v>1652319</v>
      </c>
      <c r="G80" s="17" t="str">
        <f t="shared" si="1"/>
        <v>1652319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28">
        <v>3000.0</v>
      </c>
      <c r="B81" s="28">
        <v>1.0</v>
      </c>
      <c r="C81" s="28">
        <v>3.0</v>
      </c>
      <c r="D81" s="26" t="str">
        <f>IFERROR(__xludf.DUMMYFUNCTION("(DMAX({{Data!$A$1:$M$1};filter(Data!$A$2:$M1000,Data!$A$2:$A1000=$A81 , Data!$B$2:$B1000 = $B81,Data!$C$2:$C1000 = $C81, Data!$D$2:$D1000 = D$1, Data!$E$2:$E1000 = D$2 )},$I$2  , $O$22:$O$23))"),"1617993")</f>
        <v>1617993</v>
      </c>
      <c r="E81" s="15" t="str">
        <f>IFERROR(__xludf.DUMMYFUNCTION("(DMAX({{Data!$A$1:$M$1};filter(Data!$A$2:$M1000,Data!$A$2:$A1000=$A81 , Data!$B$2:$B1000 = $B81,Data!$C$2:$C1000 = $C81, Data!$D$2:$D1000 = E$1, Data!$E$2:$E1000 = E$2 )},$I$2  , $O$22:$O$23))"),"1617105")</f>
        <v>1617105</v>
      </c>
      <c r="F81" s="15" t="str">
        <f>IFERROR(__xludf.DUMMYFUNCTION("(DMAX({{Data!$A$1:$M$1};filter(Data!$A$2:$M1000,Data!$A$2:$A1000=$A81 , Data!$B$2:$B1000 = $B81,Data!$C$2:$C1000 = $C81, Data!$D$2:$D1000 = F$1, Data!$E$2:$E1000 = F$2 )},$I$2  , $O$22:$O$23))"),"1615546")</f>
        <v>1615546</v>
      </c>
      <c r="G81" s="17" t="str">
        <f t="shared" si="1"/>
        <v>1617993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28">
        <v>3000.0</v>
      </c>
      <c r="B82" s="28">
        <v>1.0</v>
      </c>
      <c r="C82" s="28">
        <v>4.0</v>
      </c>
      <c r="D82" s="26" t="str">
        <f>IFERROR(__xludf.DUMMYFUNCTION("(DMAX({{Data!$A$1:$M$1};filter(Data!$A$2:$M1000,Data!$A$2:$A1000=$A82 , Data!$B$2:$B1000 = $B82,Data!$C$2:$C1000 = $C82, Data!$D$2:$D1000 = D$1, Data!$E$2:$E1000 = D$2 )},$I$2  , $O$22:$O$23))"),"1648047")</f>
        <v>1648047</v>
      </c>
      <c r="E82" s="15" t="str">
        <f>IFERROR(__xludf.DUMMYFUNCTION("(DMAX({{Data!$A$1:$M$1};filter(Data!$A$2:$M1000,Data!$A$2:$A1000=$A82 , Data!$B$2:$B1000 = $B82,Data!$C$2:$C1000 = $C82, Data!$D$2:$D1000 = E$1, Data!$E$2:$E1000 = E$2 )},$I$2  , $O$22:$O$23))"),"1646703")</f>
        <v>1646703</v>
      </c>
      <c r="F82" s="15" t="str">
        <f>IFERROR(__xludf.DUMMYFUNCTION("(DMAX({{Data!$A$1:$M$1};filter(Data!$A$2:$M1000,Data!$A$2:$A1000=$A82 , Data!$B$2:$B1000 = $B82,Data!$C$2:$C1000 = $C82, Data!$D$2:$D1000 = F$1, Data!$E$2:$E1000 = F$2 )},$I$2  , $O$22:$O$23))"),"1644703")</f>
        <v>1644703</v>
      </c>
      <c r="G82" s="17" t="str">
        <f t="shared" si="1"/>
        <v>1648047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28">
        <v>3000.0</v>
      </c>
      <c r="B83" s="28">
        <v>1.0</v>
      </c>
      <c r="C83" s="28">
        <v>5.0</v>
      </c>
      <c r="D83" s="26" t="str">
        <f>IFERROR(__xludf.DUMMYFUNCTION("(DMAX({{Data!$A$1:$M$1};filter(Data!$A$2:$M1000,Data!$A$2:$A1000=$A83 , Data!$B$2:$B1000 = $B83,Data!$C$2:$C1000 = $C83, Data!$D$2:$D1000 = D$1, Data!$E$2:$E1000 = D$2 )},$I$2  , $O$22:$O$23))"),"1656866")</f>
        <v>1656866</v>
      </c>
      <c r="E83" s="15" t="str">
        <f>IFERROR(__xludf.DUMMYFUNCTION("(DMAX({{Data!$A$1:$M$1};filter(Data!$A$2:$M1000,Data!$A$2:$A1000=$A83 , Data!$B$2:$B1000 = $B83,Data!$C$2:$C1000 = $C83, Data!$D$2:$D1000 = E$1, Data!$E$2:$E1000 = E$2 )},$I$2  , $O$22:$O$23))"),"1655246")</f>
        <v>1655246</v>
      </c>
      <c r="F83" s="15" t="str">
        <f>IFERROR(__xludf.DUMMYFUNCTION("(DMAX({{Data!$A$1:$M$1};filter(Data!$A$2:$M1000,Data!$A$2:$A1000=$A83 , Data!$B$2:$B1000 = $B83,Data!$C$2:$C1000 = $C83, Data!$D$2:$D1000 = F$1, Data!$E$2:$E1000 = F$2 )},$I$2  , $O$22:$O$23))"),"1653749")</f>
        <v>1653749</v>
      </c>
      <c r="G83" s="17" t="str">
        <f t="shared" si="1"/>
        <v>1656866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28">
        <v>3000.0</v>
      </c>
      <c r="B84" s="28">
        <v>5.0</v>
      </c>
      <c r="C84" s="28">
        <v>1.0</v>
      </c>
      <c r="D84" s="26" t="str">
        <f>IFERROR(__xludf.DUMMYFUNCTION("(DMAX({{Data!$A$1:$M$1};filter(Data!$A$2:$M1000,Data!$A$2:$A1000=$A84 , Data!$B$2:$B1000 = $B84,Data!$C$2:$C1000 = $C84, Data!$D$2:$D1000 = D$1, Data!$E$2:$E1000 = D$2 )},$I$2  , $O$22:$O$23))"),"6985586")</f>
        <v>6985586</v>
      </c>
      <c r="E84" s="15" t="str">
        <f>IFERROR(__xludf.DUMMYFUNCTION("(DMAX({{Data!$A$1:$M$1};filter(Data!$A$2:$M1000,Data!$A$2:$A1000=$A84 , Data!$B$2:$B1000 = $B84,Data!$C$2:$C1000 = $C84, Data!$D$2:$D1000 = E$1, Data!$E$2:$E1000 = E$2 )},$I$2  , $O$22:$O$23))"),"6975553")</f>
        <v>6975553</v>
      </c>
      <c r="F84" s="15" t="str">
        <f>IFERROR(__xludf.DUMMYFUNCTION("(DMAX({{Data!$A$1:$M$1};filter(Data!$A$2:$M1000,Data!$A$2:$A1000=$A84 , Data!$B$2:$B1000 = $B84,Data!$C$2:$C1000 = $C84, Data!$D$2:$D1000 = F$1, Data!$E$2:$E1000 = F$2 )},$I$2  , $O$22:$O$23))"),"6976211")</f>
        <v>6976211</v>
      </c>
      <c r="G84" s="17" t="str">
        <f t="shared" si="1"/>
        <v>6985586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28">
        <v>3000.0</v>
      </c>
      <c r="B85" s="28">
        <v>5.0</v>
      </c>
      <c r="C85" s="28">
        <v>2.0</v>
      </c>
      <c r="D85" s="26" t="str">
        <f>IFERROR(__xludf.DUMMYFUNCTION("(DMAX({{Data!$A$1:$M$1};filter(Data!$A$2:$M1000,Data!$A$2:$A1000=$A85 , Data!$B$2:$B1000 = $B85,Data!$C$2:$C1000 = $C85, Data!$D$2:$D1000 = D$1, Data!$E$2:$E1000 = D$2 )},$I$2  , $O$22:$O$23))"),"6994172")</f>
        <v>6994172</v>
      </c>
      <c r="E85" s="15" t="str">
        <f>IFERROR(__xludf.DUMMYFUNCTION("(DMAX({{Data!$A$1:$M$1};filter(Data!$A$2:$M1000,Data!$A$2:$A1000=$A85 , Data!$B$2:$B1000 = $B85,Data!$C$2:$C1000 = $C85, Data!$D$2:$D1000 = E$1, Data!$E$2:$E1000 = E$2 )},$I$2  , $O$22:$O$23))"),"6991561")</f>
        <v>6991561</v>
      </c>
      <c r="F85" s="15" t="str">
        <f>IFERROR(__xludf.DUMMYFUNCTION("(DMAX({{Data!$A$1:$M$1};filter(Data!$A$2:$M1000,Data!$A$2:$A1000=$A85 , Data!$B$2:$B1000 = $B85,Data!$C$2:$C1000 = $C85, Data!$D$2:$D1000 = F$1, Data!$E$2:$E1000 = F$2 )},$I$2  , $O$22:$O$23))"),"7003713")</f>
        <v>7003713</v>
      </c>
      <c r="G85" s="17" t="str">
        <f t="shared" si="1"/>
        <v>7003713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28">
        <v>3000.0</v>
      </c>
      <c r="B86" s="28">
        <v>5.0</v>
      </c>
      <c r="C86" s="28">
        <v>3.0</v>
      </c>
      <c r="D86" s="26" t="str">
        <f>IFERROR(__xludf.DUMMYFUNCTION("(DMAX({{Data!$A$1:$M$1};filter(Data!$A$2:$M1000,Data!$A$2:$A1000=$A86 , Data!$B$2:$B1000 = $B86,Data!$C$2:$C1000 = $C86, Data!$D$2:$D1000 = D$1, Data!$E$2:$E1000 = D$2 )},$I$2  , $O$22:$O$23))"),"6930392")</f>
        <v>6930392</v>
      </c>
      <c r="E86" s="15" t="str">
        <f>IFERROR(__xludf.DUMMYFUNCTION("(DMAX({{Data!$A$1:$M$1};filter(Data!$A$2:$M1000,Data!$A$2:$A1000=$A86 , Data!$B$2:$B1000 = $B86,Data!$C$2:$C1000 = $C86, Data!$D$2:$D1000 = E$1, Data!$E$2:$E1000 = E$2 )},$I$2  , $O$22:$O$23))"),"6922873")</f>
        <v>6922873</v>
      </c>
      <c r="F86" s="15" t="str">
        <f>IFERROR(__xludf.DUMMYFUNCTION("(DMAX({{Data!$A$1:$M$1};filter(Data!$A$2:$M1000,Data!$A$2:$A1000=$A86 , Data!$B$2:$B1000 = $B86,Data!$C$2:$C1000 = $C86, Data!$D$2:$D1000 = F$1, Data!$E$2:$E1000 = F$2 )},$I$2  , $O$22:$O$23))"),"6922824")</f>
        <v>6922824</v>
      </c>
      <c r="G86" s="17" t="str">
        <f t="shared" si="1"/>
        <v>6930392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28">
        <v>3000.0</v>
      </c>
      <c r="B87" s="28">
        <v>5.0</v>
      </c>
      <c r="C87" s="28">
        <v>4.0</v>
      </c>
      <c r="D87" s="26" t="str">
        <f>IFERROR(__xludf.DUMMYFUNCTION("(DMAX({{Data!$A$1:$M$1};filter(Data!$A$2:$M1000,Data!$A$2:$A1000=$A87 , Data!$B$2:$B1000 = $B87,Data!$C$2:$C1000 = $C87, Data!$D$2:$D1000 = D$1, Data!$E$2:$E1000 = D$2 )},$I$2  , $O$22:$O$23))"),"7000820")</f>
        <v>7000820</v>
      </c>
      <c r="E87" s="15" t="str">
        <f>IFERROR(__xludf.DUMMYFUNCTION("(DMAX({{Data!$A$1:$M$1};filter(Data!$A$2:$M1000,Data!$A$2:$A1000=$A87 , Data!$B$2:$B1000 = $B87,Data!$C$2:$C1000 = $C87, Data!$D$2:$D1000 = E$1, Data!$E$2:$E1000 = E$2 )},$I$2  , $O$22:$O$23))"),"6992558")</f>
        <v>6992558</v>
      </c>
      <c r="F87" s="15" t="str">
        <f>IFERROR(__xludf.DUMMYFUNCTION("(DMAX({{Data!$A$1:$M$1};filter(Data!$A$2:$M1000,Data!$A$2:$A1000=$A87 , Data!$B$2:$B1000 = $B87,Data!$C$2:$C1000 = $C87, Data!$D$2:$D1000 = F$1, Data!$E$2:$E1000 = F$2 )},$I$2  , $O$22:$O$23))"),"6988538")</f>
        <v>6988538</v>
      </c>
      <c r="G87" s="17" t="str">
        <f t="shared" si="1"/>
        <v>7000820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28">
        <v>3000.0</v>
      </c>
      <c r="B88" s="28">
        <v>5.0</v>
      </c>
      <c r="C88" s="28">
        <v>5.0</v>
      </c>
      <c r="D88" s="26" t="str">
        <f>IFERROR(__xludf.DUMMYFUNCTION("(DMAX({{Data!$A$1:$M$1};filter(Data!$A$2:$M1000,Data!$A$2:$A1000=$A88 , Data!$B$2:$B1000 = $B88,Data!$C$2:$C1000 = $C88, Data!$D$2:$D1000 = D$1, Data!$E$2:$E1000 = D$2 )},$I$2  , $O$22:$O$23))"),"6980762")</f>
        <v>6980762</v>
      </c>
      <c r="E88" s="15" t="str">
        <f>IFERROR(__xludf.DUMMYFUNCTION("(DMAX({{Data!$A$1:$M$1};filter(Data!$A$2:$M1000,Data!$A$2:$A1000=$A88 , Data!$B$2:$B1000 = $B88,Data!$C$2:$C1000 = $C88, Data!$D$2:$D1000 = E$1, Data!$E$2:$E1000 = E$2 )},$I$2  , $O$22:$O$23))"),"6987171")</f>
        <v>6987171</v>
      </c>
      <c r="F88" s="15" t="str">
        <f>IFERROR(__xludf.DUMMYFUNCTION("(DMAX({{Data!$A$1:$M$1};filter(Data!$A$2:$M1000,Data!$A$2:$A1000=$A88 , Data!$B$2:$B1000 = $B88,Data!$C$2:$C1000 = $C88, Data!$D$2:$D1000 = F$1, Data!$E$2:$E1000 = F$2 )},$I$2  , $O$22:$O$23))"),"6984875")</f>
        <v>6984875</v>
      </c>
      <c r="G88" s="17" t="str">
        <f t="shared" si="1"/>
        <v>6987171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28">
        <v>3000.0</v>
      </c>
      <c r="B89" s="28">
        <v>10.0</v>
      </c>
      <c r="C89" s="28">
        <v>1.0</v>
      </c>
      <c r="D89" s="26" t="str">
        <f>IFERROR(__xludf.DUMMYFUNCTION("(DMAX({{Data!$A$1:$M$1};filter(Data!$A$2:$M1000,Data!$A$2:$A1000=$A89 , Data!$B$2:$B1000 = $B89,Data!$C$2:$C1000 = $C89, Data!$D$2:$D1000 = D$1, Data!$E$2:$E1000 = D$2 )},$I$2  , $O$22:$O$23))"),"13376500")</f>
        <v>13376500</v>
      </c>
      <c r="E89" s="15" t="str">
        <f>IFERROR(__xludf.DUMMYFUNCTION("(DMAX({{Data!$A$1:$M$1};filter(Data!$A$2:$M1000,Data!$A$2:$A1000=$A89 , Data!$B$2:$B1000 = $B89,Data!$C$2:$C1000 = $C89, Data!$D$2:$D1000 = E$1, Data!$E$2:$E1000 = E$2 )},$I$2  , $O$22:$O$23))"),"13371370")</f>
        <v>13371370</v>
      </c>
      <c r="F89" s="15" t="str">
        <f>IFERROR(__xludf.DUMMYFUNCTION("(DMAX({{Data!$A$1:$M$1};filter(Data!$A$2:$M1000,Data!$A$2:$A1000=$A89 , Data!$B$2:$B1000 = $B89,Data!$C$2:$C1000 = $C89, Data!$D$2:$D1000 = F$1, Data!$E$2:$E1000 = F$2 )},$I$2  , $O$22:$O$23))"),"13376950")</f>
        <v>13376950</v>
      </c>
      <c r="G89" s="17" t="str">
        <f t="shared" si="1"/>
        <v>13376950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28">
        <v>3000.0</v>
      </c>
      <c r="B90" s="28">
        <v>10.0</v>
      </c>
      <c r="C90" s="28">
        <v>2.0</v>
      </c>
      <c r="D90" s="26" t="str">
        <f>IFERROR(__xludf.DUMMYFUNCTION("(DMAX({{Data!$A$1:$M$1};filter(Data!$A$2:$M1000,Data!$A$2:$A1000=$A90 , Data!$B$2:$B1000 = $B90,Data!$C$2:$C1000 = $C90, Data!$D$2:$D1000 = D$1, Data!$E$2:$E1000 = D$2 )},$I$2  , $O$22:$O$23))"),"13405498")</f>
        <v>13405498</v>
      </c>
      <c r="E90" s="15" t="str">
        <f>IFERROR(__xludf.DUMMYFUNCTION("(DMAX({{Data!$A$1:$M$1};filter(Data!$A$2:$M1000,Data!$A$2:$A1000=$A90 , Data!$B$2:$B1000 = $B90,Data!$C$2:$C1000 = $C90, Data!$D$2:$D1000 = E$1, Data!$E$2:$E1000 = E$2 )},$I$2  , $O$22:$O$23))"),"13409509")</f>
        <v>13409509</v>
      </c>
      <c r="F90" s="15" t="str">
        <f>IFERROR(__xludf.DUMMYFUNCTION("(DMAX({{Data!$A$1:$M$1};filter(Data!$A$2:$M1000,Data!$A$2:$A1000=$A90 , Data!$B$2:$B1000 = $B90,Data!$C$2:$C1000 = $C90, Data!$D$2:$D1000 = F$1, Data!$E$2:$E1000 = F$2 )},$I$2  , $O$22:$O$23))"),"13423712")</f>
        <v>13423712</v>
      </c>
      <c r="G90" s="17" t="str">
        <f t="shared" si="1"/>
        <v>13423712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28">
        <v>3000.0</v>
      </c>
      <c r="B91" s="28">
        <v>10.0</v>
      </c>
      <c r="C91" s="28">
        <v>3.0</v>
      </c>
      <c r="D91" s="26" t="str">
        <f>IFERROR(__xludf.DUMMYFUNCTION("(DMAX({{Data!$A$1:$M$1};filter(Data!$A$2:$M1000,Data!$A$2:$A1000=$A91 , Data!$B$2:$B1000 = $B91,Data!$C$2:$C1000 = $C91, Data!$D$2:$D1000 = D$1, Data!$E$2:$E1000 = D$2 )},$I$2  , $O$22:$O$23))"),"13345644")</f>
        <v>13345644</v>
      </c>
      <c r="E91" s="15" t="str">
        <f>IFERROR(__xludf.DUMMYFUNCTION("(DMAX({{Data!$A$1:$M$1};filter(Data!$A$2:$M1000,Data!$A$2:$A1000=$A91 , Data!$B$2:$B1000 = $B91,Data!$C$2:$C1000 = $C91, Data!$D$2:$D1000 = E$1, Data!$E$2:$E1000 = E$2 )},$I$2  , $O$22:$O$23))"),"13344098")</f>
        <v>13344098</v>
      </c>
      <c r="F91" s="15" t="str">
        <f>IFERROR(__xludf.DUMMYFUNCTION("(DMAX({{Data!$A$1:$M$1};filter(Data!$A$2:$M1000,Data!$A$2:$A1000=$A91 , Data!$B$2:$B1000 = $B91,Data!$C$2:$C1000 = $C91, Data!$D$2:$D1000 = F$1, Data!$E$2:$E1000 = F$2 )},$I$2  , $O$22:$O$23))"),"13336839")</f>
        <v>13336839</v>
      </c>
      <c r="G91" s="17" t="str">
        <f t="shared" si="1"/>
        <v>13345644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28">
        <v>3000.0</v>
      </c>
      <c r="B92" s="28">
        <v>10.0</v>
      </c>
      <c r="C92" s="28">
        <v>4.0</v>
      </c>
      <c r="D92" s="26" t="str">
        <f>IFERROR(__xludf.DUMMYFUNCTION("(DMAX({{Data!$A$1:$M$1};filter(Data!$A$2:$M1000,Data!$A$2:$A1000=$A92 , Data!$B$2:$B1000 = $B92,Data!$C$2:$C1000 = $C92, Data!$D$2:$D1000 = D$1, Data!$E$2:$E1000 = D$2 )},$I$2  , $O$22:$O$23))"),"13405334")</f>
        <v>13405334</v>
      </c>
      <c r="E92" s="15" t="str">
        <f>IFERROR(__xludf.DUMMYFUNCTION("(DMAX({{Data!$A$1:$M$1};filter(Data!$A$2:$M1000,Data!$A$2:$A1000=$A92 , Data!$B$2:$B1000 = $B92,Data!$C$2:$C1000 = $C92, Data!$D$2:$D1000 = E$1, Data!$E$2:$E1000 = E$2 )},$I$2  , $O$22:$O$23))"),"13405290")</f>
        <v>13405290</v>
      </c>
      <c r="F92" s="15" t="str">
        <f>IFERROR(__xludf.DUMMYFUNCTION("(DMAX({{Data!$A$1:$M$1};filter(Data!$A$2:$M1000,Data!$A$2:$A1000=$A92 , Data!$B$2:$B1000 = $B92,Data!$C$2:$C1000 = $C92, Data!$D$2:$D1000 = F$1, Data!$E$2:$E1000 = F$2 )},$I$2  , $O$22:$O$23))"),"13416519")</f>
        <v>13416519</v>
      </c>
      <c r="G92" s="17" t="str">
        <f t="shared" si="1"/>
        <v>13416519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28">
        <v>3000.0</v>
      </c>
      <c r="B93" s="28">
        <v>10.0</v>
      </c>
      <c r="C93" s="28">
        <v>5.0</v>
      </c>
      <c r="D93" s="26" t="str">
        <f>IFERROR(__xludf.DUMMYFUNCTION("(DMAX({{Data!$A$1:$M$1};filter(Data!$A$2:$M1000,Data!$A$2:$A1000=$A93 , Data!$B$2:$B1000 = $B93,Data!$C$2:$C1000 = $C93, Data!$D$2:$D1000 = D$1, Data!$E$2:$E1000 = D$2 )},$I$2  , $O$22:$O$23))"),"13426716")</f>
        <v>13426716</v>
      </c>
      <c r="E93" s="15" t="str">
        <f>IFERROR(__xludf.DUMMYFUNCTION("(DMAX({{Data!$A$1:$M$1};filter(Data!$A$2:$M1000,Data!$A$2:$A1000=$A93 , Data!$B$2:$B1000 = $B93,Data!$C$2:$C1000 = $C93, Data!$D$2:$D1000 = E$1, Data!$E$2:$E1000 = E$2 )},$I$2  , $O$22:$O$23))"),"13418929")</f>
        <v>13418929</v>
      </c>
      <c r="F93" s="15" t="str">
        <f>IFERROR(__xludf.DUMMYFUNCTION("(DMAX({{Data!$A$1:$M$1};filter(Data!$A$2:$M1000,Data!$A$2:$A1000=$A93 , Data!$B$2:$B1000 = $B93,Data!$C$2:$C1000 = $C93, Data!$D$2:$D1000 = F$1, Data!$E$2:$E1000 = F$2 )},$I$2  , $O$22:$O$23))"),"13416434")</f>
        <v>13416434</v>
      </c>
      <c r="G93" s="17" t="str">
        <f t="shared" si="1"/>
        <v>13426716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28">
        <v>3000.0</v>
      </c>
      <c r="B94" s="28">
        <v>50.0</v>
      </c>
      <c r="C94" s="28">
        <v>1.0</v>
      </c>
      <c r="D94" s="26" t="str">
        <f>IFERROR(__xludf.DUMMYFUNCTION("(DMAX({{Data!$A$1:$M$1};filter(Data!$A$2:$M1000,Data!$A$2:$A1000=$A94 , Data!$B$2:$B1000 = $B94,Data!$C$2:$C1000 = $C94, Data!$D$2:$D1000 = D$1, Data!$E$2:$E1000 = D$2 )},$I$2  , $O$22:$O$23))"),"69848075")</f>
        <v>69848075</v>
      </c>
      <c r="E94" s="15" t="str">
        <f>IFERROR(__xludf.DUMMYFUNCTION("(DMAX({{Data!$A$1:$M$1};filter(Data!$A$2:$M1000,Data!$A$2:$A1000=$A94 , Data!$B$2:$B1000 = $B94,Data!$C$2:$C1000 = $C94, Data!$D$2:$D1000 = E$1, Data!$E$2:$E1000 = E$2 )},$I$2  , $O$22:$O$23))"),"69830935")</f>
        <v>69830935</v>
      </c>
      <c r="F94" s="15" t="str">
        <f>IFERROR(__xludf.DUMMYFUNCTION("(DMAX({{Data!$A$1:$M$1};filter(Data!$A$2:$M1000,Data!$A$2:$A1000=$A94 , Data!$B$2:$B1000 = $B94,Data!$C$2:$C1000 = $C94, Data!$D$2:$D1000 = F$1, Data!$E$2:$E1000 = F$2 )},$I$2  , $O$22:$O$23))"),"69873340")</f>
        <v>69873340</v>
      </c>
      <c r="G94" s="17" t="str">
        <f t="shared" si="1"/>
        <v>69873340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28">
        <v>3000.0</v>
      </c>
      <c r="B95" s="28">
        <v>50.0</v>
      </c>
      <c r="C95" s="28">
        <v>2.0</v>
      </c>
      <c r="D95" s="26" t="str">
        <f>IFERROR(__xludf.DUMMYFUNCTION("(DMAX({{Data!$A$1:$M$1};filter(Data!$A$2:$M1000,Data!$A$2:$A1000=$A95 , Data!$B$2:$B1000 = $B95,Data!$C$2:$C1000 = $C95, Data!$D$2:$D1000 = D$1, Data!$E$2:$E1000 = D$2 )},$I$2  , $O$22:$O$23))"),"69967480")</f>
        <v>69967480</v>
      </c>
      <c r="E95" s="15" t="str">
        <f>IFERROR(__xludf.DUMMYFUNCTION("(DMAX({{Data!$A$1:$M$1};filter(Data!$A$2:$M1000,Data!$A$2:$A1000=$A95 , Data!$B$2:$B1000 = $B95,Data!$C$2:$C1000 = $C95, Data!$D$2:$D1000 = E$1, Data!$E$2:$E1000 = E$2 )},$I$2  , $O$22:$O$23))"),"69963915")</f>
        <v>69963915</v>
      </c>
      <c r="F95" s="15" t="str">
        <f>IFERROR(__xludf.DUMMYFUNCTION("(DMAX({{Data!$A$1:$M$1};filter(Data!$A$2:$M1000,Data!$A$2:$A1000=$A95 , Data!$B$2:$B1000 = $B95,Data!$C$2:$C1000 = $C95, Data!$D$2:$D1000 = F$1, Data!$E$2:$E1000 = F$2 )},$I$2  , $O$22:$O$23))"),"69969509")</f>
        <v>69969509</v>
      </c>
      <c r="G95" s="17" t="str">
        <f t="shared" si="1"/>
        <v>69969509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28">
        <v>3000.0</v>
      </c>
      <c r="B96" s="28">
        <v>50.0</v>
      </c>
      <c r="C96" s="28">
        <v>3.0</v>
      </c>
      <c r="D96" s="26" t="str">
        <f>IFERROR(__xludf.DUMMYFUNCTION("(DMAX({{Data!$A$1:$M$1};filter(Data!$A$2:$M1000,Data!$A$2:$A1000=$A96 , Data!$B$2:$B1000 = $B96,Data!$C$2:$C1000 = $C96, Data!$D$2:$D1000 = D$1, Data!$E$2:$E1000 = D$2 )},$I$2  , $O$22:$O$23))"),"69927678")</f>
        <v>69927678</v>
      </c>
      <c r="E96" s="15" t="str">
        <f>IFERROR(__xludf.DUMMYFUNCTION("(DMAX({{Data!$A$1:$M$1};filter(Data!$A$2:$M1000,Data!$A$2:$A1000=$A96 , Data!$B$2:$B1000 = $B96,Data!$C$2:$C1000 = $C96, Data!$D$2:$D1000 = E$1, Data!$E$2:$E1000 = E$2 )},$I$2  , $O$22:$O$23))"),"69922514")</f>
        <v>69922514</v>
      </c>
      <c r="F96" s="15" t="str">
        <f>IFERROR(__xludf.DUMMYFUNCTION("(DMAX({{Data!$A$1:$M$1};filter(Data!$A$2:$M1000,Data!$A$2:$A1000=$A96 , Data!$B$2:$B1000 = $B96,Data!$C$2:$C1000 = $C96, Data!$D$2:$D1000 = F$1, Data!$E$2:$E1000 = F$2 )},$I$2  , $O$22:$O$23))"),"69915387")</f>
        <v>69915387</v>
      </c>
      <c r="G96" s="17" t="str">
        <f t="shared" si="1"/>
        <v>69927678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28">
        <v>3000.0</v>
      </c>
      <c r="B97" s="28">
        <v>50.0</v>
      </c>
      <c r="C97" s="28">
        <v>4.0</v>
      </c>
      <c r="D97" s="26" t="str">
        <f>IFERROR(__xludf.DUMMYFUNCTION("(DMAX({{Data!$A$1:$M$1};filter(Data!$A$2:$M1000,Data!$A$2:$A1000=$A97 , Data!$B$2:$B1000 = $B97,Data!$C$2:$C1000 = $C97, Data!$D$2:$D1000 = D$1, Data!$E$2:$E1000 = D$2 )},$I$2  , $O$22:$O$23))"),"69978249")</f>
        <v>69978249</v>
      </c>
      <c r="E97" s="15" t="str">
        <f>IFERROR(__xludf.DUMMYFUNCTION("(DMAX({{Data!$A$1:$M$1};filter(Data!$A$2:$M1000,Data!$A$2:$A1000=$A97 , Data!$B$2:$B1000 = $B97,Data!$C$2:$C1000 = $C97, Data!$D$2:$D1000 = E$1, Data!$E$2:$E1000 = E$2 )},$I$2  , $O$22:$O$23))"),"69954406")</f>
        <v>69954406</v>
      </c>
      <c r="F97" s="15" t="str">
        <f>IFERROR(__xludf.DUMMYFUNCTION("(DMAX({{Data!$A$1:$M$1};filter(Data!$A$2:$M1000,Data!$A$2:$A1000=$A97 , Data!$B$2:$B1000 = $B97,Data!$C$2:$C1000 = $C97, Data!$D$2:$D1000 = F$1, Data!$E$2:$E1000 = F$2 )},$I$2  , $O$22:$O$23))"),"69970412")</f>
        <v>69970412</v>
      </c>
      <c r="G97" s="17" t="str">
        <f t="shared" si="1"/>
        <v>69978249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28">
        <v>3000.0</v>
      </c>
      <c r="B98" s="28">
        <v>50.0</v>
      </c>
      <c r="C98" s="28">
        <v>5.0</v>
      </c>
      <c r="D98" s="26" t="str">
        <f>IFERROR(__xludf.DUMMYFUNCTION("(DMAX({{Data!$A$1:$M$1};filter(Data!$A$2:$M1000,Data!$A$2:$A1000=$A98 , Data!$B$2:$B1000 = $B98,Data!$C$2:$C1000 = $C98, Data!$D$2:$D1000 = D$1, Data!$E$2:$E1000 = D$2 )},$I$2  , $O$22:$O$23))"),"69987560")</f>
        <v>69987560</v>
      </c>
      <c r="E98" s="15" t="str">
        <f>IFERROR(__xludf.DUMMYFUNCTION("(DMAX({{Data!$A$1:$M$1};filter(Data!$A$2:$M1000,Data!$A$2:$A1000=$A98 , Data!$B$2:$B1000 = $B98,Data!$C$2:$C1000 = $C98, Data!$D$2:$D1000 = E$1, Data!$E$2:$E1000 = E$2 )},$I$2  , $O$22:$O$23))"),"69993792")</f>
        <v>69993792</v>
      </c>
      <c r="F98" s="15" t="str">
        <f>IFERROR(__xludf.DUMMYFUNCTION("(DMAX({{Data!$A$1:$M$1};filter(Data!$A$2:$M1000,Data!$A$2:$A1000=$A98 , Data!$B$2:$B1000 = $B98,Data!$C$2:$C1000 = $C98, Data!$D$2:$D1000 = F$1, Data!$E$2:$E1000 = F$2 )},$I$2  , $O$22:$O$23))"),"69969294")</f>
        <v>69969294</v>
      </c>
      <c r="G98" s="17" t="str">
        <f t="shared" si="1"/>
        <v>69993792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28">
        <v>3000.0</v>
      </c>
      <c r="B99" s="28">
        <v>100.0</v>
      </c>
      <c r="C99" s="28">
        <v>1.0</v>
      </c>
      <c r="D99" s="26" t="str">
        <f>IFERROR(__xludf.DUMMYFUNCTION("(DMAX({{Data!$A$1:$M$1};filter(Data!$A$2:$M1000,Data!$A$2:$A1000=$A99 , Data!$B$2:$B1000 = $B99,Data!$C$2:$C1000 = $C99, Data!$D$2:$D1000 = D$1, Data!$E$2:$E1000 = D$2 )},$I$2  , $O$22:$O$23))"),"229117690")</f>
        <v>229117690</v>
      </c>
      <c r="E99" s="15" t="str">
        <f>IFERROR(__xludf.DUMMYFUNCTION("(DMAX({{Data!$A$1:$M$1};filter(Data!$A$2:$M1000,Data!$A$2:$A1000=$A99 , Data!$B$2:$B1000 = $B99,Data!$C$2:$C1000 = $C99, Data!$D$2:$D1000 = E$1, Data!$E$2:$E1000 = E$2 )},$I$2  , $O$22:$O$23))"),"229107009")</f>
        <v>229107009</v>
      </c>
      <c r="F99" s="15" t="str">
        <f>IFERROR(__xludf.DUMMYFUNCTION("(DMAX({{Data!$A$1:$M$1};filter(Data!$A$2:$M1000,Data!$A$2:$A1000=$A99 , Data!$B$2:$B1000 = $B99,Data!$C$2:$C1000 = $C99, Data!$D$2:$D1000 = F$1, Data!$E$2:$E1000 = F$2 )},$I$2  , $O$22:$O$23))"),"229107908")</f>
        <v>229107908</v>
      </c>
      <c r="G99" s="17" t="str">
        <f t="shared" si="1"/>
        <v>229117690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28">
        <v>3000.0</v>
      </c>
      <c r="B100" s="28">
        <v>100.0</v>
      </c>
      <c r="C100" s="28">
        <v>2.0</v>
      </c>
      <c r="D100" s="26" t="str">
        <f>IFERROR(__xludf.DUMMYFUNCTION("(DMAX({{Data!$A$1:$M$1};filter(Data!$A$2:$M1000,Data!$A$2:$A1000=$A100 , Data!$B$2:$B1000 = $B100,Data!$C$2:$C1000 = $C100, Data!$D$2:$D1000 = D$1, Data!$E$2:$E1000 = D$2 )},$I$2  , $O$22:$O$23))"),"229132479")</f>
        <v>229132479</v>
      </c>
      <c r="E100" s="15" t="str">
        <f>IFERROR(__xludf.DUMMYFUNCTION("(DMAX({{Data!$A$1:$M$1};filter(Data!$A$2:$M1000,Data!$A$2:$A1000=$A100 , Data!$B$2:$B1000 = $B100,Data!$C$2:$C1000 = $C100, Data!$D$2:$D1000 = E$1, Data!$E$2:$E1000 = E$2 )},$I$2  , $O$22:$O$23))"),"229098005")</f>
        <v>229098005</v>
      </c>
      <c r="F100" s="15" t="str">
        <f>IFERROR(__xludf.DUMMYFUNCTION("(DMAX({{Data!$A$1:$M$1};filter(Data!$A$2:$M1000,Data!$A$2:$A1000=$A100 , Data!$B$2:$B1000 = $B100,Data!$C$2:$C1000 = $C100, Data!$D$2:$D1000 = F$1, Data!$E$2:$E1000 = F$2 )},$I$2  , $O$22:$O$23))"),"229100500")</f>
        <v>229100500</v>
      </c>
      <c r="G100" s="17" t="str">
        <f t="shared" si="1"/>
        <v>229132479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28">
        <v>3000.0</v>
      </c>
      <c r="B101" s="28">
        <v>100.0</v>
      </c>
      <c r="C101" s="28">
        <v>3.0</v>
      </c>
      <c r="D101" s="26" t="str">
        <f>IFERROR(__xludf.DUMMYFUNCTION("(DMAX({{Data!$A$1:$M$1};filter(Data!$A$2:$M1000,Data!$A$2:$A1000=$A101 , Data!$B$2:$B1000 = $B101,Data!$C$2:$C1000 = $C101, Data!$D$2:$D1000 = D$1, Data!$E$2:$E1000 = D$2 )},$I$2  , $O$22:$O$23))"),"229222510")</f>
        <v>229222510</v>
      </c>
      <c r="E101" s="15" t="str">
        <f>IFERROR(__xludf.DUMMYFUNCTION("(DMAX({{Data!$A$1:$M$1};filter(Data!$A$2:$M1000,Data!$A$2:$A1000=$A101 , Data!$B$2:$B1000 = $B101,Data!$C$2:$C1000 = $C101, Data!$D$2:$D1000 = E$1, Data!$E$2:$E1000 = E$2 )},$I$2  , $O$22:$O$23))"),"229248723")</f>
        <v>229248723</v>
      </c>
      <c r="F101" s="15" t="str">
        <f>IFERROR(__xludf.DUMMYFUNCTION("(DMAX({{Data!$A$1:$M$1};filter(Data!$A$2:$M1000,Data!$A$2:$A1000=$A101 , Data!$B$2:$B1000 = $B101,Data!$C$2:$C1000 = $C101, Data!$D$2:$D1000 = F$1, Data!$E$2:$E1000 = F$2 )},$I$2  , $O$22:$O$23))"),"229223814")</f>
        <v>229223814</v>
      </c>
      <c r="G101" s="17" t="str">
        <f t="shared" si="1"/>
        <v>229248723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28">
        <v>3000.0</v>
      </c>
      <c r="B102" s="28">
        <v>100.0</v>
      </c>
      <c r="C102" s="28">
        <v>4.0</v>
      </c>
      <c r="D102" s="26" t="str">
        <f>IFERROR(__xludf.DUMMYFUNCTION("(DMAX({{Data!$A$1:$M$1};filter(Data!$A$2:$M1000,Data!$A$2:$A1000=$A102 , Data!$B$2:$B1000 = $B102,Data!$C$2:$C1000 = $C102, Data!$D$2:$D1000 = D$1, Data!$E$2:$E1000 = D$2 )},$I$2  , $O$22:$O$23))"),"229144024")</f>
        <v>229144024</v>
      </c>
      <c r="E102" s="15" t="str">
        <f>IFERROR(__xludf.DUMMYFUNCTION("(DMAX({{Data!$A$1:$M$1};filter(Data!$A$2:$M1000,Data!$A$2:$A1000=$A102 , Data!$B$2:$B1000 = $B102,Data!$C$2:$C1000 = $C102, Data!$D$2:$D1000 = E$1, Data!$E$2:$E1000 = E$2 )},$I$2  , $O$22:$O$23))"),"229122872")</f>
        <v>229122872</v>
      </c>
      <c r="F102" s="15" t="str">
        <f>IFERROR(__xludf.DUMMYFUNCTION("(DMAX({{Data!$A$1:$M$1};filter(Data!$A$2:$M1000,Data!$A$2:$A1000=$A102 , Data!$B$2:$B1000 = $B102,Data!$C$2:$C1000 = $C102, Data!$D$2:$D1000 = F$1, Data!$E$2:$E1000 = F$2 )},$I$2  , $O$22:$O$23))"),"229098304")</f>
        <v>229098304</v>
      </c>
      <c r="G102" s="17" t="str">
        <f t="shared" si="1"/>
        <v>229144024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28">
        <v>3000.0</v>
      </c>
      <c r="B103" s="28">
        <v>100.0</v>
      </c>
      <c r="C103" s="28">
        <v>5.0</v>
      </c>
      <c r="D103" s="26" t="str">
        <f>IFERROR(__xludf.DUMMYFUNCTION("(DMAX({{Data!$A$1:$M$1};filter(Data!$A$2:$M1000,Data!$A$2:$A1000=$A103 , Data!$B$2:$B1000 = $B103,Data!$C$2:$C1000 = $C103, Data!$D$2:$D1000 = D$1, Data!$E$2:$E1000 = D$2 )},$I$2  , $O$22:$O$23))"),"229157249")</f>
        <v>229157249</v>
      </c>
      <c r="E103" s="15" t="str">
        <f>IFERROR(__xludf.DUMMYFUNCTION("(DMAX({{Data!$A$1:$M$1};filter(Data!$A$2:$M1000,Data!$A$2:$A1000=$A103 , Data!$B$2:$B1000 = $B103,Data!$C$2:$C1000 = $C103, Data!$D$2:$D1000 = E$1, Data!$E$2:$E1000 = E$2 )},$I$2  , $O$22:$O$23))"),"229141801")</f>
        <v>229141801</v>
      </c>
      <c r="F103" s="15" t="str">
        <f>IFERROR(__xludf.DUMMYFUNCTION("(DMAX({{Data!$A$1:$M$1};filter(Data!$A$2:$M1000,Data!$A$2:$A1000=$A103 , Data!$B$2:$B1000 = $B103,Data!$C$2:$C1000 = $C103, Data!$D$2:$D1000 = F$1, Data!$E$2:$E1000 = F$2 )},$I$2  , $O$22:$O$23))"),"229137939")</f>
        <v>229137939</v>
      </c>
      <c r="G103" s="17" t="str">
        <f t="shared" si="1"/>
        <v>229157249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28">
        <v>4000.0</v>
      </c>
      <c r="B104" s="28">
        <v>1.0</v>
      </c>
      <c r="C104" s="28">
        <v>1.0</v>
      </c>
      <c r="D104" s="26" t="str">
        <f>IFERROR(__xludf.DUMMYFUNCTION("(DMAX({{Data!$A$1:$M$1};filter(Data!$A$2:$M1000,Data!$A$2:$A1000=$A104 , Data!$B$2:$B1000 = $B104,Data!$C$2:$C1000 = $C104, Data!$D$2:$D1000 = D$1, Data!$E$2:$E1000 = D$2 )},$I$2  , $O$22:$O$23))"),"2827695")</f>
        <v>2827695</v>
      </c>
      <c r="E104" s="15" t="str">
        <f>IFERROR(__xludf.DUMMYFUNCTION("(DMAX({{Data!$A$1:$M$1};filter(Data!$A$2:$M1000,Data!$A$2:$A1000=$A104 , Data!$B$2:$B1000 = $B104,Data!$C$2:$C1000 = $C104, Data!$D$2:$D1000 = E$1, Data!$E$2:$E1000 = E$2 )},$I$2  , $O$22:$O$23))"),"2828645")</f>
        <v>2828645</v>
      </c>
      <c r="F104" s="15" t="str">
        <f>IFERROR(__xludf.DUMMYFUNCTION("(DMAX({{Data!$A$1:$M$1};filter(Data!$A$2:$M1000,Data!$A$2:$A1000=$A104 , Data!$B$2:$B1000 = $B104,Data!$C$2:$C1000 = $C104, Data!$D$2:$D1000 = F$1, Data!$E$2:$E1000 = F$2 )},$I$2  , $O$22:$O$23))"),"2826662")</f>
        <v>2826662</v>
      </c>
      <c r="G104" s="17" t="str">
        <f t="shared" si="1"/>
        <v>2828645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28">
        <v>4000.0</v>
      </c>
      <c r="B105" s="28">
        <v>1.0</v>
      </c>
      <c r="C105" s="28">
        <v>2.0</v>
      </c>
      <c r="D105" s="26" t="str">
        <f>IFERROR(__xludf.DUMMYFUNCTION("(DMAX({{Data!$A$1:$M$1};filter(Data!$A$2:$M1000,Data!$A$2:$A1000=$A105 , Data!$B$2:$B1000 = $B105,Data!$C$2:$C1000 = $C105, Data!$D$2:$D1000 = D$1, Data!$E$2:$E1000 = D$2 )},$I$2  , $O$22:$O$23))"),"2827283")</f>
        <v>2827283</v>
      </c>
      <c r="E105" s="15" t="str">
        <f>IFERROR(__xludf.DUMMYFUNCTION("(DMAX({{Data!$A$1:$M$1};filter(Data!$A$2:$M1000,Data!$A$2:$A1000=$A105 , Data!$B$2:$B1000 = $B105,Data!$C$2:$C1000 = $C105, Data!$D$2:$D1000 = E$1, Data!$E$2:$E1000 = E$2 )},$I$2  , $O$22:$O$23))"),"2827882")</f>
        <v>2827882</v>
      </c>
      <c r="F105" s="15" t="str">
        <f>IFERROR(__xludf.DUMMYFUNCTION("(DMAX({{Data!$A$1:$M$1};filter(Data!$A$2:$M1000,Data!$A$2:$A1000=$A105 , Data!$B$2:$B1000 = $B105,Data!$C$2:$C1000 = $C105, Data!$D$2:$D1000 = F$1, Data!$E$2:$E1000 = F$2 )},$I$2  , $O$22:$O$23))"),"2823662")</f>
        <v>2823662</v>
      </c>
      <c r="G105" s="17" t="str">
        <f t="shared" si="1"/>
        <v>2827882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28">
        <v>4000.0</v>
      </c>
      <c r="B106" s="28">
        <v>1.0</v>
      </c>
      <c r="C106" s="28">
        <v>3.0</v>
      </c>
      <c r="D106" s="26" t="str">
        <f>IFERROR(__xludf.DUMMYFUNCTION("(DMAX({{Data!$A$1:$M$1};filter(Data!$A$2:$M1000,Data!$A$2:$A1000=$A106 , Data!$B$2:$B1000 = $B106,Data!$C$2:$C1000 = $C106, Data!$D$2:$D1000 = D$1, Data!$E$2:$E1000 = D$2 )},$I$2  , $O$22:$O$23))"),"2795073")</f>
        <v>2795073</v>
      </c>
      <c r="E106" s="15" t="str">
        <f>IFERROR(__xludf.DUMMYFUNCTION("(DMAX({{Data!$A$1:$M$1};filter(Data!$A$2:$M1000,Data!$A$2:$A1000=$A106 , Data!$B$2:$B1000 = $B106,Data!$C$2:$C1000 = $C106, Data!$D$2:$D1000 = E$1, Data!$E$2:$E1000 = E$2 )},$I$2  , $O$22:$O$23))"),"2792312")</f>
        <v>2792312</v>
      </c>
      <c r="F106" s="15" t="str">
        <f>IFERROR(__xludf.DUMMYFUNCTION("(DMAX({{Data!$A$1:$M$1};filter(Data!$A$2:$M1000,Data!$A$2:$A1000=$A106 , Data!$B$2:$B1000 = $B106,Data!$C$2:$C1000 = $C106, Data!$D$2:$D1000 = F$1, Data!$E$2:$E1000 = F$2 )},$I$2  , $O$22:$O$23))"),"2799948")</f>
        <v>2799948</v>
      </c>
      <c r="G106" s="17" t="str">
        <f t="shared" si="1"/>
        <v>2799948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28">
        <v>4000.0</v>
      </c>
      <c r="B107" s="28">
        <v>1.0</v>
      </c>
      <c r="C107" s="28">
        <v>4.0</v>
      </c>
      <c r="D107" s="26" t="str">
        <f>IFERROR(__xludf.DUMMYFUNCTION("(DMAX({{Data!$A$1:$M$1};filter(Data!$A$2:$M1000,Data!$A$2:$A1000=$A107 , Data!$B$2:$B1000 = $B107,Data!$C$2:$C1000 = $C107, Data!$D$2:$D1000 = D$1, Data!$E$2:$E1000 = D$2 )},$I$2  , $O$22:$O$23))"),"2831600")</f>
        <v>2831600</v>
      </c>
      <c r="E107" s="15" t="str">
        <f>IFERROR(__xludf.DUMMYFUNCTION("(DMAX({{Data!$A$1:$M$1};filter(Data!$A$2:$M1000,Data!$A$2:$A1000=$A107 , Data!$B$2:$B1000 = $B107,Data!$C$2:$C1000 = $C107, Data!$D$2:$D1000 = E$1, Data!$E$2:$E1000 = E$2 )},$I$2  , $O$22:$O$23))"),"2835464")</f>
        <v>2835464</v>
      </c>
      <c r="F107" s="15" t="str">
        <f>IFERROR(__xludf.DUMMYFUNCTION("(DMAX({{Data!$A$1:$M$1};filter(Data!$A$2:$M1000,Data!$A$2:$A1000=$A107 , Data!$B$2:$B1000 = $B107,Data!$C$2:$C1000 = $C107, Data!$D$2:$D1000 = F$1, Data!$E$2:$E1000 = F$2 )},$I$2  , $O$22:$O$23))"),"2832602")</f>
        <v>2832602</v>
      </c>
      <c r="G107" s="17" t="str">
        <f t="shared" si="1"/>
        <v>2835464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28">
        <v>4000.0</v>
      </c>
      <c r="B108" s="28">
        <v>1.0</v>
      </c>
      <c r="C108" s="28">
        <v>5.0</v>
      </c>
      <c r="D108" s="26" t="str">
        <f>IFERROR(__xludf.DUMMYFUNCTION("(DMAX({{Data!$A$1:$M$1};filter(Data!$A$2:$M1000,Data!$A$2:$A1000=$A108 , Data!$B$2:$B1000 = $B108,Data!$C$2:$C1000 = $C108, Data!$D$2:$D1000 = D$1, Data!$E$2:$E1000 = D$2 )},$I$2  , $O$22:$O$23))"),"2826939")</f>
        <v>2826939</v>
      </c>
      <c r="E108" s="15" t="str">
        <f>IFERROR(__xludf.DUMMYFUNCTION("(DMAX({{Data!$A$1:$M$1};filter(Data!$A$2:$M1000,Data!$A$2:$A1000=$A108 , Data!$B$2:$B1000 = $B108,Data!$C$2:$C1000 = $C108, Data!$D$2:$D1000 = E$1, Data!$E$2:$E1000 = E$2 )},$I$2  , $O$22:$O$23))"),"2832579")</f>
        <v>2832579</v>
      </c>
      <c r="F108" s="15" t="str">
        <f>IFERROR(__xludf.DUMMYFUNCTION("(DMAX({{Data!$A$1:$M$1};filter(Data!$A$2:$M1000,Data!$A$2:$A1000=$A108 , Data!$B$2:$B1000 = $B108,Data!$C$2:$C1000 = $C108, Data!$D$2:$D1000 = F$1, Data!$E$2:$E1000 = F$2 )},$I$2  , $O$22:$O$23))"),"2827006")</f>
        <v>2827006</v>
      </c>
      <c r="G108" s="17" t="str">
        <f t="shared" si="1"/>
        <v>2832579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28">
        <v>4000.0</v>
      </c>
      <c r="B109" s="28">
        <v>5.0</v>
      </c>
      <c r="C109" s="28">
        <v>1.0</v>
      </c>
      <c r="D109" s="26" t="str">
        <f>IFERROR(__xludf.DUMMYFUNCTION("(DMAX({{Data!$A$1:$M$1};filter(Data!$A$2:$M1000,Data!$A$2:$A1000=$A109 , Data!$B$2:$B1000 = $B109,Data!$C$2:$C1000 = $C109, Data!$D$2:$D1000 = D$1, Data!$E$2:$E1000 = D$2 )},$I$2  , $O$22:$O$23))"),"12102539")</f>
        <v>12102539</v>
      </c>
      <c r="E109" s="15" t="str">
        <f>IFERROR(__xludf.DUMMYFUNCTION("(DMAX({{Data!$A$1:$M$1};filter(Data!$A$2:$M1000,Data!$A$2:$A1000=$A109 , Data!$B$2:$B1000 = $B109,Data!$C$2:$C1000 = $C109, Data!$D$2:$D1000 = E$1, Data!$E$2:$E1000 = E$2 )},$I$2  , $O$22:$O$23))"),"12111312")</f>
        <v>12111312</v>
      </c>
      <c r="F109" s="15" t="str">
        <f>IFERROR(__xludf.DUMMYFUNCTION("(DMAX({{Data!$A$1:$M$1};filter(Data!$A$2:$M1000,Data!$A$2:$A1000=$A109 , Data!$B$2:$B1000 = $B109,Data!$C$2:$C1000 = $C109, Data!$D$2:$D1000 = F$1, Data!$E$2:$E1000 = F$2 )},$I$2  , $O$22:$O$23))"),"12120851")</f>
        <v>12120851</v>
      </c>
      <c r="G109" s="17" t="str">
        <f t="shared" si="1"/>
        <v>12120851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28">
        <v>4000.0</v>
      </c>
      <c r="B110" s="28">
        <v>5.0</v>
      </c>
      <c r="C110" s="28">
        <v>2.0</v>
      </c>
      <c r="D110" s="26" t="str">
        <f>IFERROR(__xludf.DUMMYFUNCTION("(DMAX({{Data!$A$1:$M$1};filter(Data!$A$2:$M1000,Data!$A$2:$A1000=$A110 , Data!$B$2:$B1000 = $B110,Data!$C$2:$C1000 = $C110, Data!$D$2:$D1000 = D$1, Data!$E$2:$E1000 = D$2 )},$I$2  , $O$22:$O$23))"),"12148278")</f>
        <v>12148278</v>
      </c>
      <c r="E110" s="15" t="str">
        <f>IFERROR(__xludf.DUMMYFUNCTION("(DMAX({{Data!$A$1:$M$1};filter(Data!$A$2:$M1000,Data!$A$2:$A1000=$A110 , Data!$B$2:$B1000 = $B110,Data!$C$2:$C1000 = $C110, Data!$D$2:$D1000 = E$1, Data!$E$2:$E1000 = E$2 )},$I$2  , $O$22:$O$23))"),"12158721")</f>
        <v>12158721</v>
      </c>
      <c r="F110" s="15" t="str">
        <f>IFERROR(__xludf.DUMMYFUNCTION("(DMAX({{Data!$A$1:$M$1};filter(Data!$A$2:$M1000,Data!$A$2:$A1000=$A110 , Data!$B$2:$B1000 = $B110,Data!$C$2:$C1000 = $C110, Data!$D$2:$D1000 = F$1, Data!$E$2:$E1000 = F$2 )},$I$2  , $O$22:$O$23))"),"12158584")</f>
        <v>12158584</v>
      </c>
      <c r="G110" s="17" t="str">
        <f t="shared" si="1"/>
        <v>12158721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28">
        <v>4000.0</v>
      </c>
      <c r="B111" s="28">
        <v>5.0</v>
      </c>
      <c r="C111" s="28">
        <v>3.0</v>
      </c>
      <c r="D111" s="26" t="str">
        <f>IFERROR(__xludf.DUMMYFUNCTION("(DMAX({{Data!$A$1:$M$1};filter(Data!$A$2:$M1000,Data!$A$2:$A1000=$A111 , Data!$B$2:$B1000 = $B111,Data!$C$2:$C1000 = $C111, Data!$D$2:$D1000 = D$1, Data!$E$2:$E1000 = D$2 )},$I$2  , $O$22:$O$23))"),"12080451")</f>
        <v>12080451</v>
      </c>
      <c r="E111" s="15" t="str">
        <f>IFERROR(__xludf.DUMMYFUNCTION("(DMAX({{Data!$A$1:$M$1};filter(Data!$A$2:$M1000,Data!$A$2:$A1000=$A111 , Data!$B$2:$B1000 = $B111,Data!$C$2:$C1000 = $C111, Data!$D$2:$D1000 = E$1, Data!$E$2:$E1000 = E$2 )},$I$2  , $O$22:$O$23))"),"12077410")</f>
        <v>12077410</v>
      </c>
      <c r="F111" s="15" t="str">
        <f>IFERROR(__xludf.DUMMYFUNCTION("(DMAX({{Data!$A$1:$M$1};filter(Data!$A$2:$M1000,Data!$A$2:$A1000=$A111 , Data!$B$2:$B1000 = $B111,Data!$C$2:$C1000 = $C111, Data!$D$2:$D1000 = F$1, Data!$E$2:$E1000 = F$2 )},$I$2  , $O$22:$O$23))"),"12079503")</f>
        <v>12079503</v>
      </c>
      <c r="G111" s="17" t="str">
        <f t="shared" si="1"/>
        <v>12080451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28">
        <v>4000.0</v>
      </c>
      <c r="B112" s="28">
        <v>5.0</v>
      </c>
      <c r="C112" s="28">
        <v>4.0</v>
      </c>
      <c r="D112" s="26" t="str">
        <f>IFERROR(__xludf.DUMMYFUNCTION("(DMAX({{Data!$A$1:$M$1};filter(Data!$A$2:$M1000,Data!$A$2:$A1000=$A112 , Data!$B$2:$B1000 = $B112,Data!$C$2:$C1000 = $C112, Data!$D$2:$D1000 = D$1, Data!$E$2:$E1000 = D$2 )},$I$2  , $O$22:$O$23))"),"12139329")</f>
        <v>12139329</v>
      </c>
      <c r="E112" s="15" t="str">
        <f>IFERROR(__xludf.DUMMYFUNCTION("(DMAX({{Data!$A$1:$M$1};filter(Data!$A$2:$M1000,Data!$A$2:$A1000=$A112 , Data!$B$2:$B1000 = $B112,Data!$C$2:$C1000 = $C112, Data!$D$2:$D1000 = E$1, Data!$E$2:$E1000 = E$2 )},$I$2  , $O$22:$O$23))"),"12136560")</f>
        <v>12136560</v>
      </c>
      <c r="F112" s="15" t="str">
        <f>IFERROR(__xludf.DUMMYFUNCTION("(DMAX({{Data!$A$1:$M$1};filter(Data!$A$2:$M1000,Data!$A$2:$A1000=$A112 , Data!$B$2:$B1000 = $B112,Data!$C$2:$C1000 = $C112, Data!$D$2:$D1000 = F$1, Data!$E$2:$E1000 = F$2 )},$I$2  , $O$22:$O$23))"),"12142850")</f>
        <v>12142850</v>
      </c>
      <c r="G112" s="17" t="str">
        <f t="shared" si="1"/>
        <v>12142850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28">
        <v>4000.0</v>
      </c>
      <c r="B113" s="28">
        <v>5.0</v>
      </c>
      <c r="C113" s="28">
        <v>5.0</v>
      </c>
      <c r="D113" s="26" t="str">
        <f>IFERROR(__xludf.DUMMYFUNCTION("(DMAX({{Data!$A$1:$M$1};filter(Data!$A$2:$M1000,Data!$A$2:$A1000=$A113 , Data!$B$2:$B1000 = $B113,Data!$C$2:$C1000 = $C113, Data!$D$2:$D1000 = D$1, Data!$E$2:$E1000 = D$2 )},$I$2  , $O$22:$O$23))"),"12108961")</f>
        <v>12108961</v>
      </c>
      <c r="E113" s="15" t="str">
        <f>IFERROR(__xludf.DUMMYFUNCTION("(DMAX({{Data!$A$1:$M$1};filter(Data!$A$2:$M1000,Data!$A$2:$A1000=$A113 , Data!$B$2:$B1000 = $B113,Data!$C$2:$C1000 = $C113, Data!$D$2:$D1000 = E$1, Data!$E$2:$E1000 = E$2 )},$I$2  , $O$22:$O$23))"),"12118242")</f>
        <v>12118242</v>
      </c>
      <c r="F113" s="15" t="str">
        <f>IFERROR(__xludf.DUMMYFUNCTION("(DMAX({{Data!$A$1:$M$1};filter(Data!$A$2:$M1000,Data!$A$2:$A1000=$A113 , Data!$B$2:$B1000 = $B113,Data!$C$2:$C1000 = $C113, Data!$D$2:$D1000 = F$1, Data!$E$2:$E1000 = F$2 )},$I$2  , $O$22:$O$23))"),"12123000")</f>
        <v>12123000</v>
      </c>
      <c r="G113" s="17" t="str">
        <f t="shared" si="1"/>
        <v>12123000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28">
        <v>4000.0</v>
      </c>
      <c r="B114" s="28">
        <v>10.0</v>
      </c>
      <c r="C114" s="28">
        <v>1.0</v>
      </c>
      <c r="D114" s="26" t="str">
        <f>IFERROR(__xludf.DUMMYFUNCTION("(DMAX({{Data!$A$1:$M$1};filter(Data!$A$2:$M1000,Data!$A$2:$A1000=$A114 , Data!$B$2:$B1000 = $B114,Data!$C$2:$C1000 = $C114, Data!$D$2:$D1000 = D$1, Data!$E$2:$E1000 = D$2 )},$I$2  , $O$22:$O$23))"),"23356687")</f>
        <v>23356687</v>
      </c>
      <c r="E114" s="15" t="str">
        <f>IFERROR(__xludf.DUMMYFUNCTION("(DMAX({{Data!$A$1:$M$1};filter(Data!$A$2:$M1000,Data!$A$2:$A1000=$A114 , Data!$B$2:$B1000 = $B114,Data!$C$2:$C1000 = $C114, Data!$D$2:$D1000 = E$1, Data!$E$2:$E1000 = E$2 )},$I$2  , $O$22:$O$23))"),"23350020")</f>
        <v>23350020</v>
      </c>
      <c r="F114" s="15" t="str">
        <f>IFERROR(__xludf.DUMMYFUNCTION("(DMAX({{Data!$A$1:$M$1};filter(Data!$A$2:$M1000,Data!$A$2:$A1000=$A114 , Data!$B$2:$B1000 = $B114,Data!$C$2:$C1000 = $C114, Data!$D$2:$D1000 = F$1, Data!$E$2:$E1000 = F$2 )},$I$2  , $O$22:$O$23))"),"23347997")</f>
        <v>23347997</v>
      </c>
      <c r="G114" s="17" t="str">
        <f t="shared" si="1"/>
        <v>23356687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28">
        <v>4000.0</v>
      </c>
      <c r="B115" s="28">
        <v>10.0</v>
      </c>
      <c r="C115" s="28">
        <v>2.0</v>
      </c>
      <c r="D115" s="26" t="str">
        <f>IFERROR(__xludf.DUMMYFUNCTION("(DMAX({{Data!$A$1:$M$1};filter(Data!$A$2:$M1000,Data!$A$2:$A1000=$A115 , Data!$B$2:$B1000 = $B115,Data!$C$2:$C1000 = $C115, Data!$D$2:$D1000 = D$1, Data!$E$2:$E1000 = D$2 )},$I$2  , $O$22:$O$23))"),"23390825")</f>
        <v>23390825</v>
      </c>
      <c r="E115" s="15" t="str">
        <f>IFERROR(__xludf.DUMMYFUNCTION("(DMAX({{Data!$A$1:$M$1};filter(Data!$A$2:$M1000,Data!$A$2:$A1000=$A115 , Data!$B$2:$B1000 = $B115,Data!$C$2:$C1000 = $C115, Data!$D$2:$D1000 = E$1, Data!$E$2:$E1000 = E$2 )},$I$2  , $O$22:$O$23))"),"23379294")</f>
        <v>23379294</v>
      </c>
      <c r="F115" s="15" t="str">
        <f>IFERROR(__xludf.DUMMYFUNCTION("(DMAX({{Data!$A$1:$M$1};filter(Data!$A$2:$M1000,Data!$A$2:$A1000=$A115 , Data!$B$2:$B1000 = $B115,Data!$C$2:$C1000 = $C115, Data!$D$2:$D1000 = F$1, Data!$E$2:$E1000 = F$2 )},$I$2  , $O$22:$O$23))"),"23397257")</f>
        <v>23397257</v>
      </c>
      <c r="G115" s="17" t="str">
        <f t="shared" si="1"/>
        <v>23397257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28">
        <v>4000.0</v>
      </c>
      <c r="B116" s="28">
        <v>10.0</v>
      </c>
      <c r="C116" s="28">
        <v>3.0</v>
      </c>
      <c r="D116" s="26" t="str">
        <f>IFERROR(__xludf.DUMMYFUNCTION("(DMAX({{Data!$A$1:$M$1};filter(Data!$A$2:$M1000,Data!$A$2:$A1000=$A116 , Data!$B$2:$B1000 = $B116,Data!$C$2:$C1000 = $C116, Data!$D$2:$D1000 = D$1, Data!$E$2:$E1000 = D$2 )},$I$2  , $O$22:$O$23))"),"23341987")</f>
        <v>23341987</v>
      </c>
      <c r="E116" s="15" t="str">
        <f>IFERROR(__xludf.DUMMYFUNCTION("(DMAX({{Data!$A$1:$M$1};filter(Data!$A$2:$M1000,Data!$A$2:$A1000=$A116 , Data!$B$2:$B1000 = $B116,Data!$C$2:$C1000 = $C116, Data!$D$2:$D1000 = E$1, Data!$E$2:$E1000 = E$2 )},$I$2  , $O$22:$O$23))"),"23368425")</f>
        <v>23368425</v>
      </c>
      <c r="F116" s="15" t="str">
        <f>IFERROR(__xludf.DUMMYFUNCTION("(DMAX({{Data!$A$1:$M$1};filter(Data!$A$2:$M1000,Data!$A$2:$A1000=$A116 , Data!$B$2:$B1000 = $B116,Data!$C$2:$C1000 = $C116, Data!$D$2:$D1000 = F$1, Data!$E$2:$E1000 = F$2 )},$I$2  , $O$22:$O$23))"),"23352303")</f>
        <v>23352303</v>
      </c>
      <c r="G116" s="17" t="str">
        <f t="shared" si="1"/>
        <v>23368425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28">
        <v>4000.0</v>
      </c>
      <c r="B117" s="28">
        <v>10.0</v>
      </c>
      <c r="C117" s="28">
        <v>4.0</v>
      </c>
      <c r="D117" s="26" t="str">
        <f>IFERROR(__xludf.DUMMYFUNCTION("(DMAX({{Data!$A$1:$M$1};filter(Data!$A$2:$M1000,Data!$A$2:$A1000=$A117 , Data!$B$2:$B1000 = $B117,Data!$C$2:$C1000 = $C117, Data!$D$2:$D1000 = D$1, Data!$E$2:$E1000 = D$2 )},$I$2  , $O$22:$O$23))"),"23412398")</f>
        <v>23412398</v>
      </c>
      <c r="E117" s="15" t="str">
        <f>IFERROR(__xludf.DUMMYFUNCTION("(DMAX({{Data!$A$1:$M$1};filter(Data!$A$2:$M1000,Data!$A$2:$A1000=$A117 , Data!$B$2:$B1000 = $B117,Data!$C$2:$C1000 = $C117, Data!$D$2:$D1000 = E$1, Data!$E$2:$E1000 = E$2 )},$I$2  , $O$22:$O$23))"),"23419101")</f>
        <v>23419101</v>
      </c>
      <c r="F117" s="15" t="str">
        <f>IFERROR(__xludf.DUMMYFUNCTION("(DMAX({{Data!$A$1:$M$1};filter(Data!$A$2:$M1000,Data!$A$2:$A1000=$A117 , Data!$B$2:$B1000 = $B117,Data!$C$2:$C1000 = $C117, Data!$D$2:$D1000 = F$1, Data!$E$2:$E1000 = F$2 )},$I$2  , $O$22:$O$23))"),"23400819")</f>
        <v>23400819</v>
      </c>
      <c r="G117" s="17" t="str">
        <f t="shared" si="1"/>
        <v>23419101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28">
        <v>4000.0</v>
      </c>
      <c r="B118" s="28">
        <v>10.0</v>
      </c>
      <c r="C118" s="28">
        <v>5.0</v>
      </c>
      <c r="D118" s="26" t="str">
        <f>IFERROR(__xludf.DUMMYFUNCTION("(DMAX({{Data!$A$1:$M$1};filter(Data!$A$2:$M1000,Data!$A$2:$A1000=$A118 , Data!$B$2:$B1000 = $B118,Data!$C$2:$C1000 = $C118, Data!$D$2:$D1000 = D$1, Data!$E$2:$E1000 = D$2 )},$I$2  , $O$22:$O$23))"),"23398372")</f>
        <v>23398372</v>
      </c>
      <c r="E118" s="15" t="str">
        <f>IFERROR(__xludf.DUMMYFUNCTION("(DMAX({{Data!$A$1:$M$1};filter(Data!$A$2:$M1000,Data!$A$2:$A1000=$A118 , Data!$B$2:$B1000 = $B118,Data!$C$2:$C1000 = $C118, Data!$D$2:$D1000 = E$1, Data!$E$2:$E1000 = E$2 )},$I$2  , $O$22:$O$23))"),"23397095")</f>
        <v>23397095</v>
      </c>
      <c r="F118" s="15" t="str">
        <f>IFERROR(__xludf.DUMMYFUNCTION("(DMAX({{Data!$A$1:$M$1};filter(Data!$A$2:$M1000,Data!$A$2:$A1000=$A118 , Data!$B$2:$B1000 = $B118,Data!$C$2:$C1000 = $C118, Data!$D$2:$D1000 = F$1, Data!$E$2:$E1000 = F$2 )},$I$2  , $O$22:$O$23))"),"23412194")</f>
        <v>23412194</v>
      </c>
      <c r="G118" s="17" t="str">
        <f t="shared" si="1"/>
        <v>23412194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28">
        <v>4000.0</v>
      </c>
      <c r="B119" s="28">
        <v>50.0</v>
      </c>
      <c r="C119" s="28">
        <v>1.0</v>
      </c>
      <c r="D119" s="26" t="str">
        <f>IFERROR(__xludf.DUMMYFUNCTION("(DMAX({{Data!$A$1:$M$1};filter(Data!$A$2:$M1000,Data!$A$2:$A1000=$A119 , Data!$B$2:$B1000 = $B119,Data!$C$2:$C1000 = $C119, Data!$D$2:$D1000 = D$1, Data!$E$2:$E1000 = D$2 )},$I$2  , $O$22:$O$23))"),"123317210")</f>
        <v>123317210</v>
      </c>
      <c r="E119" s="15" t="str">
        <f>IFERROR(__xludf.DUMMYFUNCTION("(DMAX({{Data!$A$1:$M$1};filter(Data!$A$2:$M1000,Data!$A$2:$A1000=$A119 , Data!$B$2:$B1000 = $B119,Data!$C$2:$C1000 = $C119, Data!$D$2:$D1000 = E$1, Data!$E$2:$E1000 = E$2 )},$I$2  , $O$22:$O$23))"),"123323669")</f>
        <v>123323669</v>
      </c>
      <c r="F119" s="15" t="str">
        <f>IFERROR(__xludf.DUMMYFUNCTION("(DMAX({{Data!$A$1:$M$1};filter(Data!$A$2:$M1000,Data!$A$2:$A1000=$A119 , Data!$B$2:$B1000 = $B119,Data!$C$2:$C1000 = $C119, Data!$D$2:$D1000 = F$1, Data!$E$2:$E1000 = F$2 )},$I$2  , $O$22:$O$23))"),"123351476")</f>
        <v>123351476</v>
      </c>
      <c r="G119" s="17" t="str">
        <f t="shared" si="1"/>
        <v>123351476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28">
        <v>4000.0</v>
      </c>
      <c r="B120" s="28">
        <v>50.0</v>
      </c>
      <c r="C120" s="28">
        <v>2.0</v>
      </c>
      <c r="D120" s="26" t="str">
        <f>IFERROR(__xludf.DUMMYFUNCTION("(DMAX({{Data!$A$1:$M$1};filter(Data!$A$2:$M1000,Data!$A$2:$A1000=$A120 , Data!$B$2:$B1000 = $B120,Data!$C$2:$C1000 = $C120, Data!$D$2:$D1000 = D$1, Data!$E$2:$E1000 = D$2 )},$I$2  , $O$22:$O$23))"),"123428547")</f>
        <v>123428547</v>
      </c>
      <c r="E120" s="15" t="str">
        <f>IFERROR(__xludf.DUMMYFUNCTION("(DMAX({{Data!$A$1:$M$1};filter(Data!$A$2:$M1000,Data!$A$2:$A1000=$A120 , Data!$B$2:$B1000 = $B120,Data!$C$2:$C1000 = $C120, Data!$D$2:$D1000 = E$1, Data!$E$2:$E1000 = E$2 )},$I$2  , $O$22:$O$23))"),"123409996")</f>
        <v>123409996</v>
      </c>
      <c r="F120" s="15" t="str">
        <f>IFERROR(__xludf.DUMMYFUNCTION("(DMAX({{Data!$A$1:$M$1};filter(Data!$A$2:$M1000,Data!$A$2:$A1000=$A120 , Data!$B$2:$B1000 = $B120,Data!$C$2:$C1000 = $C120, Data!$D$2:$D1000 = F$1, Data!$E$2:$E1000 = F$2 )},$I$2  , $O$22:$O$23))"),"123465817")</f>
        <v>123465817</v>
      </c>
      <c r="G120" s="17" t="str">
        <f t="shared" si="1"/>
        <v>123465817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28">
        <v>4000.0</v>
      </c>
      <c r="B121" s="28">
        <v>50.0</v>
      </c>
      <c r="C121" s="28">
        <v>3.0</v>
      </c>
      <c r="D121" s="26" t="str">
        <f>IFERROR(__xludf.DUMMYFUNCTION("(DMAX({{Data!$A$1:$M$1};filter(Data!$A$2:$M1000,Data!$A$2:$A1000=$A121 , Data!$B$2:$B1000 = $B121,Data!$C$2:$C1000 = $C121, Data!$D$2:$D1000 = D$1, Data!$E$2:$E1000 = D$2 )},$I$2  , $O$22:$O$23))"),"123430268")</f>
        <v>123430268</v>
      </c>
      <c r="E121" s="15" t="str">
        <f>IFERROR(__xludf.DUMMYFUNCTION("(DMAX({{Data!$A$1:$M$1};filter(Data!$A$2:$M1000,Data!$A$2:$A1000=$A121 , Data!$B$2:$B1000 = $B121,Data!$C$2:$C1000 = $C121, Data!$D$2:$D1000 = E$1, Data!$E$2:$E1000 = E$2 )},$I$2  , $O$22:$O$23))"),"123403158")</f>
        <v>123403158</v>
      </c>
      <c r="F121" s="15" t="str">
        <f>IFERROR(__xludf.DUMMYFUNCTION("(DMAX({{Data!$A$1:$M$1};filter(Data!$A$2:$M1000,Data!$A$2:$A1000=$A121 , Data!$B$2:$B1000 = $B121,Data!$C$2:$C1000 = $C121, Data!$D$2:$D1000 = F$1, Data!$E$2:$E1000 = F$2 )},$I$2  , $O$22:$O$23))"),"123373948")</f>
        <v>123373948</v>
      </c>
      <c r="G121" s="17" t="str">
        <f t="shared" si="1"/>
        <v>123430268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28">
        <v>4000.0</v>
      </c>
      <c r="B122" s="28">
        <v>50.0</v>
      </c>
      <c r="C122" s="28">
        <v>4.0</v>
      </c>
      <c r="D122" s="26" t="str">
        <f>IFERROR(__xludf.DUMMYFUNCTION("(DMAX({{Data!$A$1:$M$1};filter(Data!$A$2:$M1000,Data!$A$2:$A1000=$A122 , Data!$B$2:$B1000 = $B122,Data!$C$2:$C1000 = $C122, Data!$D$2:$D1000 = D$1, Data!$E$2:$E1000 = D$2 )},$I$2  , $O$22:$O$23))"),"123562937")</f>
        <v>123562937</v>
      </c>
      <c r="E122" s="15" t="str">
        <f>IFERROR(__xludf.DUMMYFUNCTION("(DMAX({{Data!$A$1:$M$1};filter(Data!$A$2:$M1000,Data!$A$2:$A1000=$A122 , Data!$B$2:$B1000 = $B122,Data!$C$2:$C1000 = $C122, Data!$D$2:$D1000 = E$1, Data!$E$2:$E1000 = E$2 )},$I$2  , $O$22:$O$23))"),"123567215")</f>
        <v>123567215</v>
      </c>
      <c r="F122" s="15" t="str">
        <f>IFERROR(__xludf.DUMMYFUNCTION("(DMAX({{Data!$A$1:$M$1};filter(Data!$A$2:$M1000,Data!$A$2:$A1000=$A122 , Data!$B$2:$B1000 = $B122,Data!$C$2:$C1000 = $C122, Data!$D$2:$D1000 = F$1, Data!$E$2:$E1000 = F$2 )},$I$2  , $O$22:$O$23))"),"123550963")</f>
        <v>123550963</v>
      </c>
      <c r="G122" s="17" t="str">
        <f t="shared" si="1"/>
        <v>123567215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28">
        <v>4000.0</v>
      </c>
      <c r="B123" s="28">
        <v>50.0</v>
      </c>
      <c r="C123" s="28">
        <v>5.0</v>
      </c>
      <c r="D123" s="26" t="str">
        <f>IFERROR(__xludf.DUMMYFUNCTION("(DMAX({{Data!$A$1:$M$1};filter(Data!$A$2:$M1000,Data!$A$2:$A1000=$A123 , Data!$B$2:$B1000 = $B123,Data!$C$2:$C1000 = $C123, Data!$D$2:$D1000 = D$1, Data!$E$2:$E1000 = D$2 )},$I$2  , $O$22:$O$23))"),"123392418")</f>
        <v>123392418</v>
      </c>
      <c r="E123" s="15" t="str">
        <f>IFERROR(__xludf.DUMMYFUNCTION("(DMAX({{Data!$A$1:$M$1};filter(Data!$A$2:$M1000,Data!$A$2:$A1000=$A123 , Data!$B$2:$B1000 = $B123,Data!$C$2:$C1000 = $C123, Data!$D$2:$D1000 = E$1, Data!$E$2:$E1000 = E$2 )},$I$2  , $O$22:$O$23))"),"123383774")</f>
        <v>123383774</v>
      </c>
      <c r="F123" s="15" t="str">
        <f>IFERROR(__xludf.DUMMYFUNCTION("(DMAX({{Data!$A$1:$M$1};filter(Data!$A$2:$M1000,Data!$A$2:$A1000=$A123 , Data!$B$2:$B1000 = $B123,Data!$C$2:$C1000 = $C123, Data!$D$2:$D1000 = F$1, Data!$E$2:$E1000 = F$2 )},$I$2  , $O$22:$O$23))"),"123408441")</f>
        <v>123408441</v>
      </c>
      <c r="G123" s="17" t="str">
        <f t="shared" si="1"/>
        <v>123408441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28">
        <v>4000.0</v>
      </c>
      <c r="B124" s="28">
        <v>100.0</v>
      </c>
      <c r="C124" s="28">
        <v>1.0</v>
      </c>
      <c r="D124" s="26" t="str">
        <f>IFERROR(__xludf.DUMMYFUNCTION("(DMAX({{Data!$A$1:$M$1};filter(Data!$A$2:$M1000,Data!$A$2:$A1000=$A124 , Data!$B$2:$B1000 = $B124,Data!$C$2:$C1000 = $C124, Data!$D$2:$D1000 = D$1, Data!$E$2:$E1000 = D$2 )},$I$2  , $O$22:$O$23))"),"406403539")</f>
        <v>406403539</v>
      </c>
      <c r="E124" s="15" t="str">
        <f>IFERROR(__xludf.DUMMYFUNCTION("(DMAX({{Data!$A$1:$M$1};filter(Data!$A$2:$M1000,Data!$A$2:$A1000=$A124 , Data!$B$2:$B1000 = $B124,Data!$C$2:$C1000 = $C124, Data!$D$2:$D1000 = E$1, Data!$E$2:$E1000 = E$2 )},$I$2  , $O$22:$O$23))"),"406458644")</f>
        <v>406458644</v>
      </c>
      <c r="F124" s="15" t="str">
        <f>IFERROR(__xludf.DUMMYFUNCTION("(DMAX({{Data!$A$1:$M$1};filter(Data!$A$2:$M1000,Data!$A$2:$A1000=$A124 , Data!$B$2:$B1000 = $B124,Data!$C$2:$C1000 = $C124, Data!$D$2:$D1000 = F$1, Data!$E$2:$E1000 = F$2 )},$I$2  , $O$22:$O$23))"),"406474549")</f>
        <v>406474549</v>
      </c>
      <c r="G124" s="17" t="str">
        <f t="shared" si="1"/>
        <v>406474549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28">
        <v>4000.0</v>
      </c>
      <c r="B125" s="28">
        <v>100.0</v>
      </c>
      <c r="C125" s="28">
        <v>2.0</v>
      </c>
      <c r="D125" s="26" t="str">
        <f>IFERROR(__xludf.DUMMYFUNCTION("(DMAX({{Data!$A$1:$M$1};filter(Data!$A$2:$M1000,Data!$A$2:$A1000=$A125 , Data!$B$2:$B1000 = $B125,Data!$C$2:$C1000 = $C125, Data!$D$2:$D1000 = D$1, Data!$E$2:$E1000 = D$2 )},$I$2  , $O$22:$O$23))"),"406378620")</f>
        <v>406378620</v>
      </c>
      <c r="E125" s="15" t="str">
        <f>IFERROR(__xludf.DUMMYFUNCTION("(DMAX({{Data!$A$1:$M$1};filter(Data!$A$2:$M1000,Data!$A$2:$A1000=$A125 , Data!$B$2:$B1000 = $B125,Data!$C$2:$C1000 = $C125, Data!$D$2:$D1000 = E$1, Data!$E$2:$E1000 = E$2 )},$I$2  , $O$22:$O$23))"),"406408742")</f>
        <v>406408742</v>
      </c>
      <c r="F125" s="15" t="str">
        <f>IFERROR(__xludf.DUMMYFUNCTION("(DMAX({{Data!$A$1:$M$1};filter(Data!$A$2:$M1000,Data!$A$2:$A1000=$A125 , Data!$B$2:$B1000 = $B125,Data!$C$2:$C1000 = $C125, Data!$D$2:$D1000 = F$1, Data!$E$2:$E1000 = F$2 )},$I$2  , $O$22:$O$23))"),"406380873")</f>
        <v>406380873</v>
      </c>
      <c r="G125" s="17" t="str">
        <f t="shared" si="1"/>
        <v>406408742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28">
        <v>4000.0</v>
      </c>
      <c r="B126" s="28">
        <v>100.0</v>
      </c>
      <c r="C126" s="28">
        <v>3.0</v>
      </c>
      <c r="D126" s="26" t="str">
        <f>IFERROR(__xludf.DUMMYFUNCTION("(DMAX({{Data!$A$1:$M$1};filter(Data!$A$2:$M1000,Data!$A$2:$A1000=$A126 , Data!$B$2:$B1000 = $B126,Data!$C$2:$C1000 = $C126, Data!$D$2:$D1000 = D$1, Data!$E$2:$E1000 = D$2 )},$I$2  , $O$22:$O$23))"),"406541838")</f>
        <v>406541838</v>
      </c>
      <c r="E126" s="15" t="str">
        <f>IFERROR(__xludf.DUMMYFUNCTION("(DMAX({{Data!$A$1:$M$1};filter(Data!$A$2:$M1000,Data!$A$2:$A1000=$A126 , Data!$B$2:$B1000 = $B126,Data!$C$2:$C1000 = $C126, Data!$D$2:$D1000 = E$1, Data!$E$2:$E1000 = E$2 )},$I$2  , $O$22:$O$23))"),"406543899")</f>
        <v>406543899</v>
      </c>
      <c r="F126" s="15" t="str">
        <f>IFERROR(__xludf.DUMMYFUNCTION("(DMAX({{Data!$A$1:$M$1};filter(Data!$A$2:$M1000,Data!$A$2:$A1000=$A126 , Data!$B$2:$B1000 = $B126,Data!$C$2:$C1000 = $C126, Data!$D$2:$D1000 = F$1, Data!$E$2:$E1000 = F$2 )},$I$2  , $O$22:$O$23))"),"406537230")</f>
        <v>406537230</v>
      </c>
      <c r="G126" s="17" t="str">
        <f t="shared" si="1"/>
        <v>406543899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28">
        <v>4000.0</v>
      </c>
      <c r="B127" s="28">
        <v>100.0</v>
      </c>
      <c r="C127" s="28">
        <v>4.0</v>
      </c>
      <c r="D127" s="26" t="str">
        <f>IFERROR(__xludf.DUMMYFUNCTION("(DMAX({{Data!$A$1:$M$1};filter(Data!$A$2:$M1000,Data!$A$2:$A1000=$A127 , Data!$B$2:$B1000 = $B127,Data!$C$2:$C1000 = $C127, Data!$D$2:$D1000 = D$1, Data!$E$2:$E1000 = D$2 )},$I$2  , $O$22:$O$23))"),"406449336")</f>
        <v>406449336</v>
      </c>
      <c r="E127" s="15" t="str">
        <f>IFERROR(__xludf.DUMMYFUNCTION("(DMAX({{Data!$A$1:$M$1};filter(Data!$A$2:$M1000,Data!$A$2:$A1000=$A127 , Data!$B$2:$B1000 = $B127,Data!$C$2:$C1000 = $C127, Data!$D$2:$D1000 = E$1, Data!$E$2:$E1000 = E$2 )},$I$2  , $O$22:$O$23))"),"406518117")</f>
        <v>406518117</v>
      </c>
      <c r="F127" s="15" t="str">
        <f>IFERROR(__xludf.DUMMYFUNCTION("(DMAX({{Data!$A$1:$M$1};filter(Data!$A$2:$M1000,Data!$A$2:$A1000=$A127 , Data!$B$2:$B1000 = $B127,Data!$C$2:$C1000 = $C127, Data!$D$2:$D1000 = F$1, Data!$E$2:$E1000 = F$2 )},$I$2  , $O$22:$O$23))"),"406487784")</f>
        <v>406487784</v>
      </c>
      <c r="G127" s="17" t="str">
        <f t="shared" si="1"/>
        <v>406518117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28">
        <v>4000.0</v>
      </c>
      <c r="B128" s="28">
        <v>100.0</v>
      </c>
      <c r="C128" s="28">
        <v>5.0</v>
      </c>
      <c r="D128" s="26" t="str">
        <f>IFERROR(__xludf.DUMMYFUNCTION("(DMAX({{Data!$A$1:$M$1};filter(Data!$A$2:$M1000,Data!$A$2:$A1000=$A128 , Data!$B$2:$B1000 = $B128,Data!$C$2:$C1000 = $C128, Data!$D$2:$D1000 = D$1, Data!$E$2:$E1000 = D$2 )},$I$2  , $O$22:$O$23))"),"406356663")</f>
        <v>406356663</v>
      </c>
      <c r="E128" s="15" t="str">
        <f>IFERROR(__xludf.DUMMYFUNCTION("(DMAX({{Data!$A$1:$M$1};filter(Data!$A$2:$M1000,Data!$A$2:$A1000=$A128 , Data!$B$2:$B1000 = $B128,Data!$C$2:$C1000 = $C128, Data!$D$2:$D1000 = E$1, Data!$E$2:$E1000 = E$2 )},$I$2  , $O$22:$O$23))"),"406397598")</f>
        <v>406397598</v>
      </c>
      <c r="F128" s="15" t="str">
        <f>IFERROR(__xludf.DUMMYFUNCTION("(DMAX({{Data!$A$1:$M$1};filter(Data!$A$2:$M1000,Data!$A$2:$A1000=$A128 , Data!$B$2:$B1000 = $B128,Data!$C$2:$C1000 = $C128, Data!$D$2:$D1000 = F$1, Data!$E$2:$E1000 = F$2 )},$I$2  , $O$22:$O$23))"),"406393368")</f>
        <v>406393368</v>
      </c>
      <c r="G128" s="17" t="str">
        <f t="shared" si="1"/>
        <v>406397598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5" t="str">
        <f>IFERROR(__xludf.DUMMYFUNCTION("(DMAX({{Data!$A$1:$M$1};filter(Data!$A$2:$M1000,Data!$A$2:$A1000=$A129 , Data!$B$2:$B1000 = $B129,Data!$C$2:$C1000 = $C129, Data!$D$2:$D1000 = D$1, Data!$E$2:$E1000 = D$2 )},$I$2  , $O$22:$O$23))"),"#VALUE!")</f>
        <v>#VALUE!</v>
      </c>
      <c r="E129" s="15" t="str">
        <f>IFERROR(__xludf.DUMMYFUNCTION("(DMAX({{Data!$A$1:$M$1};filter(Data!$A$2:$M1000,Data!$A$2:$A1000=$A129 , Data!$B$2:$B1000 = $B129,Data!$C$2:$C1000 = $C129, Data!$D$2:$D1000 = E$1, Data!$E$2:$E1000 = E$2 )},$I$2  , $O$22:$O$23))"),"#VALUE!")</f>
        <v>#VALUE!</v>
      </c>
      <c r="F129" s="15" t="str">
        <f>IFERROR(__xludf.DUMMYFUNCTION("(DMAX({{Data!$A$1:$M$1};filter(Data!$A$2:$M1000,Data!$A$2:$A1000=$A129 , Data!$B$2:$B1000 = $B129,Data!$C$2:$C1000 = $C129, Data!$D$2:$D1000 = F$1, Data!$E$2:$E1000 = F$2 )},$I$2  , $O$22:$O$23))"),"#VALUE!")</f>
        <v>#VALUE!</v>
      </c>
      <c r="G129" s="18" t="str">
        <f t="shared" si="1"/>
        <v>#VALUE!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2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</sheetData>
  <conditionalFormatting sqref="D4:F129">
    <cfRule type="cellIs" dxfId="1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  <col hidden="1" min="7" max="9"/>
  </cols>
  <sheetData>
    <row r="1">
      <c r="C1" s="8" t="s">
        <v>18</v>
      </c>
      <c r="D1" s="9" t="str">
        <f>IFERROR(__xludf.DUMMYFUNCTION("TRANSPOSE(UNIQUE(Data!D2:E1000))"),"bs_array")</f>
        <v>bs_array</v>
      </c>
      <c r="E1" s="9" t="s">
        <v>15</v>
      </c>
      <c r="F1" s="9" t="s">
        <v>16</v>
      </c>
      <c r="G1" s="9"/>
      <c r="H1" s="9"/>
      <c r="I1" s="10"/>
      <c r="J1" s="10"/>
      <c r="K1" s="11" t="s">
        <v>26</v>
      </c>
      <c r="L1" s="10"/>
      <c r="M1" s="10"/>
      <c r="N1" s="10"/>
      <c r="O1" s="10"/>
      <c r="P1" s="10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C2" s="8" t="s">
        <v>19</v>
      </c>
      <c r="D2" s="9" t="s">
        <v>14</v>
      </c>
      <c r="E2" s="9" t="s">
        <v>14</v>
      </c>
      <c r="F2" s="9" t="s">
        <v>14</v>
      </c>
      <c r="G2" s="9"/>
      <c r="H2" s="9"/>
      <c r="I2" s="10"/>
      <c r="J2" s="10"/>
      <c r="K2" s="11" t="s">
        <v>7</v>
      </c>
      <c r="L2" s="10"/>
      <c r="M2" s="10"/>
      <c r="N2" s="10"/>
      <c r="O2" s="10"/>
      <c r="P2" s="10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8" t="s">
        <v>0</v>
      </c>
      <c r="B3" s="8" t="s">
        <v>1</v>
      </c>
      <c r="C3" s="8" t="s">
        <v>2</v>
      </c>
      <c r="D3" s="13"/>
      <c r="E3" s="13"/>
      <c r="F3" s="13"/>
      <c r="G3" s="13"/>
      <c r="H3" s="13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4" t="str">
        <f>IFERROR(__xludf.DUMMYFUNCTION("UNIQUE(Data!A2:C1000)"),"500")</f>
        <v>500</v>
      </c>
      <c r="B4" s="14">
        <v>1.0</v>
      </c>
      <c r="C4" s="14">
        <v>1.0</v>
      </c>
      <c r="D4" s="30" t="str">
        <f>('F Max'!$G4 - 'F Max'!D4)/'F Max'!$G4</f>
        <v>0.0000%</v>
      </c>
      <c r="E4" s="30" t="str">
        <f>('F Max'!$G4 - 'F Max'!E4)/'F Max'!$G4</f>
        <v>0.4423%</v>
      </c>
      <c r="F4" s="30" t="str">
        <f>('F Max'!$G4 - 'F Max'!F4)/'F Max'!$G4</f>
        <v>0.8078%</v>
      </c>
      <c r="G4" s="30"/>
      <c r="H4" s="30"/>
      <c r="I4" s="18"/>
      <c r="J4" s="18"/>
      <c r="K4" s="18"/>
      <c r="L4" s="18"/>
      <c r="M4" s="18"/>
      <c r="N4" s="18"/>
      <c r="O4" s="18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4">
        <v>500.0</v>
      </c>
      <c r="B5" s="14">
        <v>1.0</v>
      </c>
      <c r="C5" s="14">
        <v>2.0</v>
      </c>
      <c r="D5" s="30" t="str">
        <f>('F Max'!$G5 - 'F Max'!D5)/'F Max'!$G5</f>
        <v>1.0082%</v>
      </c>
      <c r="E5" s="30" t="str">
        <f>('F Max'!$G5 - 'F Max'!E5)/'F Max'!$G5</f>
        <v>0.0000%</v>
      </c>
      <c r="F5" s="30" t="str">
        <f>('F Max'!$G5 - 'F Max'!F5)/'F Max'!$G5</f>
        <v>0.6140%</v>
      </c>
      <c r="G5" s="30"/>
      <c r="H5" s="30"/>
      <c r="I5" s="18"/>
      <c r="J5" s="18"/>
      <c r="K5" s="18"/>
      <c r="L5" s="18"/>
      <c r="M5" s="18"/>
      <c r="N5" s="18"/>
      <c r="O5" s="18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4">
        <v>500.0</v>
      </c>
      <c r="B6" s="14">
        <v>1.0</v>
      </c>
      <c r="C6" s="14">
        <v>3.0</v>
      </c>
      <c r="D6" s="30" t="str">
        <f>('F Max'!$G6 - 'F Max'!D6)/'F Max'!$G6</f>
        <v>0.0000%</v>
      </c>
      <c r="E6" s="30" t="str">
        <f>('F Max'!$G6 - 'F Max'!E6)/'F Max'!$G6</f>
        <v>0.5899%</v>
      </c>
      <c r="F6" s="30" t="str">
        <f>('F Max'!$G6 - 'F Max'!F6)/'F Max'!$G6</f>
        <v>0.5166%</v>
      </c>
      <c r="G6" s="30"/>
      <c r="H6" s="30"/>
      <c r="I6" s="18"/>
      <c r="J6" s="18"/>
      <c r="K6" s="18"/>
      <c r="L6" s="18"/>
      <c r="M6" s="18"/>
      <c r="N6" s="18"/>
      <c r="O6" s="18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4">
        <v>500.0</v>
      </c>
      <c r="B7" s="14">
        <v>1.0</v>
      </c>
      <c r="C7" s="14">
        <v>4.0</v>
      </c>
      <c r="D7" s="30" t="str">
        <f>('F Max'!$G7 - 'F Max'!D7)/'F Max'!$G7</f>
        <v>0.0000%</v>
      </c>
      <c r="E7" s="30" t="str">
        <f>('F Max'!$G7 - 'F Max'!E7)/'F Max'!$G7</f>
        <v>0.5781%</v>
      </c>
      <c r="F7" s="30" t="str">
        <f>('F Max'!$G7 - 'F Max'!F7)/'F Max'!$G7</f>
        <v>0.5321%</v>
      </c>
      <c r="G7" s="30"/>
      <c r="H7" s="30"/>
      <c r="I7" s="18"/>
      <c r="J7" s="18"/>
      <c r="K7" s="18"/>
      <c r="L7" s="18"/>
      <c r="M7" s="18"/>
      <c r="N7" s="18"/>
      <c r="O7" s="18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9">
        <v>500.0</v>
      </c>
      <c r="B8" s="19">
        <v>1.0</v>
      </c>
      <c r="C8" s="19">
        <v>5.0</v>
      </c>
      <c r="D8" s="30" t="str">
        <f>('F Max'!$G8 - 'F Max'!D8)/'F Max'!$G8</f>
        <v>0.2434%</v>
      </c>
      <c r="E8" s="30" t="str">
        <f>('F Max'!$G8 - 'F Max'!E8)/'F Max'!$G8</f>
        <v>0.0000%</v>
      </c>
      <c r="F8" s="30" t="str">
        <f>('F Max'!$G8 - 'F Max'!F8)/'F Max'!$G8</f>
        <v>0.0429%</v>
      </c>
      <c r="G8" s="30"/>
      <c r="H8" s="30"/>
      <c r="I8" s="18"/>
      <c r="J8" s="18"/>
      <c r="K8" s="18"/>
      <c r="L8" s="18"/>
      <c r="M8" s="18"/>
      <c r="N8" s="18"/>
      <c r="O8" s="18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4">
        <v>500.0</v>
      </c>
      <c r="B9" s="14">
        <v>5.0</v>
      </c>
      <c r="C9" s="14">
        <v>1.0</v>
      </c>
      <c r="D9" s="30" t="str">
        <f>('F Max'!$G9 - 'F Max'!D9)/'F Max'!$G9</f>
        <v>0.4127%</v>
      </c>
      <c r="E9" s="30" t="str">
        <f>('F Max'!$G9 - 'F Max'!E9)/'F Max'!$G9</f>
        <v>0.1150%</v>
      </c>
      <c r="F9" s="30" t="str">
        <f>('F Max'!$G9 - 'F Max'!F9)/'F Max'!$G9</f>
        <v>0.0000%</v>
      </c>
      <c r="G9" s="30"/>
      <c r="H9" s="30"/>
      <c r="I9" s="18"/>
      <c r="J9" s="18"/>
      <c r="K9" s="18"/>
      <c r="L9" s="18"/>
      <c r="M9" s="18"/>
      <c r="N9" s="18"/>
      <c r="O9" s="18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20">
        <v>500.0</v>
      </c>
      <c r="B10" s="20">
        <v>5.0</v>
      </c>
      <c r="C10" s="20">
        <v>2.0</v>
      </c>
      <c r="D10" s="30" t="str">
        <f>('F Max'!$G10 - 'F Max'!D10)/'F Max'!$G10</f>
        <v>0.1875%</v>
      </c>
      <c r="E10" s="30" t="str">
        <f>('F Max'!$G10 - 'F Max'!E10)/'F Max'!$G10</f>
        <v>0.0000%</v>
      </c>
      <c r="F10" s="30" t="str">
        <f>('F Max'!$G10 - 'F Max'!F10)/'F Max'!$G10</f>
        <v>0.0068%</v>
      </c>
      <c r="G10" s="30"/>
      <c r="H10" s="30"/>
      <c r="I10" s="18"/>
      <c r="J10" s="18"/>
      <c r="K10" s="18"/>
      <c r="L10" s="18"/>
      <c r="M10" s="18"/>
      <c r="N10" s="18"/>
      <c r="O10" s="18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4">
        <v>500.0</v>
      </c>
      <c r="B11" s="14">
        <v>5.0</v>
      </c>
      <c r="C11" s="14">
        <v>3.0</v>
      </c>
      <c r="D11" s="30" t="str">
        <f>('F Max'!$G11 - 'F Max'!D11)/'F Max'!$G11</f>
        <v>0.0000%</v>
      </c>
      <c r="E11" s="30" t="str">
        <f>('F Max'!$G11 - 'F Max'!E11)/'F Max'!$G11</f>
        <v>0.0734%</v>
      </c>
      <c r="F11" s="30" t="str">
        <f>('F Max'!$G11 - 'F Max'!F11)/'F Max'!$G11</f>
        <v>0.4336%</v>
      </c>
      <c r="G11" s="30"/>
      <c r="H11" s="30"/>
      <c r="I11" s="18"/>
      <c r="J11" s="18"/>
      <c r="K11" s="18"/>
      <c r="L11" s="18"/>
      <c r="M11" s="18"/>
      <c r="N11" s="18"/>
      <c r="O11" s="18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4">
        <v>500.0</v>
      </c>
      <c r="B12" s="14">
        <v>5.0</v>
      </c>
      <c r="C12" s="14">
        <v>4.0</v>
      </c>
      <c r="D12" s="30" t="str">
        <f>('F Max'!$G12 - 'F Max'!D12)/'F Max'!$G12</f>
        <v>0.0017%</v>
      </c>
      <c r="E12" s="30" t="str">
        <f>('F Max'!$G12 - 'F Max'!E12)/'F Max'!$G12</f>
        <v>0.3157%</v>
      </c>
      <c r="F12" s="30" t="str">
        <f>('F Max'!$G12 - 'F Max'!F12)/'F Max'!$G12</f>
        <v>0.0000%</v>
      </c>
      <c r="G12" s="30"/>
      <c r="H12" s="30"/>
      <c r="I12" s="18"/>
      <c r="J12" s="18"/>
      <c r="K12" s="18"/>
      <c r="L12" s="18"/>
      <c r="M12" s="18"/>
      <c r="N12" s="18"/>
      <c r="O12" s="18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4">
        <v>500.0</v>
      </c>
      <c r="B13" s="14">
        <v>5.0</v>
      </c>
      <c r="C13" s="14">
        <v>5.0</v>
      </c>
      <c r="D13" s="30" t="str">
        <f>('F Max'!$G13 - 'F Max'!D13)/'F Max'!$G13</f>
        <v>0.0000%</v>
      </c>
      <c r="E13" s="30" t="str">
        <f>('F Max'!$G13 - 'F Max'!E13)/'F Max'!$G13</f>
        <v>0.2151%</v>
      </c>
      <c r="F13" s="30" t="str">
        <f>('F Max'!$G13 - 'F Max'!F13)/'F Max'!$G13</f>
        <v>0.1498%</v>
      </c>
      <c r="G13" s="30"/>
      <c r="H13" s="30"/>
      <c r="I13" s="18"/>
      <c r="J13" s="18"/>
      <c r="K13" s="18"/>
      <c r="L13" s="18"/>
      <c r="M13" s="18"/>
      <c r="N13" s="18"/>
      <c r="O13" s="18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4">
        <v>500.0</v>
      </c>
      <c r="B14" s="14">
        <v>10.0</v>
      </c>
      <c r="C14" s="14">
        <v>1.0</v>
      </c>
      <c r="D14" s="30" t="str">
        <f>('F Max'!$G14 - 'F Max'!D14)/'F Max'!$G14</f>
        <v>0.3528%</v>
      </c>
      <c r="E14" s="30" t="str">
        <f>('F Max'!$G14 - 'F Max'!E14)/'F Max'!$G14</f>
        <v>0.0554%</v>
      </c>
      <c r="F14" s="30" t="str">
        <f>('F Max'!$G14 - 'F Max'!F14)/'F Max'!$G14</f>
        <v>0.0000%</v>
      </c>
      <c r="G14" s="30"/>
      <c r="H14" s="30"/>
      <c r="I14" s="18"/>
      <c r="J14" s="18"/>
      <c r="K14" s="18"/>
      <c r="L14" s="18"/>
      <c r="M14" s="18"/>
      <c r="N14" s="18"/>
      <c r="O14" s="18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4">
        <v>500.0</v>
      </c>
      <c r="B15" s="14">
        <v>10.0</v>
      </c>
      <c r="C15" s="14">
        <v>2.0</v>
      </c>
      <c r="D15" s="30" t="str">
        <f>('F Max'!$G15 - 'F Max'!D15)/'F Max'!$G15</f>
        <v>0.4218%</v>
      </c>
      <c r="E15" s="30" t="str">
        <f>('F Max'!$G15 - 'F Max'!E15)/'F Max'!$G15</f>
        <v>0.4135%</v>
      </c>
      <c r="F15" s="30" t="str">
        <f>('F Max'!$G15 - 'F Max'!F15)/'F Max'!$G15</f>
        <v>0.0000%</v>
      </c>
      <c r="G15" s="30"/>
      <c r="H15" s="30"/>
      <c r="I15" s="18"/>
      <c r="J15" s="18"/>
      <c r="K15" s="18"/>
      <c r="L15" s="18"/>
      <c r="M15" s="18"/>
      <c r="N15" s="18"/>
      <c r="O15" s="1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4">
        <v>500.0</v>
      </c>
      <c r="B16" s="14">
        <v>10.0</v>
      </c>
      <c r="C16" s="14">
        <v>3.0</v>
      </c>
      <c r="D16" s="30" t="str">
        <f>('F Max'!$G16 - 'F Max'!D16)/'F Max'!$G16</f>
        <v>0.5178%</v>
      </c>
      <c r="E16" s="30" t="str">
        <f>('F Max'!$G16 - 'F Max'!E16)/'F Max'!$G16</f>
        <v>0.3850%</v>
      </c>
      <c r="F16" s="30" t="str">
        <f>('F Max'!$G16 - 'F Max'!F16)/'F Max'!$G16</f>
        <v>0.0000%</v>
      </c>
      <c r="G16" s="30"/>
      <c r="H16" s="30"/>
      <c r="I16" s="18"/>
      <c r="J16" s="18"/>
      <c r="K16" s="18"/>
      <c r="L16" s="18"/>
      <c r="M16" s="18"/>
      <c r="N16" s="18"/>
      <c r="O16" s="18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4">
        <v>500.0</v>
      </c>
      <c r="B17" s="14">
        <v>10.0</v>
      </c>
      <c r="C17" s="14">
        <v>4.0</v>
      </c>
      <c r="D17" s="30" t="str">
        <f>('F Max'!$G17 - 'F Max'!D17)/'F Max'!$G17</f>
        <v>0.3278%</v>
      </c>
      <c r="E17" s="30" t="str">
        <f>('F Max'!$G17 - 'F Max'!E17)/'F Max'!$G17</f>
        <v>0.0000%</v>
      </c>
      <c r="F17" s="30" t="str">
        <f>('F Max'!$G17 - 'F Max'!F17)/'F Max'!$G17</f>
        <v>0.1518%</v>
      </c>
      <c r="G17" s="30"/>
      <c r="H17" s="30"/>
      <c r="I17" s="18"/>
      <c r="J17" s="18"/>
      <c r="K17" s="18"/>
      <c r="L17" s="18"/>
      <c r="M17" s="18"/>
      <c r="N17" s="18"/>
      <c r="O17" s="18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4">
        <v>500.0</v>
      </c>
      <c r="B18" s="14">
        <v>10.0</v>
      </c>
      <c r="C18" s="14">
        <v>5.0</v>
      </c>
      <c r="D18" s="30" t="str">
        <f>('F Max'!$G18 - 'F Max'!D18)/'F Max'!$G18</f>
        <v>0.0000%</v>
      </c>
      <c r="E18" s="30" t="str">
        <f>('F Max'!$G18 - 'F Max'!E18)/'F Max'!$G18</f>
        <v>0.4073%</v>
      </c>
      <c r="F18" s="30" t="str">
        <f>('F Max'!$G18 - 'F Max'!F18)/'F Max'!$G18</f>
        <v>0.7042%</v>
      </c>
      <c r="G18" s="30"/>
      <c r="H18" s="30"/>
      <c r="I18" s="1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9">
        <v>500.0</v>
      </c>
      <c r="B19" s="9">
        <v>50.0</v>
      </c>
      <c r="C19" s="9">
        <v>1.0</v>
      </c>
      <c r="D19" s="30" t="str">
        <f>('F Max'!$G19 - 'F Max'!D19)/'F Max'!$G19</f>
        <v>0.0870%</v>
      </c>
      <c r="E19" s="30" t="str">
        <f>('F Max'!$G19 - 'F Max'!E19)/'F Max'!$G19</f>
        <v>0.0000%</v>
      </c>
      <c r="F19" s="30" t="str">
        <f>('F Max'!$G19 - 'F Max'!F19)/'F Max'!$G19</f>
        <v>0.1236%</v>
      </c>
      <c r="G19" s="30"/>
      <c r="H19" s="30"/>
      <c r="I19" s="18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1">
        <v>500.0</v>
      </c>
      <c r="B20" s="21">
        <v>50.0</v>
      </c>
      <c r="C20" s="21">
        <v>2.0</v>
      </c>
      <c r="D20" s="30" t="str">
        <f>('F Max'!$G20 - 'F Max'!D20)/'F Max'!$G20</f>
        <v>0.1366%</v>
      </c>
      <c r="E20" s="30" t="str">
        <f>('F Max'!$G20 - 'F Max'!E20)/'F Max'!$G20</f>
        <v>0.0000%</v>
      </c>
      <c r="F20" s="30" t="str">
        <f>('F Max'!$G20 - 'F Max'!F20)/'F Max'!$G20</f>
        <v>0.1433%</v>
      </c>
      <c r="G20" s="30"/>
      <c r="H20" s="30"/>
      <c r="I20" s="18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21">
        <v>500.0</v>
      </c>
      <c r="B21" s="21">
        <v>50.0</v>
      </c>
      <c r="C21" s="21">
        <v>3.0</v>
      </c>
      <c r="D21" s="30" t="str">
        <f>('F Max'!$G21 - 'F Max'!D21)/'F Max'!$G21</f>
        <v>0.3750%</v>
      </c>
      <c r="E21" s="30" t="str">
        <f>('F Max'!$G21 - 'F Max'!E21)/'F Max'!$G21</f>
        <v>0.0000%</v>
      </c>
      <c r="F21" s="30" t="str">
        <f>('F Max'!$G21 - 'F Max'!F21)/'F Max'!$G21</f>
        <v>0.2092%</v>
      </c>
      <c r="G21" s="30"/>
      <c r="H21" s="30"/>
      <c r="I21" s="18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4">
        <v>500.0</v>
      </c>
      <c r="B22" s="21">
        <v>50.0</v>
      </c>
      <c r="C22" s="21">
        <v>4.0</v>
      </c>
      <c r="D22" s="30" t="str">
        <f>('F Max'!$G22 - 'F Max'!D22)/'F Max'!$G22</f>
        <v>0.0000%</v>
      </c>
      <c r="E22" s="30" t="str">
        <f>('F Max'!$G22 - 'F Max'!E22)/'F Max'!$G22</f>
        <v>0.1230%</v>
      </c>
      <c r="F22" s="30" t="str">
        <f>('F Max'!$G22 - 'F Max'!F22)/'F Max'!$G22</f>
        <v>0.1508%</v>
      </c>
      <c r="G22" s="30"/>
      <c r="H22" s="30"/>
      <c r="I22" s="18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1">
        <v>500.0</v>
      </c>
      <c r="B23" s="21">
        <v>50.0</v>
      </c>
      <c r="C23" s="21">
        <v>5.0</v>
      </c>
      <c r="D23" s="30" t="str">
        <f>('F Max'!$G23 - 'F Max'!D23)/'F Max'!$G23</f>
        <v>0.0113%</v>
      </c>
      <c r="E23" s="30" t="str">
        <f>('F Max'!$G23 - 'F Max'!E23)/'F Max'!$G23</f>
        <v>0.1747%</v>
      </c>
      <c r="F23" s="30" t="str">
        <f>('F Max'!$G23 - 'F Max'!F23)/'F Max'!$G23</f>
        <v>0.0000%</v>
      </c>
      <c r="G23" s="30"/>
      <c r="H23" s="30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9">
        <v>500.0</v>
      </c>
      <c r="B24" s="9">
        <v>100.0</v>
      </c>
      <c r="C24" s="9">
        <v>1.0</v>
      </c>
      <c r="D24" s="30" t="str">
        <f>('F Max'!$G24 - 'F Max'!D24)/'F Max'!$G24</f>
        <v>0.0570%</v>
      </c>
      <c r="E24" s="30" t="str">
        <f>('F Max'!$G24 - 'F Max'!E24)/'F Max'!$G24</f>
        <v>0.0000%</v>
      </c>
      <c r="F24" s="30" t="str">
        <f>('F Max'!$G24 - 'F Max'!F24)/'F Max'!$G24</f>
        <v>0.0006%</v>
      </c>
      <c r="G24" s="30"/>
      <c r="H24" s="30"/>
      <c r="I24" s="18"/>
      <c r="J24" s="10"/>
      <c r="K24" s="10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4">
        <v>500.0</v>
      </c>
      <c r="B25" s="22">
        <v>100.0</v>
      </c>
      <c r="C25" s="14">
        <v>2.0</v>
      </c>
      <c r="D25" s="30" t="str">
        <f>('F Max'!$G25 - 'F Max'!D25)/'F Max'!$G25</f>
        <v>0.1209%</v>
      </c>
      <c r="E25" s="30" t="str">
        <f>('F Max'!$G25 - 'F Max'!E25)/'F Max'!$G25</f>
        <v>0.0000%</v>
      </c>
      <c r="F25" s="30" t="str">
        <f>('F Max'!$G25 - 'F Max'!F25)/'F Max'!$G25</f>
        <v>0.0094%</v>
      </c>
      <c r="G25" s="30"/>
      <c r="H25" s="30"/>
      <c r="I25" s="18"/>
      <c r="J25" s="17"/>
      <c r="K25" s="17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4">
        <v>500.0</v>
      </c>
      <c r="B26" s="14">
        <v>100.0</v>
      </c>
      <c r="C26" s="14">
        <v>3.0</v>
      </c>
      <c r="D26" s="30" t="str">
        <f>('F Max'!$G26 - 'F Max'!D26)/'F Max'!$G26</f>
        <v>0.0714%</v>
      </c>
      <c r="E26" s="30" t="str">
        <f>('F Max'!$G26 - 'F Max'!E26)/'F Max'!$G26</f>
        <v>0.0000%</v>
      </c>
      <c r="F26" s="30" t="str">
        <f>('F Max'!$G26 - 'F Max'!F26)/'F Max'!$G26</f>
        <v>0.0455%</v>
      </c>
      <c r="G26" s="30"/>
      <c r="H26" s="30"/>
      <c r="I26" s="18"/>
      <c r="J26" s="17"/>
      <c r="K26" s="17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4">
        <v>500.0</v>
      </c>
      <c r="B27" s="14">
        <v>100.0</v>
      </c>
      <c r="C27" s="14">
        <v>4.0</v>
      </c>
      <c r="D27" s="30" t="str">
        <f>('F Max'!$G27 - 'F Max'!D27)/'F Max'!$G27</f>
        <v>0.0000%</v>
      </c>
      <c r="E27" s="30" t="str">
        <f>('F Max'!$G27 - 'F Max'!E27)/'F Max'!$G27</f>
        <v>0.0302%</v>
      </c>
      <c r="F27" s="30" t="str">
        <f>('F Max'!$G27 - 'F Max'!F27)/'F Max'!$G27</f>
        <v>0.0831%</v>
      </c>
      <c r="G27" s="30"/>
      <c r="H27" s="30"/>
      <c r="I27" s="18"/>
      <c r="J27" s="17"/>
      <c r="K27" s="1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4">
        <v>500.0</v>
      </c>
      <c r="B28" s="14">
        <v>100.0</v>
      </c>
      <c r="C28" s="14">
        <v>5.0</v>
      </c>
      <c r="D28" s="30" t="str">
        <f>('F Max'!$G28 - 'F Max'!D28)/'F Max'!$G28</f>
        <v>0.0000%</v>
      </c>
      <c r="E28" s="30" t="str">
        <f>('F Max'!$G28 - 'F Max'!E28)/'F Max'!$G28</f>
        <v>0.0502%</v>
      </c>
      <c r="F28" s="30" t="str">
        <f>('F Max'!$G28 - 'F Max'!F28)/'F Max'!$G28</f>
        <v>0.0252%</v>
      </c>
      <c r="G28" s="30"/>
      <c r="H28" s="30"/>
      <c r="I28" s="18"/>
      <c r="J28" s="17"/>
      <c r="K28" s="3" t="s">
        <v>28</v>
      </c>
      <c r="L28" s="12"/>
      <c r="M28" s="12"/>
      <c r="N28" s="11"/>
      <c r="O28" s="11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5">
        <v>1000.0</v>
      </c>
      <c r="B29" s="25">
        <v>1.0</v>
      </c>
      <c r="C29" s="25">
        <v>1.0</v>
      </c>
      <c r="D29" s="30" t="str">
        <f>('F Max'!$G29 - 'F Max'!D29)/'F Max'!$G29</f>
        <v>0.0465%</v>
      </c>
      <c r="E29" s="30" t="str">
        <f>('F Max'!$G29 - 'F Max'!E29)/'F Max'!$G29</f>
        <v>0.0000%</v>
      </c>
      <c r="F29" s="30" t="str">
        <f>('F Max'!$G29 - 'F Max'!F29)/'F Max'!$G29</f>
        <v>0.3080%</v>
      </c>
      <c r="G29" s="30"/>
      <c r="H29" s="30"/>
      <c r="I29" s="17"/>
      <c r="J29" s="17"/>
      <c r="K29" s="23" t="s">
        <v>0</v>
      </c>
      <c r="L29" s="23" t="s">
        <v>1</v>
      </c>
      <c r="M29" s="23" t="s">
        <v>2</v>
      </c>
      <c r="N29" s="8" t="s">
        <v>29</v>
      </c>
      <c r="O29" s="8" t="s">
        <v>30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27">
        <v>1000.0</v>
      </c>
      <c r="B30" s="27">
        <v>1.0</v>
      </c>
      <c r="C30" s="27">
        <v>2.0</v>
      </c>
      <c r="D30" s="30" t="str">
        <f>('F Max'!$G30 - 'F Max'!D30)/'F Max'!$G30</f>
        <v>0.0968%</v>
      </c>
      <c r="E30" s="30" t="str">
        <f>('F Max'!$G30 - 'F Max'!E30)/'F Max'!$G30</f>
        <v>0.0000%</v>
      </c>
      <c r="F30" s="30" t="str">
        <f>('F Max'!$G30 - 'F Max'!F30)/'F Max'!$G30</f>
        <v>0.2371%</v>
      </c>
      <c r="G30" s="30"/>
      <c r="H30" s="30"/>
      <c r="K30" s="21">
        <v>1000.0</v>
      </c>
      <c r="L30" s="21">
        <v>1.0</v>
      </c>
      <c r="M30" s="21">
        <v>1.0</v>
      </c>
      <c r="N30" s="31" t="str">
        <f t="shared" ref="N30:N54" si="1">E4/D4</f>
        <v>#DIV/0!</v>
      </c>
      <c r="O30" s="31" t="str">
        <f t="shared" ref="O30:O54" si="2">G4/F4</f>
        <v>0.00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27">
        <v>1000.0</v>
      </c>
      <c r="B31" s="27">
        <v>1.0</v>
      </c>
      <c r="C31" s="27">
        <v>3.0</v>
      </c>
      <c r="D31" s="30" t="str">
        <f>('F Max'!$G31 - 'F Max'!D31)/'F Max'!$G31</f>
        <v>0.0000%</v>
      </c>
      <c r="E31" s="30" t="str">
        <f>('F Max'!$G31 - 'F Max'!E31)/'F Max'!$G31</f>
        <v>0.9676%</v>
      </c>
      <c r="F31" s="30" t="str">
        <f>('F Max'!$G31 - 'F Max'!F31)/'F Max'!$G31</f>
        <v>0.4958%</v>
      </c>
      <c r="G31" s="30"/>
      <c r="H31" s="30"/>
      <c r="K31" s="21">
        <v>1000.0</v>
      </c>
      <c r="L31" s="21">
        <v>1.0</v>
      </c>
      <c r="M31" s="21">
        <v>2.0</v>
      </c>
      <c r="N31" s="31" t="str">
        <f t="shared" si="1"/>
        <v>0.00</v>
      </c>
      <c r="O31" s="31" t="str">
        <f t="shared" si="2"/>
        <v>0.00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27">
        <v>1000.0</v>
      </c>
      <c r="B32" s="27">
        <v>1.0</v>
      </c>
      <c r="C32" s="27">
        <v>4.0</v>
      </c>
      <c r="D32" s="30" t="str">
        <f>('F Max'!$G32 - 'F Max'!D32)/'F Max'!$G32</f>
        <v>0.0777%</v>
      </c>
      <c r="E32" s="30" t="str">
        <f>('F Max'!$G32 - 'F Max'!E32)/'F Max'!$G32</f>
        <v>0.0005%</v>
      </c>
      <c r="F32" s="30" t="str">
        <f>('F Max'!$G32 - 'F Max'!F32)/'F Max'!$G32</f>
        <v>0.0000%</v>
      </c>
      <c r="G32" s="30"/>
      <c r="H32" s="30"/>
      <c r="K32" s="21">
        <v>1000.0</v>
      </c>
      <c r="L32" s="21">
        <v>1.0</v>
      </c>
      <c r="M32" s="21">
        <v>3.0</v>
      </c>
      <c r="N32" s="31" t="str">
        <f t="shared" si="1"/>
        <v>#DIV/0!</v>
      </c>
      <c r="O32" s="31" t="str">
        <f t="shared" si="2"/>
        <v>0.00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7">
        <v>1000.0</v>
      </c>
      <c r="B33" s="27">
        <v>1.0</v>
      </c>
      <c r="C33" s="27">
        <v>5.0</v>
      </c>
      <c r="D33" s="30" t="str">
        <f>('F Max'!$G33 - 'F Max'!D33)/'F Max'!$G33</f>
        <v>0.0000%</v>
      </c>
      <c r="E33" s="30" t="str">
        <f>('F Max'!$G33 - 'F Max'!E33)/'F Max'!$G33</f>
        <v>0.7912%</v>
      </c>
      <c r="F33" s="30" t="str">
        <f>('F Max'!$G33 - 'F Max'!F33)/'F Max'!$G33</f>
        <v>0.3740%</v>
      </c>
      <c r="G33" s="30"/>
      <c r="H33" s="30"/>
      <c r="K33" s="21">
        <v>1000.0</v>
      </c>
      <c r="L33" s="21">
        <v>1.0</v>
      </c>
      <c r="M33" s="21">
        <v>4.0</v>
      </c>
      <c r="N33" s="31" t="str">
        <f t="shared" si="1"/>
        <v>#DIV/0!</v>
      </c>
      <c r="O33" s="31" t="str">
        <f t="shared" si="2"/>
        <v>0.00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27">
        <v>1000.0</v>
      </c>
      <c r="B34" s="27">
        <v>5.0</v>
      </c>
      <c r="C34" s="27">
        <v>1.0</v>
      </c>
      <c r="D34" s="30" t="str">
        <f>('F Max'!$G34 - 'F Max'!D34)/'F Max'!$G34</f>
        <v>0.0000%</v>
      </c>
      <c r="E34" s="30" t="str">
        <f>('F Max'!$G34 - 'F Max'!E34)/'F Max'!$G34</f>
        <v>0.1144%</v>
      </c>
      <c r="F34" s="30" t="str">
        <f>('F Max'!$G34 - 'F Max'!F34)/'F Max'!$G34</f>
        <v>0.1681%</v>
      </c>
      <c r="G34" s="30"/>
      <c r="H34" s="30"/>
      <c r="K34" s="21">
        <v>1000.0</v>
      </c>
      <c r="L34" s="21">
        <v>1.0</v>
      </c>
      <c r="M34" s="21">
        <v>5.0</v>
      </c>
      <c r="N34" s="31" t="str">
        <f t="shared" si="1"/>
        <v>0.00</v>
      </c>
      <c r="O34" s="31" t="str">
        <f t="shared" si="2"/>
        <v>0.00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7">
        <v>1000.0</v>
      </c>
      <c r="B35" s="27">
        <v>5.0</v>
      </c>
      <c r="C35" s="27">
        <v>2.0</v>
      </c>
      <c r="D35" s="30" t="str">
        <f>('F Max'!$G35 - 'F Max'!D35)/'F Max'!$G35</f>
        <v>0.1196%</v>
      </c>
      <c r="E35" s="30" t="str">
        <f>('F Max'!$G35 - 'F Max'!E35)/'F Max'!$G35</f>
        <v>0.0819%</v>
      </c>
      <c r="F35" s="30" t="str">
        <f>('F Max'!$G35 - 'F Max'!F35)/'F Max'!$G35</f>
        <v>0.0000%</v>
      </c>
      <c r="G35" s="30"/>
      <c r="H35" s="30"/>
      <c r="K35" s="21">
        <v>1000.0</v>
      </c>
      <c r="L35" s="21">
        <v>5.0</v>
      </c>
      <c r="M35" s="21">
        <v>1.0</v>
      </c>
      <c r="N35" s="31" t="str">
        <f t="shared" si="1"/>
        <v>0.28</v>
      </c>
      <c r="O35" s="31" t="str">
        <f t="shared" si="2"/>
        <v>#DIV/0!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27">
        <v>1000.0</v>
      </c>
      <c r="B36" s="27">
        <v>5.0</v>
      </c>
      <c r="C36" s="27">
        <v>3.0</v>
      </c>
      <c r="D36" s="30" t="str">
        <f>('F Max'!$G36 - 'F Max'!D36)/'F Max'!$G36</f>
        <v>0.3110%</v>
      </c>
      <c r="E36" s="30" t="str">
        <f>('F Max'!$G36 - 'F Max'!E36)/'F Max'!$G36</f>
        <v>0.0000%</v>
      </c>
      <c r="F36" s="30" t="str">
        <f>('F Max'!$G36 - 'F Max'!F36)/'F Max'!$G36</f>
        <v>0.2793%</v>
      </c>
      <c r="G36" s="30"/>
      <c r="H36" s="30"/>
      <c r="K36" s="21">
        <v>1000.0</v>
      </c>
      <c r="L36" s="21">
        <v>5.0</v>
      </c>
      <c r="M36" s="21">
        <v>2.0</v>
      </c>
      <c r="N36" s="31" t="str">
        <f t="shared" si="1"/>
        <v>0.00</v>
      </c>
      <c r="O36" s="31" t="str">
        <f t="shared" si="2"/>
        <v>0.00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7">
        <v>1000.0</v>
      </c>
      <c r="B37" s="27">
        <v>5.0</v>
      </c>
      <c r="C37" s="27">
        <v>4.0</v>
      </c>
      <c r="D37" s="30" t="str">
        <f>('F Max'!$G37 - 'F Max'!D37)/'F Max'!$G37</f>
        <v>0.0000%</v>
      </c>
      <c r="E37" s="30" t="str">
        <f>('F Max'!$G37 - 'F Max'!E37)/'F Max'!$G37</f>
        <v>0.4946%</v>
      </c>
      <c r="F37" s="30" t="str">
        <f>('F Max'!$G37 - 'F Max'!F37)/'F Max'!$G37</f>
        <v>0.2391%</v>
      </c>
      <c r="G37" s="30"/>
      <c r="H37" s="30"/>
      <c r="K37" s="21">
        <v>1000.0</v>
      </c>
      <c r="L37" s="21">
        <v>5.0</v>
      </c>
      <c r="M37" s="21">
        <v>3.0</v>
      </c>
      <c r="N37" s="31" t="str">
        <f t="shared" si="1"/>
        <v>#DIV/0!</v>
      </c>
      <c r="O37" s="31" t="str">
        <f t="shared" si="2"/>
        <v>0.00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27">
        <v>1000.0</v>
      </c>
      <c r="B38" s="27">
        <v>5.0</v>
      </c>
      <c r="C38" s="27">
        <v>5.0</v>
      </c>
      <c r="D38" s="30" t="str">
        <f>('F Max'!$G38 - 'F Max'!D38)/'F Max'!$G38</f>
        <v>0.5496%</v>
      </c>
      <c r="E38" s="30" t="str">
        <f>('F Max'!$G38 - 'F Max'!E38)/'F Max'!$G38</f>
        <v>0.0000%</v>
      </c>
      <c r="F38" s="30" t="str">
        <f>('F Max'!$G38 - 'F Max'!F38)/'F Max'!$G38</f>
        <v>0.2651%</v>
      </c>
      <c r="G38" s="30"/>
      <c r="H38" s="30"/>
      <c r="K38" s="21">
        <v>1000.0</v>
      </c>
      <c r="L38" s="21">
        <v>5.0</v>
      </c>
      <c r="M38" s="21">
        <v>4.0</v>
      </c>
      <c r="N38" s="31" t="str">
        <f t="shared" si="1"/>
        <v>187.50</v>
      </c>
      <c r="O38" s="31" t="str">
        <f t="shared" si="2"/>
        <v>#DIV/0!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27">
        <v>1000.0</v>
      </c>
      <c r="B39" s="27">
        <v>10.0</v>
      </c>
      <c r="C39" s="27">
        <v>1.0</v>
      </c>
      <c r="D39" s="30" t="str">
        <f>('F Max'!$G39 - 'F Max'!D39)/'F Max'!$G39</f>
        <v>0.2426%</v>
      </c>
      <c r="E39" s="30" t="str">
        <f>('F Max'!$G39 - 'F Max'!E39)/'F Max'!$G39</f>
        <v>0.0000%</v>
      </c>
      <c r="F39" s="30" t="str">
        <f>('F Max'!$G39 - 'F Max'!F39)/'F Max'!$G39</f>
        <v>0.2571%</v>
      </c>
      <c r="G39" s="30"/>
      <c r="H39" s="30"/>
      <c r="K39" s="21">
        <v>1000.0</v>
      </c>
      <c r="L39" s="21">
        <v>5.0</v>
      </c>
      <c r="M39" s="21">
        <v>5.0</v>
      </c>
      <c r="N39" s="31" t="str">
        <f t="shared" si="1"/>
        <v>#DIV/0!</v>
      </c>
      <c r="O39" s="31" t="str">
        <f t="shared" si="2"/>
        <v>0.00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27">
        <v>1000.0</v>
      </c>
      <c r="B40" s="27">
        <v>10.0</v>
      </c>
      <c r="C40" s="27">
        <v>2.0</v>
      </c>
      <c r="D40" s="30" t="str">
        <f>('F Max'!$G40 - 'F Max'!D40)/'F Max'!$G40</f>
        <v>0.2129%</v>
      </c>
      <c r="E40" s="30" t="str">
        <f>('F Max'!$G40 - 'F Max'!E40)/'F Max'!$G40</f>
        <v>0.0000%</v>
      </c>
      <c r="F40" s="30" t="str">
        <f>('F Max'!$G40 - 'F Max'!F40)/'F Max'!$G40</f>
        <v>0.2251%</v>
      </c>
      <c r="G40" s="30"/>
      <c r="H40" s="30"/>
      <c r="K40" s="21">
        <v>1000.0</v>
      </c>
      <c r="L40" s="21">
        <v>10.0</v>
      </c>
      <c r="M40" s="21">
        <v>1.0</v>
      </c>
      <c r="N40" s="31" t="str">
        <f t="shared" si="1"/>
        <v>0.16</v>
      </c>
      <c r="O40" s="31" t="str">
        <f t="shared" si="2"/>
        <v>#DIV/0!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27">
        <v>1000.0</v>
      </c>
      <c r="B41" s="27">
        <v>10.0</v>
      </c>
      <c r="C41" s="27">
        <v>3.0</v>
      </c>
      <c r="D41" s="30" t="str">
        <f>('F Max'!$G41 - 'F Max'!D41)/'F Max'!$G41</f>
        <v>0.1219%</v>
      </c>
      <c r="E41" s="30" t="str">
        <f>('F Max'!$G41 - 'F Max'!E41)/'F Max'!$G41</f>
        <v>0.0302%</v>
      </c>
      <c r="F41" s="30" t="str">
        <f>('F Max'!$G41 - 'F Max'!F41)/'F Max'!$G41</f>
        <v>0.0000%</v>
      </c>
      <c r="G41" s="30"/>
      <c r="H41" s="30"/>
      <c r="K41" s="21">
        <v>1000.0</v>
      </c>
      <c r="L41" s="21">
        <v>10.0</v>
      </c>
      <c r="M41" s="21">
        <v>2.0</v>
      </c>
      <c r="N41" s="31" t="str">
        <f t="shared" si="1"/>
        <v>0.98</v>
      </c>
      <c r="O41" s="31" t="str">
        <f t="shared" si="2"/>
        <v>#DIV/0!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27">
        <v>1000.0</v>
      </c>
      <c r="B42" s="27">
        <v>10.0</v>
      </c>
      <c r="C42" s="27">
        <v>4.0</v>
      </c>
      <c r="D42" s="30" t="str">
        <f>('F Max'!$G42 - 'F Max'!D42)/'F Max'!$G42</f>
        <v>0.2152%</v>
      </c>
      <c r="E42" s="30" t="str">
        <f>('F Max'!$G42 - 'F Max'!E42)/'F Max'!$G42</f>
        <v>0.0000%</v>
      </c>
      <c r="F42" s="30" t="str">
        <f>('F Max'!$G42 - 'F Max'!F42)/'F Max'!$G42</f>
        <v>0.2100%</v>
      </c>
      <c r="G42" s="30"/>
      <c r="H42" s="30"/>
      <c r="K42" s="21">
        <v>1000.0</v>
      </c>
      <c r="L42" s="21">
        <v>10.0</v>
      </c>
      <c r="M42" s="21">
        <v>3.0</v>
      </c>
      <c r="N42" s="31" t="str">
        <f t="shared" si="1"/>
        <v>0.74</v>
      </c>
      <c r="O42" s="31" t="str">
        <f t="shared" si="2"/>
        <v>#DIV/0!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27">
        <v>1000.0</v>
      </c>
      <c r="B43" s="27">
        <v>10.0</v>
      </c>
      <c r="C43" s="27">
        <v>5.0</v>
      </c>
      <c r="D43" s="30" t="str">
        <f>('F Max'!$G43 - 'F Max'!D43)/'F Max'!$G43</f>
        <v>0.0496%</v>
      </c>
      <c r="E43" s="30" t="str">
        <f>('F Max'!$G43 - 'F Max'!E43)/'F Max'!$G43</f>
        <v>0.0000%</v>
      </c>
      <c r="F43" s="30" t="str">
        <f>('F Max'!$G43 - 'F Max'!F43)/'F Max'!$G43</f>
        <v>0.0105%</v>
      </c>
      <c r="G43" s="30"/>
      <c r="H43" s="30"/>
      <c r="K43" s="21">
        <v>1000.0</v>
      </c>
      <c r="L43" s="21">
        <v>10.0</v>
      </c>
      <c r="M43" s="21">
        <v>4.0</v>
      </c>
      <c r="N43" s="31" t="str">
        <f t="shared" si="1"/>
        <v>0.00</v>
      </c>
      <c r="O43" s="31" t="str">
        <f t="shared" si="2"/>
        <v>0.00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27">
        <v>1000.0</v>
      </c>
      <c r="B44" s="27">
        <v>50.0</v>
      </c>
      <c r="C44" s="27">
        <v>1.0</v>
      </c>
      <c r="D44" s="30" t="str">
        <f>('F Max'!$G44 - 'F Max'!D44)/'F Max'!$G44</f>
        <v>0.1408%</v>
      </c>
      <c r="E44" s="30" t="str">
        <f>('F Max'!$G44 - 'F Max'!E44)/'F Max'!$G44</f>
        <v>0.0560%</v>
      </c>
      <c r="F44" s="30" t="str">
        <f>('F Max'!$G44 - 'F Max'!F44)/'F Max'!$G44</f>
        <v>0.0000%</v>
      </c>
      <c r="G44" s="30"/>
      <c r="H44" s="30"/>
      <c r="K44" s="21">
        <v>1000.0</v>
      </c>
      <c r="L44" s="21">
        <v>10.0</v>
      </c>
      <c r="M44" s="21">
        <v>5.0</v>
      </c>
      <c r="N44" s="31" t="str">
        <f t="shared" si="1"/>
        <v>#DIV/0!</v>
      </c>
      <c r="O44" s="31" t="str">
        <f t="shared" si="2"/>
        <v>0.00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27">
        <v>1000.0</v>
      </c>
      <c r="B45" s="27">
        <v>50.0</v>
      </c>
      <c r="C45" s="27">
        <v>2.0</v>
      </c>
      <c r="D45" s="30" t="str">
        <f>('F Max'!$G45 - 'F Max'!D45)/'F Max'!$G45</f>
        <v>0.0370%</v>
      </c>
      <c r="E45" s="30" t="str">
        <f>('F Max'!$G45 - 'F Max'!E45)/'F Max'!$G45</f>
        <v>0.0294%</v>
      </c>
      <c r="F45" s="30" t="str">
        <f>('F Max'!$G45 - 'F Max'!F45)/'F Max'!$G45</f>
        <v>0.0000%</v>
      </c>
      <c r="G45" s="30"/>
      <c r="H45" s="30"/>
      <c r="K45" s="21">
        <v>1000.0</v>
      </c>
      <c r="L45" s="21">
        <v>50.0</v>
      </c>
      <c r="M45" s="21">
        <v>1.0</v>
      </c>
      <c r="N45" s="31" t="str">
        <f t="shared" si="1"/>
        <v>0.00</v>
      </c>
      <c r="O45" s="31" t="str">
        <f t="shared" si="2"/>
        <v>0.00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27">
        <v>1000.0</v>
      </c>
      <c r="B46" s="27">
        <v>50.0</v>
      </c>
      <c r="C46" s="27">
        <v>3.0</v>
      </c>
      <c r="D46" s="30" t="str">
        <f>('F Max'!$G46 - 'F Max'!D46)/'F Max'!$G46</f>
        <v>0.0000%</v>
      </c>
      <c r="E46" s="30" t="str">
        <f>('F Max'!$G46 - 'F Max'!E46)/'F Max'!$G46</f>
        <v>0.0499%</v>
      </c>
      <c r="F46" s="30" t="str">
        <f>('F Max'!$G46 - 'F Max'!F46)/'F Max'!$G46</f>
        <v>0.0965%</v>
      </c>
      <c r="G46" s="30"/>
      <c r="H46" s="30"/>
      <c r="K46" s="21">
        <v>1000.0</v>
      </c>
      <c r="L46" s="21">
        <v>50.0</v>
      </c>
      <c r="M46" s="21">
        <v>2.0</v>
      </c>
      <c r="N46" s="31" t="str">
        <f t="shared" si="1"/>
        <v>0.00</v>
      </c>
      <c r="O46" s="31" t="str">
        <f t="shared" si="2"/>
        <v>0.00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27">
        <v>1000.0</v>
      </c>
      <c r="B47" s="27">
        <v>50.0</v>
      </c>
      <c r="C47" s="27">
        <v>4.0</v>
      </c>
      <c r="D47" s="30" t="str">
        <f>('F Max'!$G47 - 'F Max'!D47)/'F Max'!$G47</f>
        <v>0.0000%</v>
      </c>
      <c r="E47" s="30" t="str">
        <f>('F Max'!$G47 - 'F Max'!E47)/'F Max'!$G47</f>
        <v>0.0739%</v>
      </c>
      <c r="F47" s="30" t="str">
        <f>('F Max'!$G47 - 'F Max'!F47)/'F Max'!$G47</f>
        <v>0.0116%</v>
      </c>
      <c r="G47" s="30"/>
      <c r="H47" s="30"/>
      <c r="K47" s="21">
        <v>1000.0</v>
      </c>
      <c r="L47" s="21">
        <v>50.0</v>
      </c>
      <c r="M47" s="21">
        <v>3.0</v>
      </c>
      <c r="N47" s="31" t="str">
        <f t="shared" si="1"/>
        <v>0.00</v>
      </c>
      <c r="O47" s="31" t="str">
        <f t="shared" si="2"/>
        <v>0.00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27">
        <v>1000.0</v>
      </c>
      <c r="B48" s="27">
        <v>50.0</v>
      </c>
      <c r="C48" s="27">
        <v>5.0</v>
      </c>
      <c r="D48" s="30" t="str">
        <f>('F Max'!$G48 - 'F Max'!D48)/'F Max'!$G48</f>
        <v>0.0192%</v>
      </c>
      <c r="E48" s="30" t="str">
        <f>('F Max'!$G48 - 'F Max'!E48)/'F Max'!$G48</f>
        <v>0.0000%</v>
      </c>
      <c r="F48" s="30" t="str">
        <f>('F Max'!$G48 - 'F Max'!F48)/'F Max'!$G48</f>
        <v>0.1531%</v>
      </c>
      <c r="G48" s="30"/>
      <c r="H48" s="30"/>
      <c r="K48" s="21">
        <v>1000.0</v>
      </c>
      <c r="L48" s="21">
        <v>50.0</v>
      </c>
      <c r="M48" s="21">
        <v>4.0</v>
      </c>
      <c r="N48" s="31" t="str">
        <f t="shared" si="1"/>
        <v>#DIV/0!</v>
      </c>
      <c r="O48" s="31" t="str">
        <f t="shared" si="2"/>
        <v>0.00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27">
        <v>1000.0</v>
      </c>
      <c r="B49" s="27">
        <v>100.0</v>
      </c>
      <c r="C49" s="27">
        <v>1.0</v>
      </c>
      <c r="D49" s="30" t="str">
        <f>('F Max'!$G49 - 'F Max'!D49)/'F Max'!$G49</f>
        <v>0.0193%</v>
      </c>
      <c r="E49" s="30" t="str">
        <f>('F Max'!$G49 - 'F Max'!E49)/'F Max'!$G49</f>
        <v>0.0000%</v>
      </c>
      <c r="F49" s="30" t="str">
        <f>('F Max'!$G49 - 'F Max'!F49)/'F Max'!$G49</f>
        <v>0.0447%</v>
      </c>
      <c r="G49" s="30"/>
      <c r="H49" s="30"/>
      <c r="K49" s="21">
        <v>1000.0</v>
      </c>
      <c r="L49" s="21">
        <v>50.0</v>
      </c>
      <c r="M49" s="21">
        <v>5.0</v>
      </c>
      <c r="N49" s="31" t="str">
        <f t="shared" si="1"/>
        <v>15.43</v>
      </c>
      <c r="O49" s="31" t="str">
        <f t="shared" si="2"/>
        <v>#DIV/0!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27">
        <v>1000.0</v>
      </c>
      <c r="B50" s="27">
        <v>100.0</v>
      </c>
      <c r="C50" s="27">
        <v>2.0</v>
      </c>
      <c r="D50" s="30" t="str">
        <f>('F Max'!$G50 - 'F Max'!D50)/'F Max'!$G50</f>
        <v>0.0000%</v>
      </c>
      <c r="E50" s="30" t="str">
        <f>('F Max'!$G50 - 'F Max'!E50)/'F Max'!$G50</f>
        <v>0.0197%</v>
      </c>
      <c r="F50" s="30" t="str">
        <f>('F Max'!$G50 - 'F Max'!F50)/'F Max'!$G50</f>
        <v>0.0463%</v>
      </c>
      <c r="G50" s="30"/>
      <c r="H50" s="30"/>
      <c r="K50" s="21">
        <v>1000.0</v>
      </c>
      <c r="L50" s="21">
        <v>100.0</v>
      </c>
      <c r="M50" s="21">
        <v>1.0</v>
      </c>
      <c r="N50" s="31" t="str">
        <f t="shared" si="1"/>
        <v>0.00</v>
      </c>
      <c r="O50" s="31" t="str">
        <f t="shared" si="2"/>
        <v>0.00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27">
        <v>1000.0</v>
      </c>
      <c r="B51" s="27">
        <v>100.0</v>
      </c>
      <c r="C51" s="27">
        <v>3.0</v>
      </c>
      <c r="D51" s="30" t="str">
        <f>('F Max'!$G51 - 'F Max'!D51)/'F Max'!$G51</f>
        <v>0.0000%</v>
      </c>
      <c r="E51" s="30" t="str">
        <f>('F Max'!$G51 - 'F Max'!E51)/'F Max'!$G51</f>
        <v>0.0648%</v>
      </c>
      <c r="F51" s="30" t="str">
        <f>('F Max'!$G51 - 'F Max'!F51)/'F Max'!$G51</f>
        <v>0.0299%</v>
      </c>
      <c r="G51" s="30"/>
      <c r="H51" s="30"/>
      <c r="K51" s="21">
        <v>1000.0</v>
      </c>
      <c r="L51" s="21">
        <v>100.0</v>
      </c>
      <c r="M51" s="21">
        <v>2.0</v>
      </c>
      <c r="N51" s="31" t="str">
        <f t="shared" si="1"/>
        <v>0.00</v>
      </c>
      <c r="O51" s="31" t="str">
        <f t="shared" si="2"/>
        <v>0.00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27">
        <v>1000.0</v>
      </c>
      <c r="B52" s="27">
        <v>100.0</v>
      </c>
      <c r="C52" s="27">
        <v>4.0</v>
      </c>
      <c r="D52" s="30" t="str">
        <f>('F Max'!$G52 - 'F Max'!D52)/'F Max'!$G52</f>
        <v>0.0000%</v>
      </c>
      <c r="E52" s="30" t="str">
        <f>('F Max'!$G52 - 'F Max'!E52)/'F Max'!$G52</f>
        <v>0.0178%</v>
      </c>
      <c r="F52" s="30" t="str">
        <f>('F Max'!$G52 - 'F Max'!F52)/'F Max'!$G52</f>
        <v>0.0391%</v>
      </c>
      <c r="G52" s="30"/>
      <c r="H52" s="30"/>
      <c r="K52" s="21">
        <v>1000.0</v>
      </c>
      <c r="L52" s="21">
        <v>100.0</v>
      </c>
      <c r="M52" s="21">
        <v>3.0</v>
      </c>
      <c r="N52" s="31" t="str">
        <f t="shared" si="1"/>
        <v>0.00</v>
      </c>
      <c r="O52" s="31" t="str">
        <f t="shared" si="2"/>
        <v>0.00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27">
        <v>1000.0</v>
      </c>
      <c r="B53" s="27">
        <v>100.0</v>
      </c>
      <c r="C53" s="27">
        <v>5.0</v>
      </c>
      <c r="D53" s="30" t="str">
        <f>('F Max'!$G53 - 'F Max'!D53)/'F Max'!$G53</f>
        <v>0.0182%</v>
      </c>
      <c r="E53" s="30" t="str">
        <f>('F Max'!$G53 - 'F Max'!E53)/'F Max'!$G53</f>
        <v>0.0000%</v>
      </c>
      <c r="F53" s="30" t="str">
        <f>('F Max'!$G53 - 'F Max'!F53)/'F Max'!$G53</f>
        <v>0.0135%</v>
      </c>
      <c r="G53" s="30"/>
      <c r="H53" s="30"/>
      <c r="K53" s="21">
        <v>1000.0</v>
      </c>
      <c r="L53" s="21">
        <v>100.0</v>
      </c>
      <c r="M53" s="21">
        <v>4.0</v>
      </c>
      <c r="N53" s="31" t="str">
        <f t="shared" si="1"/>
        <v>#DIV/0!</v>
      </c>
      <c r="O53" s="31" t="str">
        <f t="shared" si="2"/>
        <v>0.00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27">
        <v>2000.0</v>
      </c>
      <c r="B54" s="27">
        <v>1.0</v>
      </c>
      <c r="C54" s="27">
        <v>1.0</v>
      </c>
      <c r="D54" s="30" t="str">
        <f>('F Max'!$G54 - 'F Max'!D54)/'F Max'!$G54</f>
        <v>0.2187%</v>
      </c>
      <c r="E54" s="30" t="str">
        <f>('F Max'!$G54 - 'F Max'!E54)/'F Max'!$G54</f>
        <v>0.0000%</v>
      </c>
      <c r="F54" s="30" t="str">
        <f>('F Max'!$G54 - 'F Max'!F54)/'F Max'!$G54</f>
        <v>0.0151%</v>
      </c>
      <c r="G54" s="30"/>
      <c r="H54" s="30"/>
      <c r="K54" s="21">
        <v>1000.0</v>
      </c>
      <c r="L54" s="21">
        <v>100.0</v>
      </c>
      <c r="M54" s="21">
        <v>5.0</v>
      </c>
      <c r="N54" s="31" t="str">
        <f t="shared" si="1"/>
        <v>#DIV/0!</v>
      </c>
      <c r="O54" s="31" t="str">
        <f t="shared" si="2"/>
        <v>0.00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27">
        <v>2000.0</v>
      </c>
      <c r="B55" s="27">
        <v>1.0</v>
      </c>
      <c r="C55" s="27">
        <v>2.0</v>
      </c>
      <c r="D55" s="30" t="str">
        <f>('F Max'!$G55 - 'F Max'!D55)/'F Max'!$G55</f>
        <v>0.0000%</v>
      </c>
      <c r="E55" s="30" t="str">
        <f>('F Max'!$G55 - 'F Max'!E55)/'F Max'!$G55</f>
        <v>0.2087%</v>
      </c>
      <c r="F55" s="30" t="str">
        <f>('F Max'!$G55 - 'F Max'!F55)/'F Max'!$G55</f>
        <v>0.0470%</v>
      </c>
      <c r="G55" s="30"/>
      <c r="H55" s="30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27">
        <v>2000.0</v>
      </c>
      <c r="B56" s="27">
        <v>1.0</v>
      </c>
      <c r="C56" s="27">
        <v>3.0</v>
      </c>
      <c r="D56" s="30" t="str">
        <f>('F Max'!$G56 - 'F Max'!D56)/'F Max'!$G56</f>
        <v>0.2142%</v>
      </c>
      <c r="E56" s="30" t="str">
        <f>('F Max'!$G56 - 'F Max'!E56)/'F Max'!$G56</f>
        <v>0.0000%</v>
      </c>
      <c r="F56" s="30" t="str">
        <f>('F Max'!$G56 - 'F Max'!F56)/'F Max'!$G56</f>
        <v>0.0932%</v>
      </c>
      <c r="G56" s="30"/>
      <c r="H56" s="30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27">
        <v>2000.0</v>
      </c>
      <c r="B57" s="27">
        <v>1.0</v>
      </c>
      <c r="C57" s="27">
        <v>4.0</v>
      </c>
      <c r="D57" s="30" t="str">
        <f>('F Max'!$G57 - 'F Max'!D57)/'F Max'!$G57</f>
        <v>0.2648%</v>
      </c>
      <c r="E57" s="30" t="str">
        <f>('F Max'!$G57 - 'F Max'!E57)/'F Max'!$G57</f>
        <v>0.0000%</v>
      </c>
      <c r="F57" s="30" t="str">
        <f>('F Max'!$G57 - 'F Max'!F57)/'F Max'!$G57</f>
        <v>0.0636%</v>
      </c>
      <c r="G57" s="30"/>
      <c r="H57" s="30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27">
        <v>2000.0</v>
      </c>
      <c r="B58" s="27">
        <v>1.0</v>
      </c>
      <c r="C58" s="27">
        <v>5.0</v>
      </c>
      <c r="D58" s="30" t="str">
        <f>('F Max'!$G58 - 'F Max'!D58)/'F Max'!$G58</f>
        <v>0.2315%</v>
      </c>
      <c r="E58" s="30" t="str">
        <f>('F Max'!$G58 - 'F Max'!E58)/'F Max'!$G58</f>
        <v>0.0000%</v>
      </c>
      <c r="F58" s="30" t="str">
        <f>('F Max'!$G58 - 'F Max'!F58)/'F Max'!$G58</f>
        <v>0.3232%</v>
      </c>
      <c r="G58" s="30"/>
      <c r="H58" s="30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28">
        <v>2000.0</v>
      </c>
      <c r="B59" s="28">
        <v>5.0</v>
      </c>
      <c r="C59" s="28">
        <v>1.0</v>
      </c>
      <c r="D59" s="30" t="str">
        <f>('F Max'!$G59 - 'F Max'!D59)/'F Max'!$G59</f>
        <v>0.0060%</v>
      </c>
      <c r="E59" s="30" t="str">
        <f>('F Max'!$G59 - 'F Max'!E59)/'F Max'!$G59</f>
        <v>0.0000%</v>
      </c>
      <c r="F59" s="30" t="str">
        <f>('F Max'!$G59 - 'F Max'!F59)/'F Max'!$G59</f>
        <v>0.0266%</v>
      </c>
      <c r="G59" s="30"/>
      <c r="H59" s="30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28">
        <v>2000.0</v>
      </c>
      <c r="B60" s="28">
        <v>5.0</v>
      </c>
      <c r="C60" s="28">
        <v>2.0</v>
      </c>
      <c r="D60" s="30" t="str">
        <f>('F Max'!$G60 - 'F Max'!D60)/'F Max'!$G60</f>
        <v>0.0000%</v>
      </c>
      <c r="E60" s="30" t="str">
        <f>('F Max'!$G60 - 'F Max'!E60)/'F Max'!$G60</f>
        <v>0.3319%</v>
      </c>
      <c r="F60" s="30" t="str">
        <f>('F Max'!$G60 - 'F Max'!F60)/'F Max'!$G60</f>
        <v>0.1277%</v>
      </c>
      <c r="G60" s="30"/>
      <c r="H60" s="30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28">
        <v>2000.0</v>
      </c>
      <c r="B61" s="28">
        <v>5.0</v>
      </c>
      <c r="C61" s="28">
        <v>3.0</v>
      </c>
      <c r="D61" s="30" t="str">
        <f>('F Max'!$G61 - 'F Max'!D61)/'F Max'!$G61</f>
        <v>0.0315%</v>
      </c>
      <c r="E61" s="30" t="str">
        <f>('F Max'!$G61 - 'F Max'!E61)/'F Max'!$G61</f>
        <v>0.0000%</v>
      </c>
      <c r="F61" s="30" t="str">
        <f>('F Max'!$G61 - 'F Max'!F61)/'F Max'!$G61</f>
        <v>0.0484%</v>
      </c>
      <c r="G61" s="30"/>
      <c r="H61" s="30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28">
        <v>2000.0</v>
      </c>
      <c r="B62" s="28">
        <v>5.0</v>
      </c>
      <c r="C62" s="28">
        <v>4.0</v>
      </c>
      <c r="D62" s="30" t="str">
        <f>('F Max'!$G62 - 'F Max'!D62)/'F Max'!$G62</f>
        <v>0.2959%</v>
      </c>
      <c r="E62" s="30" t="str">
        <f>('F Max'!$G62 - 'F Max'!E62)/'F Max'!$G62</f>
        <v>0.0000%</v>
      </c>
      <c r="F62" s="30" t="str">
        <f>('F Max'!$G62 - 'F Max'!F62)/'F Max'!$G62</f>
        <v>0.1003%</v>
      </c>
      <c r="G62" s="30"/>
      <c r="H62" s="30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28">
        <v>2000.0</v>
      </c>
      <c r="B63" s="28">
        <v>5.0</v>
      </c>
      <c r="C63" s="28">
        <v>5.0</v>
      </c>
      <c r="D63" s="30" t="str">
        <f>('F Max'!$G63 - 'F Max'!D63)/'F Max'!$G63</f>
        <v>0.0326%</v>
      </c>
      <c r="E63" s="30" t="str">
        <f>('F Max'!$G63 - 'F Max'!E63)/'F Max'!$G63</f>
        <v>0.0000%</v>
      </c>
      <c r="F63" s="30" t="str">
        <f>('F Max'!$G63 - 'F Max'!F63)/'F Max'!$G63</f>
        <v>0.0597%</v>
      </c>
      <c r="G63" s="30"/>
      <c r="H63" s="30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28">
        <v>2000.0</v>
      </c>
      <c r="B64" s="28">
        <v>10.0</v>
      </c>
      <c r="C64" s="28">
        <v>1.0</v>
      </c>
      <c r="D64" s="30" t="str">
        <f>('F Max'!$G64 - 'F Max'!D64)/'F Max'!$G64</f>
        <v>0.0487%</v>
      </c>
      <c r="E64" s="30" t="str">
        <f>('F Max'!$G64 - 'F Max'!E64)/'F Max'!$G64</f>
        <v>0.0729%</v>
      </c>
      <c r="F64" s="30" t="str">
        <f>('F Max'!$G64 - 'F Max'!F64)/'F Max'!$G64</f>
        <v>0.0000%</v>
      </c>
      <c r="G64" s="30"/>
      <c r="H64" s="30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28">
        <v>2000.0</v>
      </c>
      <c r="B65" s="28">
        <v>10.0</v>
      </c>
      <c r="C65" s="28">
        <v>2.0</v>
      </c>
      <c r="D65" s="30" t="str">
        <f>('F Max'!$G65 - 'F Max'!D65)/'F Max'!$G65</f>
        <v>0.1735%</v>
      </c>
      <c r="E65" s="30" t="str">
        <f>('F Max'!$G65 - 'F Max'!E65)/'F Max'!$G65</f>
        <v>0.0000%</v>
      </c>
      <c r="F65" s="30" t="str">
        <f>('F Max'!$G65 - 'F Max'!F65)/'F Max'!$G65</f>
        <v>0.1433%</v>
      </c>
      <c r="G65" s="30"/>
      <c r="H65" s="30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28">
        <v>2000.0</v>
      </c>
      <c r="B66" s="28">
        <v>10.0</v>
      </c>
      <c r="C66" s="28">
        <v>3.0</v>
      </c>
      <c r="D66" s="30" t="str">
        <f>('F Max'!$G66 - 'F Max'!D66)/'F Max'!$G66</f>
        <v>0.0141%</v>
      </c>
      <c r="E66" s="30" t="str">
        <f>('F Max'!$G66 - 'F Max'!E66)/'F Max'!$G66</f>
        <v>0.0478%</v>
      </c>
      <c r="F66" s="30" t="str">
        <f>('F Max'!$G66 - 'F Max'!F66)/'F Max'!$G66</f>
        <v>0.0000%</v>
      </c>
      <c r="G66" s="30"/>
      <c r="H66" s="30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28">
        <v>2000.0</v>
      </c>
      <c r="B67" s="28">
        <v>10.0</v>
      </c>
      <c r="C67" s="28">
        <v>4.0</v>
      </c>
      <c r="D67" s="30" t="str">
        <f>('F Max'!$G67 - 'F Max'!D67)/'F Max'!$G67</f>
        <v>0.1157%</v>
      </c>
      <c r="E67" s="30" t="str">
        <f>('F Max'!$G67 - 'F Max'!E67)/'F Max'!$G67</f>
        <v>0.2328%</v>
      </c>
      <c r="F67" s="30" t="str">
        <f>('F Max'!$G67 - 'F Max'!F67)/'F Max'!$G67</f>
        <v>0.0000%</v>
      </c>
      <c r="G67" s="30"/>
      <c r="H67" s="30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28">
        <v>2000.0</v>
      </c>
      <c r="B68" s="28">
        <v>10.0</v>
      </c>
      <c r="C68" s="28">
        <v>5.0</v>
      </c>
      <c r="D68" s="30" t="str">
        <f>('F Max'!$G68 - 'F Max'!D68)/'F Max'!$G68</f>
        <v>0.2035%</v>
      </c>
      <c r="E68" s="30" t="str">
        <f>('F Max'!$G68 - 'F Max'!E68)/'F Max'!$G68</f>
        <v>0.2569%</v>
      </c>
      <c r="F68" s="30" t="str">
        <f>('F Max'!$G68 - 'F Max'!F68)/'F Max'!$G68</f>
        <v>0.0000%</v>
      </c>
      <c r="G68" s="30"/>
      <c r="H68" s="30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28">
        <v>2000.0</v>
      </c>
      <c r="B69" s="28">
        <v>50.0</v>
      </c>
      <c r="C69" s="28">
        <v>1.0</v>
      </c>
      <c r="D69" s="30" t="str">
        <f>('F Max'!$G69 - 'F Max'!D69)/'F Max'!$G69</f>
        <v>0.0000%</v>
      </c>
      <c r="E69" s="30" t="str">
        <f>('F Max'!$G69 - 'F Max'!E69)/'F Max'!$G69</f>
        <v>0.0956%</v>
      </c>
      <c r="F69" s="30" t="str">
        <f>('F Max'!$G69 - 'F Max'!F69)/'F Max'!$G69</f>
        <v>0.0525%</v>
      </c>
      <c r="G69" s="30"/>
      <c r="H69" s="30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28">
        <v>2000.0</v>
      </c>
      <c r="B70" s="28">
        <v>50.0</v>
      </c>
      <c r="C70" s="28">
        <v>2.0</v>
      </c>
      <c r="D70" s="30" t="str">
        <f>('F Max'!$G70 - 'F Max'!D70)/'F Max'!$G70</f>
        <v>0.0432%</v>
      </c>
      <c r="E70" s="30" t="str">
        <f>('F Max'!$G70 - 'F Max'!E70)/'F Max'!$G70</f>
        <v>0.0000%</v>
      </c>
      <c r="F70" s="30" t="str">
        <f>('F Max'!$G70 - 'F Max'!F70)/'F Max'!$G70</f>
        <v>0.0508%</v>
      </c>
      <c r="G70" s="30"/>
      <c r="H70" s="30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28">
        <v>2000.0</v>
      </c>
      <c r="B71" s="28">
        <v>50.0</v>
      </c>
      <c r="C71" s="28">
        <v>3.0</v>
      </c>
      <c r="D71" s="30" t="str">
        <f>('F Max'!$G71 - 'F Max'!D71)/'F Max'!$G71</f>
        <v>0.0727%</v>
      </c>
      <c r="E71" s="30" t="str">
        <f>('F Max'!$G71 - 'F Max'!E71)/'F Max'!$G71</f>
        <v>0.0310%</v>
      </c>
      <c r="F71" s="30" t="str">
        <f>('F Max'!$G71 - 'F Max'!F71)/'F Max'!$G71</f>
        <v>0.0000%</v>
      </c>
      <c r="G71" s="30"/>
      <c r="H71" s="30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28">
        <v>2000.0</v>
      </c>
      <c r="B72" s="28">
        <v>50.0</v>
      </c>
      <c r="C72" s="28">
        <v>4.0</v>
      </c>
      <c r="D72" s="30" t="str">
        <f>('F Max'!$G72 - 'F Max'!D72)/'F Max'!$G72</f>
        <v>0.0000%</v>
      </c>
      <c r="E72" s="30" t="str">
        <f>('F Max'!$G72 - 'F Max'!E72)/'F Max'!$G72</f>
        <v>0.0400%</v>
      </c>
      <c r="F72" s="30" t="str">
        <f>('F Max'!$G72 - 'F Max'!F72)/'F Max'!$G72</f>
        <v>0.0182%</v>
      </c>
      <c r="G72" s="30"/>
      <c r="H72" s="30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28">
        <v>2000.0</v>
      </c>
      <c r="B73" s="28">
        <v>50.0</v>
      </c>
      <c r="C73" s="28">
        <v>5.0</v>
      </c>
      <c r="D73" s="30" t="str">
        <f>('F Max'!$G73 - 'F Max'!D73)/'F Max'!$G73</f>
        <v>0.0000%</v>
      </c>
      <c r="E73" s="30" t="str">
        <f>('F Max'!$G73 - 'F Max'!E73)/'F Max'!$G73</f>
        <v>0.0462%</v>
      </c>
      <c r="F73" s="30" t="str">
        <f>('F Max'!$G73 - 'F Max'!F73)/'F Max'!$G73</f>
        <v>0.0805%</v>
      </c>
      <c r="G73" s="30"/>
      <c r="H73" s="30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28">
        <v>2000.0</v>
      </c>
      <c r="B74" s="28">
        <v>100.0</v>
      </c>
      <c r="C74" s="28">
        <v>1.0</v>
      </c>
      <c r="D74" s="30" t="str">
        <f>('F Max'!$G74 - 'F Max'!D74)/'F Max'!$G74</f>
        <v>0.0000%</v>
      </c>
      <c r="E74" s="30" t="str">
        <f>('F Max'!$G74 - 'F Max'!E74)/'F Max'!$G74</f>
        <v>0.0009%</v>
      </c>
      <c r="F74" s="30" t="str">
        <f>('F Max'!$G74 - 'F Max'!F74)/'F Max'!$G74</f>
        <v>0.0033%</v>
      </c>
      <c r="G74" s="30"/>
      <c r="H74" s="30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28">
        <v>2000.0</v>
      </c>
      <c r="B75" s="28">
        <v>100.0</v>
      </c>
      <c r="C75" s="28">
        <v>2.0</v>
      </c>
      <c r="D75" s="30" t="str">
        <f>('F Max'!$G75 - 'F Max'!D75)/'F Max'!$G75</f>
        <v>0.0000%</v>
      </c>
      <c r="E75" s="30" t="str">
        <f>('F Max'!$G75 - 'F Max'!E75)/'F Max'!$G75</f>
        <v>0.0027%</v>
      </c>
      <c r="F75" s="30" t="str">
        <f>('F Max'!$G75 - 'F Max'!F75)/'F Max'!$G75</f>
        <v>0.0043%</v>
      </c>
      <c r="G75" s="30"/>
      <c r="H75" s="30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28">
        <v>2000.0</v>
      </c>
      <c r="B76" s="28">
        <v>100.0</v>
      </c>
      <c r="C76" s="28">
        <v>3.0</v>
      </c>
      <c r="D76" s="30" t="str">
        <f>('F Max'!$G76 - 'F Max'!D76)/'F Max'!$G76</f>
        <v>0.0000%</v>
      </c>
      <c r="E76" s="30" t="str">
        <f>('F Max'!$G76 - 'F Max'!E76)/'F Max'!$G76</f>
        <v>0.0284%</v>
      </c>
      <c r="F76" s="30" t="str">
        <f>('F Max'!$G76 - 'F Max'!F76)/'F Max'!$G76</f>
        <v>0.0072%</v>
      </c>
      <c r="G76" s="30"/>
      <c r="H76" s="30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28">
        <v>2000.0</v>
      </c>
      <c r="B77" s="28">
        <v>100.0</v>
      </c>
      <c r="C77" s="28">
        <v>4.0</v>
      </c>
      <c r="D77" s="30" t="str">
        <f>('F Max'!$G77 - 'F Max'!D77)/'F Max'!$G77</f>
        <v>0.0000%</v>
      </c>
      <c r="E77" s="30" t="str">
        <f>('F Max'!$G77 - 'F Max'!E77)/'F Max'!$G77</f>
        <v>0.0079%</v>
      </c>
      <c r="F77" s="30" t="str">
        <f>('F Max'!$G77 - 'F Max'!F77)/'F Max'!$G77</f>
        <v>0.0221%</v>
      </c>
      <c r="G77" s="30"/>
      <c r="H77" s="30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28">
        <v>2000.0</v>
      </c>
      <c r="B78" s="28">
        <v>100.0</v>
      </c>
      <c r="C78" s="28">
        <v>5.0</v>
      </c>
      <c r="D78" s="30" t="str">
        <f>('F Max'!$G78 - 'F Max'!D78)/'F Max'!$G78</f>
        <v>0.0000%</v>
      </c>
      <c r="E78" s="30" t="str">
        <f>('F Max'!$G78 - 'F Max'!E78)/'F Max'!$G78</f>
        <v>0.0093%</v>
      </c>
      <c r="F78" s="30" t="str">
        <f>('F Max'!$G78 - 'F Max'!F78)/'F Max'!$G78</f>
        <v>0.0178%</v>
      </c>
      <c r="G78" s="30"/>
      <c r="H78" s="30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28">
        <v>3000.0</v>
      </c>
      <c r="B79" s="28">
        <v>1.0</v>
      </c>
      <c r="C79" s="28">
        <v>1.0</v>
      </c>
      <c r="D79" s="30" t="str">
        <f>('F Max'!$G79 - 'F Max'!D79)/'F Max'!$G79</f>
        <v>0.0000%</v>
      </c>
      <c r="E79" s="30" t="str">
        <f>('F Max'!$G79 - 'F Max'!E79)/'F Max'!$G79</f>
        <v>0.1912%</v>
      </c>
      <c r="F79" s="30" t="str">
        <f>('F Max'!$G79 - 'F Max'!F79)/'F Max'!$G79</f>
        <v>0.1480%</v>
      </c>
      <c r="G79" s="30"/>
      <c r="H79" s="30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28">
        <v>3000.0</v>
      </c>
      <c r="B80" s="28">
        <v>1.0</v>
      </c>
      <c r="C80" s="28">
        <v>2.0</v>
      </c>
      <c r="D80" s="30" t="str">
        <f>('F Max'!$G80 - 'F Max'!D80)/'F Max'!$G80</f>
        <v>0.0001%</v>
      </c>
      <c r="E80" s="30" t="str">
        <f>('F Max'!$G80 - 'F Max'!E80)/'F Max'!$G80</f>
        <v>0.4318%</v>
      </c>
      <c r="F80" s="30" t="str">
        <f>('F Max'!$G80 - 'F Max'!F80)/'F Max'!$G80</f>
        <v>0.0000%</v>
      </c>
      <c r="G80" s="30"/>
      <c r="H80" s="30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28">
        <v>3000.0</v>
      </c>
      <c r="B81" s="28">
        <v>1.0</v>
      </c>
      <c r="C81" s="28">
        <v>3.0</v>
      </c>
      <c r="D81" s="30" t="str">
        <f>('F Max'!$G81 - 'F Max'!D81)/'F Max'!$G81</f>
        <v>0.0000%</v>
      </c>
      <c r="E81" s="30" t="str">
        <f>('F Max'!$G81 - 'F Max'!E81)/'F Max'!$G81</f>
        <v>0.0549%</v>
      </c>
      <c r="F81" s="30" t="str">
        <f>('F Max'!$G81 - 'F Max'!F81)/'F Max'!$G81</f>
        <v>0.1512%</v>
      </c>
      <c r="G81" s="30"/>
      <c r="H81" s="30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28">
        <v>3000.0</v>
      </c>
      <c r="B82" s="28">
        <v>1.0</v>
      </c>
      <c r="C82" s="28">
        <v>4.0</v>
      </c>
      <c r="D82" s="30" t="str">
        <f>('F Max'!$G82 - 'F Max'!D82)/'F Max'!$G82</f>
        <v>0.0000%</v>
      </c>
      <c r="E82" s="30" t="str">
        <f>('F Max'!$G82 - 'F Max'!E82)/'F Max'!$G82</f>
        <v>0.0816%</v>
      </c>
      <c r="F82" s="30" t="str">
        <f>('F Max'!$G82 - 'F Max'!F82)/'F Max'!$G82</f>
        <v>0.2029%</v>
      </c>
      <c r="G82" s="30"/>
      <c r="H82" s="30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28">
        <v>3000.0</v>
      </c>
      <c r="B83" s="28">
        <v>1.0</v>
      </c>
      <c r="C83" s="28">
        <v>5.0</v>
      </c>
      <c r="D83" s="30" t="str">
        <f>('F Max'!$G83 - 'F Max'!D83)/'F Max'!$G83</f>
        <v>0.0000%</v>
      </c>
      <c r="E83" s="30" t="str">
        <f>('F Max'!$G83 - 'F Max'!E83)/'F Max'!$G83</f>
        <v>0.0978%</v>
      </c>
      <c r="F83" s="30" t="str">
        <f>('F Max'!$G83 - 'F Max'!F83)/'F Max'!$G83</f>
        <v>0.1881%</v>
      </c>
      <c r="G83" s="30"/>
      <c r="H83" s="30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28">
        <v>3000.0</v>
      </c>
      <c r="B84" s="28">
        <v>5.0</v>
      </c>
      <c r="C84" s="28">
        <v>1.0</v>
      </c>
      <c r="D84" s="30" t="str">
        <f>('F Max'!$G84 - 'F Max'!D84)/'F Max'!$G84</f>
        <v>0.0000%</v>
      </c>
      <c r="E84" s="30" t="str">
        <f>('F Max'!$G84 - 'F Max'!E84)/'F Max'!$G84</f>
        <v>0.1436%</v>
      </c>
      <c r="F84" s="30" t="str">
        <f>('F Max'!$G84 - 'F Max'!F84)/'F Max'!$G84</f>
        <v>0.1342%</v>
      </c>
      <c r="G84" s="30"/>
      <c r="H84" s="30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28">
        <v>3000.0</v>
      </c>
      <c r="B85" s="28">
        <v>5.0</v>
      </c>
      <c r="C85" s="28">
        <v>2.0</v>
      </c>
      <c r="D85" s="30" t="str">
        <f>('F Max'!$G85 - 'F Max'!D85)/'F Max'!$G85</f>
        <v>0.1362%</v>
      </c>
      <c r="E85" s="30" t="str">
        <f>('F Max'!$G85 - 'F Max'!E85)/'F Max'!$G85</f>
        <v>0.1735%</v>
      </c>
      <c r="F85" s="30" t="str">
        <f>('F Max'!$G85 - 'F Max'!F85)/'F Max'!$G85</f>
        <v>0.0000%</v>
      </c>
      <c r="G85" s="30"/>
      <c r="H85" s="30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28">
        <v>3000.0</v>
      </c>
      <c r="B86" s="28">
        <v>5.0</v>
      </c>
      <c r="C86" s="28">
        <v>3.0</v>
      </c>
      <c r="D86" s="30" t="str">
        <f>('F Max'!$G86 - 'F Max'!D86)/'F Max'!$G86</f>
        <v>0.0000%</v>
      </c>
      <c r="E86" s="30" t="str">
        <f>('F Max'!$G86 - 'F Max'!E86)/'F Max'!$G86</f>
        <v>0.1085%</v>
      </c>
      <c r="F86" s="30" t="str">
        <f>('F Max'!$G86 - 'F Max'!F86)/'F Max'!$G86</f>
        <v>0.1092%</v>
      </c>
      <c r="G86" s="30"/>
      <c r="H86" s="30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28">
        <v>3000.0</v>
      </c>
      <c r="B87" s="28">
        <v>5.0</v>
      </c>
      <c r="C87" s="28">
        <v>4.0</v>
      </c>
      <c r="D87" s="30" t="str">
        <f>('F Max'!$G87 - 'F Max'!D87)/'F Max'!$G87</f>
        <v>0.0000%</v>
      </c>
      <c r="E87" s="30" t="str">
        <f>('F Max'!$G87 - 'F Max'!E87)/'F Max'!$G87</f>
        <v>0.1180%</v>
      </c>
      <c r="F87" s="30" t="str">
        <f>('F Max'!$G87 - 'F Max'!F87)/'F Max'!$G87</f>
        <v>0.1754%</v>
      </c>
      <c r="G87" s="30"/>
      <c r="H87" s="30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28">
        <v>3000.0</v>
      </c>
      <c r="B88" s="28">
        <v>5.0</v>
      </c>
      <c r="C88" s="28">
        <v>5.0</v>
      </c>
      <c r="D88" s="30" t="str">
        <f>('F Max'!$G88 - 'F Max'!D88)/'F Max'!$G88</f>
        <v>0.0917%</v>
      </c>
      <c r="E88" s="30" t="str">
        <f>('F Max'!$G88 - 'F Max'!E88)/'F Max'!$G88</f>
        <v>0.0000%</v>
      </c>
      <c r="F88" s="30" t="str">
        <f>('F Max'!$G88 - 'F Max'!F88)/'F Max'!$G88</f>
        <v>0.0329%</v>
      </c>
      <c r="G88" s="30"/>
      <c r="H88" s="30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28">
        <v>3000.0</v>
      </c>
      <c r="B89" s="28">
        <v>10.0</v>
      </c>
      <c r="C89" s="28">
        <v>1.0</v>
      </c>
      <c r="D89" s="30" t="str">
        <f>('F Max'!$G89 - 'F Max'!D89)/'F Max'!$G89</f>
        <v>0.0034%</v>
      </c>
      <c r="E89" s="30" t="str">
        <f>('F Max'!$G89 - 'F Max'!E89)/'F Max'!$G89</f>
        <v>0.0417%</v>
      </c>
      <c r="F89" s="30" t="str">
        <f>('F Max'!$G89 - 'F Max'!F89)/'F Max'!$G89</f>
        <v>0.0000%</v>
      </c>
      <c r="G89" s="30"/>
      <c r="H89" s="30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28">
        <v>3000.0</v>
      </c>
      <c r="B90" s="28">
        <v>10.0</v>
      </c>
      <c r="C90" s="28">
        <v>2.0</v>
      </c>
      <c r="D90" s="30" t="str">
        <f>('F Max'!$G90 - 'F Max'!D90)/'F Max'!$G90</f>
        <v>0.1357%</v>
      </c>
      <c r="E90" s="30" t="str">
        <f>('F Max'!$G90 - 'F Max'!E90)/'F Max'!$G90</f>
        <v>0.1058%</v>
      </c>
      <c r="F90" s="30" t="str">
        <f>('F Max'!$G90 - 'F Max'!F90)/'F Max'!$G90</f>
        <v>0.0000%</v>
      </c>
      <c r="G90" s="30"/>
      <c r="H90" s="30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28">
        <v>3000.0</v>
      </c>
      <c r="B91" s="28">
        <v>10.0</v>
      </c>
      <c r="C91" s="28">
        <v>3.0</v>
      </c>
      <c r="D91" s="30" t="str">
        <f>('F Max'!$G91 - 'F Max'!D91)/'F Max'!$G91</f>
        <v>0.0000%</v>
      </c>
      <c r="E91" s="30" t="str">
        <f>('F Max'!$G91 - 'F Max'!E91)/'F Max'!$G91</f>
        <v>0.0116%</v>
      </c>
      <c r="F91" s="30" t="str">
        <f>('F Max'!$G91 - 'F Max'!F91)/'F Max'!$G91</f>
        <v>0.0660%</v>
      </c>
      <c r="G91" s="30"/>
      <c r="H91" s="30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28">
        <v>3000.0</v>
      </c>
      <c r="B92" s="28">
        <v>10.0</v>
      </c>
      <c r="C92" s="28">
        <v>4.0</v>
      </c>
      <c r="D92" s="30" t="str">
        <f>('F Max'!$G92 - 'F Max'!D92)/'F Max'!$G92</f>
        <v>0.0834%</v>
      </c>
      <c r="E92" s="30" t="str">
        <f>('F Max'!$G92 - 'F Max'!E92)/'F Max'!$G92</f>
        <v>0.0837%</v>
      </c>
      <c r="F92" s="30" t="str">
        <f>('F Max'!$G92 - 'F Max'!F92)/'F Max'!$G92</f>
        <v>0.0000%</v>
      </c>
      <c r="G92" s="30"/>
      <c r="H92" s="30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28">
        <v>3000.0</v>
      </c>
      <c r="B93" s="28">
        <v>10.0</v>
      </c>
      <c r="C93" s="28">
        <v>5.0</v>
      </c>
      <c r="D93" s="30" t="str">
        <f>('F Max'!$G93 - 'F Max'!D93)/'F Max'!$G93</f>
        <v>0.0000%</v>
      </c>
      <c r="E93" s="30" t="str">
        <f>('F Max'!$G93 - 'F Max'!E93)/'F Max'!$G93</f>
        <v>0.0580%</v>
      </c>
      <c r="F93" s="30" t="str">
        <f>('F Max'!$G93 - 'F Max'!F93)/'F Max'!$G93</f>
        <v>0.0766%</v>
      </c>
      <c r="G93" s="30"/>
      <c r="H93" s="30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28">
        <v>3000.0</v>
      </c>
      <c r="B94" s="28">
        <v>50.0</v>
      </c>
      <c r="C94" s="28">
        <v>1.0</v>
      </c>
      <c r="D94" s="30" t="str">
        <f>('F Max'!$G94 - 'F Max'!D94)/'F Max'!$G94</f>
        <v>0.0362%</v>
      </c>
      <c r="E94" s="30" t="str">
        <f>('F Max'!$G94 - 'F Max'!E94)/'F Max'!$G94</f>
        <v>0.0607%</v>
      </c>
      <c r="F94" s="30" t="str">
        <f>('F Max'!$G94 - 'F Max'!F94)/'F Max'!$G94</f>
        <v>0.0000%</v>
      </c>
      <c r="G94" s="30"/>
      <c r="H94" s="30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28">
        <v>3000.0</v>
      </c>
      <c r="B95" s="28">
        <v>50.0</v>
      </c>
      <c r="C95" s="28">
        <v>2.0</v>
      </c>
      <c r="D95" s="30" t="str">
        <f>('F Max'!$G95 - 'F Max'!D95)/'F Max'!$G95</f>
        <v>0.0029%</v>
      </c>
      <c r="E95" s="30" t="str">
        <f>('F Max'!$G95 - 'F Max'!E95)/'F Max'!$G95</f>
        <v>0.0080%</v>
      </c>
      <c r="F95" s="30" t="str">
        <f>('F Max'!$G95 - 'F Max'!F95)/'F Max'!$G95</f>
        <v>0.0000%</v>
      </c>
      <c r="G95" s="30"/>
      <c r="H95" s="30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28">
        <v>3000.0</v>
      </c>
      <c r="B96" s="28">
        <v>50.0</v>
      </c>
      <c r="C96" s="28">
        <v>3.0</v>
      </c>
      <c r="D96" s="30" t="str">
        <f>('F Max'!$G96 - 'F Max'!D96)/'F Max'!$G96</f>
        <v>0.0000%</v>
      </c>
      <c r="E96" s="30" t="str">
        <f>('F Max'!$G96 - 'F Max'!E96)/'F Max'!$G96</f>
        <v>0.0074%</v>
      </c>
      <c r="F96" s="30" t="str">
        <f>('F Max'!$G96 - 'F Max'!F96)/'F Max'!$G96</f>
        <v>0.0176%</v>
      </c>
      <c r="G96" s="30"/>
      <c r="H96" s="30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28">
        <v>3000.0</v>
      </c>
      <c r="B97" s="28">
        <v>50.0</v>
      </c>
      <c r="C97" s="28">
        <v>4.0</v>
      </c>
      <c r="D97" s="30" t="str">
        <f>('F Max'!$G97 - 'F Max'!D97)/'F Max'!$G97</f>
        <v>0.0000%</v>
      </c>
      <c r="E97" s="30" t="str">
        <f>('F Max'!$G97 - 'F Max'!E97)/'F Max'!$G97</f>
        <v>0.0341%</v>
      </c>
      <c r="F97" s="30" t="str">
        <f>('F Max'!$G97 - 'F Max'!F97)/'F Max'!$G97</f>
        <v>0.0112%</v>
      </c>
      <c r="G97" s="30"/>
      <c r="H97" s="30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28">
        <v>3000.0</v>
      </c>
      <c r="B98" s="28">
        <v>50.0</v>
      </c>
      <c r="C98" s="28">
        <v>5.0</v>
      </c>
      <c r="D98" s="30" t="str">
        <f>('F Max'!$G98 - 'F Max'!D98)/'F Max'!$G98</f>
        <v>0.0089%</v>
      </c>
      <c r="E98" s="30" t="str">
        <f>('F Max'!$G98 - 'F Max'!E98)/'F Max'!$G98</f>
        <v>0.0000%</v>
      </c>
      <c r="F98" s="30" t="str">
        <f>('F Max'!$G98 - 'F Max'!F98)/'F Max'!$G98</f>
        <v>0.0350%</v>
      </c>
      <c r="G98" s="30"/>
      <c r="H98" s="30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28">
        <v>3000.0</v>
      </c>
      <c r="B99" s="28">
        <v>100.0</v>
      </c>
      <c r="C99" s="28">
        <v>1.0</v>
      </c>
      <c r="D99" s="30" t="str">
        <f>('F Max'!$G99 - 'F Max'!D99)/'F Max'!$G99</f>
        <v>0.0000%</v>
      </c>
      <c r="E99" s="30" t="str">
        <f>('F Max'!$G99 - 'F Max'!E99)/'F Max'!$G99</f>
        <v>0.0047%</v>
      </c>
      <c r="F99" s="30" t="str">
        <f>('F Max'!$G99 - 'F Max'!F99)/'F Max'!$G99</f>
        <v>0.0043%</v>
      </c>
      <c r="G99" s="30"/>
      <c r="H99" s="30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28">
        <v>3000.0</v>
      </c>
      <c r="B100" s="28">
        <v>100.0</v>
      </c>
      <c r="C100" s="28">
        <v>2.0</v>
      </c>
      <c r="D100" s="30" t="str">
        <f>('F Max'!$G100 - 'F Max'!D100)/'F Max'!$G100</f>
        <v>0.0000%</v>
      </c>
      <c r="E100" s="30" t="str">
        <f>('F Max'!$G100 - 'F Max'!E100)/'F Max'!$G100</f>
        <v>0.0150%</v>
      </c>
      <c r="F100" s="30" t="str">
        <f>('F Max'!$G100 - 'F Max'!F100)/'F Max'!$G100</f>
        <v>0.0140%</v>
      </c>
      <c r="G100" s="30"/>
      <c r="H100" s="30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28">
        <v>3000.0</v>
      </c>
      <c r="B101" s="28">
        <v>100.0</v>
      </c>
      <c r="C101" s="28">
        <v>3.0</v>
      </c>
      <c r="D101" s="30" t="str">
        <f>('F Max'!$G101 - 'F Max'!D101)/'F Max'!$G101</f>
        <v>0.0114%</v>
      </c>
      <c r="E101" s="30" t="str">
        <f>('F Max'!$G101 - 'F Max'!E101)/'F Max'!$G101</f>
        <v>0.0000%</v>
      </c>
      <c r="F101" s="30" t="str">
        <f>('F Max'!$G101 - 'F Max'!F101)/'F Max'!$G101</f>
        <v>0.0109%</v>
      </c>
      <c r="G101" s="30"/>
      <c r="H101" s="30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28">
        <v>3000.0</v>
      </c>
      <c r="B102" s="28">
        <v>100.0</v>
      </c>
      <c r="C102" s="28">
        <v>4.0</v>
      </c>
      <c r="D102" s="30" t="str">
        <f>('F Max'!$G102 - 'F Max'!D102)/'F Max'!$G102</f>
        <v>0.0000%</v>
      </c>
      <c r="E102" s="30" t="str">
        <f>('F Max'!$G102 - 'F Max'!E102)/'F Max'!$G102</f>
        <v>0.0092%</v>
      </c>
      <c r="F102" s="30" t="str">
        <f>('F Max'!$G102 - 'F Max'!F102)/'F Max'!$G102</f>
        <v>0.0200%</v>
      </c>
      <c r="G102" s="30"/>
      <c r="H102" s="30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28">
        <v>3000.0</v>
      </c>
      <c r="B103" s="28">
        <v>100.0</v>
      </c>
      <c r="C103" s="28">
        <v>5.0</v>
      </c>
      <c r="D103" s="30" t="str">
        <f>('F Max'!$G103 - 'F Max'!D103)/'F Max'!$G103</f>
        <v>0.0000%</v>
      </c>
      <c r="E103" s="30" t="str">
        <f>('F Max'!$G103 - 'F Max'!E103)/'F Max'!$G103</f>
        <v>0.0067%</v>
      </c>
      <c r="F103" s="30" t="str">
        <f>('F Max'!$G103 - 'F Max'!F103)/'F Max'!$G103</f>
        <v>0.0084%</v>
      </c>
      <c r="G103" s="30"/>
      <c r="H103" s="30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28">
        <v>4000.0</v>
      </c>
      <c r="B104" s="28">
        <v>1.0</v>
      </c>
      <c r="C104" s="28">
        <v>1.0</v>
      </c>
      <c r="D104" s="30" t="str">
        <f>('F Max'!$G104 - 'F Max'!D104)/'F Max'!$G104</f>
        <v>0.0336%</v>
      </c>
      <c r="E104" s="30" t="str">
        <f>('F Max'!$G104 - 'F Max'!E104)/'F Max'!$G104</f>
        <v>0.0000%</v>
      </c>
      <c r="F104" s="30" t="str">
        <f>('F Max'!$G104 - 'F Max'!F104)/'F Max'!$G104</f>
        <v>0.0701%</v>
      </c>
      <c r="G104" s="30"/>
      <c r="H104" s="30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28">
        <v>4000.0</v>
      </c>
      <c r="B105" s="28">
        <v>1.0</v>
      </c>
      <c r="C105" s="28">
        <v>2.0</v>
      </c>
      <c r="D105" s="30" t="str">
        <f>('F Max'!$G105 - 'F Max'!D105)/'F Max'!$G105</f>
        <v>0.0212%</v>
      </c>
      <c r="E105" s="30" t="str">
        <f>('F Max'!$G105 - 'F Max'!E105)/'F Max'!$G105</f>
        <v>0.0000%</v>
      </c>
      <c r="F105" s="30" t="str">
        <f>('F Max'!$G105 - 'F Max'!F105)/'F Max'!$G105</f>
        <v>0.1492%</v>
      </c>
      <c r="G105" s="30"/>
      <c r="H105" s="30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28">
        <v>4000.0</v>
      </c>
      <c r="B106" s="28">
        <v>1.0</v>
      </c>
      <c r="C106" s="28">
        <v>3.0</v>
      </c>
      <c r="D106" s="30" t="str">
        <f>('F Max'!$G106 - 'F Max'!D106)/'F Max'!$G106</f>
        <v>0.1741%</v>
      </c>
      <c r="E106" s="30" t="str">
        <f>('F Max'!$G106 - 'F Max'!E106)/'F Max'!$G106</f>
        <v>0.2727%</v>
      </c>
      <c r="F106" s="30" t="str">
        <f>('F Max'!$G106 - 'F Max'!F106)/'F Max'!$G106</f>
        <v>0.0000%</v>
      </c>
      <c r="G106" s="30"/>
      <c r="H106" s="30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28">
        <v>4000.0</v>
      </c>
      <c r="B107" s="28">
        <v>1.0</v>
      </c>
      <c r="C107" s="28">
        <v>4.0</v>
      </c>
      <c r="D107" s="30" t="str">
        <f>('F Max'!$G107 - 'F Max'!D107)/'F Max'!$G107</f>
        <v>0.1363%</v>
      </c>
      <c r="E107" s="30" t="str">
        <f>('F Max'!$G107 - 'F Max'!E107)/'F Max'!$G107</f>
        <v>0.0000%</v>
      </c>
      <c r="F107" s="30" t="str">
        <f>('F Max'!$G107 - 'F Max'!F107)/'F Max'!$G107</f>
        <v>0.1009%</v>
      </c>
      <c r="G107" s="30"/>
      <c r="H107" s="30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28">
        <v>4000.0</v>
      </c>
      <c r="B108" s="28">
        <v>1.0</v>
      </c>
      <c r="C108" s="28">
        <v>5.0</v>
      </c>
      <c r="D108" s="30" t="str">
        <f>('F Max'!$G108 - 'F Max'!D108)/'F Max'!$G108</f>
        <v>0.1991%</v>
      </c>
      <c r="E108" s="30" t="str">
        <f>('F Max'!$G108 - 'F Max'!E108)/'F Max'!$G108</f>
        <v>0.0000%</v>
      </c>
      <c r="F108" s="30" t="str">
        <f>('F Max'!$G108 - 'F Max'!F108)/'F Max'!$G108</f>
        <v>0.1967%</v>
      </c>
      <c r="G108" s="30"/>
      <c r="H108" s="30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28">
        <v>4000.0</v>
      </c>
      <c r="B109" s="28">
        <v>5.0</v>
      </c>
      <c r="C109" s="28">
        <v>1.0</v>
      </c>
      <c r="D109" s="30" t="str">
        <f>('F Max'!$G109 - 'F Max'!D109)/'F Max'!$G109</f>
        <v>0.1511%</v>
      </c>
      <c r="E109" s="30" t="str">
        <f>('F Max'!$G109 - 'F Max'!E109)/'F Max'!$G109</f>
        <v>0.0787%</v>
      </c>
      <c r="F109" s="30" t="str">
        <f>('F Max'!$G109 - 'F Max'!F109)/'F Max'!$G109</f>
        <v>0.0000%</v>
      </c>
      <c r="G109" s="30"/>
      <c r="H109" s="30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28">
        <v>4000.0</v>
      </c>
      <c r="B110" s="28">
        <v>5.0</v>
      </c>
      <c r="C110" s="28">
        <v>2.0</v>
      </c>
      <c r="D110" s="30" t="str">
        <f>('F Max'!$G110 - 'F Max'!D110)/'F Max'!$G110</f>
        <v>0.0859%</v>
      </c>
      <c r="E110" s="30" t="str">
        <f>('F Max'!$G110 - 'F Max'!E110)/'F Max'!$G110</f>
        <v>0.0000%</v>
      </c>
      <c r="F110" s="30" t="str">
        <f>('F Max'!$G110 - 'F Max'!F110)/'F Max'!$G110</f>
        <v>0.0011%</v>
      </c>
      <c r="G110" s="30"/>
      <c r="H110" s="30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28">
        <v>4000.0</v>
      </c>
      <c r="B111" s="28">
        <v>5.0</v>
      </c>
      <c r="C111" s="28">
        <v>3.0</v>
      </c>
      <c r="D111" s="30" t="str">
        <f>('F Max'!$G111 - 'F Max'!D111)/'F Max'!$G111</f>
        <v>0.0000%</v>
      </c>
      <c r="E111" s="30" t="str">
        <f>('F Max'!$G111 - 'F Max'!E111)/'F Max'!$G111</f>
        <v>0.0252%</v>
      </c>
      <c r="F111" s="30" t="str">
        <f>('F Max'!$G111 - 'F Max'!F111)/'F Max'!$G111</f>
        <v>0.0078%</v>
      </c>
      <c r="G111" s="30"/>
      <c r="H111" s="30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28">
        <v>4000.0</v>
      </c>
      <c r="B112" s="28">
        <v>5.0</v>
      </c>
      <c r="C112" s="28">
        <v>4.0</v>
      </c>
      <c r="D112" s="30" t="str">
        <f>('F Max'!$G112 - 'F Max'!D112)/'F Max'!$G112</f>
        <v>0.0290%</v>
      </c>
      <c r="E112" s="30" t="str">
        <f>('F Max'!$G112 - 'F Max'!E112)/'F Max'!$G112</f>
        <v>0.0518%</v>
      </c>
      <c r="F112" s="30" t="str">
        <f>('F Max'!$G112 - 'F Max'!F112)/'F Max'!$G112</f>
        <v>0.0000%</v>
      </c>
      <c r="G112" s="30"/>
      <c r="H112" s="30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28">
        <v>4000.0</v>
      </c>
      <c r="B113" s="28">
        <v>5.0</v>
      </c>
      <c r="C113" s="28">
        <v>5.0</v>
      </c>
      <c r="D113" s="30" t="str">
        <f>('F Max'!$G113 - 'F Max'!D113)/'F Max'!$G113</f>
        <v>0.1158%</v>
      </c>
      <c r="E113" s="30" t="str">
        <f>('F Max'!$G113 - 'F Max'!E113)/'F Max'!$G113</f>
        <v>0.0392%</v>
      </c>
      <c r="F113" s="30" t="str">
        <f>('F Max'!$G113 - 'F Max'!F113)/'F Max'!$G113</f>
        <v>0.0000%</v>
      </c>
      <c r="G113" s="30"/>
      <c r="H113" s="30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28">
        <v>4000.0</v>
      </c>
      <c r="B114" s="28">
        <v>10.0</v>
      </c>
      <c r="C114" s="28">
        <v>1.0</v>
      </c>
      <c r="D114" s="30" t="str">
        <f>('F Max'!$G114 - 'F Max'!D114)/'F Max'!$G114</f>
        <v>0.0000%</v>
      </c>
      <c r="E114" s="30" t="str">
        <f>('F Max'!$G114 - 'F Max'!E114)/'F Max'!$G114</f>
        <v>0.0285%</v>
      </c>
      <c r="F114" s="30" t="str">
        <f>('F Max'!$G114 - 'F Max'!F114)/'F Max'!$G114</f>
        <v>0.0372%</v>
      </c>
      <c r="G114" s="30"/>
      <c r="H114" s="30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28">
        <v>4000.0</v>
      </c>
      <c r="B115" s="28">
        <v>10.0</v>
      </c>
      <c r="C115" s="28">
        <v>2.0</v>
      </c>
      <c r="D115" s="30" t="str">
        <f>('F Max'!$G115 - 'F Max'!D115)/'F Max'!$G115</f>
        <v>0.0275%</v>
      </c>
      <c r="E115" s="30" t="str">
        <f>('F Max'!$G115 - 'F Max'!E115)/'F Max'!$G115</f>
        <v>0.0768%</v>
      </c>
      <c r="F115" s="30" t="str">
        <f>('F Max'!$G115 - 'F Max'!F115)/'F Max'!$G115</f>
        <v>0.0000%</v>
      </c>
      <c r="G115" s="30"/>
      <c r="H115" s="30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28">
        <v>4000.0</v>
      </c>
      <c r="B116" s="28">
        <v>10.0</v>
      </c>
      <c r="C116" s="28">
        <v>3.0</v>
      </c>
      <c r="D116" s="30" t="str">
        <f>('F Max'!$G116 - 'F Max'!D116)/'F Max'!$G116</f>
        <v>0.1131%</v>
      </c>
      <c r="E116" s="30" t="str">
        <f>('F Max'!$G116 - 'F Max'!E116)/'F Max'!$G116</f>
        <v>0.0000%</v>
      </c>
      <c r="F116" s="30" t="str">
        <f>('F Max'!$G116 - 'F Max'!F116)/'F Max'!$G116</f>
        <v>0.0690%</v>
      </c>
      <c r="G116" s="30"/>
      <c r="H116" s="30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28">
        <v>4000.0</v>
      </c>
      <c r="B117" s="28">
        <v>10.0</v>
      </c>
      <c r="C117" s="28">
        <v>4.0</v>
      </c>
      <c r="D117" s="30" t="str">
        <f>('F Max'!$G117 - 'F Max'!D117)/'F Max'!$G117</f>
        <v>0.0286%</v>
      </c>
      <c r="E117" s="30" t="str">
        <f>('F Max'!$G117 - 'F Max'!E117)/'F Max'!$G117</f>
        <v>0.0000%</v>
      </c>
      <c r="F117" s="30" t="str">
        <f>('F Max'!$G117 - 'F Max'!F117)/'F Max'!$G117</f>
        <v>0.0781%</v>
      </c>
      <c r="G117" s="30"/>
      <c r="H117" s="30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28">
        <v>4000.0</v>
      </c>
      <c r="B118" s="28">
        <v>10.0</v>
      </c>
      <c r="C118" s="28">
        <v>5.0</v>
      </c>
      <c r="D118" s="30" t="str">
        <f>('F Max'!$G118 - 'F Max'!D118)/'F Max'!$G118</f>
        <v>0.0590%</v>
      </c>
      <c r="E118" s="30" t="str">
        <f>('F Max'!$G118 - 'F Max'!E118)/'F Max'!$G118</f>
        <v>0.0645%</v>
      </c>
      <c r="F118" s="30" t="str">
        <f>('F Max'!$G118 - 'F Max'!F118)/'F Max'!$G118</f>
        <v>0.0000%</v>
      </c>
      <c r="G118" s="30"/>
      <c r="H118" s="30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28">
        <v>4000.0</v>
      </c>
      <c r="B119" s="28">
        <v>50.0</v>
      </c>
      <c r="C119" s="28">
        <v>1.0</v>
      </c>
      <c r="D119" s="30" t="str">
        <f>('F Max'!$G119 - 'F Max'!D119)/'F Max'!$G119</f>
        <v>0.0278%</v>
      </c>
      <c r="E119" s="30" t="str">
        <f>('F Max'!$G119 - 'F Max'!E119)/'F Max'!$G119</f>
        <v>0.0225%</v>
      </c>
      <c r="F119" s="30" t="str">
        <f>('F Max'!$G119 - 'F Max'!F119)/'F Max'!$G119</f>
        <v>0.0000%</v>
      </c>
      <c r="G119" s="30"/>
      <c r="H119" s="30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28">
        <v>4000.0</v>
      </c>
      <c r="B120" s="28">
        <v>50.0</v>
      </c>
      <c r="C120" s="28">
        <v>2.0</v>
      </c>
      <c r="D120" s="30" t="str">
        <f>('F Max'!$G120 - 'F Max'!D120)/'F Max'!$G120</f>
        <v>0.0302%</v>
      </c>
      <c r="E120" s="30" t="str">
        <f>('F Max'!$G120 - 'F Max'!E120)/'F Max'!$G120</f>
        <v>0.0452%</v>
      </c>
      <c r="F120" s="30" t="str">
        <f>('F Max'!$G120 - 'F Max'!F120)/'F Max'!$G120</f>
        <v>0.0000%</v>
      </c>
      <c r="G120" s="30"/>
      <c r="H120" s="30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28">
        <v>4000.0</v>
      </c>
      <c r="B121" s="28">
        <v>50.0</v>
      </c>
      <c r="C121" s="28">
        <v>3.0</v>
      </c>
      <c r="D121" s="30" t="str">
        <f>('F Max'!$G121 - 'F Max'!D121)/'F Max'!$G121</f>
        <v>0.0000%</v>
      </c>
      <c r="E121" s="30" t="str">
        <f>('F Max'!$G121 - 'F Max'!E121)/'F Max'!$G121</f>
        <v>0.0220%</v>
      </c>
      <c r="F121" s="30" t="str">
        <f>('F Max'!$G121 - 'F Max'!F121)/'F Max'!$G121</f>
        <v>0.0456%</v>
      </c>
      <c r="G121" s="30"/>
      <c r="H121" s="30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28">
        <v>4000.0</v>
      </c>
      <c r="B122" s="28">
        <v>50.0</v>
      </c>
      <c r="C122" s="28">
        <v>4.0</v>
      </c>
      <c r="D122" s="30" t="str">
        <f>('F Max'!$G122 - 'F Max'!D122)/'F Max'!$G122</f>
        <v>0.0035%</v>
      </c>
      <c r="E122" s="30" t="str">
        <f>('F Max'!$G122 - 'F Max'!E122)/'F Max'!$G122</f>
        <v>0.0000%</v>
      </c>
      <c r="F122" s="30" t="str">
        <f>('F Max'!$G122 - 'F Max'!F122)/'F Max'!$G122</f>
        <v>0.0132%</v>
      </c>
      <c r="G122" s="30"/>
      <c r="H122" s="30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28">
        <v>4000.0</v>
      </c>
      <c r="B123" s="28">
        <v>50.0</v>
      </c>
      <c r="C123" s="28">
        <v>5.0</v>
      </c>
      <c r="D123" s="30" t="str">
        <f>('F Max'!$G123 - 'F Max'!D123)/'F Max'!$G123</f>
        <v>0.0130%</v>
      </c>
      <c r="E123" s="30" t="str">
        <f>('F Max'!$G123 - 'F Max'!E123)/'F Max'!$G123</f>
        <v>0.0200%</v>
      </c>
      <c r="F123" s="30" t="str">
        <f>('F Max'!$G123 - 'F Max'!F123)/'F Max'!$G123</f>
        <v>0.0000%</v>
      </c>
      <c r="G123" s="30"/>
      <c r="H123" s="30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28">
        <v>4000.0</v>
      </c>
      <c r="B124" s="28">
        <v>100.0</v>
      </c>
      <c r="C124" s="28">
        <v>1.0</v>
      </c>
      <c r="D124" s="30" t="str">
        <f>('F Max'!$G124 - 'F Max'!D124)/'F Max'!$G124</f>
        <v>0.0175%</v>
      </c>
      <c r="E124" s="30" t="str">
        <f>('F Max'!$G124 - 'F Max'!E124)/'F Max'!$G124</f>
        <v>0.0039%</v>
      </c>
      <c r="F124" s="30" t="str">
        <f>('F Max'!$G124 - 'F Max'!F124)/'F Max'!$G124</f>
        <v>0.0000%</v>
      </c>
      <c r="G124" s="30"/>
      <c r="H124" s="30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28">
        <v>4000.0</v>
      </c>
      <c r="B125" s="28">
        <v>100.0</v>
      </c>
      <c r="C125" s="28">
        <v>2.0</v>
      </c>
      <c r="D125" s="30" t="str">
        <f>('F Max'!$G125 - 'F Max'!D125)/'F Max'!$G125</f>
        <v>0.0074%</v>
      </c>
      <c r="E125" s="30" t="str">
        <f>('F Max'!$G125 - 'F Max'!E125)/'F Max'!$G125</f>
        <v>0.0000%</v>
      </c>
      <c r="F125" s="30" t="str">
        <f>('F Max'!$G125 - 'F Max'!F125)/'F Max'!$G125</f>
        <v>0.0069%</v>
      </c>
      <c r="G125" s="30"/>
      <c r="H125" s="30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28">
        <v>4000.0</v>
      </c>
      <c r="B126" s="28">
        <v>100.0</v>
      </c>
      <c r="C126" s="28">
        <v>3.0</v>
      </c>
      <c r="D126" s="30" t="str">
        <f>('F Max'!$G126 - 'F Max'!D126)/'F Max'!$G126</f>
        <v>0.0005%</v>
      </c>
      <c r="E126" s="30" t="str">
        <f>('F Max'!$G126 - 'F Max'!E126)/'F Max'!$G126</f>
        <v>0.0000%</v>
      </c>
      <c r="F126" s="30" t="str">
        <f>('F Max'!$G126 - 'F Max'!F126)/'F Max'!$G126</f>
        <v>0.0016%</v>
      </c>
      <c r="G126" s="30"/>
      <c r="H126" s="30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28">
        <v>4000.0</v>
      </c>
      <c r="B127" s="28">
        <v>100.0</v>
      </c>
      <c r="C127" s="28">
        <v>4.0</v>
      </c>
      <c r="D127" s="30" t="str">
        <f>('F Max'!$G127 - 'F Max'!D127)/'F Max'!$G127</f>
        <v>0.0169%</v>
      </c>
      <c r="E127" s="30" t="str">
        <f>('F Max'!$G127 - 'F Max'!E127)/'F Max'!$G127</f>
        <v>0.0000%</v>
      </c>
      <c r="F127" s="30" t="str">
        <f>('F Max'!$G127 - 'F Max'!F127)/'F Max'!$G127</f>
        <v>0.0075%</v>
      </c>
      <c r="G127" s="30"/>
      <c r="H127" s="30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28">
        <v>4000.0</v>
      </c>
      <c r="B128" s="28">
        <v>100.0</v>
      </c>
      <c r="C128" s="28">
        <v>5.0</v>
      </c>
      <c r="D128" s="30" t="str">
        <f>('F Max'!$G128 - 'F Max'!D128)/'F Max'!$G128</f>
        <v>0.0101%</v>
      </c>
      <c r="E128" s="30" t="str">
        <f>('F Max'!$G128 - 'F Max'!E128)/'F Max'!$G128</f>
        <v>0.0000%</v>
      </c>
      <c r="F128" s="30" t="str">
        <f>('F Max'!$G128 - 'F Max'!F128)/'F Max'!$G128</f>
        <v>0.0010%</v>
      </c>
      <c r="G128" s="30"/>
      <c r="H128" s="30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30"/>
      <c r="E129" s="30"/>
      <c r="F129" s="30"/>
      <c r="G129" s="30"/>
      <c r="H129" s="30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conditionalFormatting sqref="D4:H129">
    <cfRule type="cellIs" dxfId="1" priority="1" operator="equal">
      <formula>0</formula>
    </cfRule>
  </conditionalFormatting>
  <drawing r:id="rId1"/>
</worksheet>
</file>