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Best Solution" sheetId="2" r:id="rId4"/>
    <sheet state="visible" name="Best Mean" sheetId="3" r:id="rId5"/>
    <sheet state="visible" name="Number of Runs" sheetId="4" r:id="rId6"/>
    <sheet state="visible" name="F Mean" sheetId="5" r:id="rId7"/>
    <sheet state="visible" name="F Mean Relative" sheetId="6" r:id="rId8"/>
    <sheet state="visible" name="Mean Number of Moves" sheetId="7" r:id="rId9"/>
    <sheet state="visible" name="F Max" sheetId="8" r:id="rId10"/>
    <sheet state="visible" name="F Relative Max" sheetId="9" r:id="rId11"/>
  </sheets>
  <definedNames>
    <definedName name="AllData">Data!$A$1:$M$126</definedName>
    <definedName name="Header">Data!$A$1:$M$1</definedName>
    <definedName name="drange">Data!$A$2:$M$126</definedName>
  </definedNames>
  <calcPr/>
</workbook>
</file>

<file path=xl/sharedStrings.xml><?xml version="1.0" encoding="utf-8"?>
<sst xmlns="http://schemas.openxmlformats.org/spreadsheetml/2006/main" count="301" uniqueCount="32">
  <si>
    <t>N</t>
  </si>
  <si>
    <t>Density</t>
  </si>
  <si>
    <t>Index</t>
  </si>
  <si>
    <t>ls_name</t>
  </si>
  <si>
    <t>move_strg</t>
  </si>
  <si>
    <t>rmr_duration</t>
  </si>
  <si>
    <t>number_of_runs</t>
  </si>
  <si>
    <t>fo_max</t>
  </si>
  <si>
    <t>fo_mean</t>
  </si>
  <si>
    <t>fo_sd</t>
  </si>
  <si>
    <t>n_moves_mean</t>
  </si>
  <si>
    <t>n_moves_sd</t>
  </si>
  <si>
    <t>mean_round_time[ms]</t>
  </si>
  <si>
    <t>n_moves2_mean</t>
  </si>
  <si>
    <t>mean2_round_time[ms]</t>
  </si>
  <si>
    <t>basic</t>
  </si>
  <si>
    <t>first_move</t>
  </si>
  <si>
    <t>basic(order2)</t>
  </si>
  <si>
    <t>Best F</t>
  </si>
  <si>
    <t>Algorithm</t>
  </si>
  <si>
    <t>Strategy</t>
  </si>
  <si>
    <t># Runs</t>
  </si>
  <si>
    <t>F Mean</t>
  </si>
  <si>
    <t>F SD</t>
  </si>
  <si>
    <t>(F_best - F_mean)/F_SD</t>
  </si>
  <si>
    <t>Field</t>
  </si>
  <si>
    <t>Best F Mean</t>
  </si>
  <si>
    <t>F Max</t>
  </si>
  <si>
    <t>% Distance from Best F</t>
  </si>
  <si>
    <t>Property</t>
  </si>
  <si>
    <t>Factor #Runs_1/#Runs_2</t>
  </si>
  <si>
    <t>Relative Diff (#MV1 - #MV2)/#MV1]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</si>
</sst>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4">
    <font>
      <sz val="10.0"/>
      <color rgb="FF000000"/>
      <name val="Arial"/>
    </font>
    <font/>
    <font>
      <sz val="11.0"/>
      <color rgb="FF000000"/>
      <name val="Inconsolata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3" fontId="1" numFmtId="0" xfId="0" applyFont="1"/>
    <xf borderId="0" fillId="3" fontId="1" numFmtId="0" xfId="0" applyFont="1"/>
    <xf borderId="0" fillId="4" fontId="2" numFmtId="0" xfId="0" applyAlignment="1" applyFill="1" applyFont="1">
      <alignment/>
    </xf>
    <xf borderId="0" fillId="3" fontId="1" numFmtId="10" xfId="0" applyAlignment="1" applyFont="1" applyNumberFormat="1">
      <alignment/>
    </xf>
    <xf borderId="0" fillId="0" fontId="1" numFmtId="10" xfId="0" applyAlignment="1" applyFont="1" applyNumberFormat="1">
      <alignment/>
    </xf>
    <xf borderId="1" fillId="5" fontId="3" numFmtId="0" xfId="0" applyAlignment="1" applyBorder="1" applyFill="1" applyFont="1">
      <alignment/>
    </xf>
    <xf borderId="1" fillId="5" fontId="3" numFmtId="0" xfId="0" applyAlignment="1" applyBorder="1" applyFont="1">
      <alignment/>
    </xf>
    <xf borderId="2" fillId="5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3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5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4" fillId="5" fontId="3" numFmtId="0" xfId="0" applyAlignment="1" applyBorder="1" applyFont="1">
      <alignment horizontal="right"/>
    </xf>
    <xf borderId="1" fillId="3" fontId="3" numFmtId="0" xfId="0" applyAlignment="1" applyBorder="1" applyFont="1">
      <alignment horizontal="right"/>
    </xf>
    <xf borderId="1" fillId="3" fontId="3" numFmtId="0" xfId="0" applyAlignment="1" applyBorder="1" applyFont="1">
      <alignment horizontal="right"/>
    </xf>
    <xf borderId="5" fillId="5" fontId="3" numFmtId="0" xfId="0" applyAlignment="1" applyBorder="1" applyFont="1">
      <alignment horizontal="right"/>
    </xf>
    <xf borderId="1" fillId="5" fontId="3" numFmtId="0" xfId="0" applyAlignment="1" applyBorder="1" applyFont="1">
      <alignment/>
    </xf>
    <xf borderId="1" fillId="5" fontId="1" numFmtId="0" xfId="0" applyBorder="1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1" fillId="0" fontId="3" numFmtId="164" xfId="0" applyAlignment="1" applyBorder="1" applyFont="1" applyNumberFormat="1">
      <alignment horizontal="right"/>
    </xf>
    <xf borderId="0" fillId="0" fontId="3" numFmtId="164" xfId="0" applyAlignment="1" applyFont="1" applyNumberFormat="1">
      <alignment horizontal="right"/>
    </xf>
    <xf borderId="1" fillId="3" fontId="3" numFmtId="164" xfId="0" applyAlignment="1" applyBorder="1" applyFont="1" applyNumberFormat="1">
      <alignment horizontal="right"/>
    </xf>
    <xf borderId="0" fillId="0" fontId="3" numFmtId="4" xfId="0" applyAlignment="1" applyFont="1" applyNumberFormat="1">
      <alignment/>
    </xf>
    <xf borderId="2" fillId="0" fontId="3" numFmtId="0" xfId="0" applyAlignment="1" applyBorder="1" applyFont="1">
      <alignment horizontal="right"/>
    </xf>
    <xf borderId="2" fillId="0" fontId="3" numFmtId="164" xfId="0" applyAlignment="1" applyBorder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5.57"/>
    <col customWidth="1" min="4" max="4" width="11.71"/>
    <col customWidth="1" min="5" max="5" width="9.71"/>
    <col customWidth="1" min="6" max="6" width="11.29"/>
    <col customWidth="1" min="7" max="7" width="14.29"/>
    <col customWidth="1" min="8" max="8" width="9.0"/>
    <col customWidth="1" min="9" max="10" width="11.57"/>
    <col customWidth="1" min="11" max="11" width="14.14"/>
    <col customWidth="1" min="12" max="12" width="11.57"/>
    <col customWidth="1" min="13" max="13" width="15.71"/>
    <col customWidth="1" min="14" max="14" width="15.14"/>
    <col customWidth="1" min="15" max="15" width="16.71"/>
    <col customWidth="1" min="16" max="16" width="14.14"/>
    <col customWidth="1" min="17" max="17" width="11.57"/>
    <col customWidth="1" min="18" max="18" width="15.14"/>
    <col customWidth="1" min="19" max="19" width="16.71"/>
    <col customWidth="1" min="20" max="20" width="10.57"/>
    <col customWidth="1" min="21" max="26" width="1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>
      <c r="A2" s="3">
        <v>1000.0</v>
      </c>
      <c r="B2" s="3">
        <v>1.0</v>
      </c>
      <c r="C2" s="3">
        <v>1.0</v>
      </c>
      <c r="D2" s="3" t="s">
        <v>15</v>
      </c>
      <c r="E2" s="3" t="s">
        <v>16</v>
      </c>
      <c r="F2" s="3">
        <v>20.0</v>
      </c>
      <c r="G2" s="3">
        <v>166.0</v>
      </c>
      <c r="H2" s="3">
        <v>210176.0</v>
      </c>
      <c r="I2" s="3">
        <v>208400.26506</v>
      </c>
      <c r="J2" s="3">
        <v>1870.970002</v>
      </c>
      <c r="K2" s="3">
        <v>1056.644578</v>
      </c>
      <c r="L2" s="3">
        <v>47.266103</v>
      </c>
      <c r="M2" s="3">
        <v>0.0</v>
      </c>
      <c r="N2" s="3">
        <v>0.0</v>
      </c>
      <c r="O2" s="3">
        <v>0.0</v>
      </c>
      <c r="P2" s="3"/>
      <c r="Q2" s="3"/>
      <c r="R2" s="3"/>
      <c r="S2" s="3"/>
      <c r="T2" s="3"/>
    </row>
    <row r="3">
      <c r="A3" s="3">
        <v>1000.0</v>
      </c>
      <c r="B3" s="3">
        <v>1.0</v>
      </c>
      <c r="C3" s="3">
        <v>1.0</v>
      </c>
      <c r="D3" s="3" t="s">
        <v>17</v>
      </c>
      <c r="E3" s="3" t="s">
        <v>16</v>
      </c>
      <c r="F3" s="3">
        <v>20.0</v>
      </c>
      <c r="G3" s="3">
        <v>60.0</v>
      </c>
      <c r="H3" s="3">
        <v>210107.0</v>
      </c>
      <c r="I3" s="3">
        <v>208935.166667</v>
      </c>
      <c r="J3" s="3">
        <v>1601.452759</v>
      </c>
      <c r="K3" s="3">
        <v>1079.683333</v>
      </c>
      <c r="L3" s="3">
        <v>47.173613</v>
      </c>
      <c r="M3" s="3">
        <v>0.0</v>
      </c>
      <c r="N3" s="3">
        <v>5.216667</v>
      </c>
      <c r="O3" s="3">
        <v>1.833333</v>
      </c>
      <c r="P3" s="3"/>
      <c r="Q3" s="3"/>
      <c r="R3" s="3"/>
      <c r="S3" s="3"/>
      <c r="T3" s="3"/>
    </row>
    <row r="4">
      <c r="A4" s="3">
        <v>1000.0</v>
      </c>
      <c r="B4" s="3">
        <v>1.0</v>
      </c>
      <c r="C4" s="3">
        <v>2.0</v>
      </c>
      <c r="D4" s="3" t="s">
        <v>15</v>
      </c>
      <c r="E4" s="3" t="s">
        <v>16</v>
      </c>
      <c r="F4" s="3">
        <v>20.003</v>
      </c>
      <c r="G4" s="3">
        <v>157.0</v>
      </c>
      <c r="H4" s="3">
        <v>206257.0</v>
      </c>
      <c r="I4" s="3">
        <v>204629.764331</v>
      </c>
      <c r="J4" s="3">
        <v>654.986441</v>
      </c>
      <c r="K4" s="3">
        <v>1060.917197</v>
      </c>
      <c r="L4" s="3">
        <v>30.442796</v>
      </c>
      <c r="M4" s="3">
        <v>0.0</v>
      </c>
      <c r="N4" s="3">
        <v>0.0</v>
      </c>
      <c r="O4" s="3">
        <v>0.0</v>
      </c>
      <c r="P4" s="3"/>
      <c r="Q4" s="3"/>
      <c r="R4" s="3"/>
      <c r="S4" s="3"/>
      <c r="T4" s="3"/>
    </row>
    <row r="5">
      <c r="A5" s="3">
        <v>1000.0</v>
      </c>
      <c r="B5" s="3">
        <v>1.0</v>
      </c>
      <c r="C5" s="3">
        <v>2.0</v>
      </c>
      <c r="D5" s="3" t="s">
        <v>17</v>
      </c>
      <c r="E5" s="3" t="s">
        <v>16</v>
      </c>
      <c r="F5" s="3">
        <v>20.003</v>
      </c>
      <c r="G5" s="3">
        <v>64.0</v>
      </c>
      <c r="H5" s="3">
        <v>206452.0</v>
      </c>
      <c r="I5" s="3">
        <v>204995.8125</v>
      </c>
      <c r="J5" s="3">
        <v>611.367675</v>
      </c>
      <c r="K5" s="3">
        <v>1082.484375</v>
      </c>
      <c r="L5" s="3">
        <v>29.663736</v>
      </c>
      <c r="M5" s="3">
        <v>0.0</v>
      </c>
      <c r="N5" s="3">
        <v>4.828125</v>
      </c>
      <c r="O5" s="3">
        <v>1.953125</v>
      </c>
      <c r="P5" s="3"/>
      <c r="Q5" s="3"/>
      <c r="R5" s="3"/>
      <c r="S5" s="3"/>
      <c r="T5" s="3"/>
    </row>
    <row r="6">
      <c r="A6" s="3">
        <v>1000.0</v>
      </c>
      <c r="B6" s="3">
        <v>1.0</v>
      </c>
      <c r="C6" s="3">
        <v>3.0</v>
      </c>
      <c r="D6" s="3" t="s">
        <v>15</v>
      </c>
      <c r="E6" s="3" t="s">
        <v>16</v>
      </c>
      <c r="F6" s="3">
        <v>20.008</v>
      </c>
      <c r="G6" s="3">
        <v>183.0</v>
      </c>
      <c r="H6" s="3">
        <v>205050.0</v>
      </c>
      <c r="I6" s="3">
        <v>203266.896175</v>
      </c>
      <c r="J6" s="3">
        <v>624.928923</v>
      </c>
      <c r="K6" s="3">
        <v>1049.617486</v>
      </c>
      <c r="L6" s="3">
        <v>28.583233</v>
      </c>
      <c r="M6" s="3">
        <v>0.0</v>
      </c>
      <c r="N6" s="3">
        <v>0.0</v>
      </c>
      <c r="O6" s="3">
        <v>0.0</v>
      </c>
      <c r="P6" s="3"/>
      <c r="Q6" s="3"/>
      <c r="R6" s="3"/>
      <c r="S6" s="3"/>
      <c r="T6" s="3"/>
    </row>
    <row r="7">
      <c r="A7" s="3">
        <v>1000.0</v>
      </c>
      <c r="B7" s="3">
        <v>1.0</v>
      </c>
      <c r="C7" s="3">
        <v>3.0</v>
      </c>
      <c r="D7" s="3" t="s">
        <v>17</v>
      </c>
      <c r="E7" s="3" t="s">
        <v>16</v>
      </c>
      <c r="F7" s="3">
        <v>20.008</v>
      </c>
      <c r="G7" s="3">
        <v>72.0</v>
      </c>
      <c r="H7" s="3">
        <v>204816.0</v>
      </c>
      <c r="I7" s="3">
        <v>203646.722222</v>
      </c>
      <c r="J7" s="3">
        <v>537.772107</v>
      </c>
      <c r="K7" s="3">
        <v>1069.069444</v>
      </c>
      <c r="L7" s="3">
        <v>27.275002</v>
      </c>
      <c r="M7" s="3">
        <v>0.0</v>
      </c>
      <c r="N7" s="3">
        <v>4.791667</v>
      </c>
      <c r="O7" s="3">
        <v>1.444444</v>
      </c>
      <c r="P7" s="3"/>
      <c r="Q7" s="3"/>
      <c r="R7" s="3"/>
      <c r="S7" s="3"/>
      <c r="T7" s="3"/>
    </row>
    <row r="8">
      <c r="A8" s="3">
        <v>1000.0</v>
      </c>
      <c r="B8" s="3">
        <v>1.0</v>
      </c>
      <c r="C8" s="3">
        <v>4.0</v>
      </c>
      <c r="D8" s="3" t="s">
        <v>15</v>
      </c>
      <c r="E8" s="3" t="s">
        <v>16</v>
      </c>
      <c r="F8" s="3">
        <v>20.0</v>
      </c>
      <c r="G8" s="3">
        <v>170.0</v>
      </c>
      <c r="H8" s="3">
        <v>213425.0</v>
      </c>
      <c r="I8" s="3">
        <v>211657.647059</v>
      </c>
      <c r="J8" s="3">
        <v>1251.976947</v>
      </c>
      <c r="K8" s="3">
        <v>1067.747059</v>
      </c>
      <c r="L8" s="3">
        <v>37.171789</v>
      </c>
      <c r="M8" s="3">
        <v>0.0</v>
      </c>
      <c r="N8" s="3">
        <v>0.0</v>
      </c>
      <c r="O8" s="3">
        <v>0.0</v>
      </c>
      <c r="P8" s="3"/>
      <c r="Q8" s="3"/>
      <c r="R8" s="3"/>
      <c r="S8" s="3"/>
      <c r="T8" s="3"/>
    </row>
    <row r="9">
      <c r="A9" s="3">
        <v>1000.0</v>
      </c>
      <c r="B9" s="3">
        <v>1.0</v>
      </c>
      <c r="C9" s="3">
        <v>4.0</v>
      </c>
      <c r="D9" s="3" t="s">
        <v>17</v>
      </c>
      <c r="E9" s="3" t="s">
        <v>16</v>
      </c>
      <c r="F9" s="3">
        <v>20.0</v>
      </c>
      <c r="G9" s="3">
        <v>72.0</v>
      </c>
      <c r="H9" s="3">
        <v>213724.0</v>
      </c>
      <c r="I9" s="3">
        <v>211841.333333</v>
      </c>
      <c r="J9" s="3">
        <v>3275.538531</v>
      </c>
      <c r="K9" s="3">
        <v>1081.625</v>
      </c>
      <c r="L9" s="3">
        <v>65.635026</v>
      </c>
      <c r="M9" s="3">
        <v>0.0</v>
      </c>
      <c r="N9" s="3">
        <v>4.277778</v>
      </c>
      <c r="O9" s="3">
        <v>1.777778</v>
      </c>
      <c r="P9" s="3"/>
      <c r="Q9" s="3"/>
      <c r="R9" s="3"/>
      <c r="S9" s="3"/>
      <c r="T9" s="3"/>
    </row>
    <row r="10">
      <c r="A10" s="3">
        <v>1000.0</v>
      </c>
      <c r="B10" s="3">
        <v>1.0</v>
      </c>
      <c r="C10" s="3">
        <v>5.0</v>
      </c>
      <c r="D10" s="3" t="s">
        <v>15</v>
      </c>
      <c r="E10" s="3" t="s">
        <v>16</v>
      </c>
      <c r="F10" s="3">
        <v>20.0</v>
      </c>
      <c r="G10" s="3">
        <v>166.0</v>
      </c>
      <c r="H10" s="3">
        <v>211431.0</v>
      </c>
      <c r="I10" s="3">
        <v>209946.662651</v>
      </c>
      <c r="J10" s="3">
        <v>615.531982</v>
      </c>
      <c r="K10" s="3">
        <v>1062.204819</v>
      </c>
      <c r="L10" s="3">
        <v>29.734876</v>
      </c>
      <c r="M10" s="3">
        <v>0.0</v>
      </c>
      <c r="N10" s="3">
        <v>0.0</v>
      </c>
      <c r="O10" s="3">
        <v>0.0</v>
      </c>
      <c r="P10" s="3"/>
      <c r="Q10" s="3"/>
      <c r="R10" s="3"/>
      <c r="S10" s="3"/>
      <c r="T10" s="3"/>
    </row>
    <row r="11">
      <c r="A11" s="3">
        <v>1000.0</v>
      </c>
      <c r="B11" s="3">
        <v>1.0</v>
      </c>
      <c r="C11" s="3">
        <v>5.0</v>
      </c>
      <c r="D11" s="3" t="s">
        <v>17</v>
      </c>
      <c r="E11" s="3" t="s">
        <v>16</v>
      </c>
      <c r="F11" s="3">
        <v>20.011</v>
      </c>
      <c r="G11" s="3">
        <v>66.0</v>
      </c>
      <c r="H11" s="3">
        <v>211840.0</v>
      </c>
      <c r="I11" s="3">
        <v>210296.939394</v>
      </c>
      <c r="J11" s="3">
        <v>588.328986</v>
      </c>
      <c r="K11" s="3">
        <v>1077.69697</v>
      </c>
      <c r="L11" s="3">
        <v>29.489582</v>
      </c>
      <c r="M11" s="3">
        <v>0.0</v>
      </c>
      <c r="N11" s="3">
        <v>4.606061</v>
      </c>
      <c r="O11" s="3">
        <v>1.984848</v>
      </c>
      <c r="P11" s="3"/>
      <c r="Q11" s="3"/>
      <c r="R11" s="3"/>
      <c r="S11" s="3"/>
      <c r="T11" s="3"/>
    </row>
    <row r="12">
      <c r="A12" s="3">
        <v>1000.0</v>
      </c>
      <c r="B12" s="3">
        <v>5.0</v>
      </c>
      <c r="C12" s="3">
        <v>1.0</v>
      </c>
      <c r="D12" s="3" t="s">
        <v>15</v>
      </c>
      <c r="E12" s="3" t="s">
        <v>16</v>
      </c>
      <c r="F12" s="3">
        <v>20.0</v>
      </c>
      <c r="G12" s="3">
        <v>106.0</v>
      </c>
      <c r="H12" s="3">
        <v>859387.0</v>
      </c>
      <c r="I12" s="3">
        <v>854392.811321</v>
      </c>
      <c r="J12" s="3">
        <v>1648.465634</v>
      </c>
      <c r="K12" s="3">
        <v>1783.169811</v>
      </c>
      <c r="L12" s="3">
        <v>48.823995</v>
      </c>
      <c r="M12" s="3">
        <v>0.0</v>
      </c>
      <c r="N12" s="3">
        <v>0.0</v>
      </c>
      <c r="O12" s="3">
        <v>0.0</v>
      </c>
      <c r="P12" s="3"/>
      <c r="Q12" s="3"/>
      <c r="R12" s="3"/>
      <c r="S12" s="3"/>
      <c r="T12" s="3"/>
    </row>
    <row r="13">
      <c r="A13" s="3">
        <v>1000.0</v>
      </c>
      <c r="B13" s="3">
        <v>5.0</v>
      </c>
      <c r="C13" s="3">
        <v>1.0</v>
      </c>
      <c r="D13" s="3" t="s">
        <v>17</v>
      </c>
      <c r="E13" s="3" t="s">
        <v>16</v>
      </c>
      <c r="F13" s="3">
        <v>20.0</v>
      </c>
      <c r="G13" s="3">
        <v>27.0</v>
      </c>
      <c r="H13" s="3">
        <v>858373.0</v>
      </c>
      <c r="I13" s="3">
        <v>855539.333333</v>
      </c>
      <c r="J13" s="3">
        <v>1728.592941</v>
      </c>
      <c r="K13" s="3">
        <v>1854.037037</v>
      </c>
      <c r="L13" s="3">
        <v>65.683011</v>
      </c>
      <c r="M13" s="3">
        <v>0.0</v>
      </c>
      <c r="N13" s="3">
        <v>11.814815</v>
      </c>
      <c r="O13" s="3">
        <v>6.074074</v>
      </c>
      <c r="P13" s="3"/>
      <c r="Q13" s="3"/>
      <c r="R13" s="3"/>
      <c r="S13" s="3"/>
      <c r="T13" s="3"/>
    </row>
    <row r="14">
      <c r="A14" s="3">
        <v>1000.0</v>
      </c>
      <c r="B14" s="3">
        <v>5.0</v>
      </c>
      <c r="C14" s="3">
        <v>2.0</v>
      </c>
      <c r="D14" s="3" t="s">
        <v>15</v>
      </c>
      <c r="E14" s="3" t="s">
        <v>16</v>
      </c>
      <c r="F14" s="3">
        <v>20.0</v>
      </c>
      <c r="G14" s="3">
        <v>101.0</v>
      </c>
      <c r="H14" s="3">
        <v>862698.0</v>
      </c>
      <c r="I14" s="3">
        <v>858777.643564</v>
      </c>
      <c r="J14" s="3">
        <v>1464.071879</v>
      </c>
      <c r="K14" s="3">
        <v>1792.207921</v>
      </c>
      <c r="L14" s="3">
        <v>55.828648</v>
      </c>
      <c r="M14" s="3">
        <v>0.0</v>
      </c>
      <c r="N14" s="3">
        <v>0.0</v>
      </c>
      <c r="O14" s="3">
        <v>0.0</v>
      </c>
      <c r="P14" s="3"/>
      <c r="Q14" s="3"/>
      <c r="R14" s="3"/>
      <c r="S14" s="3"/>
      <c r="T14" s="3"/>
    </row>
    <row r="15">
      <c r="A15" s="3">
        <v>1000.0</v>
      </c>
      <c r="B15" s="3">
        <v>5.0</v>
      </c>
      <c r="C15" s="3">
        <v>2.0</v>
      </c>
      <c r="D15" s="3" t="s">
        <v>17</v>
      </c>
      <c r="E15" s="3" t="s">
        <v>16</v>
      </c>
      <c r="F15" s="3">
        <v>20.0</v>
      </c>
      <c r="G15" s="3">
        <v>26.0</v>
      </c>
      <c r="H15" s="3">
        <v>862969.0</v>
      </c>
      <c r="I15" s="3">
        <v>860207.923077</v>
      </c>
      <c r="J15" s="3">
        <v>1500.699835</v>
      </c>
      <c r="K15" s="3">
        <v>1864.961538</v>
      </c>
      <c r="L15" s="3">
        <v>63.592743</v>
      </c>
      <c r="M15" s="3">
        <v>0.0</v>
      </c>
      <c r="N15" s="3">
        <v>11.961538</v>
      </c>
      <c r="O15" s="3">
        <v>6.153846</v>
      </c>
      <c r="P15" s="3"/>
      <c r="Q15" s="3"/>
      <c r="R15" s="3"/>
      <c r="S15" s="3"/>
      <c r="T15" s="3"/>
    </row>
    <row r="16">
      <c r="A16" s="3">
        <v>1000.0</v>
      </c>
      <c r="B16" s="3">
        <v>5.0</v>
      </c>
      <c r="C16" s="3">
        <v>3.0</v>
      </c>
      <c r="D16" s="3" t="s">
        <v>15</v>
      </c>
      <c r="E16" s="3" t="s">
        <v>16</v>
      </c>
      <c r="F16" s="3">
        <v>20.0</v>
      </c>
      <c r="G16" s="3">
        <v>99.0</v>
      </c>
      <c r="H16" s="3">
        <v>867789.0</v>
      </c>
      <c r="I16" s="3">
        <v>863825.454545</v>
      </c>
      <c r="J16" s="3">
        <v>1495.530251</v>
      </c>
      <c r="K16" s="3">
        <v>1771.151515</v>
      </c>
      <c r="L16" s="3">
        <v>56.699342</v>
      </c>
      <c r="M16" s="3">
        <v>0.0</v>
      </c>
      <c r="N16" s="3">
        <v>0.0</v>
      </c>
      <c r="O16" s="3">
        <v>0.0</v>
      </c>
      <c r="P16" s="3"/>
      <c r="Q16" s="3"/>
      <c r="R16" s="3"/>
      <c r="S16" s="3"/>
      <c r="T16" s="3"/>
    </row>
    <row r="17">
      <c r="A17" s="3">
        <v>1000.0</v>
      </c>
      <c r="B17" s="3">
        <v>5.0</v>
      </c>
      <c r="C17" s="3">
        <v>3.0</v>
      </c>
      <c r="D17" s="3" t="s">
        <v>17</v>
      </c>
      <c r="E17" s="3" t="s">
        <v>16</v>
      </c>
      <c r="F17" s="3">
        <v>20.0</v>
      </c>
      <c r="G17" s="3">
        <v>25.0</v>
      </c>
      <c r="H17" s="3">
        <v>869301.0</v>
      </c>
      <c r="I17" s="3">
        <v>865615.4</v>
      </c>
      <c r="J17" s="3">
        <v>1750.182916</v>
      </c>
      <c r="K17" s="3">
        <v>1858.64</v>
      </c>
      <c r="L17" s="3">
        <v>68.85456</v>
      </c>
      <c r="M17" s="3">
        <v>0.0</v>
      </c>
      <c r="N17" s="3">
        <v>11.56</v>
      </c>
      <c r="O17" s="3">
        <v>7.0</v>
      </c>
      <c r="P17" s="3"/>
      <c r="Q17" s="3"/>
      <c r="R17" s="3"/>
      <c r="S17" s="3"/>
      <c r="T17" s="3"/>
    </row>
    <row r="18">
      <c r="A18" s="3">
        <v>1000.0</v>
      </c>
      <c r="B18" s="3">
        <v>5.0</v>
      </c>
      <c r="C18" s="3">
        <v>4.0</v>
      </c>
      <c r="D18" s="3" t="s">
        <v>15</v>
      </c>
      <c r="E18" s="3" t="s">
        <v>16</v>
      </c>
      <c r="F18" s="3">
        <v>20.002</v>
      </c>
      <c r="G18" s="3">
        <v>110.0</v>
      </c>
      <c r="H18" s="3">
        <v>866906.0</v>
      </c>
      <c r="I18" s="3">
        <v>863264.072727</v>
      </c>
      <c r="J18" s="3">
        <v>1507.816722</v>
      </c>
      <c r="K18" s="3">
        <v>1773.490909</v>
      </c>
      <c r="L18" s="3">
        <v>45.539143</v>
      </c>
      <c r="M18" s="3">
        <v>0.0</v>
      </c>
      <c r="N18" s="3">
        <v>0.0</v>
      </c>
      <c r="O18" s="3">
        <v>0.0</v>
      </c>
      <c r="P18" s="3"/>
      <c r="Q18" s="3"/>
      <c r="R18" s="3"/>
      <c r="S18" s="3"/>
      <c r="T18" s="3"/>
    </row>
    <row r="19">
      <c r="A19" s="3">
        <v>1000.0</v>
      </c>
      <c r="B19" s="3">
        <v>5.0</v>
      </c>
      <c r="C19" s="3">
        <v>4.0</v>
      </c>
      <c r="D19" s="3" t="s">
        <v>17</v>
      </c>
      <c r="E19" s="3" t="s">
        <v>16</v>
      </c>
      <c r="F19" s="3">
        <v>20.013</v>
      </c>
      <c r="G19" s="3">
        <v>27.0</v>
      </c>
      <c r="H19" s="3">
        <v>866749.0</v>
      </c>
      <c r="I19" s="3">
        <v>864601.481481</v>
      </c>
      <c r="J19" s="3">
        <v>1232.06789</v>
      </c>
      <c r="K19" s="3">
        <v>1836.814815</v>
      </c>
      <c r="L19" s="3">
        <v>56.666037</v>
      </c>
      <c r="M19" s="3">
        <v>0.0</v>
      </c>
      <c r="N19" s="3">
        <v>11.666667</v>
      </c>
      <c r="O19" s="3">
        <v>6.259259</v>
      </c>
      <c r="P19" s="3"/>
      <c r="Q19" s="3"/>
      <c r="R19" s="3"/>
      <c r="S19" s="3"/>
      <c r="T19" s="3"/>
    </row>
    <row r="20">
      <c r="A20" s="3">
        <v>1000.0</v>
      </c>
      <c r="B20" s="3">
        <v>5.0</v>
      </c>
      <c r="C20" s="3">
        <v>5.0</v>
      </c>
      <c r="D20" s="3" t="s">
        <v>15</v>
      </c>
      <c r="E20" s="3" t="s">
        <v>16</v>
      </c>
      <c r="F20" s="3">
        <v>20.0</v>
      </c>
      <c r="G20" s="3">
        <v>103.0</v>
      </c>
      <c r="H20" s="3">
        <v>861589.0</v>
      </c>
      <c r="I20" s="3">
        <v>857516.184466</v>
      </c>
      <c r="J20" s="3">
        <v>2008.321614</v>
      </c>
      <c r="K20" s="3">
        <v>1776.174757</v>
      </c>
      <c r="L20" s="3">
        <v>61.686874</v>
      </c>
      <c r="M20" s="3">
        <v>0.0</v>
      </c>
      <c r="N20" s="3">
        <v>0.0</v>
      </c>
      <c r="O20" s="3">
        <v>0.0</v>
      </c>
      <c r="P20" s="3"/>
      <c r="Q20" s="3"/>
      <c r="R20" s="3"/>
      <c r="S20" s="3"/>
      <c r="T20" s="3"/>
    </row>
    <row r="21">
      <c r="A21" s="3">
        <v>1000.0</v>
      </c>
      <c r="B21" s="3">
        <v>5.0</v>
      </c>
      <c r="C21" s="3">
        <v>5.0</v>
      </c>
      <c r="D21" s="3" t="s">
        <v>17</v>
      </c>
      <c r="E21" s="3" t="s">
        <v>16</v>
      </c>
      <c r="F21" s="3">
        <v>20.003</v>
      </c>
      <c r="G21" s="3">
        <v>29.0</v>
      </c>
      <c r="H21" s="3">
        <v>862775.0</v>
      </c>
      <c r="I21" s="3">
        <v>859589.137931</v>
      </c>
      <c r="J21" s="3">
        <v>1323.669318</v>
      </c>
      <c r="K21" s="3">
        <v>1848.103448</v>
      </c>
      <c r="L21" s="3">
        <v>44.523024</v>
      </c>
      <c r="M21" s="3">
        <v>0.0</v>
      </c>
      <c r="N21" s="3">
        <v>10.344828</v>
      </c>
      <c r="O21" s="3">
        <v>7.0</v>
      </c>
      <c r="P21" s="3"/>
      <c r="Q21" s="3"/>
      <c r="R21" s="3"/>
      <c r="S21" s="3"/>
      <c r="T21" s="3"/>
    </row>
    <row r="22">
      <c r="A22" s="3">
        <v>1000.0</v>
      </c>
      <c r="B22" s="3">
        <v>10.0</v>
      </c>
      <c r="C22" s="3">
        <v>1.0</v>
      </c>
      <c r="D22" s="3" t="s">
        <v>15</v>
      </c>
      <c r="E22" s="3" t="s">
        <v>16</v>
      </c>
      <c r="F22" s="3">
        <v>20.0</v>
      </c>
      <c r="G22" s="3">
        <v>92.0</v>
      </c>
      <c r="H22" s="3">
        <v>1609066.0</v>
      </c>
      <c r="I22" s="3">
        <v>1603985.728261</v>
      </c>
      <c r="J22" s="3">
        <v>2165.351609</v>
      </c>
      <c r="K22" s="3">
        <v>2112.347826</v>
      </c>
      <c r="L22" s="3">
        <v>73.304522</v>
      </c>
      <c r="M22" s="3">
        <v>0.0</v>
      </c>
      <c r="N22" s="3">
        <v>0.0</v>
      </c>
      <c r="O22" s="3">
        <v>0.0</v>
      </c>
      <c r="P22" s="3"/>
      <c r="Q22" s="3"/>
      <c r="R22" s="3"/>
      <c r="S22" s="3"/>
      <c r="T22" s="3"/>
    </row>
    <row r="23">
      <c r="A23" s="3">
        <v>1000.0</v>
      </c>
      <c r="B23" s="3">
        <v>10.0</v>
      </c>
      <c r="C23" s="3">
        <v>1.0</v>
      </c>
      <c r="D23" s="3" t="s">
        <v>17</v>
      </c>
      <c r="E23" s="3" t="s">
        <v>16</v>
      </c>
      <c r="F23" s="3">
        <v>20.0</v>
      </c>
      <c r="G23" s="3">
        <v>20.0</v>
      </c>
      <c r="H23" s="3">
        <v>1608601.0</v>
      </c>
      <c r="I23" s="3">
        <v>1606558.95</v>
      </c>
      <c r="J23" s="3">
        <v>1980.693855</v>
      </c>
      <c r="K23" s="3">
        <v>2233.85</v>
      </c>
      <c r="L23" s="3">
        <v>81.928185</v>
      </c>
      <c r="M23" s="3">
        <v>0.0</v>
      </c>
      <c r="N23" s="3">
        <v>12.95</v>
      </c>
      <c r="O23" s="3">
        <v>12.3</v>
      </c>
      <c r="P23" s="3"/>
      <c r="Q23" s="3"/>
      <c r="R23" s="3"/>
      <c r="S23" s="3"/>
      <c r="T23" s="3"/>
    </row>
    <row r="24">
      <c r="A24" s="3">
        <v>1000.0</v>
      </c>
      <c r="B24" s="3">
        <v>10.0</v>
      </c>
      <c r="C24" s="3">
        <v>2.0</v>
      </c>
      <c r="D24" s="3" t="s">
        <v>15</v>
      </c>
      <c r="E24" s="3" t="s">
        <v>16</v>
      </c>
      <c r="F24" s="3">
        <v>20.0</v>
      </c>
      <c r="G24" s="3">
        <v>84.0</v>
      </c>
      <c r="H24" s="3">
        <v>1628513.0</v>
      </c>
      <c r="I24" s="3">
        <v>1623661.321429</v>
      </c>
      <c r="J24" s="3">
        <v>2427.439201</v>
      </c>
      <c r="K24" s="3">
        <v>2115.690476</v>
      </c>
      <c r="L24" s="3">
        <v>80.203606</v>
      </c>
      <c r="M24" s="3">
        <v>0.0</v>
      </c>
      <c r="N24" s="3">
        <v>0.0</v>
      </c>
      <c r="O24" s="3">
        <v>0.0</v>
      </c>
      <c r="P24" s="3"/>
      <c r="Q24" s="3"/>
      <c r="R24" s="3"/>
      <c r="S24" s="3"/>
      <c r="T24" s="3"/>
    </row>
    <row r="25">
      <c r="A25" s="3">
        <v>1000.0</v>
      </c>
      <c r="B25" s="3">
        <v>10.0</v>
      </c>
      <c r="C25" s="3">
        <v>2.0</v>
      </c>
      <c r="D25" s="3" t="s">
        <v>17</v>
      </c>
      <c r="E25" s="3" t="s">
        <v>16</v>
      </c>
      <c r="F25" s="3">
        <v>20.007</v>
      </c>
      <c r="G25" s="3">
        <v>19.0</v>
      </c>
      <c r="H25" s="3">
        <v>1630020.0</v>
      </c>
      <c r="I25" s="3">
        <v>1626045.578947</v>
      </c>
      <c r="J25" s="3">
        <v>2263.517601</v>
      </c>
      <c r="K25" s="3">
        <v>2208.947368</v>
      </c>
      <c r="L25" s="3">
        <v>67.802712</v>
      </c>
      <c r="M25" s="3">
        <v>0.0</v>
      </c>
      <c r="N25" s="3">
        <v>13.421053</v>
      </c>
      <c r="O25" s="3">
        <v>12.736842</v>
      </c>
      <c r="P25" s="3"/>
      <c r="Q25" s="3"/>
      <c r="R25" s="3"/>
      <c r="S25" s="3"/>
      <c r="T25" s="3"/>
    </row>
    <row r="26">
      <c r="A26" s="3">
        <v>1000.0</v>
      </c>
      <c r="B26" s="3">
        <v>10.0</v>
      </c>
      <c r="C26" s="3">
        <v>3.0</v>
      </c>
      <c r="D26" s="3" t="s">
        <v>15</v>
      </c>
      <c r="E26" s="3" t="s">
        <v>16</v>
      </c>
      <c r="F26" s="3">
        <v>20.0</v>
      </c>
      <c r="G26" s="3">
        <v>67.0</v>
      </c>
      <c r="H26" s="3">
        <v>1627757.0</v>
      </c>
      <c r="I26" s="3">
        <v>1622839.746269</v>
      </c>
      <c r="J26" s="3">
        <v>3156.227667</v>
      </c>
      <c r="K26" s="3">
        <v>2105.358209</v>
      </c>
      <c r="L26" s="3">
        <v>90.666142</v>
      </c>
      <c r="M26" s="3">
        <v>0.0</v>
      </c>
      <c r="N26" s="3">
        <v>0.0</v>
      </c>
      <c r="O26" s="3">
        <v>0.0</v>
      </c>
      <c r="P26" s="3"/>
      <c r="Q26" s="3"/>
      <c r="R26" s="3"/>
      <c r="S26" s="3"/>
      <c r="T26" s="3"/>
    </row>
    <row r="27">
      <c r="A27" s="3">
        <v>1000.0</v>
      </c>
      <c r="B27" s="3">
        <v>10.0</v>
      </c>
      <c r="C27" s="3">
        <v>3.0</v>
      </c>
      <c r="D27" s="3" t="s">
        <v>17</v>
      </c>
      <c r="E27" s="3" t="s">
        <v>16</v>
      </c>
      <c r="F27" s="3">
        <v>20.0</v>
      </c>
      <c r="G27" s="3">
        <v>17.0</v>
      </c>
      <c r="H27" s="3">
        <v>1627759.0</v>
      </c>
      <c r="I27" s="3">
        <v>1614449.352941</v>
      </c>
      <c r="J27" s="3">
        <v>41892.761281</v>
      </c>
      <c r="K27" s="3">
        <v>2119.705882</v>
      </c>
      <c r="L27" s="3">
        <v>416.787965</v>
      </c>
      <c r="M27" s="3">
        <v>0.0</v>
      </c>
      <c r="N27" s="3">
        <v>14.352941</v>
      </c>
      <c r="O27" s="3">
        <v>12.764706</v>
      </c>
      <c r="P27" s="3"/>
      <c r="Q27" s="3"/>
      <c r="R27" s="3"/>
      <c r="S27" s="3"/>
      <c r="T27" s="3"/>
    </row>
    <row r="28">
      <c r="A28" s="3">
        <v>1000.0</v>
      </c>
      <c r="B28" s="3">
        <v>10.0</v>
      </c>
      <c r="C28" s="3">
        <v>4.0</v>
      </c>
      <c r="D28" s="3" t="s">
        <v>15</v>
      </c>
      <c r="E28" s="3" t="s">
        <v>16</v>
      </c>
      <c r="F28" s="3">
        <v>20.002</v>
      </c>
      <c r="G28" s="3">
        <v>64.0</v>
      </c>
      <c r="H28" s="3">
        <v>1623135.0</v>
      </c>
      <c r="I28" s="3">
        <v>1618202.921875</v>
      </c>
      <c r="J28" s="3">
        <v>1939.724145</v>
      </c>
      <c r="K28" s="3">
        <v>2125.921875</v>
      </c>
      <c r="L28" s="3">
        <v>61.601112</v>
      </c>
      <c r="M28" s="3">
        <v>0.0</v>
      </c>
      <c r="N28" s="3">
        <v>0.0</v>
      </c>
      <c r="O28" s="3">
        <v>0.0</v>
      </c>
      <c r="P28" s="3"/>
      <c r="Q28" s="3"/>
      <c r="R28" s="3"/>
      <c r="S28" s="3"/>
      <c r="T28" s="3"/>
    </row>
    <row r="29">
      <c r="A29" s="3">
        <v>1000.0</v>
      </c>
      <c r="B29" s="3">
        <v>10.0</v>
      </c>
      <c r="C29" s="3">
        <v>4.0</v>
      </c>
      <c r="D29" s="3" t="s">
        <v>17</v>
      </c>
      <c r="E29" s="3" t="s">
        <v>16</v>
      </c>
      <c r="F29" s="3">
        <v>20.004</v>
      </c>
      <c r="G29" s="3">
        <v>17.0</v>
      </c>
      <c r="H29" s="3">
        <v>1623051.0</v>
      </c>
      <c r="I29" s="3">
        <v>1620598.352941</v>
      </c>
      <c r="J29" s="3">
        <v>1431.366848</v>
      </c>
      <c r="K29" s="3">
        <v>2251.764706</v>
      </c>
      <c r="L29" s="3">
        <v>67.445428</v>
      </c>
      <c r="M29" s="3">
        <v>0.0</v>
      </c>
      <c r="N29" s="3">
        <v>10.588235</v>
      </c>
      <c r="O29" s="3">
        <v>16.823529</v>
      </c>
      <c r="P29" s="3"/>
      <c r="Q29" s="3"/>
      <c r="R29" s="3"/>
      <c r="S29" s="3"/>
      <c r="T29" s="3"/>
    </row>
    <row r="30">
      <c r="A30" s="3">
        <v>1000.0</v>
      </c>
      <c r="B30" s="3">
        <v>10.0</v>
      </c>
      <c r="C30" s="3">
        <v>5.0</v>
      </c>
      <c r="D30" s="3" t="s">
        <v>15</v>
      </c>
      <c r="E30" s="3" t="s">
        <v>16</v>
      </c>
      <c r="F30" s="3">
        <v>20.001</v>
      </c>
      <c r="G30" s="3">
        <v>77.0</v>
      </c>
      <c r="H30" s="3">
        <v>1623721.0</v>
      </c>
      <c r="I30" s="3">
        <v>1617699.701299</v>
      </c>
      <c r="J30" s="3">
        <v>1964.630576</v>
      </c>
      <c r="K30" s="3">
        <v>2119.87013</v>
      </c>
      <c r="L30" s="3">
        <v>73.610655</v>
      </c>
      <c r="M30" s="3">
        <v>0.0</v>
      </c>
      <c r="N30" s="3">
        <v>0.0</v>
      </c>
      <c r="O30" s="3">
        <v>0.0</v>
      </c>
      <c r="P30" s="3"/>
      <c r="Q30" s="3"/>
      <c r="R30" s="3"/>
      <c r="S30" s="3"/>
      <c r="T30" s="3"/>
    </row>
    <row r="31">
      <c r="A31" s="3">
        <v>1000.0</v>
      </c>
      <c r="B31" s="3">
        <v>10.0</v>
      </c>
      <c r="C31" s="3">
        <v>5.0</v>
      </c>
      <c r="D31" s="3" t="s">
        <v>17</v>
      </c>
      <c r="E31" s="3" t="s">
        <v>16</v>
      </c>
      <c r="F31" s="3">
        <v>20.008</v>
      </c>
      <c r="G31" s="3">
        <v>18.0</v>
      </c>
      <c r="H31" s="3">
        <v>1622955.0</v>
      </c>
      <c r="I31" s="3">
        <v>1619186.944444</v>
      </c>
      <c r="J31" s="3">
        <v>1809.767065</v>
      </c>
      <c r="K31" s="3">
        <v>2194.111111</v>
      </c>
      <c r="L31" s="3">
        <v>80.897664</v>
      </c>
      <c r="M31" s="3">
        <v>0.0</v>
      </c>
      <c r="N31" s="3">
        <v>13.222222</v>
      </c>
      <c r="O31" s="3">
        <v>13.722222</v>
      </c>
      <c r="P31" s="3"/>
      <c r="Q31" s="3"/>
      <c r="R31" s="3"/>
      <c r="S31" s="3"/>
      <c r="T31" s="3"/>
    </row>
    <row r="32">
      <c r="A32" s="3">
        <v>1000.0</v>
      </c>
      <c r="B32" s="3">
        <v>50.0</v>
      </c>
      <c r="C32" s="3">
        <v>1.0</v>
      </c>
      <c r="D32" s="3" t="s">
        <v>15</v>
      </c>
      <c r="E32" s="3" t="s">
        <v>16</v>
      </c>
      <c r="F32" s="3">
        <v>20.0</v>
      </c>
      <c r="G32" s="3">
        <v>50.0</v>
      </c>
      <c r="H32" s="3">
        <v>8081828.0</v>
      </c>
      <c r="I32" s="3">
        <v>8066955.8</v>
      </c>
      <c r="J32" s="3">
        <v>15967.202569</v>
      </c>
      <c r="K32" s="3">
        <v>2989.74</v>
      </c>
      <c r="L32" s="3">
        <v>246.584575</v>
      </c>
      <c r="M32" s="3">
        <v>0.0</v>
      </c>
      <c r="N32" s="3">
        <v>0.0</v>
      </c>
      <c r="O32" s="3">
        <v>0.0</v>
      </c>
      <c r="P32" s="3"/>
      <c r="Q32" s="3"/>
      <c r="R32" s="3"/>
      <c r="S32" s="3"/>
      <c r="T32" s="3"/>
    </row>
    <row r="33">
      <c r="A33" s="3">
        <v>1000.0</v>
      </c>
      <c r="B33" s="3">
        <v>50.0</v>
      </c>
      <c r="C33" s="3">
        <v>1.0</v>
      </c>
      <c r="D33" s="3" t="s">
        <v>17</v>
      </c>
      <c r="E33" s="3" t="s">
        <v>16</v>
      </c>
      <c r="F33" s="3">
        <v>20.0</v>
      </c>
      <c r="G33" s="3">
        <v>9.0</v>
      </c>
      <c r="H33" s="3">
        <v>8077191.0</v>
      </c>
      <c r="I33" s="3">
        <v>8072055.555556</v>
      </c>
      <c r="J33" s="3">
        <v>3829.451892</v>
      </c>
      <c r="K33" s="3">
        <v>3057.333333</v>
      </c>
      <c r="L33" s="3">
        <v>121.835043</v>
      </c>
      <c r="M33" s="3">
        <v>0.0</v>
      </c>
      <c r="N33" s="3">
        <v>10.888889</v>
      </c>
      <c r="O33" s="3">
        <v>93.0</v>
      </c>
      <c r="P33" s="3"/>
      <c r="Q33" s="3"/>
      <c r="R33" s="3"/>
      <c r="S33" s="3"/>
      <c r="T33" s="3"/>
    </row>
    <row r="34">
      <c r="A34" s="3">
        <v>1000.0</v>
      </c>
      <c r="B34" s="3">
        <v>50.0</v>
      </c>
      <c r="C34" s="3">
        <v>2.0</v>
      </c>
      <c r="D34" s="3" t="s">
        <v>15</v>
      </c>
      <c r="E34" s="3" t="s">
        <v>16</v>
      </c>
      <c r="F34" s="3">
        <v>20.0</v>
      </c>
      <c r="G34" s="3">
        <v>52.0</v>
      </c>
      <c r="H34" s="3">
        <v>8075606.0</v>
      </c>
      <c r="I34" s="3">
        <v>8058359.019231</v>
      </c>
      <c r="J34" s="3">
        <v>66283.593817</v>
      </c>
      <c r="K34" s="3">
        <v>2953.230769</v>
      </c>
      <c r="L34" s="3">
        <v>376.257717</v>
      </c>
      <c r="M34" s="3">
        <v>0.0</v>
      </c>
      <c r="N34" s="3">
        <v>0.0</v>
      </c>
      <c r="O34" s="3">
        <v>0.0</v>
      </c>
      <c r="P34" s="3"/>
      <c r="Q34" s="3"/>
      <c r="R34" s="3"/>
      <c r="S34" s="3"/>
      <c r="T34" s="3"/>
    </row>
    <row r="35">
      <c r="A35" s="3">
        <v>1000.0</v>
      </c>
      <c r="B35" s="3">
        <v>50.0</v>
      </c>
      <c r="C35" s="3">
        <v>2.0</v>
      </c>
      <c r="D35" s="3" t="s">
        <v>17</v>
      </c>
      <c r="E35" s="3" t="s">
        <v>16</v>
      </c>
      <c r="F35" s="3">
        <v>20.007</v>
      </c>
      <c r="G35" s="3">
        <v>10.0</v>
      </c>
      <c r="H35" s="3">
        <v>8079403.0</v>
      </c>
      <c r="I35" s="3">
        <v>8070996.3</v>
      </c>
      <c r="J35" s="3">
        <v>4640.866644</v>
      </c>
      <c r="K35" s="3">
        <v>3149.4</v>
      </c>
      <c r="L35" s="3">
        <v>125.992222</v>
      </c>
      <c r="M35" s="3">
        <v>0.0</v>
      </c>
      <c r="N35" s="3">
        <v>9.1</v>
      </c>
      <c r="O35" s="3">
        <v>101.9</v>
      </c>
      <c r="P35" s="3"/>
      <c r="Q35" s="3"/>
      <c r="R35" s="3"/>
      <c r="S35" s="3"/>
      <c r="T35" s="3"/>
    </row>
    <row r="36">
      <c r="A36" s="3">
        <v>1000.0</v>
      </c>
      <c r="B36" s="3">
        <v>50.0</v>
      </c>
      <c r="C36" s="3">
        <v>3.0</v>
      </c>
      <c r="D36" s="3" t="s">
        <v>15</v>
      </c>
      <c r="E36" s="3" t="s">
        <v>16</v>
      </c>
      <c r="F36" s="3">
        <v>20.0</v>
      </c>
      <c r="G36" s="3">
        <v>51.0</v>
      </c>
      <c r="H36" s="3">
        <v>8074995.0</v>
      </c>
      <c r="I36" s="3">
        <v>8064998.490196</v>
      </c>
      <c r="J36" s="3">
        <v>8671.655155</v>
      </c>
      <c r="K36" s="3">
        <v>2985.686275</v>
      </c>
      <c r="L36" s="3">
        <v>172.880157</v>
      </c>
      <c r="M36" s="3">
        <v>0.0</v>
      </c>
      <c r="N36" s="3">
        <v>0.0</v>
      </c>
      <c r="O36" s="3">
        <v>0.0</v>
      </c>
      <c r="P36" s="3"/>
      <c r="Q36" s="3"/>
      <c r="R36" s="3"/>
      <c r="S36" s="3"/>
      <c r="T36" s="3"/>
    </row>
    <row r="37">
      <c r="A37" s="3">
        <v>1000.0</v>
      </c>
      <c r="B37" s="3">
        <v>50.0</v>
      </c>
      <c r="C37" s="3">
        <v>3.0</v>
      </c>
      <c r="D37" s="3" t="s">
        <v>17</v>
      </c>
      <c r="E37" s="3" t="s">
        <v>16</v>
      </c>
      <c r="F37" s="3">
        <v>20.08</v>
      </c>
      <c r="G37" s="3">
        <v>10.0</v>
      </c>
      <c r="H37" s="3">
        <v>8080530.0</v>
      </c>
      <c r="I37" s="3">
        <v>8069269.0</v>
      </c>
      <c r="J37" s="3">
        <v>6689.679066</v>
      </c>
      <c r="K37" s="3">
        <v>3145.7</v>
      </c>
      <c r="L37" s="3">
        <v>177.142908</v>
      </c>
      <c r="M37" s="3">
        <v>0.0</v>
      </c>
      <c r="N37" s="3">
        <v>9.0</v>
      </c>
      <c r="O37" s="3">
        <v>111.5</v>
      </c>
      <c r="P37" s="3"/>
      <c r="Q37" s="3"/>
      <c r="R37" s="3"/>
      <c r="S37" s="3"/>
      <c r="T37" s="3"/>
    </row>
    <row r="38">
      <c r="A38" s="3">
        <v>1000.0</v>
      </c>
      <c r="B38" s="3">
        <v>50.0</v>
      </c>
      <c r="C38" s="3">
        <v>4.0</v>
      </c>
      <c r="D38" s="3" t="s">
        <v>15</v>
      </c>
      <c r="E38" s="3" t="s">
        <v>16</v>
      </c>
      <c r="F38" s="3">
        <v>20.002</v>
      </c>
      <c r="G38" s="3">
        <v>50.0</v>
      </c>
      <c r="H38" s="3">
        <v>8080417.0</v>
      </c>
      <c r="I38" s="3">
        <v>8068997.96</v>
      </c>
      <c r="J38" s="3">
        <v>4588.373406</v>
      </c>
      <c r="K38" s="3">
        <v>3027.54</v>
      </c>
      <c r="L38" s="3">
        <v>114.492307</v>
      </c>
      <c r="M38" s="3">
        <v>0.0</v>
      </c>
      <c r="N38" s="3">
        <v>0.0</v>
      </c>
      <c r="O38" s="3">
        <v>0.0</v>
      </c>
      <c r="P38" s="3"/>
      <c r="Q38" s="3"/>
      <c r="R38" s="3"/>
      <c r="S38" s="3"/>
      <c r="T38" s="3"/>
    </row>
    <row r="39">
      <c r="A39" s="3">
        <v>1000.0</v>
      </c>
      <c r="B39" s="3">
        <v>50.0</v>
      </c>
      <c r="C39" s="3">
        <v>4.0</v>
      </c>
      <c r="D39" s="3" t="s">
        <v>17</v>
      </c>
      <c r="E39" s="3" t="s">
        <v>16</v>
      </c>
      <c r="F39" s="3">
        <v>20.102</v>
      </c>
      <c r="G39" s="3">
        <v>10.0</v>
      </c>
      <c r="H39" s="3">
        <v>8082878.0</v>
      </c>
      <c r="I39" s="3">
        <v>8071362.3</v>
      </c>
      <c r="J39" s="3">
        <v>5713.360168</v>
      </c>
      <c r="K39" s="3">
        <v>3042.3</v>
      </c>
      <c r="L39" s="3">
        <v>114.703139</v>
      </c>
      <c r="M39" s="3">
        <v>0.0</v>
      </c>
      <c r="N39" s="3">
        <v>9.9</v>
      </c>
      <c r="O39" s="3">
        <v>103.1</v>
      </c>
      <c r="P39" s="3"/>
      <c r="Q39" s="3"/>
      <c r="R39" s="3"/>
      <c r="S39" s="3"/>
      <c r="T39" s="3"/>
    </row>
    <row r="40">
      <c r="A40" s="3">
        <v>1000.0</v>
      </c>
      <c r="B40" s="3">
        <v>50.0</v>
      </c>
      <c r="C40" s="3">
        <v>5.0</v>
      </c>
      <c r="D40" s="3" t="s">
        <v>15</v>
      </c>
      <c r="E40" s="3" t="s">
        <v>16</v>
      </c>
      <c r="F40" s="3">
        <v>20.0</v>
      </c>
      <c r="G40" s="3">
        <v>34.0</v>
      </c>
      <c r="H40" s="3">
        <v>8075189.0</v>
      </c>
      <c r="I40" s="3">
        <v>8062828.558824</v>
      </c>
      <c r="J40" s="3">
        <v>15366.162658</v>
      </c>
      <c r="K40" s="3">
        <v>2932.235294</v>
      </c>
      <c r="L40" s="3">
        <v>257.390417</v>
      </c>
      <c r="M40" s="3">
        <v>0.0</v>
      </c>
      <c r="N40" s="3">
        <v>0.0</v>
      </c>
      <c r="O40" s="3">
        <v>0.0</v>
      </c>
      <c r="P40" s="3"/>
      <c r="Q40" s="3"/>
      <c r="R40" s="3"/>
      <c r="S40" s="3"/>
      <c r="T40" s="3"/>
    </row>
    <row r="41">
      <c r="A41" s="3">
        <v>1000.0</v>
      </c>
      <c r="B41" s="3">
        <v>50.0</v>
      </c>
      <c r="C41" s="3">
        <v>5.0</v>
      </c>
      <c r="D41" s="3" t="s">
        <v>17</v>
      </c>
      <c r="E41" s="3" t="s">
        <v>16</v>
      </c>
      <c r="F41" s="3">
        <v>20.332</v>
      </c>
      <c r="G41" s="3">
        <v>8.0</v>
      </c>
      <c r="H41" s="3">
        <v>8079402.0</v>
      </c>
      <c r="I41" s="3">
        <v>8069384.625</v>
      </c>
      <c r="J41" s="3">
        <v>6039.125805</v>
      </c>
      <c r="K41" s="3">
        <v>3159.375</v>
      </c>
      <c r="L41" s="3">
        <v>140.8101</v>
      </c>
      <c r="M41" s="3">
        <v>0.0</v>
      </c>
      <c r="N41" s="3">
        <v>12.0</v>
      </c>
      <c r="O41" s="3">
        <v>116.25</v>
      </c>
      <c r="P41" s="3"/>
      <c r="Q41" s="3"/>
      <c r="R41" s="3"/>
      <c r="S41" s="3"/>
      <c r="T41" s="3"/>
    </row>
    <row r="42">
      <c r="A42" s="3">
        <v>1000.0</v>
      </c>
      <c r="B42" s="3">
        <v>100.0</v>
      </c>
      <c r="C42" s="3">
        <v>1.0</v>
      </c>
      <c r="D42" s="3" t="s">
        <v>15</v>
      </c>
      <c r="E42" s="3" t="s">
        <v>16</v>
      </c>
      <c r="F42" s="3">
        <v>20.0</v>
      </c>
      <c r="G42" s="3">
        <v>40.0</v>
      </c>
      <c r="H42" s="3">
        <v>2.5766718E7</v>
      </c>
      <c r="I42" s="3">
        <v>2.575955405E7</v>
      </c>
      <c r="J42" s="3">
        <v>3523.166811</v>
      </c>
      <c r="K42" s="3">
        <v>3378.175</v>
      </c>
      <c r="L42" s="3">
        <v>150.025812</v>
      </c>
      <c r="M42" s="3">
        <v>0.0</v>
      </c>
      <c r="N42" s="3">
        <v>0.0</v>
      </c>
      <c r="O42" s="3">
        <v>0.0</v>
      </c>
      <c r="P42" s="3"/>
      <c r="Q42" s="3"/>
      <c r="R42" s="3"/>
      <c r="S42" s="3"/>
      <c r="T42" s="3"/>
    </row>
    <row r="43">
      <c r="A43" s="3">
        <v>1000.0</v>
      </c>
      <c r="B43" s="3">
        <v>100.0</v>
      </c>
      <c r="C43" s="3">
        <v>1.0</v>
      </c>
      <c r="D43" s="3" t="s">
        <v>17</v>
      </c>
      <c r="E43" s="3" t="s">
        <v>16</v>
      </c>
      <c r="F43" s="3">
        <v>20.243</v>
      </c>
      <c r="G43" s="3">
        <v>6.0</v>
      </c>
      <c r="H43" s="3">
        <v>2.5768095E7</v>
      </c>
      <c r="I43" s="3">
        <v>2.5760691666667E7</v>
      </c>
      <c r="J43" s="3">
        <v>3808.931018</v>
      </c>
      <c r="K43" s="3">
        <v>3550.166667</v>
      </c>
      <c r="L43" s="3">
        <v>44.073487</v>
      </c>
      <c r="M43" s="3">
        <v>0.0</v>
      </c>
      <c r="N43" s="3">
        <v>8.0</v>
      </c>
      <c r="O43" s="3">
        <v>278.0</v>
      </c>
      <c r="P43" s="3"/>
      <c r="Q43" s="3"/>
      <c r="R43" s="3"/>
      <c r="S43" s="3"/>
      <c r="T43" s="3"/>
    </row>
    <row r="44">
      <c r="A44" s="3">
        <v>1000.0</v>
      </c>
      <c r="B44" s="3">
        <v>100.0</v>
      </c>
      <c r="C44" s="3">
        <v>2.0</v>
      </c>
      <c r="D44" s="3" t="s">
        <v>15</v>
      </c>
      <c r="E44" s="3" t="s">
        <v>16</v>
      </c>
      <c r="F44" s="3">
        <v>20.001</v>
      </c>
      <c r="G44" s="3">
        <v>39.0</v>
      </c>
      <c r="H44" s="3">
        <v>2.5769034E7</v>
      </c>
      <c r="I44" s="3">
        <v>2.5759414153846E7</v>
      </c>
      <c r="J44" s="3">
        <v>4531.839224</v>
      </c>
      <c r="K44" s="3">
        <v>3383.102564</v>
      </c>
      <c r="L44" s="3">
        <v>167.300098</v>
      </c>
      <c r="M44" s="3">
        <v>0.0</v>
      </c>
      <c r="N44" s="3">
        <v>0.0</v>
      </c>
      <c r="O44" s="3">
        <v>0.0</v>
      </c>
      <c r="P44" s="3"/>
      <c r="Q44" s="3"/>
      <c r="R44" s="3"/>
      <c r="S44" s="3"/>
      <c r="T44" s="3"/>
    </row>
    <row r="45">
      <c r="A45" s="3">
        <v>1000.0</v>
      </c>
      <c r="B45" s="3">
        <v>100.0</v>
      </c>
      <c r="C45" s="3">
        <v>2.0</v>
      </c>
      <c r="D45" s="3" t="s">
        <v>17</v>
      </c>
      <c r="E45" s="3" t="s">
        <v>16</v>
      </c>
      <c r="F45" s="3">
        <v>20.275</v>
      </c>
      <c r="G45" s="3">
        <v>6.0</v>
      </c>
      <c r="H45" s="3">
        <v>2.5766817E7</v>
      </c>
      <c r="I45" s="3">
        <v>2.57602485E7</v>
      </c>
      <c r="J45" s="3">
        <v>3840.007536</v>
      </c>
      <c r="K45" s="3">
        <v>3349.833333</v>
      </c>
      <c r="L45" s="3">
        <v>155.254003</v>
      </c>
      <c r="M45" s="3">
        <v>0.0</v>
      </c>
      <c r="N45" s="3">
        <v>6.666667</v>
      </c>
      <c r="O45" s="3">
        <v>336.0</v>
      </c>
      <c r="P45" s="3"/>
      <c r="Q45" s="3"/>
      <c r="R45" s="3"/>
      <c r="S45" s="3"/>
      <c r="T45" s="3"/>
    </row>
    <row r="46">
      <c r="A46" s="3">
        <v>1000.0</v>
      </c>
      <c r="B46" s="3">
        <v>100.0</v>
      </c>
      <c r="C46" s="3">
        <v>3.0</v>
      </c>
      <c r="D46" s="3" t="s">
        <v>15</v>
      </c>
      <c r="E46" s="3" t="s">
        <v>16</v>
      </c>
      <c r="F46" s="3">
        <v>20.0</v>
      </c>
      <c r="G46" s="3">
        <v>40.0</v>
      </c>
      <c r="H46" s="3">
        <v>2.5809808E7</v>
      </c>
      <c r="I46" s="3">
        <v>2.5796663925E7</v>
      </c>
      <c r="J46" s="3">
        <v>4732.684096</v>
      </c>
      <c r="K46" s="3">
        <v>3446.725</v>
      </c>
      <c r="L46" s="3">
        <v>147.787007</v>
      </c>
      <c r="M46" s="3">
        <v>0.0</v>
      </c>
      <c r="N46" s="3">
        <v>0.0</v>
      </c>
      <c r="O46" s="3">
        <v>0.0</v>
      </c>
      <c r="P46" s="3"/>
      <c r="Q46" s="3"/>
      <c r="R46" s="3"/>
      <c r="S46" s="3"/>
      <c r="T46" s="3"/>
    </row>
    <row r="47">
      <c r="A47" s="3">
        <v>1000.0</v>
      </c>
      <c r="B47" s="3">
        <v>100.0</v>
      </c>
      <c r="C47" s="3">
        <v>3.0</v>
      </c>
      <c r="D47" s="3" t="s">
        <v>17</v>
      </c>
      <c r="E47" s="3" t="s">
        <v>16</v>
      </c>
      <c r="F47" s="3">
        <v>20.009</v>
      </c>
      <c r="G47" s="3">
        <v>5.0</v>
      </c>
      <c r="H47" s="3">
        <v>2.5800688E7</v>
      </c>
      <c r="I47" s="3">
        <v>2.57963576E7</v>
      </c>
      <c r="J47" s="3">
        <v>2688.720839</v>
      </c>
      <c r="K47" s="3">
        <v>3530.6</v>
      </c>
      <c r="L47" s="3">
        <v>123.115555</v>
      </c>
      <c r="M47" s="3">
        <v>0.0</v>
      </c>
      <c r="N47" s="3">
        <v>8.8</v>
      </c>
      <c r="O47" s="3">
        <v>255.6</v>
      </c>
      <c r="P47" s="3"/>
      <c r="Q47" s="3"/>
      <c r="R47" s="3"/>
      <c r="S47" s="3"/>
      <c r="T47" s="3"/>
    </row>
    <row r="48">
      <c r="A48" s="3">
        <v>1000.0</v>
      </c>
      <c r="B48" s="3">
        <v>100.0</v>
      </c>
      <c r="C48" s="3">
        <v>4.0</v>
      </c>
      <c r="D48" s="3" t="s">
        <v>15</v>
      </c>
      <c r="E48" s="3" t="s">
        <v>16</v>
      </c>
      <c r="F48" s="3">
        <v>20.0</v>
      </c>
      <c r="G48" s="3">
        <v>35.0</v>
      </c>
      <c r="H48" s="3">
        <v>2.5820101E7</v>
      </c>
      <c r="I48" s="3">
        <v>2.5808591571429E7</v>
      </c>
      <c r="J48" s="3">
        <v>5810.482596</v>
      </c>
      <c r="K48" s="3">
        <v>3446.8</v>
      </c>
      <c r="L48" s="3">
        <v>169.389796</v>
      </c>
      <c r="M48" s="3">
        <v>0.0</v>
      </c>
      <c r="N48" s="3">
        <v>0.0</v>
      </c>
      <c r="O48" s="3">
        <v>0.0</v>
      </c>
      <c r="P48" s="3"/>
      <c r="Q48" s="3"/>
      <c r="R48" s="3"/>
      <c r="S48" s="3"/>
      <c r="T48" s="3"/>
    </row>
    <row r="49">
      <c r="A49" s="3">
        <v>1000.0</v>
      </c>
      <c r="B49" s="3">
        <v>100.0</v>
      </c>
      <c r="C49" s="3">
        <v>4.0</v>
      </c>
      <c r="D49" s="3" t="s">
        <v>17</v>
      </c>
      <c r="E49" s="3" t="s">
        <v>16</v>
      </c>
      <c r="F49" s="3">
        <v>20.007</v>
      </c>
      <c r="G49" s="3">
        <v>6.0</v>
      </c>
      <c r="H49" s="3">
        <v>2.5814493E7</v>
      </c>
      <c r="I49" s="3">
        <v>2.58085595E7</v>
      </c>
      <c r="J49" s="3">
        <v>5216.455717</v>
      </c>
      <c r="K49" s="3">
        <v>3518.166667</v>
      </c>
      <c r="L49" s="3">
        <v>148.010604</v>
      </c>
      <c r="M49" s="3">
        <v>0.0</v>
      </c>
      <c r="N49" s="3">
        <v>6.833333</v>
      </c>
      <c r="O49" s="3">
        <v>311.0</v>
      </c>
      <c r="P49" s="3"/>
      <c r="Q49" s="3"/>
      <c r="R49" s="3"/>
      <c r="S49" s="3"/>
      <c r="T49" s="3"/>
    </row>
    <row r="50">
      <c r="A50" s="3">
        <v>1000.0</v>
      </c>
      <c r="B50" s="3">
        <v>100.0</v>
      </c>
      <c r="C50" s="3">
        <v>5.0</v>
      </c>
      <c r="D50" s="3" t="s">
        <v>15</v>
      </c>
      <c r="E50" s="3" t="s">
        <v>16</v>
      </c>
      <c r="F50" s="3">
        <v>20.001</v>
      </c>
      <c r="G50" s="3">
        <v>38.0</v>
      </c>
      <c r="H50" s="3">
        <v>2.577383E7</v>
      </c>
      <c r="I50" s="3">
        <v>2.5763782736842E7</v>
      </c>
      <c r="J50" s="3">
        <v>4529.562189</v>
      </c>
      <c r="K50" s="3">
        <v>3410.184211</v>
      </c>
      <c r="L50" s="3">
        <v>144.443552</v>
      </c>
      <c r="M50" s="3">
        <v>0.0</v>
      </c>
      <c r="N50" s="3">
        <v>0.0</v>
      </c>
      <c r="O50" s="3">
        <v>0.0</v>
      </c>
      <c r="P50" s="3"/>
      <c r="Q50" s="3"/>
      <c r="R50" s="3"/>
      <c r="S50" s="3"/>
      <c r="T50" s="3"/>
    </row>
    <row r="51">
      <c r="A51" s="3">
        <v>1000.0</v>
      </c>
      <c r="B51" s="3">
        <v>100.0</v>
      </c>
      <c r="C51" s="3">
        <v>5.0</v>
      </c>
      <c r="D51" s="3" t="s">
        <v>17</v>
      </c>
      <c r="E51" s="3" t="s">
        <v>16</v>
      </c>
      <c r="F51" s="3">
        <v>20.854</v>
      </c>
      <c r="G51" s="3">
        <v>6.0</v>
      </c>
      <c r="H51" s="3">
        <v>2.5773874E7</v>
      </c>
      <c r="I51" s="3">
        <v>2.5768221666667E7</v>
      </c>
      <c r="J51" s="3">
        <v>2963.078825</v>
      </c>
      <c r="K51" s="3">
        <v>3500.0</v>
      </c>
      <c r="L51" s="3">
        <v>104.462114</v>
      </c>
      <c r="M51" s="3">
        <v>0.0</v>
      </c>
      <c r="N51" s="3">
        <v>6.833333</v>
      </c>
      <c r="O51" s="3">
        <v>320.666667</v>
      </c>
      <c r="P51" s="3"/>
      <c r="Q51" s="3"/>
      <c r="R51" s="3"/>
      <c r="S51" s="3"/>
      <c r="T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5.57"/>
    <col customWidth="1" min="4" max="4" width="10.57"/>
    <col customWidth="1" hidden="1" min="5" max="5" width="5.0"/>
    <col customWidth="1" hidden="1" min="6" max="6" width="4.0"/>
    <col customWidth="1" hidden="1" min="7" max="7" width="14.29"/>
    <col customWidth="1" min="8" max="8" width="11.71"/>
    <col customWidth="1" min="9" max="9" width="9.71"/>
    <col customWidth="1" hidden="1" min="10" max="10" width="6.57"/>
    <col customWidth="1" min="11" max="11" width="7.0"/>
    <col customWidth="1" hidden="1" min="12" max="12" width="9.0"/>
    <col customWidth="1" min="13" max="14" width="11.57"/>
    <col customWidth="1" min="15" max="15" width="23.57"/>
  </cols>
  <sheetData>
    <row r="1">
      <c r="A1" s="1" t="str">
        <f>IFERROR(__xludf.DUMMYFUNCTION("UNIQUE(Data!A:C)"),"N")</f>
        <v>N</v>
      </c>
      <c r="B1" s="1" t="s">
        <v>1</v>
      </c>
      <c r="C1" s="1" t="s">
        <v>2</v>
      </c>
      <c r="D1" s="1" t="s">
        <v>18</v>
      </c>
      <c r="E1" s="1"/>
      <c r="F1" s="1"/>
      <c r="G1" s="1"/>
      <c r="H1" s="1" t="s">
        <v>19</v>
      </c>
      <c r="I1" s="1" t="s">
        <v>20</v>
      </c>
      <c r="J1" s="1"/>
      <c r="K1" s="1" t="s">
        <v>21</v>
      </c>
      <c r="L1" s="1"/>
      <c r="M1" s="1" t="s">
        <v>22</v>
      </c>
      <c r="N1" s="1" t="s">
        <v>23</v>
      </c>
      <c r="O1" s="1" t="s">
        <v>24</v>
      </c>
      <c r="P1" s="1" t="s">
        <v>25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1000.0</v>
      </c>
      <c r="B2" s="4">
        <v>1.0</v>
      </c>
      <c r="C2" s="4">
        <v>1.0</v>
      </c>
      <c r="D2" s="4" t="str">
        <f>IFERROR(__xludf.DUMMYFUNCTION("DMAX({{Data!$A$1:$J$1};filter(Data!$A$2:$J1000,Data!$A$2:$A1000=$A2 , Data!$B$2:$B1000 = $B2, Data!$C$2:$C1000 = $C2)},$P$2, $P$22:$P$23)"),"210176")</f>
        <v>210176</v>
      </c>
      <c r="E2" s="4" t="str">
        <f>IFERROR(__xludf.DUMMYFUNCTION("filter(Data!$A$2:$J1000,Data!$A$2:$A1000=$A2 , Data!$B$2:$B1000 = $B2, Data!$C$2:$C1000 = $C2, Data!$H$2:$H1000 =$D2)"),"1000")</f>
        <v>1000</v>
      </c>
      <c r="F2" s="4">
        <v>1.0</v>
      </c>
      <c r="G2" s="4">
        <v>1.0</v>
      </c>
      <c r="H2" s="4" t="s">
        <v>15</v>
      </c>
      <c r="I2" s="4" t="s">
        <v>16</v>
      </c>
      <c r="J2" s="4">
        <v>20.0</v>
      </c>
      <c r="K2" s="4">
        <v>166.0</v>
      </c>
      <c r="L2" s="4">
        <v>210176.0</v>
      </c>
      <c r="M2" s="4">
        <v>208400.26506</v>
      </c>
      <c r="N2" s="5">
        <v>1870.970002</v>
      </c>
      <c r="O2" s="6" t="str">
        <f t="shared" ref="O2:O26" si="1">(D2-M2)/N2</f>
        <v>0.9490985628</v>
      </c>
      <c r="P2" s="3" t="s">
        <v>7</v>
      </c>
    </row>
    <row r="3">
      <c r="A3" s="4">
        <v>1000.0</v>
      </c>
      <c r="B3" s="4">
        <v>1.0</v>
      </c>
      <c r="C3" s="4">
        <v>2.0</v>
      </c>
      <c r="D3" s="4" t="str">
        <f>IFERROR(__xludf.DUMMYFUNCTION("DMAX({{Data!$A$1:$J$1};filter(Data!$A$2:$J1000,Data!$A$2:$A1000=$A3 , Data!$B$2:$B1000 = $B3, Data!$C$2:$C1000 = $C3)},$P$2, $P$22:$P$23)"),"206452")</f>
        <v>206452</v>
      </c>
      <c r="E3" s="4" t="str">
        <f>IFERROR(__xludf.DUMMYFUNCTION("filter(Data!$A$2:$J1000,Data!$A$2:$A1000=$A3 , Data!$B$2:$B1000 = $B3, Data!$C$2:$C1000 = $C3, Data!$H$2:$H1000 =$D3)"),"1000")</f>
        <v>1000</v>
      </c>
      <c r="F3" s="4">
        <v>1.0</v>
      </c>
      <c r="G3" s="4">
        <v>2.0</v>
      </c>
      <c r="H3" s="4" t="s">
        <v>17</v>
      </c>
      <c r="I3" s="4" t="s">
        <v>16</v>
      </c>
      <c r="J3" s="4">
        <v>20.003</v>
      </c>
      <c r="K3" s="4">
        <v>64.0</v>
      </c>
      <c r="L3" s="4">
        <v>206452.0</v>
      </c>
      <c r="M3" s="4">
        <v>204995.8125</v>
      </c>
      <c r="N3" s="5">
        <v>611.367675</v>
      </c>
      <c r="O3" s="6" t="str">
        <f t="shared" si="1"/>
        <v>2.381852295</v>
      </c>
    </row>
    <row r="4">
      <c r="A4" s="4">
        <v>1000.0</v>
      </c>
      <c r="B4" s="4">
        <v>1.0</v>
      </c>
      <c r="C4" s="4">
        <v>3.0</v>
      </c>
      <c r="D4" s="4" t="str">
        <f>IFERROR(__xludf.DUMMYFUNCTION("DMAX({{Data!$A$1:$J$1};filter(Data!$A$2:$J1000,Data!$A$2:$A1000=$A4 , Data!$B$2:$B1000 = $B4, Data!$C$2:$C1000 = $C4)},$P$2, $P$22:$P$23)"),"205050")</f>
        <v>205050</v>
      </c>
      <c r="E4" s="4" t="str">
        <f>IFERROR(__xludf.DUMMYFUNCTION("filter(Data!$A$2:$J1000,Data!$A$2:$A1000=$A4 , Data!$B$2:$B1000 = $B4, Data!$C$2:$C1000 = $C4, Data!$H$2:$H1000 =$D4)"),"1000")</f>
        <v>1000</v>
      </c>
      <c r="F4" s="4">
        <v>1.0</v>
      </c>
      <c r="G4" s="4">
        <v>3.0</v>
      </c>
      <c r="H4" s="4" t="s">
        <v>15</v>
      </c>
      <c r="I4" s="4" t="s">
        <v>16</v>
      </c>
      <c r="J4" s="4">
        <v>20.008</v>
      </c>
      <c r="K4" s="4">
        <v>183.0</v>
      </c>
      <c r="L4" s="4">
        <v>205050.0</v>
      </c>
      <c r="M4" s="4">
        <v>203266.896175</v>
      </c>
      <c r="N4" s="5">
        <v>624.928923</v>
      </c>
      <c r="O4" s="6" t="str">
        <f t="shared" si="1"/>
        <v>2.853290605</v>
      </c>
    </row>
    <row r="5">
      <c r="A5" s="4">
        <v>1000.0</v>
      </c>
      <c r="B5" s="4">
        <v>1.0</v>
      </c>
      <c r="C5" s="4">
        <v>4.0</v>
      </c>
      <c r="D5" s="4" t="str">
        <f>IFERROR(__xludf.DUMMYFUNCTION("DMAX({{Data!$A$1:$J$1};filter(Data!$A$2:$J1000,Data!$A$2:$A1000=$A5 , Data!$B$2:$B1000 = $B5, Data!$C$2:$C1000 = $C5)},$P$2, $P$22:$P$23)"),"213724")</f>
        <v>213724</v>
      </c>
      <c r="E5" s="4" t="str">
        <f>IFERROR(__xludf.DUMMYFUNCTION("filter(Data!$A$2:$J1000,Data!$A$2:$A1000=$A5 , Data!$B$2:$B1000 = $B5, Data!$C$2:$C1000 = $C5, Data!$H$2:$H1000 =$D5)"),"1000")</f>
        <v>1000</v>
      </c>
      <c r="F5" s="4">
        <v>1.0</v>
      </c>
      <c r="G5" s="4">
        <v>4.0</v>
      </c>
      <c r="H5" s="4" t="s">
        <v>17</v>
      </c>
      <c r="I5" s="4" t="s">
        <v>16</v>
      </c>
      <c r="J5" s="4">
        <v>20.0</v>
      </c>
      <c r="K5" s="4">
        <v>72.0</v>
      </c>
      <c r="L5" s="4">
        <v>213724.0</v>
      </c>
      <c r="M5" s="4">
        <v>211841.333333</v>
      </c>
      <c r="N5" s="5">
        <v>3275.538531</v>
      </c>
      <c r="O5" s="6" t="str">
        <f t="shared" si="1"/>
        <v>0.5747655383</v>
      </c>
    </row>
    <row r="6">
      <c r="A6" s="4">
        <v>1000.0</v>
      </c>
      <c r="B6" s="4">
        <v>1.0</v>
      </c>
      <c r="C6" s="4">
        <v>5.0</v>
      </c>
      <c r="D6" s="4" t="str">
        <f>IFERROR(__xludf.DUMMYFUNCTION("DMAX({{Data!$A$1:$J$1};filter(Data!$A$2:$J1000,Data!$A$2:$A1000=$A6 , Data!$B$2:$B1000 = $B6, Data!$C$2:$C1000 = $C6)},$P$2, $P$22:$P$23)"),"211840")</f>
        <v>211840</v>
      </c>
      <c r="E6" s="4" t="str">
        <f>IFERROR(__xludf.DUMMYFUNCTION("filter(Data!$A$2:$J1000,Data!$A$2:$A1000=$A6 , Data!$B$2:$B1000 = $B6, Data!$C$2:$C1000 = $C6, Data!$H$2:$H1000 =$D6)"),"1000")</f>
        <v>1000</v>
      </c>
      <c r="F6" s="4">
        <v>1.0</v>
      </c>
      <c r="G6" s="4">
        <v>5.0</v>
      </c>
      <c r="H6" s="4" t="s">
        <v>17</v>
      </c>
      <c r="I6" s="4" t="s">
        <v>16</v>
      </c>
      <c r="J6" s="4">
        <v>20.011</v>
      </c>
      <c r="K6" s="4">
        <v>66.0</v>
      </c>
      <c r="L6" s="4">
        <v>211840.0</v>
      </c>
      <c r="M6" s="4">
        <v>210296.939394</v>
      </c>
      <c r="N6" s="5">
        <v>588.328986</v>
      </c>
      <c r="O6" s="6" t="str">
        <f t="shared" si="1"/>
        <v>2.622785283</v>
      </c>
    </row>
    <row r="7">
      <c r="A7" s="3">
        <v>1000.0</v>
      </c>
      <c r="B7" s="3">
        <v>5.0</v>
      </c>
      <c r="C7" s="3">
        <v>1.0</v>
      </c>
      <c r="D7" s="3" t="str">
        <f>IFERROR(__xludf.DUMMYFUNCTION("DMAX({{Data!$A$1:$J$1};filter(Data!$A$2:$J1000,Data!$A$2:$A1000=$A7 , Data!$B$2:$B1000 = $B7, Data!$C$2:$C1000 = $C7)},$P$2, $P$22:$P$23)"),"859387")</f>
        <v>859387</v>
      </c>
      <c r="E7" s="3" t="str">
        <f>IFERROR(__xludf.DUMMYFUNCTION("filter(Data!$A$2:$J1000,Data!$A$2:$A1000=$A7 , Data!$B$2:$B1000 = $B7, Data!$C$2:$C1000 = $C7, Data!$H$2:$H1000 =$D7)"),"1000")</f>
        <v>1000</v>
      </c>
      <c r="F7" s="3">
        <v>5.0</v>
      </c>
      <c r="G7" s="3">
        <v>1.0</v>
      </c>
      <c r="H7" s="3" t="s">
        <v>15</v>
      </c>
      <c r="I7" s="3" t="s">
        <v>16</v>
      </c>
      <c r="J7" s="3">
        <v>20.0</v>
      </c>
      <c r="K7" s="3">
        <v>106.0</v>
      </c>
      <c r="L7" s="3">
        <v>859387.0</v>
      </c>
      <c r="M7" s="3">
        <v>854392.811321</v>
      </c>
      <c r="N7">
        <v>1648.465634</v>
      </c>
      <c r="O7" t="str">
        <f t="shared" si="1"/>
        <v>3.029598298</v>
      </c>
    </row>
    <row r="8">
      <c r="A8" s="3">
        <v>1000.0</v>
      </c>
      <c r="B8" s="3">
        <v>5.0</v>
      </c>
      <c r="C8" s="3">
        <v>2.0</v>
      </c>
      <c r="D8" s="3" t="str">
        <f>IFERROR(__xludf.DUMMYFUNCTION("DMAX({{Data!$A$1:$J$1};filter(Data!$A$2:$J1000,Data!$A$2:$A1000=$A8 , Data!$B$2:$B1000 = $B8, Data!$C$2:$C1000 = $C8)},$P$2, $P$22:$P$23)"),"862969")</f>
        <v>862969</v>
      </c>
      <c r="E8" s="3" t="str">
        <f>IFERROR(__xludf.DUMMYFUNCTION("filter(Data!$A$2:$J1000,Data!$A$2:$A1000=$A8 , Data!$B$2:$B1000 = $B8, Data!$C$2:$C1000 = $C8, Data!$H$2:$H1000 =$D8)"),"1000")</f>
        <v>1000</v>
      </c>
      <c r="F8" s="3">
        <v>5.0</v>
      </c>
      <c r="G8" s="3">
        <v>2.0</v>
      </c>
      <c r="H8" s="3" t="s">
        <v>17</v>
      </c>
      <c r="I8" s="3" t="s">
        <v>16</v>
      </c>
      <c r="J8" s="3">
        <v>20.0</v>
      </c>
      <c r="K8" s="3">
        <v>26.0</v>
      </c>
      <c r="L8" s="3">
        <v>862969.0</v>
      </c>
      <c r="M8" s="3">
        <v>860207.923077</v>
      </c>
      <c r="N8">
        <v>1500.699835</v>
      </c>
      <c r="O8" t="str">
        <f t="shared" si="1"/>
        <v>1.83985955</v>
      </c>
    </row>
    <row r="9">
      <c r="A9" s="3">
        <v>1000.0</v>
      </c>
      <c r="B9" s="3">
        <v>5.0</v>
      </c>
      <c r="C9" s="3">
        <v>3.0</v>
      </c>
      <c r="D9" s="3" t="str">
        <f>IFERROR(__xludf.DUMMYFUNCTION("DMAX({{Data!$A$1:$J$1};filter(Data!$A$2:$J1000,Data!$A$2:$A1000=$A9 , Data!$B$2:$B1000 = $B9, Data!$C$2:$C1000 = $C9)},$P$2, $P$22:$P$23)"),"869301")</f>
        <v>869301</v>
      </c>
      <c r="E9" s="3" t="str">
        <f>IFERROR(__xludf.DUMMYFUNCTION("filter(Data!$A$2:$J1000,Data!$A$2:$A1000=$A9 , Data!$B$2:$B1000 = $B9, Data!$C$2:$C1000 = $C9, Data!$H$2:$H1000 =$D9)"),"1000")</f>
        <v>1000</v>
      </c>
      <c r="F9" s="3">
        <v>5.0</v>
      </c>
      <c r="G9" s="3">
        <v>3.0</v>
      </c>
      <c r="H9" s="3" t="s">
        <v>17</v>
      </c>
      <c r="I9" s="3" t="s">
        <v>16</v>
      </c>
      <c r="J9" s="3">
        <v>20.0</v>
      </c>
      <c r="K9" s="3">
        <v>25.0</v>
      </c>
      <c r="L9" s="3">
        <v>869301.0</v>
      </c>
      <c r="M9" s="3">
        <v>865615.4</v>
      </c>
      <c r="N9">
        <v>1750.182916</v>
      </c>
      <c r="O9" t="str">
        <f t="shared" si="1"/>
        <v>2.105837034</v>
      </c>
    </row>
    <row r="10">
      <c r="A10" s="3">
        <v>1000.0</v>
      </c>
      <c r="B10" s="3">
        <v>5.0</v>
      </c>
      <c r="C10" s="3">
        <v>4.0</v>
      </c>
      <c r="D10" s="3" t="str">
        <f>IFERROR(__xludf.DUMMYFUNCTION("DMAX({{Data!$A$1:$J$1};filter(Data!$A$2:$J1000,Data!$A$2:$A1000=$A10 , Data!$B$2:$B1000 = $B10, Data!$C$2:$C1000 = $C10)},$P$2, $P$22:$P$23)"),"866906")</f>
        <v>866906</v>
      </c>
      <c r="E10" s="3" t="str">
        <f>IFERROR(__xludf.DUMMYFUNCTION("filter(Data!$A$2:$J1000,Data!$A$2:$A1000=$A10 , Data!$B$2:$B1000 = $B10, Data!$C$2:$C1000 = $C10, Data!$H$2:$H1000 =$D10)"),"1000")</f>
        <v>1000</v>
      </c>
      <c r="F10" s="3">
        <v>5.0</v>
      </c>
      <c r="G10" s="3">
        <v>4.0</v>
      </c>
      <c r="H10" s="3" t="s">
        <v>15</v>
      </c>
      <c r="I10" s="3" t="s">
        <v>16</v>
      </c>
      <c r="J10" s="3">
        <v>20.002</v>
      </c>
      <c r="K10" s="3">
        <v>110.0</v>
      </c>
      <c r="L10" s="3">
        <v>866906.0</v>
      </c>
      <c r="M10" s="3">
        <v>863264.072727</v>
      </c>
      <c r="N10">
        <v>1507.816722</v>
      </c>
      <c r="O10" t="str">
        <f t="shared" si="1"/>
        <v>2.415364692</v>
      </c>
    </row>
    <row r="11">
      <c r="A11" s="3">
        <v>1000.0</v>
      </c>
      <c r="B11" s="3">
        <v>5.0</v>
      </c>
      <c r="C11" s="3">
        <v>5.0</v>
      </c>
      <c r="D11" s="3" t="str">
        <f>IFERROR(__xludf.DUMMYFUNCTION("DMAX({{Data!$A$1:$J$1};filter(Data!$A$2:$J1000,Data!$A$2:$A1000=$A11 , Data!$B$2:$B1000 = $B11, Data!$C$2:$C1000 = $C11)},$P$2, $P$22:$P$23)"),"862775")</f>
        <v>862775</v>
      </c>
      <c r="E11" s="3" t="str">
        <f>IFERROR(__xludf.DUMMYFUNCTION("filter(Data!$A$2:$J1000,Data!$A$2:$A1000=$A11 , Data!$B$2:$B1000 = $B11, Data!$C$2:$C1000 = $C11, Data!$H$2:$H1000 =$D11)"),"1000")</f>
        <v>1000</v>
      </c>
      <c r="F11" s="3">
        <v>5.0</v>
      </c>
      <c r="G11" s="3">
        <v>5.0</v>
      </c>
      <c r="H11" s="3" t="s">
        <v>17</v>
      </c>
      <c r="I11" s="3" t="s">
        <v>16</v>
      </c>
      <c r="J11" s="3">
        <v>20.003</v>
      </c>
      <c r="K11" s="3">
        <v>29.0</v>
      </c>
      <c r="L11" s="3">
        <v>862775.0</v>
      </c>
      <c r="M11" s="3">
        <v>859589.137931</v>
      </c>
      <c r="N11">
        <v>1323.669318</v>
      </c>
      <c r="O11" t="str">
        <f t="shared" si="1"/>
        <v>2.406841366</v>
      </c>
    </row>
    <row r="12">
      <c r="A12" s="4">
        <v>1000.0</v>
      </c>
      <c r="B12" s="4">
        <v>10.0</v>
      </c>
      <c r="C12" s="4">
        <v>1.0</v>
      </c>
      <c r="D12" s="4" t="str">
        <f>IFERROR(__xludf.DUMMYFUNCTION("DMAX({{Data!$A$1:$J$1};filter(Data!$A$2:$J1000,Data!$A$2:$A1000=$A12 , Data!$B$2:$B1000 = $B12, Data!$C$2:$C1000 = $C12)},$P$2, $P$22:$P$23)"),"1609066")</f>
        <v>1609066</v>
      </c>
      <c r="E12" s="4" t="str">
        <f>IFERROR(__xludf.DUMMYFUNCTION("filter(Data!$A$2:$J1000,Data!$A$2:$A1000=$A12 , Data!$B$2:$B1000 = $B12, Data!$C$2:$C1000 = $C12, Data!$H$2:$H1000 =$D12)"),"1000")</f>
        <v>1000</v>
      </c>
      <c r="F12" s="4">
        <v>10.0</v>
      </c>
      <c r="G12" s="4">
        <v>1.0</v>
      </c>
      <c r="H12" s="4" t="s">
        <v>15</v>
      </c>
      <c r="I12" s="4" t="s">
        <v>16</v>
      </c>
      <c r="J12" s="4">
        <v>20.0</v>
      </c>
      <c r="K12" s="4">
        <v>92.0</v>
      </c>
      <c r="L12" s="4">
        <v>1609066.0</v>
      </c>
      <c r="M12" s="4">
        <v>1603985.728261</v>
      </c>
      <c r="N12" s="5">
        <v>2165.351609</v>
      </c>
      <c r="O12" s="6" t="str">
        <f t="shared" si="1"/>
        <v>2.346164807</v>
      </c>
    </row>
    <row r="13">
      <c r="A13" s="4">
        <v>1000.0</v>
      </c>
      <c r="B13" s="4">
        <v>10.0</v>
      </c>
      <c r="C13" s="4">
        <v>2.0</v>
      </c>
      <c r="D13" s="4" t="str">
        <f>IFERROR(__xludf.DUMMYFUNCTION("DMAX({{Data!$A$1:$J$1};filter(Data!$A$2:$J1000,Data!$A$2:$A1000=$A13 , Data!$B$2:$B1000 = $B13, Data!$C$2:$C1000 = $C13)},$P$2, $P$22:$P$23)"),"1630020")</f>
        <v>1630020</v>
      </c>
      <c r="E13" s="4" t="str">
        <f>IFERROR(__xludf.DUMMYFUNCTION("filter(Data!$A$2:$J1000,Data!$A$2:$A1000=$A13 , Data!$B$2:$B1000 = $B13, Data!$C$2:$C1000 = $C13, Data!$H$2:$H1000 =$D13)"),"1000")</f>
        <v>1000</v>
      </c>
      <c r="F13" s="4">
        <v>10.0</v>
      </c>
      <c r="G13" s="4">
        <v>2.0</v>
      </c>
      <c r="H13" s="4" t="s">
        <v>17</v>
      </c>
      <c r="I13" s="4" t="s">
        <v>16</v>
      </c>
      <c r="J13" s="4">
        <v>20.007</v>
      </c>
      <c r="K13" s="4">
        <v>19.0</v>
      </c>
      <c r="L13" s="4">
        <v>1630020.0</v>
      </c>
      <c r="M13" s="4">
        <v>1626045.578947</v>
      </c>
      <c r="N13" s="5">
        <v>2263.517601</v>
      </c>
      <c r="O13" s="6" t="str">
        <f t="shared" si="1"/>
        <v>1.755860459</v>
      </c>
    </row>
    <row r="14">
      <c r="A14" s="4">
        <v>1000.0</v>
      </c>
      <c r="B14" s="4">
        <v>10.0</v>
      </c>
      <c r="C14" s="4">
        <v>3.0</v>
      </c>
      <c r="D14" s="4" t="str">
        <f>IFERROR(__xludf.DUMMYFUNCTION("DMAX({{Data!$A$1:$J$1};filter(Data!$A$2:$J1000,Data!$A$2:$A1000=$A14 , Data!$B$2:$B1000 = $B14, Data!$C$2:$C1000 = $C14)},$P$2, $P$22:$P$23)"),"1627759")</f>
        <v>1627759</v>
      </c>
      <c r="E14" s="4" t="str">
        <f>IFERROR(__xludf.DUMMYFUNCTION("filter(Data!$A$2:$J1000,Data!$A$2:$A1000=$A14 , Data!$B$2:$B1000 = $B14, Data!$C$2:$C1000 = $C14, Data!$H$2:$H1000 =$D14)"),"1000")</f>
        <v>1000</v>
      </c>
      <c r="F14" s="4">
        <v>10.0</v>
      </c>
      <c r="G14" s="4">
        <v>3.0</v>
      </c>
      <c r="H14" s="4" t="s">
        <v>17</v>
      </c>
      <c r="I14" s="4" t="s">
        <v>16</v>
      </c>
      <c r="J14" s="4">
        <v>20.0</v>
      </c>
      <c r="K14" s="4">
        <v>17.0</v>
      </c>
      <c r="L14" s="4">
        <v>1627759.0</v>
      </c>
      <c r="M14" s="4">
        <v>1614449.352941</v>
      </c>
      <c r="N14" s="5">
        <v>41892.761281</v>
      </c>
      <c r="O14" s="6" t="str">
        <f t="shared" si="1"/>
        <v>0.3177075622</v>
      </c>
    </row>
    <row r="15">
      <c r="A15" s="4">
        <v>1000.0</v>
      </c>
      <c r="B15" s="4">
        <v>10.0</v>
      </c>
      <c r="C15" s="4">
        <v>4.0</v>
      </c>
      <c r="D15" s="4" t="str">
        <f>IFERROR(__xludf.DUMMYFUNCTION("DMAX({{Data!$A$1:$J$1};filter(Data!$A$2:$J1000,Data!$A$2:$A1000=$A15 , Data!$B$2:$B1000 = $B15, Data!$C$2:$C1000 = $C15)},$P$2, $P$22:$P$23)"),"1623135")</f>
        <v>1623135</v>
      </c>
      <c r="E15" s="4" t="str">
        <f>IFERROR(__xludf.DUMMYFUNCTION("filter(Data!$A$2:$J1000,Data!$A$2:$A1000=$A15 , Data!$B$2:$B1000 = $B15, Data!$C$2:$C1000 = $C15, Data!$H$2:$H1000 =$D15)"),"1000")</f>
        <v>1000</v>
      </c>
      <c r="F15" s="4">
        <v>10.0</v>
      </c>
      <c r="G15" s="4">
        <v>4.0</v>
      </c>
      <c r="H15" s="4" t="s">
        <v>15</v>
      </c>
      <c r="I15" s="4" t="s">
        <v>16</v>
      </c>
      <c r="J15" s="4">
        <v>20.002</v>
      </c>
      <c r="K15" s="4">
        <v>64.0</v>
      </c>
      <c r="L15" s="4">
        <v>1623135.0</v>
      </c>
      <c r="M15" s="4">
        <v>1618202.921875</v>
      </c>
      <c r="N15" s="5">
        <v>1939.724145</v>
      </c>
      <c r="O15" s="6" t="str">
        <f t="shared" si="1"/>
        <v>2.542669862</v>
      </c>
    </row>
    <row r="16">
      <c r="A16" s="4">
        <v>1000.0</v>
      </c>
      <c r="B16" s="4">
        <v>10.0</v>
      </c>
      <c r="C16" s="4">
        <v>5.0</v>
      </c>
      <c r="D16" s="4" t="str">
        <f>IFERROR(__xludf.DUMMYFUNCTION("DMAX({{Data!$A$1:$J$1};filter(Data!$A$2:$J1000,Data!$A$2:$A1000=$A16 , Data!$B$2:$B1000 = $B16, Data!$C$2:$C1000 = $C16)},$P$2, $P$22:$P$23)"),"1623721")</f>
        <v>1623721</v>
      </c>
      <c r="E16" s="4" t="str">
        <f>IFERROR(__xludf.DUMMYFUNCTION("filter(Data!$A$2:$J1000,Data!$A$2:$A1000=$A16 , Data!$B$2:$B1000 = $B16, Data!$C$2:$C1000 = $C16, Data!$H$2:$H1000 =$D16)"),"1000")</f>
        <v>1000</v>
      </c>
      <c r="F16" s="4">
        <v>10.0</v>
      </c>
      <c r="G16" s="4">
        <v>5.0</v>
      </c>
      <c r="H16" s="4" t="s">
        <v>15</v>
      </c>
      <c r="I16" s="4" t="s">
        <v>16</v>
      </c>
      <c r="J16" s="4">
        <v>20.001</v>
      </c>
      <c r="K16" s="4">
        <v>77.0</v>
      </c>
      <c r="L16" s="4">
        <v>1623721.0</v>
      </c>
      <c r="M16" s="4">
        <v>1617699.701299</v>
      </c>
      <c r="N16" s="5">
        <v>1964.630576</v>
      </c>
      <c r="O16" s="6" t="str">
        <f t="shared" si="1"/>
        <v>3.064850346</v>
      </c>
    </row>
    <row r="17">
      <c r="A17" s="3">
        <v>1000.0</v>
      </c>
      <c r="B17" s="3">
        <v>50.0</v>
      </c>
      <c r="C17" s="3">
        <v>1.0</v>
      </c>
      <c r="D17" s="3" t="str">
        <f>IFERROR(__xludf.DUMMYFUNCTION("DMAX({{Data!$A$1:$J$1};filter(Data!$A$2:$J1000,Data!$A$2:$A1000=$A17 , Data!$B$2:$B1000 = $B17, Data!$C$2:$C1000 = $C17)},$P$2, $P$22:$P$23)"),"8081828")</f>
        <v>8081828</v>
      </c>
      <c r="E17" s="3" t="str">
        <f>IFERROR(__xludf.DUMMYFUNCTION("filter(Data!$A$2:$J1000,Data!$A$2:$A1000=$A17 , Data!$B$2:$B1000 = $B17, Data!$C$2:$C1000 = $C17, Data!$H$2:$H1000 =$D17)"),"1000")</f>
        <v>1000</v>
      </c>
      <c r="F17" s="3">
        <v>50.0</v>
      </c>
      <c r="G17" s="3">
        <v>1.0</v>
      </c>
      <c r="H17" s="3" t="s">
        <v>15</v>
      </c>
      <c r="I17" s="3" t="s">
        <v>16</v>
      </c>
      <c r="J17" s="3">
        <v>20.0</v>
      </c>
      <c r="K17" s="3">
        <v>50.0</v>
      </c>
      <c r="L17" s="3">
        <v>8081828.0</v>
      </c>
      <c r="M17" s="3">
        <v>8066955.8</v>
      </c>
      <c r="N17">
        <v>15967.202569</v>
      </c>
      <c r="O17" t="str">
        <f t="shared" si="1"/>
        <v>0.9314217651</v>
      </c>
    </row>
    <row r="18">
      <c r="A18" s="3">
        <v>1000.0</v>
      </c>
      <c r="B18" s="3">
        <v>50.0</v>
      </c>
      <c r="C18" s="3">
        <v>2.0</v>
      </c>
      <c r="D18" s="3" t="str">
        <f>IFERROR(__xludf.DUMMYFUNCTION("DMAX({{Data!$A$1:$J$1};filter(Data!$A$2:$J1000,Data!$A$2:$A1000=$A18 , Data!$B$2:$B1000 = $B18, Data!$C$2:$C1000 = $C18)},$P$2, $P$22:$P$23)"),"8079403")</f>
        <v>8079403</v>
      </c>
      <c r="E18" s="3" t="str">
        <f>IFERROR(__xludf.DUMMYFUNCTION("filter(Data!$A$2:$J1000,Data!$A$2:$A1000=$A18 , Data!$B$2:$B1000 = $B18, Data!$C$2:$C1000 = $C18, Data!$H$2:$H1000 =$D18)"),"1000")</f>
        <v>1000</v>
      </c>
      <c r="F18" s="3">
        <v>50.0</v>
      </c>
      <c r="G18" s="3">
        <v>2.0</v>
      </c>
      <c r="H18" s="3" t="s">
        <v>17</v>
      </c>
      <c r="I18" s="3" t="s">
        <v>16</v>
      </c>
      <c r="J18" s="3">
        <v>20.007</v>
      </c>
      <c r="K18" s="3">
        <v>10.0</v>
      </c>
      <c r="L18" s="3">
        <v>8079403.0</v>
      </c>
      <c r="M18" s="3">
        <v>8070996.3</v>
      </c>
      <c r="N18">
        <v>4640.866644</v>
      </c>
      <c r="O18" t="str">
        <f t="shared" si="1"/>
        <v>1.811450456</v>
      </c>
    </row>
    <row r="19">
      <c r="A19" s="3">
        <v>1000.0</v>
      </c>
      <c r="B19" s="3">
        <v>50.0</v>
      </c>
      <c r="C19" s="3">
        <v>3.0</v>
      </c>
      <c r="D19" s="3" t="str">
        <f>IFERROR(__xludf.DUMMYFUNCTION("DMAX({{Data!$A$1:$J$1};filter(Data!$A$2:$J1000,Data!$A$2:$A1000=$A19 , Data!$B$2:$B1000 = $B19, Data!$C$2:$C1000 = $C19)},$P$2, $P$22:$P$23)"),"8080530")</f>
        <v>8080530</v>
      </c>
      <c r="E19" s="3" t="str">
        <f>IFERROR(__xludf.DUMMYFUNCTION("filter(Data!$A$2:$J1000,Data!$A$2:$A1000=$A19 , Data!$B$2:$B1000 = $B19, Data!$C$2:$C1000 = $C19, Data!$H$2:$H1000 =$D19)"),"1000")</f>
        <v>1000</v>
      </c>
      <c r="F19" s="3">
        <v>50.0</v>
      </c>
      <c r="G19" s="3">
        <v>3.0</v>
      </c>
      <c r="H19" s="3" t="s">
        <v>17</v>
      </c>
      <c r="I19" s="3" t="s">
        <v>16</v>
      </c>
      <c r="J19" s="3">
        <v>20.08</v>
      </c>
      <c r="K19" s="3">
        <v>10.0</v>
      </c>
      <c r="L19" s="3">
        <v>8080530.0</v>
      </c>
      <c r="M19" s="3">
        <v>8069269.0</v>
      </c>
      <c r="N19">
        <v>6689.679066</v>
      </c>
      <c r="O19" t="str">
        <f t="shared" si="1"/>
        <v>1.683339348</v>
      </c>
    </row>
    <row r="20">
      <c r="A20" s="3">
        <v>1000.0</v>
      </c>
      <c r="B20" s="3">
        <v>50.0</v>
      </c>
      <c r="C20" s="3">
        <v>4.0</v>
      </c>
      <c r="D20" s="3" t="str">
        <f>IFERROR(__xludf.DUMMYFUNCTION("DMAX({{Data!$A$1:$J$1};filter(Data!$A$2:$J1000,Data!$A$2:$A1000=$A20 , Data!$B$2:$B1000 = $B20, Data!$C$2:$C1000 = $C20)},$P$2, $P$22:$P$23)"),"8082878")</f>
        <v>8082878</v>
      </c>
      <c r="E20" s="3" t="str">
        <f>IFERROR(__xludf.DUMMYFUNCTION("filter(Data!$A$2:$J1000,Data!$A$2:$A1000=$A20 , Data!$B$2:$B1000 = $B20, Data!$C$2:$C1000 = $C20, Data!$H$2:$H1000 =$D20)"),"1000")</f>
        <v>1000</v>
      </c>
      <c r="F20" s="3">
        <v>50.0</v>
      </c>
      <c r="G20" s="3">
        <v>4.0</v>
      </c>
      <c r="H20" s="3" t="s">
        <v>17</v>
      </c>
      <c r="I20" s="3" t="s">
        <v>16</v>
      </c>
      <c r="J20" s="3">
        <v>20.102</v>
      </c>
      <c r="K20" s="3">
        <v>10.0</v>
      </c>
      <c r="L20" s="3">
        <v>8082878.0</v>
      </c>
      <c r="M20" s="3">
        <v>8071362.3</v>
      </c>
      <c r="N20">
        <v>5713.360168</v>
      </c>
      <c r="O20" t="str">
        <f t="shared" si="1"/>
        <v>2.015573964</v>
      </c>
    </row>
    <row r="21">
      <c r="A21" s="3">
        <v>1000.0</v>
      </c>
      <c r="B21" s="3">
        <v>50.0</v>
      </c>
      <c r="C21" s="3">
        <v>5.0</v>
      </c>
      <c r="D21" s="3" t="str">
        <f>IFERROR(__xludf.DUMMYFUNCTION("DMAX({{Data!$A$1:$J$1};filter(Data!$A$2:$J1000,Data!$A$2:$A1000=$A21 , Data!$B$2:$B1000 = $B21, Data!$C$2:$C1000 = $C21)},$P$2, $P$22:$P$23)"),"8079402")</f>
        <v>8079402</v>
      </c>
      <c r="E21" s="3" t="str">
        <f>IFERROR(__xludf.DUMMYFUNCTION("filter(Data!$A$2:$J1000,Data!$A$2:$A1000=$A21 , Data!$B$2:$B1000 = $B21, Data!$C$2:$C1000 = $C21, Data!$H$2:$H1000 =$D21)"),"1000")</f>
        <v>1000</v>
      </c>
      <c r="F21" s="3">
        <v>50.0</v>
      </c>
      <c r="G21" s="3">
        <v>5.0</v>
      </c>
      <c r="H21" s="3" t="s">
        <v>17</v>
      </c>
      <c r="I21" s="3" t="s">
        <v>16</v>
      </c>
      <c r="J21" s="3">
        <v>20.332</v>
      </c>
      <c r="K21" s="3">
        <v>8.0</v>
      </c>
      <c r="L21" s="3">
        <v>8079402.0</v>
      </c>
      <c r="M21" s="3">
        <v>8069384.625</v>
      </c>
      <c r="N21">
        <v>6039.125805</v>
      </c>
      <c r="O21" t="str">
        <f t="shared" si="1"/>
        <v>1.658745872</v>
      </c>
    </row>
    <row r="22">
      <c r="A22" s="4">
        <v>1000.0</v>
      </c>
      <c r="B22" s="4">
        <v>100.0</v>
      </c>
      <c r="C22" s="4">
        <v>1.0</v>
      </c>
      <c r="D22" s="4" t="str">
        <f>IFERROR(__xludf.DUMMYFUNCTION("DMAX({{Data!$A$1:$J$1};filter(Data!$A$2:$J1000,Data!$A$2:$A1000=$A22 , Data!$B$2:$B1000 = $B22, Data!$C$2:$C1000 = $C22)},$P$2, $P$22:$P$23)"),"25768095")</f>
        <v>25768095</v>
      </c>
      <c r="E22" s="4" t="str">
        <f>IFERROR(__xludf.DUMMYFUNCTION("filter(Data!$A$2:$J1000,Data!$A$2:$A1000=$A22 , Data!$B$2:$B1000 = $B22, Data!$C$2:$C1000 = $C22, Data!$H$2:$H1000 =$D22)"),"1000")</f>
        <v>1000</v>
      </c>
      <c r="F22" s="4">
        <v>100.0</v>
      </c>
      <c r="G22" s="4">
        <v>1.0</v>
      </c>
      <c r="H22" s="4" t="s">
        <v>17</v>
      </c>
      <c r="I22" s="4" t="s">
        <v>16</v>
      </c>
      <c r="J22" s="4">
        <v>20.243</v>
      </c>
      <c r="K22" s="4">
        <v>6.0</v>
      </c>
      <c r="L22" s="4">
        <v>2.5768095E7</v>
      </c>
      <c r="M22" s="4">
        <v>2.5760691666667E7</v>
      </c>
      <c r="N22" s="5">
        <v>3808.931018</v>
      </c>
      <c r="O22" s="6" t="str">
        <f t="shared" si="1"/>
        <v>1.943677451</v>
      </c>
    </row>
    <row r="23">
      <c r="A23" s="4">
        <v>1000.0</v>
      </c>
      <c r="B23" s="4">
        <v>100.0</v>
      </c>
      <c r="C23" s="4">
        <v>2.0</v>
      </c>
      <c r="D23" s="4" t="str">
        <f>IFERROR(__xludf.DUMMYFUNCTION("DMAX({{Data!$A$1:$J$1};filter(Data!$A$2:$J1000,Data!$A$2:$A1000=$A23 , Data!$B$2:$B1000 = $B23, Data!$C$2:$C1000 = $C23)},$P$2, $P$22:$P$23)"),"25769034")</f>
        <v>25769034</v>
      </c>
      <c r="E23" s="4" t="str">
        <f>IFERROR(__xludf.DUMMYFUNCTION("filter(Data!$A$2:$J1000,Data!$A$2:$A1000=$A23 , Data!$B$2:$B1000 = $B23, Data!$C$2:$C1000 = $C23, Data!$H$2:$H1000 =$D23)"),"1000")</f>
        <v>1000</v>
      </c>
      <c r="F23" s="4">
        <v>100.0</v>
      </c>
      <c r="G23" s="4">
        <v>2.0</v>
      </c>
      <c r="H23" s="4" t="s">
        <v>15</v>
      </c>
      <c r="I23" s="4" t="s">
        <v>16</v>
      </c>
      <c r="J23" s="4">
        <v>20.001</v>
      </c>
      <c r="K23" s="4">
        <v>39.0</v>
      </c>
      <c r="L23" s="4">
        <v>2.5769034E7</v>
      </c>
      <c r="M23" s="4">
        <v>2.5759414153846E7</v>
      </c>
      <c r="N23" s="5">
        <v>4531.839224</v>
      </c>
      <c r="O23" s="6" t="str">
        <f t="shared" si="1"/>
        <v>2.122724501</v>
      </c>
    </row>
    <row r="24">
      <c r="A24" s="4">
        <v>1000.0</v>
      </c>
      <c r="B24" s="4">
        <v>100.0</v>
      </c>
      <c r="C24" s="4">
        <v>3.0</v>
      </c>
      <c r="D24" s="4" t="str">
        <f>IFERROR(__xludf.DUMMYFUNCTION("DMAX({{Data!$A$1:$J$1};filter(Data!$A$2:$J1000,Data!$A$2:$A1000=$A24 , Data!$B$2:$B1000 = $B24, Data!$C$2:$C1000 = $C24)},$P$2, $P$22:$P$23)"),"25809808")</f>
        <v>25809808</v>
      </c>
      <c r="E24" s="4" t="str">
        <f>IFERROR(__xludf.DUMMYFUNCTION("filter(Data!$A$2:$J1000,Data!$A$2:$A1000=$A24 , Data!$B$2:$B1000 = $B24, Data!$C$2:$C1000 = $C24, Data!$H$2:$H1000 =$D24)"),"1000")</f>
        <v>1000</v>
      </c>
      <c r="F24" s="4">
        <v>100.0</v>
      </c>
      <c r="G24" s="4">
        <v>3.0</v>
      </c>
      <c r="H24" s="4" t="s">
        <v>15</v>
      </c>
      <c r="I24" s="4" t="s">
        <v>16</v>
      </c>
      <c r="J24" s="4">
        <v>20.0</v>
      </c>
      <c r="K24" s="4">
        <v>40.0</v>
      </c>
      <c r="L24" s="4">
        <v>2.5809808E7</v>
      </c>
      <c r="M24" s="4">
        <v>2.5796663925E7</v>
      </c>
      <c r="N24" s="5">
        <v>4732.684096</v>
      </c>
      <c r="O24" s="6" t="str">
        <f t="shared" si="1"/>
        <v>2.777298196</v>
      </c>
    </row>
    <row r="25">
      <c r="A25" s="4">
        <v>1000.0</v>
      </c>
      <c r="B25" s="4">
        <v>100.0</v>
      </c>
      <c r="C25" s="4">
        <v>4.0</v>
      </c>
      <c r="D25" s="4" t="str">
        <f>IFERROR(__xludf.DUMMYFUNCTION("DMAX({{Data!$A$1:$J$1};filter(Data!$A$2:$J1000,Data!$A$2:$A1000=$A25 , Data!$B$2:$B1000 = $B25, Data!$C$2:$C1000 = $C25)},$P$2, $P$22:$P$23)"),"25820101")</f>
        <v>25820101</v>
      </c>
      <c r="E25" s="4" t="str">
        <f>IFERROR(__xludf.DUMMYFUNCTION("filter(Data!$A$2:$J1000,Data!$A$2:$A1000=$A25 , Data!$B$2:$B1000 = $B25, Data!$C$2:$C1000 = $C25, Data!$H$2:$H1000 =$D25)"),"1000")</f>
        <v>1000</v>
      </c>
      <c r="F25" s="4">
        <v>100.0</v>
      </c>
      <c r="G25" s="4">
        <v>4.0</v>
      </c>
      <c r="H25" s="4" t="s">
        <v>15</v>
      </c>
      <c r="I25" s="4" t="s">
        <v>16</v>
      </c>
      <c r="J25" s="4">
        <v>20.0</v>
      </c>
      <c r="K25" s="4">
        <v>35.0</v>
      </c>
      <c r="L25" s="4">
        <v>2.5820101E7</v>
      </c>
      <c r="M25" s="4">
        <v>2.5808591571429E7</v>
      </c>
      <c r="N25" s="5">
        <v>5810.482596</v>
      </c>
      <c r="O25" s="6" t="str">
        <f t="shared" si="1"/>
        <v>1.980804241</v>
      </c>
    </row>
    <row r="26">
      <c r="A26" s="4">
        <v>1000.0</v>
      </c>
      <c r="B26" s="4">
        <v>100.0</v>
      </c>
      <c r="C26" s="4">
        <v>5.0</v>
      </c>
      <c r="D26" s="4" t="str">
        <f>IFERROR(__xludf.DUMMYFUNCTION("DMAX({{Data!$A$1:$J$1};filter(Data!$A$2:$J1000,Data!$A$2:$A1000=$A26 , Data!$B$2:$B1000 = $B26, Data!$C$2:$C1000 = $C26)},$P$2, $P$22:$P$23)"),"25773874")</f>
        <v>25773874</v>
      </c>
      <c r="E26" s="4" t="str">
        <f>IFERROR(__xludf.DUMMYFUNCTION("filter(Data!$A$2:$J1000,Data!$A$2:$A1000=$A26 , Data!$B$2:$B1000 = $B26, Data!$C$2:$C1000 = $C26, Data!$H$2:$H1000 =$D26)"),"1000")</f>
        <v>1000</v>
      </c>
      <c r="F26" s="4">
        <v>100.0</v>
      </c>
      <c r="G26" s="4">
        <v>5.0</v>
      </c>
      <c r="H26" s="4" t="s">
        <v>17</v>
      </c>
      <c r="I26" s="4" t="s">
        <v>16</v>
      </c>
      <c r="J26" s="4">
        <v>20.854</v>
      </c>
      <c r="K26" s="4">
        <v>6.0</v>
      </c>
      <c r="L26" s="4">
        <v>2.5773874E7</v>
      </c>
      <c r="M26" s="4">
        <v>2.5768221666667E7</v>
      </c>
      <c r="N26" s="5">
        <v>2963.078825</v>
      </c>
      <c r="O26" s="6" t="str">
        <f t="shared" si="1"/>
        <v>1.907587907</v>
      </c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>
      <c r="A32" s="3"/>
      <c r="B32" s="3"/>
      <c r="C32" s="3"/>
      <c r="D32" s="3"/>
      <c r="E32" s="7"/>
      <c r="F32" s="3"/>
      <c r="G32" s="3"/>
      <c r="H32" s="3"/>
      <c r="I32" s="3"/>
      <c r="J32" s="3"/>
      <c r="K32" s="3"/>
      <c r="L32" s="3"/>
      <c r="M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5.57"/>
    <col customWidth="1" min="4" max="4" width="11.71"/>
    <col customWidth="1" hidden="1" min="5" max="5" width="5.0"/>
    <col customWidth="1" hidden="1" min="6" max="6" width="4.0"/>
    <col customWidth="1" hidden="1" min="7" max="7" width="2.0"/>
    <col customWidth="1" min="8" max="8" width="11.71"/>
    <col customWidth="1" min="9" max="9" width="9.71"/>
    <col customWidth="1" hidden="1" min="10" max="10" width="6.57"/>
    <col customWidth="1" min="11" max="11" width="6.86"/>
    <col customWidth="1" min="12" max="12" width="9.0"/>
    <col customWidth="1" hidden="1" min="13" max="13" width="11.57"/>
    <col customWidth="1" min="14" max="14" width="11.57"/>
    <col customWidth="1" min="15" max="15" width="21.0"/>
    <col customWidth="1" min="16" max="16" width="8.14"/>
  </cols>
  <sheetData>
    <row r="1">
      <c r="A1" s="1" t="str">
        <f>IFERROR(__xludf.DUMMYFUNCTION("UNIQUE(Data!A:C)"),"N")</f>
        <v>N</v>
      </c>
      <c r="B1" s="1" t="s">
        <v>1</v>
      </c>
      <c r="C1" s="1" t="s">
        <v>2</v>
      </c>
      <c r="D1" s="1" t="s">
        <v>26</v>
      </c>
      <c r="E1" s="1"/>
      <c r="F1" s="1"/>
      <c r="G1" s="1"/>
      <c r="H1" s="1" t="s">
        <v>19</v>
      </c>
      <c r="I1" s="1" t="s">
        <v>20</v>
      </c>
      <c r="J1" s="1"/>
      <c r="K1" s="1" t="s">
        <v>21</v>
      </c>
      <c r="L1" s="1" t="s">
        <v>27</v>
      </c>
      <c r="M1" s="1" t="s">
        <v>22</v>
      </c>
      <c r="N1" s="1" t="s">
        <v>23</v>
      </c>
      <c r="O1" s="1" t="s">
        <v>28</v>
      </c>
      <c r="P1" s="1" t="s">
        <v>25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1000.0</v>
      </c>
      <c r="B2" s="4">
        <v>1.0</v>
      </c>
      <c r="C2" s="4">
        <v>1.0</v>
      </c>
      <c r="D2" s="4" t="str">
        <f>IFERROR(__xludf.DUMMYFUNCTION("DMAX({{Data!$A$1:$J$1};filter(Data!$A$2:$J1000,Data!$A$2:$A1000=$A2 , Data!$B$2:$B1000 = $B2, Data!$C$2:$C1000 = $C2)},$P$2, $P$22:$P$23)"),"208935.1667")</f>
        <v>208935.1667</v>
      </c>
      <c r="E2" s="4" t="str">
        <f>IFERROR(__xludf.DUMMYFUNCTION("filter(Data!$A$2:$J1000,Data!$A$2:$A1000=$A2 , Data!$B$2:$B1000 = $B2, Data!$C$2:$C1000 = $C2, Data!$I$2:$I1000 =$D2)"),"1000")</f>
        <v>1000</v>
      </c>
      <c r="F2" s="4">
        <v>1.0</v>
      </c>
      <c r="G2" s="4">
        <v>1.0</v>
      </c>
      <c r="H2" s="4" t="s">
        <v>17</v>
      </c>
      <c r="I2" s="4" t="s">
        <v>16</v>
      </c>
      <c r="J2" s="4">
        <v>20.0</v>
      </c>
      <c r="K2" s="4">
        <v>60.0</v>
      </c>
      <c r="L2" s="4">
        <v>210107.0</v>
      </c>
      <c r="M2" s="4">
        <v>208935.166667</v>
      </c>
      <c r="N2" s="5">
        <v>1601.452759</v>
      </c>
      <c r="O2" s="8" t="str">
        <f>('Best Solution'!D2 - D2)/'Best Solution'!D2</f>
        <v>0.59%</v>
      </c>
      <c r="P2" s="3" t="s">
        <v>8</v>
      </c>
    </row>
    <row r="3">
      <c r="A3" s="4">
        <v>1000.0</v>
      </c>
      <c r="B3" s="4">
        <v>1.0</v>
      </c>
      <c r="C3" s="4">
        <v>2.0</v>
      </c>
      <c r="D3" s="4" t="str">
        <f>IFERROR(__xludf.DUMMYFUNCTION("DMAX({{Data!$A$1:$J$1};filter(Data!$A$2:$J1000,Data!$A$2:$A1000=$A3 , Data!$B$2:$B1000 = $B3, Data!$C$2:$C1000 = $C3)},$P$2, $P$22:$P$23)"),"204995.8125")</f>
        <v>204995.8125</v>
      </c>
      <c r="E3" s="4" t="str">
        <f>IFERROR(__xludf.DUMMYFUNCTION("filter(Data!$A$2:$J1000,Data!$A$2:$A1000=$A3 , Data!$B$2:$B1000 = $B3, Data!$C$2:$C1000 = $C3, Data!$I$2:$I1000 =$D3)"),"1000")</f>
        <v>1000</v>
      </c>
      <c r="F3" s="4">
        <v>1.0</v>
      </c>
      <c r="G3" s="4">
        <v>2.0</v>
      </c>
      <c r="H3" s="4" t="s">
        <v>17</v>
      </c>
      <c r="I3" s="4" t="s">
        <v>16</v>
      </c>
      <c r="J3" s="4">
        <v>20.003</v>
      </c>
      <c r="K3" s="4">
        <v>64.0</v>
      </c>
      <c r="L3" s="4">
        <v>206452.0</v>
      </c>
      <c r="M3" s="4">
        <v>204995.8125</v>
      </c>
      <c r="N3" s="5">
        <v>611.367675</v>
      </c>
      <c r="O3" s="8" t="str">
        <f>('Best Solution'!D3 - D3)/'Best Solution'!D3</f>
        <v>0.71%</v>
      </c>
    </row>
    <row r="4">
      <c r="A4" s="4">
        <v>1000.0</v>
      </c>
      <c r="B4" s="4">
        <v>1.0</v>
      </c>
      <c r="C4" s="4">
        <v>3.0</v>
      </c>
      <c r="D4" s="4" t="str">
        <f>IFERROR(__xludf.DUMMYFUNCTION("DMAX({{Data!$A$1:$J$1};filter(Data!$A$2:$J1000,Data!$A$2:$A1000=$A4 , Data!$B$2:$B1000 = $B4, Data!$C$2:$C1000 = $C4)},$P$2, $P$22:$P$23)"),"203646.7222")</f>
        <v>203646.7222</v>
      </c>
      <c r="E4" s="4" t="str">
        <f>IFERROR(__xludf.DUMMYFUNCTION("filter(Data!$A$2:$J1000,Data!$A$2:$A1000=$A4 , Data!$B$2:$B1000 = $B4, Data!$C$2:$C1000 = $C4, Data!$I$2:$I1000 =$D4)"),"1000")</f>
        <v>1000</v>
      </c>
      <c r="F4" s="4">
        <v>1.0</v>
      </c>
      <c r="G4" s="4">
        <v>3.0</v>
      </c>
      <c r="H4" s="4" t="s">
        <v>17</v>
      </c>
      <c r="I4" s="4" t="s">
        <v>16</v>
      </c>
      <c r="J4" s="4">
        <v>20.008</v>
      </c>
      <c r="K4" s="4">
        <v>72.0</v>
      </c>
      <c r="L4" s="4">
        <v>204816.0</v>
      </c>
      <c r="M4" s="4">
        <v>203646.722222</v>
      </c>
      <c r="N4" s="5">
        <v>537.772107</v>
      </c>
      <c r="O4" s="8" t="str">
        <f>('Best Solution'!D4 - D4)/'Best Solution'!D4</f>
        <v>0.68%</v>
      </c>
    </row>
    <row r="5">
      <c r="A5" s="4">
        <v>1000.0</v>
      </c>
      <c r="B5" s="4">
        <v>1.0</v>
      </c>
      <c r="C5" s="4">
        <v>4.0</v>
      </c>
      <c r="D5" s="4" t="str">
        <f>IFERROR(__xludf.DUMMYFUNCTION("DMAX({{Data!$A$1:$J$1};filter(Data!$A$2:$J1000,Data!$A$2:$A1000=$A5 , Data!$B$2:$B1000 = $B5, Data!$C$2:$C1000 = $C5)},$P$2, $P$22:$P$23)"),"211841.3333")</f>
        <v>211841.3333</v>
      </c>
      <c r="E5" s="4" t="str">
        <f>IFERROR(__xludf.DUMMYFUNCTION("filter(Data!$A$2:$J1000,Data!$A$2:$A1000=$A5 , Data!$B$2:$B1000 = $B5, Data!$C$2:$C1000 = $C5, Data!$I$2:$I1000 =$D5)"),"1000")</f>
        <v>1000</v>
      </c>
      <c r="F5" s="4">
        <v>1.0</v>
      </c>
      <c r="G5" s="4">
        <v>4.0</v>
      </c>
      <c r="H5" s="4" t="s">
        <v>17</v>
      </c>
      <c r="I5" s="4" t="s">
        <v>16</v>
      </c>
      <c r="J5" s="4">
        <v>20.0</v>
      </c>
      <c r="K5" s="4">
        <v>72.0</v>
      </c>
      <c r="L5" s="4">
        <v>213724.0</v>
      </c>
      <c r="M5" s="4">
        <v>211841.333333</v>
      </c>
      <c r="N5" s="5">
        <v>3275.538531</v>
      </c>
      <c r="O5" s="8" t="str">
        <f>('Best Solution'!D5 - D5)/'Best Solution'!D5</f>
        <v>0.88%</v>
      </c>
    </row>
    <row r="6">
      <c r="A6" s="4">
        <v>1000.0</v>
      </c>
      <c r="B6" s="4">
        <v>1.0</v>
      </c>
      <c r="C6" s="4">
        <v>5.0</v>
      </c>
      <c r="D6" s="4" t="str">
        <f>IFERROR(__xludf.DUMMYFUNCTION("DMAX({{Data!$A$1:$J$1};filter(Data!$A$2:$J1000,Data!$A$2:$A1000=$A6 , Data!$B$2:$B1000 = $B6, Data!$C$2:$C1000 = $C6)},$P$2, $P$22:$P$23)"),"210296.9394")</f>
        <v>210296.9394</v>
      </c>
      <c r="E6" s="4" t="str">
        <f>IFERROR(__xludf.DUMMYFUNCTION("filter(Data!$A$2:$J1000,Data!$A$2:$A1000=$A6 , Data!$B$2:$B1000 = $B6, Data!$C$2:$C1000 = $C6, Data!$I$2:$I1000 =$D6)"),"1000")</f>
        <v>1000</v>
      </c>
      <c r="F6" s="4">
        <v>1.0</v>
      </c>
      <c r="G6" s="4">
        <v>5.0</v>
      </c>
      <c r="H6" s="4" t="s">
        <v>17</v>
      </c>
      <c r="I6" s="4" t="s">
        <v>16</v>
      </c>
      <c r="J6" s="4">
        <v>20.011</v>
      </c>
      <c r="K6" s="4">
        <v>66.0</v>
      </c>
      <c r="L6" s="4">
        <v>211840.0</v>
      </c>
      <c r="M6" s="4">
        <v>210296.939394</v>
      </c>
      <c r="N6" s="5">
        <v>588.328986</v>
      </c>
      <c r="O6" s="8" t="str">
        <f>('Best Solution'!D6 - D6)/'Best Solution'!D6</f>
        <v>0.73%</v>
      </c>
    </row>
    <row r="7">
      <c r="A7" s="3">
        <v>1000.0</v>
      </c>
      <c r="B7" s="3">
        <v>5.0</v>
      </c>
      <c r="C7" s="3">
        <v>1.0</v>
      </c>
      <c r="D7" s="3" t="str">
        <f>IFERROR(__xludf.DUMMYFUNCTION("DMAX({{Data!$A$1:$J$1};filter(Data!$A$2:$J1000,Data!$A$2:$A1000=$A7 , Data!$B$2:$B1000 = $B7, Data!$C$2:$C1000 = $C7)},$P$2, $P$22:$P$23)"),"855539.3333")</f>
        <v>855539.3333</v>
      </c>
      <c r="E7" s="3" t="str">
        <f>IFERROR(__xludf.DUMMYFUNCTION("filter(Data!$A$2:$J1000,Data!$A$2:$A1000=$A7 , Data!$B$2:$B1000 = $B7, Data!$C$2:$C1000 = $C7, Data!$I$2:$I1000 =$D7)"),"1000")</f>
        <v>1000</v>
      </c>
      <c r="F7" s="3">
        <v>5.0</v>
      </c>
      <c r="G7" s="3">
        <v>1.0</v>
      </c>
      <c r="H7" s="3" t="s">
        <v>17</v>
      </c>
      <c r="I7" s="3" t="s">
        <v>16</v>
      </c>
      <c r="J7" s="3">
        <v>20.0</v>
      </c>
      <c r="K7" s="3">
        <v>27.0</v>
      </c>
      <c r="L7" s="3">
        <v>858373.0</v>
      </c>
      <c r="M7" s="3">
        <v>855539.333333</v>
      </c>
      <c r="N7">
        <v>1728.592941</v>
      </c>
      <c r="O7" s="9" t="str">
        <f>('Best Solution'!D7 - D7)/'Best Solution'!D7</f>
        <v>0.45%</v>
      </c>
    </row>
    <row r="8">
      <c r="A8" s="3">
        <v>1000.0</v>
      </c>
      <c r="B8" s="3">
        <v>5.0</v>
      </c>
      <c r="C8" s="3">
        <v>2.0</v>
      </c>
      <c r="D8" s="3" t="str">
        <f>IFERROR(__xludf.DUMMYFUNCTION("DMAX({{Data!$A$1:$J$1};filter(Data!$A$2:$J1000,Data!$A$2:$A1000=$A8 , Data!$B$2:$B1000 = $B8, Data!$C$2:$C1000 = $C8)},$P$2, $P$22:$P$23)"),"860207.9231")</f>
        <v>860207.9231</v>
      </c>
      <c r="E8" s="3" t="str">
        <f>IFERROR(__xludf.DUMMYFUNCTION("filter(Data!$A$2:$J1000,Data!$A$2:$A1000=$A8 , Data!$B$2:$B1000 = $B8, Data!$C$2:$C1000 = $C8, Data!$I$2:$I1000 =$D8)"),"1000")</f>
        <v>1000</v>
      </c>
      <c r="F8" s="3">
        <v>5.0</v>
      </c>
      <c r="G8" s="3">
        <v>2.0</v>
      </c>
      <c r="H8" s="3" t="s">
        <v>17</v>
      </c>
      <c r="I8" s="3" t="s">
        <v>16</v>
      </c>
      <c r="J8" s="3">
        <v>20.0</v>
      </c>
      <c r="K8" s="3">
        <v>26.0</v>
      </c>
      <c r="L8" s="3">
        <v>862969.0</v>
      </c>
      <c r="M8" s="3">
        <v>860207.923077</v>
      </c>
      <c r="N8">
        <v>1500.699835</v>
      </c>
      <c r="O8" s="9" t="str">
        <f>('Best Solution'!D8 - D8)/'Best Solution'!D8</f>
        <v>0.32%</v>
      </c>
    </row>
    <row r="9">
      <c r="A9" s="3">
        <v>1000.0</v>
      </c>
      <c r="B9" s="3">
        <v>5.0</v>
      </c>
      <c r="C9" s="3">
        <v>3.0</v>
      </c>
      <c r="D9" s="3" t="str">
        <f>IFERROR(__xludf.DUMMYFUNCTION("DMAX({{Data!$A$1:$J$1};filter(Data!$A$2:$J1000,Data!$A$2:$A1000=$A9 , Data!$B$2:$B1000 = $B9, Data!$C$2:$C1000 = $C9)},$P$2, $P$22:$P$23)"),"865615.4")</f>
        <v>865615.4</v>
      </c>
      <c r="E9" s="3" t="str">
        <f>IFERROR(__xludf.DUMMYFUNCTION("filter(Data!$A$2:$J1000,Data!$A$2:$A1000=$A9 , Data!$B$2:$B1000 = $B9, Data!$C$2:$C1000 = $C9, Data!$I$2:$I1000 =$D9)"),"1000")</f>
        <v>1000</v>
      </c>
      <c r="F9" s="3">
        <v>5.0</v>
      </c>
      <c r="G9" s="3">
        <v>3.0</v>
      </c>
      <c r="H9" s="3" t="s">
        <v>17</v>
      </c>
      <c r="I9" s="3" t="s">
        <v>16</v>
      </c>
      <c r="J9" s="3">
        <v>20.0</v>
      </c>
      <c r="K9" s="3">
        <v>25.0</v>
      </c>
      <c r="L9" s="3">
        <v>869301.0</v>
      </c>
      <c r="M9" s="3">
        <v>865615.4</v>
      </c>
      <c r="N9">
        <v>1750.182916</v>
      </c>
      <c r="O9" s="9" t="str">
        <f>('Best Solution'!D9 - D9)/'Best Solution'!D9</f>
        <v>0.42%</v>
      </c>
    </row>
    <row r="10">
      <c r="A10" s="3">
        <v>1000.0</v>
      </c>
      <c r="B10" s="3">
        <v>5.0</v>
      </c>
      <c r="C10" s="3">
        <v>4.0</v>
      </c>
      <c r="D10" s="3" t="str">
        <f>IFERROR(__xludf.DUMMYFUNCTION("DMAX({{Data!$A$1:$J$1};filter(Data!$A$2:$J1000,Data!$A$2:$A1000=$A10 , Data!$B$2:$B1000 = $B10, Data!$C$2:$C1000 = $C10)},$P$2, $P$22:$P$23)"),"864601.4815")</f>
        <v>864601.4815</v>
      </c>
      <c r="E10" s="3" t="str">
        <f>IFERROR(__xludf.DUMMYFUNCTION("filter(Data!$A$2:$J1000,Data!$A$2:$A1000=$A10 , Data!$B$2:$B1000 = $B10, Data!$C$2:$C1000 = $C10, Data!$I$2:$I1000 =$D10)"),"1000")</f>
        <v>1000</v>
      </c>
      <c r="F10" s="3">
        <v>5.0</v>
      </c>
      <c r="G10" s="3">
        <v>4.0</v>
      </c>
      <c r="H10" s="3" t="s">
        <v>17</v>
      </c>
      <c r="I10" s="3" t="s">
        <v>16</v>
      </c>
      <c r="J10" s="3">
        <v>20.013</v>
      </c>
      <c r="K10" s="3">
        <v>27.0</v>
      </c>
      <c r="L10" s="3">
        <v>866749.0</v>
      </c>
      <c r="M10" s="3">
        <v>864601.481481</v>
      </c>
      <c r="N10">
        <v>1232.06789</v>
      </c>
      <c r="O10" s="9" t="str">
        <f>('Best Solution'!D10 - D10)/'Best Solution'!D10</f>
        <v>0.27%</v>
      </c>
    </row>
    <row r="11">
      <c r="A11" s="3">
        <v>1000.0</v>
      </c>
      <c r="B11" s="3">
        <v>5.0</v>
      </c>
      <c r="C11" s="3">
        <v>5.0</v>
      </c>
      <c r="D11" s="3" t="str">
        <f>IFERROR(__xludf.DUMMYFUNCTION("DMAX({{Data!$A$1:$J$1};filter(Data!$A$2:$J1000,Data!$A$2:$A1000=$A11 , Data!$B$2:$B1000 = $B11, Data!$C$2:$C1000 = $C11)},$P$2, $P$22:$P$23)"),"859589.1379")</f>
        <v>859589.1379</v>
      </c>
      <c r="E11" s="3" t="str">
        <f>IFERROR(__xludf.DUMMYFUNCTION("filter(Data!$A$2:$J1000,Data!$A$2:$A1000=$A11 , Data!$B$2:$B1000 = $B11, Data!$C$2:$C1000 = $C11, Data!$I$2:$I1000 =$D11)"),"1000")</f>
        <v>1000</v>
      </c>
      <c r="F11" s="3">
        <v>5.0</v>
      </c>
      <c r="G11" s="3">
        <v>5.0</v>
      </c>
      <c r="H11" s="3" t="s">
        <v>17</v>
      </c>
      <c r="I11" s="3" t="s">
        <v>16</v>
      </c>
      <c r="J11" s="3">
        <v>20.003</v>
      </c>
      <c r="K11" s="3">
        <v>29.0</v>
      </c>
      <c r="L11" s="3">
        <v>862775.0</v>
      </c>
      <c r="M11" s="3">
        <v>859589.137931</v>
      </c>
      <c r="N11">
        <v>1323.669318</v>
      </c>
      <c r="O11" s="9" t="str">
        <f>('Best Solution'!D11 - D11)/'Best Solution'!D11</f>
        <v>0.37%</v>
      </c>
    </row>
    <row r="12">
      <c r="A12" s="4">
        <v>1000.0</v>
      </c>
      <c r="B12" s="4">
        <v>10.0</v>
      </c>
      <c r="C12" s="4">
        <v>1.0</v>
      </c>
      <c r="D12" s="4" t="str">
        <f>IFERROR(__xludf.DUMMYFUNCTION("DMAX({{Data!$A$1:$J$1};filter(Data!$A$2:$J1000,Data!$A$2:$A1000=$A12 , Data!$B$2:$B1000 = $B12, Data!$C$2:$C1000 = $C12)},$P$2, $P$22:$P$23)"),"1606558.95")</f>
        <v>1606558.95</v>
      </c>
      <c r="E12" s="4" t="str">
        <f>IFERROR(__xludf.DUMMYFUNCTION("filter(Data!$A$2:$J1000,Data!$A$2:$A1000=$A12 , Data!$B$2:$B1000 = $B12, Data!$C$2:$C1000 = $C12, Data!$I$2:$I1000 =$D12)"),"1000")</f>
        <v>1000</v>
      </c>
      <c r="F12" s="4">
        <v>10.0</v>
      </c>
      <c r="G12" s="4">
        <v>1.0</v>
      </c>
      <c r="H12" s="4" t="s">
        <v>17</v>
      </c>
      <c r="I12" s="4" t="s">
        <v>16</v>
      </c>
      <c r="J12" s="4">
        <v>20.0</v>
      </c>
      <c r="K12" s="4">
        <v>20.0</v>
      </c>
      <c r="L12" s="4">
        <v>1608601.0</v>
      </c>
      <c r="M12" s="4">
        <v>1606558.95</v>
      </c>
      <c r="N12" s="5">
        <v>1980.693855</v>
      </c>
      <c r="O12" s="8" t="str">
        <f>('Best Solution'!D12 - D12)/'Best Solution'!D12</f>
        <v>0.16%</v>
      </c>
    </row>
    <row r="13">
      <c r="A13" s="4">
        <v>1000.0</v>
      </c>
      <c r="B13" s="4">
        <v>10.0</v>
      </c>
      <c r="C13" s="4">
        <v>2.0</v>
      </c>
      <c r="D13" s="4" t="str">
        <f>IFERROR(__xludf.DUMMYFUNCTION("DMAX({{Data!$A$1:$J$1};filter(Data!$A$2:$J1000,Data!$A$2:$A1000=$A13 , Data!$B$2:$B1000 = $B13, Data!$C$2:$C1000 = $C13)},$P$2, $P$22:$P$23)"),"1626045.579")</f>
        <v>1626045.579</v>
      </c>
      <c r="E13" s="4" t="str">
        <f>IFERROR(__xludf.DUMMYFUNCTION("filter(Data!$A$2:$J1000,Data!$A$2:$A1000=$A13 , Data!$B$2:$B1000 = $B13, Data!$C$2:$C1000 = $C13, Data!$I$2:$I1000 =$D13)"),"1000")</f>
        <v>1000</v>
      </c>
      <c r="F13" s="4">
        <v>10.0</v>
      </c>
      <c r="G13" s="4">
        <v>2.0</v>
      </c>
      <c r="H13" s="4" t="s">
        <v>17</v>
      </c>
      <c r="I13" s="4" t="s">
        <v>16</v>
      </c>
      <c r="J13" s="4">
        <v>20.007</v>
      </c>
      <c r="K13" s="4">
        <v>19.0</v>
      </c>
      <c r="L13" s="4">
        <v>1630020.0</v>
      </c>
      <c r="M13" s="4">
        <v>1626045.578947</v>
      </c>
      <c r="N13" s="5">
        <v>2263.517601</v>
      </c>
      <c r="O13" s="8" t="str">
        <f>('Best Solution'!D13 - D13)/'Best Solution'!D13</f>
        <v>0.24%</v>
      </c>
    </row>
    <row r="14">
      <c r="A14" s="4">
        <v>1000.0</v>
      </c>
      <c r="B14" s="4">
        <v>10.0</v>
      </c>
      <c r="C14" s="4">
        <v>3.0</v>
      </c>
      <c r="D14" s="4" t="str">
        <f>IFERROR(__xludf.DUMMYFUNCTION("DMAX({{Data!$A$1:$J$1};filter(Data!$A$2:$J1000,Data!$A$2:$A1000=$A14 , Data!$B$2:$B1000 = $B14, Data!$C$2:$C1000 = $C14)},$P$2, $P$22:$P$23)"),"1622839.746")</f>
        <v>1622839.746</v>
      </c>
      <c r="E14" s="4" t="str">
        <f>IFERROR(__xludf.DUMMYFUNCTION("filter(Data!$A$2:$J1000,Data!$A$2:$A1000=$A14 , Data!$B$2:$B1000 = $B14, Data!$C$2:$C1000 = $C14, Data!$I$2:$I1000 =$D14)"),"1000")</f>
        <v>1000</v>
      </c>
      <c r="F14" s="4">
        <v>10.0</v>
      </c>
      <c r="G14" s="4">
        <v>3.0</v>
      </c>
      <c r="H14" s="4" t="s">
        <v>15</v>
      </c>
      <c r="I14" s="4" t="s">
        <v>16</v>
      </c>
      <c r="J14" s="4">
        <v>20.0</v>
      </c>
      <c r="K14" s="4">
        <v>67.0</v>
      </c>
      <c r="L14" s="4">
        <v>1627757.0</v>
      </c>
      <c r="M14" s="4">
        <v>1622839.746269</v>
      </c>
      <c r="N14" s="5">
        <v>3156.227667</v>
      </c>
      <c r="O14" s="8" t="str">
        <f>('Best Solution'!D14 - D14)/'Best Solution'!D14</f>
        <v>0.30%</v>
      </c>
    </row>
    <row r="15">
      <c r="A15" s="4">
        <v>1000.0</v>
      </c>
      <c r="B15" s="4">
        <v>10.0</v>
      </c>
      <c r="C15" s="4">
        <v>4.0</v>
      </c>
      <c r="D15" s="4" t="str">
        <f>IFERROR(__xludf.DUMMYFUNCTION("DMAX({{Data!$A$1:$J$1};filter(Data!$A$2:$J1000,Data!$A$2:$A1000=$A15 , Data!$B$2:$B1000 = $B15, Data!$C$2:$C1000 = $C15)},$P$2, $P$22:$P$23)"),"1620598.353")</f>
        <v>1620598.353</v>
      </c>
      <c r="E15" s="4" t="str">
        <f>IFERROR(__xludf.DUMMYFUNCTION("filter(Data!$A$2:$J1000,Data!$A$2:$A1000=$A15 , Data!$B$2:$B1000 = $B15, Data!$C$2:$C1000 = $C15, Data!$I$2:$I1000 =$D15)"),"1000")</f>
        <v>1000</v>
      </c>
      <c r="F15" s="4">
        <v>10.0</v>
      </c>
      <c r="G15" s="4">
        <v>4.0</v>
      </c>
      <c r="H15" s="4" t="s">
        <v>17</v>
      </c>
      <c r="I15" s="4" t="s">
        <v>16</v>
      </c>
      <c r="J15" s="4">
        <v>20.004</v>
      </c>
      <c r="K15" s="4">
        <v>17.0</v>
      </c>
      <c r="L15" s="4">
        <v>1623051.0</v>
      </c>
      <c r="M15" s="4">
        <v>1620598.352941</v>
      </c>
      <c r="N15" s="5">
        <v>1431.366848</v>
      </c>
      <c r="O15" s="8" t="str">
        <f>('Best Solution'!D15 - D15)/'Best Solution'!D15</f>
        <v>0.16%</v>
      </c>
    </row>
    <row r="16">
      <c r="A16" s="4">
        <v>1000.0</v>
      </c>
      <c r="B16" s="4">
        <v>10.0</v>
      </c>
      <c r="C16" s="4">
        <v>5.0</v>
      </c>
      <c r="D16" s="4" t="str">
        <f>IFERROR(__xludf.DUMMYFUNCTION("DMAX({{Data!$A$1:$J$1};filter(Data!$A$2:$J1000,Data!$A$2:$A1000=$A16 , Data!$B$2:$B1000 = $B16, Data!$C$2:$C1000 = $C16)},$P$2, $P$22:$P$23)"),"1619186.944")</f>
        <v>1619186.944</v>
      </c>
      <c r="E16" s="4" t="str">
        <f>IFERROR(__xludf.DUMMYFUNCTION("filter(Data!$A$2:$J1000,Data!$A$2:$A1000=$A16 , Data!$B$2:$B1000 = $B16, Data!$C$2:$C1000 = $C16, Data!$I$2:$I1000 =$D16)"),"1000")</f>
        <v>1000</v>
      </c>
      <c r="F16" s="4">
        <v>10.0</v>
      </c>
      <c r="G16" s="4">
        <v>5.0</v>
      </c>
      <c r="H16" s="4" t="s">
        <v>17</v>
      </c>
      <c r="I16" s="4" t="s">
        <v>16</v>
      </c>
      <c r="J16" s="4">
        <v>20.008</v>
      </c>
      <c r="K16" s="4">
        <v>18.0</v>
      </c>
      <c r="L16" s="4">
        <v>1622955.0</v>
      </c>
      <c r="M16" s="4">
        <v>1619186.944444</v>
      </c>
      <c r="N16" s="5">
        <v>1809.767065</v>
      </c>
      <c r="O16" s="8" t="str">
        <f>('Best Solution'!D16 - D16)/'Best Solution'!D16</f>
        <v>0.28%</v>
      </c>
    </row>
    <row r="17">
      <c r="A17" s="3">
        <v>1000.0</v>
      </c>
      <c r="B17" s="3">
        <v>50.0</v>
      </c>
      <c r="C17" s="3">
        <v>1.0</v>
      </c>
      <c r="D17" s="3" t="str">
        <f>IFERROR(__xludf.DUMMYFUNCTION("DMAX({{Data!$A$1:$J$1};filter(Data!$A$2:$J1000,Data!$A$2:$A1000=$A17 , Data!$B$2:$B1000 = $B17, Data!$C$2:$C1000 = $C17)},$P$2, $P$22:$P$23)"),"8072055.556")</f>
        <v>8072055.556</v>
      </c>
      <c r="E17" s="3" t="str">
        <f>IFERROR(__xludf.DUMMYFUNCTION("filter(Data!$A$2:$J1000,Data!$A$2:$A1000=$A17 , Data!$B$2:$B1000 = $B17, Data!$C$2:$C1000 = $C17, Data!$I$2:$I1000 =$D17)"),"1000")</f>
        <v>1000</v>
      </c>
      <c r="F17" s="3">
        <v>50.0</v>
      </c>
      <c r="G17" s="3">
        <v>1.0</v>
      </c>
      <c r="H17" s="3" t="s">
        <v>17</v>
      </c>
      <c r="I17" s="3" t="s">
        <v>16</v>
      </c>
      <c r="J17" s="3">
        <v>20.0</v>
      </c>
      <c r="K17" s="3">
        <v>9.0</v>
      </c>
      <c r="L17" s="3">
        <v>8077191.0</v>
      </c>
      <c r="M17" s="3">
        <v>8072055.555556</v>
      </c>
      <c r="N17">
        <v>3829.451892</v>
      </c>
      <c r="O17" s="9" t="str">
        <f>('Best Solution'!D17 - D17)/'Best Solution'!D17</f>
        <v>0.12%</v>
      </c>
    </row>
    <row r="18">
      <c r="A18" s="3">
        <v>1000.0</v>
      </c>
      <c r="B18" s="3">
        <v>50.0</v>
      </c>
      <c r="C18" s="3">
        <v>2.0</v>
      </c>
      <c r="D18" s="3" t="str">
        <f>IFERROR(__xludf.DUMMYFUNCTION("DMAX({{Data!$A$1:$J$1};filter(Data!$A$2:$J1000,Data!$A$2:$A1000=$A18 , Data!$B$2:$B1000 = $B18, Data!$C$2:$C1000 = $C18)},$P$2, $P$22:$P$23)"),"8070996.3")</f>
        <v>8070996.3</v>
      </c>
      <c r="E18" s="3" t="str">
        <f>IFERROR(__xludf.DUMMYFUNCTION("filter(Data!$A$2:$J1000,Data!$A$2:$A1000=$A18 , Data!$B$2:$B1000 = $B18, Data!$C$2:$C1000 = $C18, Data!$I$2:$I1000 =$D18)"),"1000")</f>
        <v>1000</v>
      </c>
      <c r="F18" s="3">
        <v>50.0</v>
      </c>
      <c r="G18" s="3">
        <v>2.0</v>
      </c>
      <c r="H18" s="3" t="s">
        <v>17</v>
      </c>
      <c r="I18" s="3" t="s">
        <v>16</v>
      </c>
      <c r="J18" s="3">
        <v>20.007</v>
      </c>
      <c r="K18" s="3">
        <v>10.0</v>
      </c>
      <c r="L18" s="3">
        <v>8079403.0</v>
      </c>
      <c r="M18" s="3">
        <v>8070996.3</v>
      </c>
      <c r="N18">
        <v>4640.866644</v>
      </c>
      <c r="O18" s="9" t="str">
        <f>('Best Solution'!D18 - D18)/'Best Solution'!D18</f>
        <v>0.10%</v>
      </c>
    </row>
    <row r="19">
      <c r="A19" s="3">
        <v>1000.0</v>
      </c>
      <c r="B19" s="3">
        <v>50.0</v>
      </c>
      <c r="C19" s="3">
        <v>3.0</v>
      </c>
      <c r="D19" s="3" t="str">
        <f>IFERROR(__xludf.DUMMYFUNCTION("DMAX({{Data!$A$1:$J$1};filter(Data!$A$2:$J1000,Data!$A$2:$A1000=$A19 , Data!$B$2:$B1000 = $B19, Data!$C$2:$C1000 = $C19)},$P$2, $P$22:$P$23)"),"8069269")</f>
        <v>8069269</v>
      </c>
      <c r="E19" s="3" t="str">
        <f>IFERROR(__xludf.DUMMYFUNCTION("filter(Data!$A$2:$J1000,Data!$A$2:$A1000=$A19 , Data!$B$2:$B1000 = $B19, Data!$C$2:$C1000 = $C19, Data!$I$2:$I1000 =$D19)"),"1000")</f>
        <v>1000</v>
      </c>
      <c r="F19" s="3">
        <v>50.0</v>
      </c>
      <c r="G19" s="3">
        <v>3.0</v>
      </c>
      <c r="H19" s="3" t="s">
        <v>17</v>
      </c>
      <c r="I19" s="3" t="s">
        <v>16</v>
      </c>
      <c r="J19" s="3">
        <v>20.08</v>
      </c>
      <c r="K19" s="3">
        <v>10.0</v>
      </c>
      <c r="L19" s="3">
        <v>8080530.0</v>
      </c>
      <c r="M19" s="3">
        <v>8069269.0</v>
      </c>
      <c r="N19">
        <v>6689.679066</v>
      </c>
      <c r="O19" s="9" t="str">
        <f>('Best Solution'!D19 - D19)/'Best Solution'!D19</f>
        <v>0.14%</v>
      </c>
    </row>
    <row r="20">
      <c r="A20" s="3">
        <v>1000.0</v>
      </c>
      <c r="B20" s="3">
        <v>50.0</v>
      </c>
      <c r="C20" s="3">
        <v>4.0</v>
      </c>
      <c r="D20" s="3" t="str">
        <f>IFERROR(__xludf.DUMMYFUNCTION("DMAX({{Data!$A$1:$J$1};filter(Data!$A$2:$J1000,Data!$A$2:$A1000=$A20 , Data!$B$2:$B1000 = $B20, Data!$C$2:$C1000 = $C20)},$P$2, $P$22:$P$23)"),"8071362.3")</f>
        <v>8071362.3</v>
      </c>
      <c r="E20" s="3" t="str">
        <f>IFERROR(__xludf.DUMMYFUNCTION("filter(Data!$A$2:$J1000,Data!$A$2:$A1000=$A20 , Data!$B$2:$B1000 = $B20, Data!$C$2:$C1000 = $C20, Data!$I$2:$I1000 =$D20)"),"1000")</f>
        <v>1000</v>
      </c>
      <c r="F20" s="3">
        <v>50.0</v>
      </c>
      <c r="G20" s="3">
        <v>4.0</v>
      </c>
      <c r="H20" s="3" t="s">
        <v>17</v>
      </c>
      <c r="I20" s="3" t="s">
        <v>16</v>
      </c>
      <c r="J20" s="3">
        <v>20.102</v>
      </c>
      <c r="K20" s="3">
        <v>10.0</v>
      </c>
      <c r="L20" s="3">
        <v>8082878.0</v>
      </c>
      <c r="M20" s="3">
        <v>8071362.3</v>
      </c>
      <c r="N20">
        <v>5713.360168</v>
      </c>
      <c r="O20" s="9" t="str">
        <f>('Best Solution'!D20 - D20)/'Best Solution'!D20</f>
        <v>0.14%</v>
      </c>
    </row>
    <row r="21">
      <c r="A21" s="3">
        <v>1000.0</v>
      </c>
      <c r="B21" s="3">
        <v>50.0</v>
      </c>
      <c r="C21" s="3">
        <v>5.0</v>
      </c>
      <c r="D21" s="3" t="str">
        <f>IFERROR(__xludf.DUMMYFUNCTION("DMAX({{Data!$A$1:$J$1};filter(Data!$A$2:$J1000,Data!$A$2:$A1000=$A21 , Data!$B$2:$B1000 = $B21, Data!$C$2:$C1000 = $C21)},$P$2, $P$22:$P$23)"),"8069384.625")</f>
        <v>8069384.625</v>
      </c>
      <c r="E21" s="3" t="str">
        <f>IFERROR(__xludf.DUMMYFUNCTION("filter(Data!$A$2:$J1000,Data!$A$2:$A1000=$A21 , Data!$B$2:$B1000 = $B21, Data!$C$2:$C1000 = $C21, Data!$I$2:$I1000 =$D21)"),"1000")</f>
        <v>1000</v>
      </c>
      <c r="F21" s="3">
        <v>50.0</v>
      </c>
      <c r="G21" s="3">
        <v>5.0</v>
      </c>
      <c r="H21" s="3" t="s">
        <v>17</v>
      </c>
      <c r="I21" s="3" t="s">
        <v>16</v>
      </c>
      <c r="J21" s="3">
        <v>20.332</v>
      </c>
      <c r="K21" s="3">
        <v>8.0</v>
      </c>
      <c r="L21" s="3">
        <v>8079402.0</v>
      </c>
      <c r="M21" s="3">
        <v>8069384.625</v>
      </c>
      <c r="N21">
        <v>6039.125805</v>
      </c>
      <c r="O21" s="9" t="str">
        <f>('Best Solution'!D21 - D21)/'Best Solution'!D21</f>
        <v>0.12%</v>
      </c>
    </row>
    <row r="22">
      <c r="A22" s="4">
        <v>1000.0</v>
      </c>
      <c r="B22" s="4">
        <v>100.0</v>
      </c>
      <c r="C22" s="4">
        <v>1.0</v>
      </c>
      <c r="D22" s="4" t="str">
        <f>IFERROR(__xludf.DUMMYFUNCTION("DMAX({{Data!$A$1:$J$1};filter(Data!$A$2:$J1000,Data!$A$2:$A1000=$A22 , Data!$B$2:$B1000 = $B22, Data!$C$2:$C1000 = $C22)},$P$2, $P$22:$P$23)"),"25760691.67")</f>
        <v>25760691.67</v>
      </c>
      <c r="E22" s="4" t="str">
        <f>IFERROR(__xludf.DUMMYFUNCTION("filter(Data!$A$2:$J1000,Data!$A$2:$A1000=$A22 , Data!$B$2:$B1000 = $B22, Data!$C$2:$C1000 = $C22, Data!$I$2:$I1000 =$D22)"),"1000")</f>
        <v>1000</v>
      </c>
      <c r="F22" s="4">
        <v>100.0</v>
      </c>
      <c r="G22" s="4">
        <v>1.0</v>
      </c>
      <c r="H22" s="4" t="s">
        <v>17</v>
      </c>
      <c r="I22" s="4" t="s">
        <v>16</v>
      </c>
      <c r="J22" s="4">
        <v>20.243</v>
      </c>
      <c r="K22" s="4">
        <v>6.0</v>
      </c>
      <c r="L22" s="4">
        <v>2.5768095E7</v>
      </c>
      <c r="M22" s="4">
        <v>2.5760691666667E7</v>
      </c>
      <c r="N22" s="5">
        <v>3808.931018</v>
      </c>
      <c r="O22" s="8" t="str">
        <f>('Best Solution'!D22 - D22)/'Best Solution'!D22</f>
        <v>0.03%</v>
      </c>
    </row>
    <row r="23">
      <c r="A23" s="4">
        <v>1000.0</v>
      </c>
      <c r="B23" s="4">
        <v>100.0</v>
      </c>
      <c r="C23" s="4">
        <v>2.0</v>
      </c>
      <c r="D23" s="4" t="str">
        <f>IFERROR(__xludf.DUMMYFUNCTION("DMAX({{Data!$A$1:$J$1};filter(Data!$A$2:$J1000,Data!$A$2:$A1000=$A23 , Data!$B$2:$B1000 = $B23, Data!$C$2:$C1000 = $C23)},$P$2, $P$22:$P$23)"),"25760248.5")</f>
        <v>25760248.5</v>
      </c>
      <c r="E23" s="4" t="str">
        <f>IFERROR(__xludf.DUMMYFUNCTION("filter(Data!$A$2:$J1000,Data!$A$2:$A1000=$A23 , Data!$B$2:$B1000 = $B23, Data!$C$2:$C1000 = $C23, Data!$I$2:$I1000 =$D23)"),"1000")</f>
        <v>1000</v>
      </c>
      <c r="F23" s="4">
        <v>100.0</v>
      </c>
      <c r="G23" s="4">
        <v>2.0</v>
      </c>
      <c r="H23" s="4" t="s">
        <v>17</v>
      </c>
      <c r="I23" s="4" t="s">
        <v>16</v>
      </c>
      <c r="J23" s="4">
        <v>20.275</v>
      </c>
      <c r="K23" s="4">
        <v>6.0</v>
      </c>
      <c r="L23" s="4">
        <v>2.5766817E7</v>
      </c>
      <c r="M23" s="4">
        <v>2.57602485E7</v>
      </c>
      <c r="N23" s="5">
        <v>3840.007536</v>
      </c>
      <c r="O23" s="8" t="str">
        <f>('Best Solution'!D23 - D23)/'Best Solution'!D23</f>
        <v>0.03%</v>
      </c>
    </row>
    <row r="24">
      <c r="A24" s="4">
        <v>1000.0</v>
      </c>
      <c r="B24" s="4">
        <v>100.0</v>
      </c>
      <c r="C24" s="4">
        <v>3.0</v>
      </c>
      <c r="D24" s="4" t="str">
        <f>IFERROR(__xludf.DUMMYFUNCTION("DMAX({{Data!$A$1:$J$1};filter(Data!$A$2:$J1000,Data!$A$2:$A1000=$A24 , Data!$B$2:$B1000 = $B24, Data!$C$2:$C1000 = $C24)},$P$2, $P$22:$P$23)"),"25796663.93")</f>
        <v>25796663.93</v>
      </c>
      <c r="E24" s="4" t="str">
        <f>IFERROR(__xludf.DUMMYFUNCTION("filter(Data!$A$2:$J1000,Data!$A$2:$A1000=$A24 , Data!$B$2:$B1000 = $B24, Data!$C$2:$C1000 = $C24, Data!$I$2:$I1000 =$D24)"),"1000")</f>
        <v>1000</v>
      </c>
      <c r="F24" s="4">
        <v>100.0</v>
      </c>
      <c r="G24" s="4">
        <v>3.0</v>
      </c>
      <c r="H24" s="4" t="s">
        <v>15</v>
      </c>
      <c r="I24" s="4" t="s">
        <v>16</v>
      </c>
      <c r="J24" s="4">
        <v>20.0</v>
      </c>
      <c r="K24" s="4">
        <v>40.0</v>
      </c>
      <c r="L24" s="4">
        <v>2.5809808E7</v>
      </c>
      <c r="M24" s="4">
        <v>2.5796663925E7</v>
      </c>
      <c r="N24" s="5">
        <v>4732.684096</v>
      </c>
      <c r="O24" s="8" t="str">
        <f>('Best Solution'!D24 - D24)/'Best Solution'!D24</f>
        <v>0.05%</v>
      </c>
    </row>
    <row r="25">
      <c r="A25" s="4">
        <v>1000.0</v>
      </c>
      <c r="B25" s="4">
        <v>100.0</v>
      </c>
      <c r="C25" s="4">
        <v>4.0</v>
      </c>
      <c r="D25" s="4" t="str">
        <f>IFERROR(__xludf.DUMMYFUNCTION("DMAX({{Data!$A$1:$J$1};filter(Data!$A$2:$J1000,Data!$A$2:$A1000=$A25 , Data!$B$2:$B1000 = $B25, Data!$C$2:$C1000 = $C25)},$P$2, $P$22:$P$23)"),"25808591.57")</f>
        <v>25808591.57</v>
      </c>
      <c r="E25" s="4" t="str">
        <f>IFERROR(__xludf.DUMMYFUNCTION("filter(Data!$A$2:$J1000,Data!$A$2:$A1000=$A25 , Data!$B$2:$B1000 = $B25, Data!$C$2:$C1000 = $C25, Data!$I$2:$I1000 =$D25)"),"1000")</f>
        <v>1000</v>
      </c>
      <c r="F25" s="4">
        <v>100.0</v>
      </c>
      <c r="G25" s="4">
        <v>4.0</v>
      </c>
      <c r="H25" s="4" t="s">
        <v>15</v>
      </c>
      <c r="I25" s="4" t="s">
        <v>16</v>
      </c>
      <c r="J25" s="4">
        <v>20.0</v>
      </c>
      <c r="K25" s="4">
        <v>35.0</v>
      </c>
      <c r="L25" s="4">
        <v>2.5820101E7</v>
      </c>
      <c r="M25" s="4">
        <v>2.5808591571429E7</v>
      </c>
      <c r="N25" s="5">
        <v>5810.482596</v>
      </c>
      <c r="O25" s="8" t="str">
        <f>('Best Solution'!D25 - D25)/'Best Solution'!D25</f>
        <v>0.04%</v>
      </c>
    </row>
    <row r="26">
      <c r="A26" s="4">
        <v>1000.0</v>
      </c>
      <c r="B26" s="4">
        <v>100.0</v>
      </c>
      <c r="C26" s="4">
        <v>5.0</v>
      </c>
      <c r="D26" s="4" t="str">
        <f>IFERROR(__xludf.DUMMYFUNCTION("DMAX({{Data!$A$1:$J$1};filter(Data!$A$2:$J1000,Data!$A$2:$A1000=$A26 , Data!$B$2:$B1000 = $B26, Data!$C$2:$C1000 = $C26)},$P$2, $P$22:$P$23)"),"25768221.67")</f>
        <v>25768221.67</v>
      </c>
      <c r="E26" s="4" t="str">
        <f>IFERROR(__xludf.DUMMYFUNCTION("filter(Data!$A$2:$J1000,Data!$A$2:$A1000=$A26 , Data!$B$2:$B1000 = $B26, Data!$C$2:$C1000 = $C26, Data!$I$2:$I1000 =$D26)"),"1000")</f>
        <v>1000</v>
      </c>
      <c r="F26" s="4">
        <v>100.0</v>
      </c>
      <c r="G26" s="4">
        <v>5.0</v>
      </c>
      <c r="H26" s="4" t="s">
        <v>17</v>
      </c>
      <c r="I26" s="4" t="s">
        <v>16</v>
      </c>
      <c r="J26" s="4">
        <v>20.854</v>
      </c>
      <c r="K26" s="4">
        <v>6.0</v>
      </c>
      <c r="L26" s="4">
        <v>2.5773874E7</v>
      </c>
      <c r="M26" s="4">
        <v>2.5768221666667E7</v>
      </c>
      <c r="N26" s="5">
        <v>2963.078825</v>
      </c>
      <c r="O26" s="8" t="str">
        <f>('Best Solution'!D26 - D26)/'Best Solution'!D26</f>
        <v>0.02%</v>
      </c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>
      <c r="A32" s="3"/>
      <c r="B32" s="3"/>
      <c r="C32" s="3"/>
      <c r="D32" s="3"/>
      <c r="E32" s="7"/>
      <c r="F32" s="3"/>
      <c r="G32" s="3"/>
      <c r="H32" s="3"/>
      <c r="I32" s="3"/>
      <c r="J32" s="3"/>
      <c r="K32" s="3"/>
      <c r="L32" s="3"/>
      <c r="M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  <col customWidth="1" min="6" max="6" width="22.0"/>
    <col hidden="1" min="7" max="10"/>
  </cols>
  <sheetData>
    <row r="1">
      <c r="C1" s="10" t="s">
        <v>19</v>
      </c>
      <c r="D1" s="11" t="str">
        <f>IFERROR(__xludf.DUMMYFUNCTION("TRANSPOSE(UNIQUE(Data!D2:E999))"),"basic")</f>
        <v>basic</v>
      </c>
      <c r="E1" s="12" t="s">
        <v>17</v>
      </c>
      <c r="F1" s="13"/>
      <c r="G1" s="13"/>
      <c r="H1" s="13"/>
      <c r="I1" s="13"/>
      <c r="J1" s="13"/>
      <c r="K1" s="14" t="s">
        <v>29</v>
      </c>
      <c r="L1" s="13"/>
      <c r="M1" s="13"/>
      <c r="N1" s="13"/>
      <c r="O1" s="13"/>
      <c r="P1" s="13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C2" s="10" t="s">
        <v>20</v>
      </c>
      <c r="D2" s="11" t="s">
        <v>16</v>
      </c>
      <c r="E2" s="12" t="s">
        <v>16</v>
      </c>
      <c r="F2" s="13"/>
      <c r="G2" s="13"/>
      <c r="H2" s="13"/>
      <c r="I2" s="13"/>
      <c r="J2" s="13"/>
      <c r="K2" s="14" t="s">
        <v>6</v>
      </c>
      <c r="L2" s="13"/>
      <c r="M2" s="13"/>
      <c r="N2" s="13"/>
      <c r="O2" s="13"/>
      <c r="P2" s="13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0" t="s">
        <v>0</v>
      </c>
      <c r="B3" s="10" t="s">
        <v>1</v>
      </c>
      <c r="C3" s="10" t="s">
        <v>2</v>
      </c>
      <c r="D3" s="16"/>
      <c r="E3" s="16"/>
      <c r="F3" s="17" t="s">
        <v>30</v>
      </c>
      <c r="G3" s="15"/>
      <c r="H3" s="15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8" t="str">
        <f>IFERROR(__xludf.DUMMYFUNCTION("UNIQUE(Data!A2:C999)"),"1000")</f>
        <v>1000</v>
      </c>
      <c r="B4" s="18">
        <v>1.0</v>
      </c>
      <c r="C4" s="18">
        <v>1.0</v>
      </c>
      <c r="D4" s="19" t="str">
        <f>IFERROR(__xludf.DUMMYFUNCTION("DMAX({{Data!$A$1:$M$1};filter(Data!$A$2:$M999,Data!$A$2:$A999=$A4 , Data!$B$2:$B999 = $B4,Data!$C$2:$C999 = $C4, Data!$D$2:$D999 = D$1, Data!$E$2:$E999 = D$2 )},$K$2  , $Q$22:$Q$23)"),"166")</f>
        <v>166</v>
      </c>
      <c r="E4" s="19" t="str">
        <f>IFERROR(__xludf.DUMMYFUNCTION("DMAX({{Data!$A$1:$M$1};filter(Data!$A$2:$M999,Data!$A$2:$A999=$A4 , Data!$B$2:$B999 = $B4,Data!$C$2:$C999 = $C4, Data!$D$2:$D999 = E$1, Data!$E$2:$E999 = E$2 )},$K$2  , $Q$22:$Q$23)"),"60")</f>
        <v>60</v>
      </c>
      <c r="F4" s="20" t="str">
        <f t="shared" ref="F4:F28" si="1">D4/E4</f>
        <v>2.766666667</v>
      </c>
      <c r="G4" s="21"/>
      <c r="H4" s="21"/>
      <c r="I4" s="21"/>
      <c r="J4" s="21"/>
      <c r="K4" s="21"/>
      <c r="L4" s="21"/>
      <c r="M4" s="21"/>
      <c r="N4" s="21"/>
      <c r="O4" s="21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8">
        <v>1000.0</v>
      </c>
      <c r="B5" s="18">
        <v>1.0</v>
      </c>
      <c r="C5" s="18">
        <v>2.0</v>
      </c>
      <c r="D5" s="19" t="str">
        <f>IFERROR(__xludf.DUMMYFUNCTION("DMAX({{Data!$A$1:$M$1};filter(Data!$A$2:$M999,Data!$A$2:$A999=$A5 , Data!$B$2:$B999 = $B5,Data!$C$2:$C999 = $C5, Data!$D$2:$D999 = D$1, Data!$E$2:$E999 = D$2 )},$K$2  , $Q$22:$Q$23)"),"157")</f>
        <v>157</v>
      </c>
      <c r="E5" s="19" t="str">
        <f>IFERROR(__xludf.DUMMYFUNCTION("DMAX({{Data!$A$1:$M$1};filter(Data!$A$2:$M999,Data!$A$2:$A999=$A5 , Data!$B$2:$B999 = $B5,Data!$C$2:$C999 = $C5, Data!$D$2:$D999 = E$1, Data!$E$2:$E999 = E$2 )},$K$2  , $Q$22:$Q$23)"),"64")</f>
        <v>64</v>
      </c>
      <c r="F5" s="20" t="str">
        <f t="shared" si="1"/>
        <v>2.453125</v>
      </c>
      <c r="G5" s="21"/>
      <c r="H5" s="21"/>
      <c r="I5" s="21"/>
      <c r="J5" s="21"/>
      <c r="K5" s="21"/>
      <c r="L5" s="21"/>
      <c r="M5" s="21"/>
      <c r="N5" s="21"/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8">
        <v>1000.0</v>
      </c>
      <c r="B6" s="18">
        <v>1.0</v>
      </c>
      <c r="C6" s="18">
        <v>3.0</v>
      </c>
      <c r="D6" s="19" t="str">
        <f>IFERROR(__xludf.DUMMYFUNCTION("DMAX({{Data!$A$1:$M$1};filter(Data!$A$2:$M999,Data!$A$2:$A999=$A6 , Data!$B$2:$B999 = $B6,Data!$C$2:$C999 = $C6, Data!$D$2:$D999 = D$1, Data!$E$2:$E999 = D$2 )},$K$2  , $Q$22:$Q$23)"),"183")</f>
        <v>183</v>
      </c>
      <c r="E6" s="19" t="str">
        <f>IFERROR(__xludf.DUMMYFUNCTION("DMAX({{Data!$A$1:$M$1};filter(Data!$A$2:$M999,Data!$A$2:$A999=$A6 , Data!$B$2:$B999 = $B6,Data!$C$2:$C999 = $C6, Data!$D$2:$D999 = E$1, Data!$E$2:$E999 = E$2 )},$K$2  , $Q$22:$Q$23)"),"72")</f>
        <v>72</v>
      </c>
      <c r="F6" s="20" t="str">
        <f t="shared" si="1"/>
        <v>2.541666667</v>
      </c>
      <c r="G6" s="21"/>
      <c r="H6" s="21"/>
      <c r="I6" s="21"/>
      <c r="J6" s="21"/>
      <c r="K6" s="21"/>
      <c r="L6" s="21"/>
      <c r="M6" s="21"/>
      <c r="N6" s="21"/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8">
        <v>1000.0</v>
      </c>
      <c r="B7" s="18">
        <v>1.0</v>
      </c>
      <c r="C7" s="18">
        <v>4.0</v>
      </c>
      <c r="D7" s="19" t="str">
        <f>IFERROR(__xludf.DUMMYFUNCTION("DMAX({{Data!$A$1:$M$1};filter(Data!$A$2:$M999,Data!$A$2:$A999=$A7 , Data!$B$2:$B999 = $B7,Data!$C$2:$C999 = $C7, Data!$D$2:$D999 = D$1, Data!$E$2:$E999 = D$2 )},$K$2  , $Q$22:$Q$23)"),"170")</f>
        <v>170</v>
      </c>
      <c r="E7" s="19" t="str">
        <f>IFERROR(__xludf.DUMMYFUNCTION("DMAX({{Data!$A$1:$M$1};filter(Data!$A$2:$M999,Data!$A$2:$A999=$A7 , Data!$B$2:$B999 = $B7,Data!$C$2:$C999 = $C7, Data!$D$2:$D999 = E$1, Data!$E$2:$E999 = E$2 )},$K$2  , $Q$22:$Q$23)"),"72")</f>
        <v>72</v>
      </c>
      <c r="F7" s="20" t="str">
        <f t="shared" si="1"/>
        <v>2.361111111</v>
      </c>
      <c r="G7" s="21"/>
      <c r="H7" s="21"/>
      <c r="I7" s="21"/>
      <c r="J7" s="21"/>
      <c r="K7" s="21"/>
      <c r="L7" s="21"/>
      <c r="M7" s="21"/>
      <c r="N7" s="21"/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2">
        <v>1000.0</v>
      </c>
      <c r="B8" s="22">
        <v>1.0</v>
      </c>
      <c r="C8" s="22">
        <v>5.0</v>
      </c>
      <c r="D8" s="19" t="str">
        <f>IFERROR(__xludf.DUMMYFUNCTION("DMAX({{Data!$A$1:$M$1};filter(Data!$A$2:$M999,Data!$A$2:$A999=$A8 , Data!$B$2:$B999 = $B8,Data!$C$2:$C999 = $C8, Data!$D$2:$D999 = D$1, Data!$E$2:$E999 = D$2 )},$K$2  , $Q$22:$Q$23)"),"166")</f>
        <v>166</v>
      </c>
      <c r="E8" s="19" t="str">
        <f>IFERROR(__xludf.DUMMYFUNCTION("DMAX({{Data!$A$1:$M$1};filter(Data!$A$2:$M999,Data!$A$2:$A999=$A8 , Data!$B$2:$B999 = $B8,Data!$C$2:$C999 = $C8, Data!$D$2:$D999 = E$1, Data!$E$2:$E999 = E$2 )},$K$2  , $Q$22:$Q$23)"),"66")</f>
        <v>66</v>
      </c>
      <c r="F8" s="20" t="str">
        <f t="shared" si="1"/>
        <v>2.515151515</v>
      </c>
      <c r="G8" s="21"/>
      <c r="H8" s="21"/>
      <c r="I8" s="21"/>
      <c r="J8" s="21"/>
      <c r="K8" s="21"/>
      <c r="L8" s="21"/>
      <c r="M8" s="21"/>
      <c r="N8" s="21"/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8">
        <v>1000.0</v>
      </c>
      <c r="B9" s="18">
        <v>5.0</v>
      </c>
      <c r="C9" s="18">
        <v>1.0</v>
      </c>
      <c r="D9" s="23" t="str">
        <f>IFERROR(__xludf.DUMMYFUNCTION("DMAX({{Data!$A$1:$M$1};filter(Data!$A$2:$M999,Data!$A$2:$A999=$A9 , Data!$B$2:$B999 = $B9,Data!$C$2:$C999 = $C9, Data!$D$2:$D999 = D$1, Data!$E$2:$E999 = D$2 )},$K$2  , $Q$22:$Q$23)"),"106")</f>
        <v>106</v>
      </c>
      <c r="E9" s="23" t="str">
        <f>IFERROR(__xludf.DUMMYFUNCTION("DMAX({{Data!$A$1:$M$1};filter(Data!$A$2:$M999,Data!$A$2:$A999=$A9 , Data!$B$2:$B999 = $B9,Data!$C$2:$C999 = $C9, Data!$D$2:$D999 = E$1, Data!$E$2:$E999 = E$2 )},$K$2  , $Q$22:$Q$23)"),"27")</f>
        <v>27</v>
      </c>
      <c r="F9" s="24" t="str">
        <f t="shared" si="1"/>
        <v>3.925925926</v>
      </c>
      <c r="G9" s="21"/>
      <c r="H9" s="21"/>
      <c r="I9" s="21"/>
      <c r="J9" s="21"/>
      <c r="K9" s="21"/>
      <c r="L9" s="21"/>
      <c r="M9" s="21"/>
      <c r="N9" s="21"/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25">
        <v>1000.0</v>
      </c>
      <c r="B10" s="25">
        <v>5.0</v>
      </c>
      <c r="C10" s="25">
        <v>2.0</v>
      </c>
      <c r="D10" s="23" t="str">
        <f>IFERROR(__xludf.DUMMYFUNCTION("DMAX({{Data!$A$1:$M$1};filter(Data!$A$2:$M999,Data!$A$2:$A999=$A10 , Data!$B$2:$B999 = $B10,Data!$C$2:$C999 = $C10, Data!$D$2:$D999 = D$1, Data!$E$2:$E999 = D$2 )},$K$2  , $Q$22:$Q$23)"),"101")</f>
        <v>101</v>
      </c>
      <c r="E10" s="23" t="str">
        <f>IFERROR(__xludf.DUMMYFUNCTION("DMAX({{Data!$A$1:$M$1};filter(Data!$A$2:$M999,Data!$A$2:$A999=$A10 , Data!$B$2:$B999 = $B10,Data!$C$2:$C999 = $C10, Data!$D$2:$D999 = E$1, Data!$E$2:$E999 = E$2 )},$K$2  , $Q$22:$Q$23)"),"26")</f>
        <v>26</v>
      </c>
      <c r="F10" s="24" t="str">
        <f t="shared" si="1"/>
        <v>3.884615385</v>
      </c>
      <c r="G10" s="21"/>
      <c r="H10" s="21"/>
      <c r="I10" s="21"/>
      <c r="J10" s="21"/>
      <c r="K10" s="21"/>
      <c r="L10" s="21"/>
      <c r="M10" s="21"/>
      <c r="N10" s="21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8">
        <v>1000.0</v>
      </c>
      <c r="B11" s="18">
        <v>5.0</v>
      </c>
      <c r="C11" s="18">
        <v>3.0</v>
      </c>
      <c r="D11" s="23" t="str">
        <f>IFERROR(__xludf.DUMMYFUNCTION("DMAX({{Data!$A$1:$M$1};filter(Data!$A$2:$M999,Data!$A$2:$A999=$A11 , Data!$B$2:$B999 = $B11,Data!$C$2:$C999 = $C11, Data!$D$2:$D999 = D$1, Data!$E$2:$E999 = D$2 )},$K$2  , $Q$22:$Q$23)"),"99")</f>
        <v>99</v>
      </c>
      <c r="E11" s="23" t="str">
        <f>IFERROR(__xludf.DUMMYFUNCTION("DMAX({{Data!$A$1:$M$1};filter(Data!$A$2:$M999,Data!$A$2:$A999=$A11 , Data!$B$2:$B999 = $B11,Data!$C$2:$C999 = $C11, Data!$D$2:$D999 = E$1, Data!$E$2:$E999 = E$2 )},$K$2  , $Q$22:$Q$23)"),"25")</f>
        <v>25</v>
      </c>
      <c r="F11" s="24" t="str">
        <f t="shared" si="1"/>
        <v>3.96</v>
      </c>
      <c r="G11" s="21"/>
      <c r="H11" s="21"/>
      <c r="I11" s="21"/>
      <c r="J11" s="21"/>
      <c r="K11" s="21"/>
      <c r="L11" s="21"/>
      <c r="M11" s="21"/>
      <c r="N11" s="21"/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8">
        <v>1000.0</v>
      </c>
      <c r="B12" s="18">
        <v>5.0</v>
      </c>
      <c r="C12" s="18">
        <v>4.0</v>
      </c>
      <c r="D12" s="23" t="str">
        <f>IFERROR(__xludf.DUMMYFUNCTION("DMAX({{Data!$A$1:$M$1};filter(Data!$A$2:$M999,Data!$A$2:$A999=$A12 , Data!$B$2:$B999 = $B12,Data!$C$2:$C999 = $C12, Data!$D$2:$D999 = D$1, Data!$E$2:$E999 = D$2 )},$K$2  , $Q$22:$Q$23)"),"110")</f>
        <v>110</v>
      </c>
      <c r="E12" s="23" t="str">
        <f>IFERROR(__xludf.DUMMYFUNCTION("DMAX({{Data!$A$1:$M$1};filter(Data!$A$2:$M999,Data!$A$2:$A999=$A12 , Data!$B$2:$B999 = $B12,Data!$C$2:$C999 = $C12, Data!$D$2:$D999 = E$1, Data!$E$2:$E999 = E$2 )},$K$2  , $Q$22:$Q$23)"),"27")</f>
        <v>27</v>
      </c>
      <c r="F12" s="24" t="str">
        <f t="shared" si="1"/>
        <v>4.074074074</v>
      </c>
      <c r="G12" s="21"/>
      <c r="H12" s="21"/>
      <c r="I12" s="21"/>
      <c r="J12" s="21"/>
      <c r="K12" s="21"/>
      <c r="L12" s="21"/>
      <c r="M12" s="21"/>
      <c r="N12" s="21"/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8">
        <v>1000.0</v>
      </c>
      <c r="B13" s="18">
        <v>5.0</v>
      </c>
      <c r="C13" s="18">
        <v>5.0</v>
      </c>
      <c r="D13" s="23" t="str">
        <f>IFERROR(__xludf.DUMMYFUNCTION("DMAX({{Data!$A$1:$M$1};filter(Data!$A$2:$M999,Data!$A$2:$A999=$A13 , Data!$B$2:$B999 = $B13,Data!$C$2:$C999 = $C13, Data!$D$2:$D999 = D$1, Data!$E$2:$E999 = D$2 )},$K$2  , $Q$22:$Q$23)"),"103")</f>
        <v>103</v>
      </c>
      <c r="E13" s="23" t="str">
        <f>IFERROR(__xludf.DUMMYFUNCTION("DMAX({{Data!$A$1:$M$1};filter(Data!$A$2:$M999,Data!$A$2:$A999=$A13 , Data!$B$2:$B999 = $B13,Data!$C$2:$C999 = $C13, Data!$D$2:$D999 = E$1, Data!$E$2:$E999 = E$2 )},$K$2  , $Q$22:$Q$23)"),"29")</f>
        <v>29</v>
      </c>
      <c r="F13" s="24" t="str">
        <f t="shared" si="1"/>
        <v>3.551724138</v>
      </c>
      <c r="G13" s="21"/>
      <c r="H13" s="21"/>
      <c r="I13" s="21"/>
      <c r="J13" s="21"/>
      <c r="K13" s="21"/>
      <c r="L13" s="21"/>
      <c r="M13" s="21"/>
      <c r="N13" s="21"/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8">
        <v>1000.0</v>
      </c>
      <c r="B14" s="18">
        <v>10.0</v>
      </c>
      <c r="C14" s="18">
        <v>1.0</v>
      </c>
      <c r="D14" s="19" t="str">
        <f>IFERROR(__xludf.DUMMYFUNCTION("DMAX({{Data!$A$1:$M$1};filter(Data!$A$2:$M999,Data!$A$2:$A999=$A14 , Data!$B$2:$B999 = $B14,Data!$C$2:$C999 = $C14, Data!$D$2:$D999 = D$1, Data!$E$2:$E999 = D$2 )},$K$2  , $Q$22:$Q$23)"),"92")</f>
        <v>92</v>
      </c>
      <c r="E14" s="19" t="str">
        <f>IFERROR(__xludf.DUMMYFUNCTION("DMAX({{Data!$A$1:$M$1};filter(Data!$A$2:$M999,Data!$A$2:$A999=$A14 , Data!$B$2:$B999 = $B14,Data!$C$2:$C999 = $C14, Data!$D$2:$D999 = E$1, Data!$E$2:$E999 = E$2 )},$K$2  , $Q$22:$Q$23)"),"20")</f>
        <v>20</v>
      </c>
      <c r="F14" s="20" t="str">
        <f t="shared" si="1"/>
        <v>4.6</v>
      </c>
      <c r="G14" s="21"/>
      <c r="H14" s="21"/>
      <c r="I14" s="21"/>
      <c r="J14" s="21"/>
      <c r="K14" s="21"/>
      <c r="L14" s="21"/>
      <c r="M14" s="21"/>
      <c r="N14" s="21"/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8">
        <v>1000.0</v>
      </c>
      <c r="B15" s="18">
        <v>10.0</v>
      </c>
      <c r="C15" s="18">
        <v>2.0</v>
      </c>
      <c r="D15" s="19" t="str">
        <f>IFERROR(__xludf.DUMMYFUNCTION("DMAX({{Data!$A$1:$M$1};filter(Data!$A$2:$M999,Data!$A$2:$A999=$A15 , Data!$B$2:$B999 = $B15,Data!$C$2:$C999 = $C15, Data!$D$2:$D999 = D$1, Data!$E$2:$E999 = D$2 )},$K$2  , $Q$22:$Q$23)"),"84")</f>
        <v>84</v>
      </c>
      <c r="E15" s="19" t="str">
        <f>IFERROR(__xludf.DUMMYFUNCTION("DMAX({{Data!$A$1:$M$1};filter(Data!$A$2:$M999,Data!$A$2:$A999=$A15 , Data!$B$2:$B999 = $B15,Data!$C$2:$C999 = $C15, Data!$D$2:$D999 = E$1, Data!$E$2:$E999 = E$2 )},$K$2  , $Q$22:$Q$23)"),"19")</f>
        <v>19</v>
      </c>
      <c r="F15" s="20" t="str">
        <f t="shared" si="1"/>
        <v>4.421052632</v>
      </c>
      <c r="G15" s="21"/>
      <c r="H15" s="21"/>
      <c r="I15" s="21"/>
      <c r="J15" s="21"/>
      <c r="K15" s="21"/>
      <c r="L15" s="21"/>
      <c r="M15" s="21"/>
      <c r="N15" s="21"/>
      <c r="O15" s="21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8">
        <v>1000.0</v>
      </c>
      <c r="B16" s="18">
        <v>10.0</v>
      </c>
      <c r="C16" s="18">
        <v>3.0</v>
      </c>
      <c r="D16" s="19" t="str">
        <f>IFERROR(__xludf.DUMMYFUNCTION("DMAX({{Data!$A$1:$M$1};filter(Data!$A$2:$M999,Data!$A$2:$A999=$A16 , Data!$B$2:$B999 = $B16,Data!$C$2:$C999 = $C16, Data!$D$2:$D999 = D$1, Data!$E$2:$E999 = D$2 )},$K$2  , $Q$22:$Q$23)"),"67")</f>
        <v>67</v>
      </c>
      <c r="E16" s="19" t="str">
        <f>IFERROR(__xludf.DUMMYFUNCTION("DMAX({{Data!$A$1:$M$1};filter(Data!$A$2:$M999,Data!$A$2:$A999=$A16 , Data!$B$2:$B999 = $B16,Data!$C$2:$C999 = $C16, Data!$D$2:$D999 = E$1, Data!$E$2:$E999 = E$2 )},$K$2  , $Q$22:$Q$23)"),"17")</f>
        <v>17</v>
      </c>
      <c r="F16" s="20" t="str">
        <f t="shared" si="1"/>
        <v>3.941176471</v>
      </c>
      <c r="G16" s="21"/>
      <c r="H16" s="21"/>
      <c r="I16" s="21"/>
      <c r="J16" s="21"/>
      <c r="K16" s="21"/>
      <c r="L16" s="21"/>
      <c r="M16" s="21"/>
      <c r="N16" s="21"/>
      <c r="O16" s="21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8">
        <v>1000.0</v>
      </c>
      <c r="B17" s="18">
        <v>10.0</v>
      </c>
      <c r="C17" s="18">
        <v>4.0</v>
      </c>
      <c r="D17" s="19" t="str">
        <f>IFERROR(__xludf.DUMMYFUNCTION("DMAX({{Data!$A$1:$M$1};filter(Data!$A$2:$M999,Data!$A$2:$A999=$A17 , Data!$B$2:$B999 = $B17,Data!$C$2:$C999 = $C17, Data!$D$2:$D999 = D$1, Data!$E$2:$E999 = D$2 )},$K$2  , $Q$22:$Q$23)"),"64")</f>
        <v>64</v>
      </c>
      <c r="E17" s="19" t="str">
        <f>IFERROR(__xludf.DUMMYFUNCTION("DMAX({{Data!$A$1:$M$1};filter(Data!$A$2:$M999,Data!$A$2:$A999=$A17 , Data!$B$2:$B999 = $B17,Data!$C$2:$C999 = $C17, Data!$D$2:$D999 = E$1, Data!$E$2:$E999 = E$2 )},$K$2  , $Q$22:$Q$23)"),"17")</f>
        <v>17</v>
      </c>
      <c r="F17" s="20" t="str">
        <f t="shared" si="1"/>
        <v>3.764705882</v>
      </c>
      <c r="G17" s="21"/>
      <c r="H17" s="21"/>
      <c r="I17" s="21"/>
      <c r="J17" s="21"/>
      <c r="K17" s="21"/>
      <c r="L17" s="21"/>
      <c r="M17" s="21"/>
      <c r="N17" s="21"/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8">
        <v>1000.0</v>
      </c>
      <c r="B18" s="18">
        <v>10.0</v>
      </c>
      <c r="C18" s="18">
        <v>5.0</v>
      </c>
      <c r="D18" s="19" t="str">
        <f>IFERROR(__xludf.DUMMYFUNCTION("DMAX({{Data!$A$1:$M$1};filter(Data!$A$2:$M999,Data!$A$2:$A999=$A18 , Data!$B$2:$B999 = $B18,Data!$C$2:$C999 = $C18, Data!$D$2:$D999 = D$1, Data!$E$2:$E999 = D$2 )},$K$2  , $Q$22:$Q$23)"),"77")</f>
        <v>77</v>
      </c>
      <c r="E18" s="19" t="str">
        <f>IFERROR(__xludf.DUMMYFUNCTION("DMAX({{Data!$A$1:$M$1};filter(Data!$A$2:$M999,Data!$A$2:$A999=$A18 , Data!$B$2:$B999 = $B18,Data!$C$2:$C999 = $C18, Data!$D$2:$D999 = E$1, Data!$E$2:$E999 = E$2 )},$K$2  , $Q$22:$Q$23)"),"18")</f>
        <v>18</v>
      </c>
      <c r="F18" s="20" t="str">
        <f t="shared" si="1"/>
        <v>4.277777778</v>
      </c>
      <c r="G18" s="21"/>
      <c r="H18" s="21"/>
      <c r="I18" s="2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1">
        <v>1000.0</v>
      </c>
      <c r="B19" s="11">
        <v>50.0</v>
      </c>
      <c r="C19" s="11">
        <v>1.0</v>
      </c>
      <c r="D19" s="23" t="str">
        <f>IFERROR(__xludf.DUMMYFUNCTION("DMAX({{Data!$A$1:$M$1};filter(Data!$A$2:$M999,Data!$A$2:$A999=$A19 , Data!$B$2:$B999 = $B19,Data!$C$2:$C999 = $C19, Data!$D$2:$D999 = D$1, Data!$E$2:$E999 = D$2 )},$K$2  , $Q$22:$Q$23)"),"50")</f>
        <v>50</v>
      </c>
      <c r="E19" s="23" t="str">
        <f>IFERROR(__xludf.DUMMYFUNCTION("DMAX({{Data!$A$1:$M$1};filter(Data!$A$2:$M999,Data!$A$2:$A999=$A19 , Data!$B$2:$B999 = $B19,Data!$C$2:$C999 = $C19, Data!$D$2:$D999 = E$1, Data!$E$2:$E999 = E$2 )},$K$2  , $Q$22:$Q$23)"),"9")</f>
        <v>9</v>
      </c>
      <c r="F19" s="24" t="str">
        <f t="shared" si="1"/>
        <v>5.555555556</v>
      </c>
      <c r="G19" s="21"/>
      <c r="H19" s="21"/>
      <c r="I19" s="2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6">
        <v>1000.0</v>
      </c>
      <c r="B20" s="26">
        <v>50.0</v>
      </c>
      <c r="C20" s="26">
        <v>2.0</v>
      </c>
      <c r="D20" s="23" t="str">
        <f>IFERROR(__xludf.DUMMYFUNCTION("DMAX({{Data!$A$1:$M$1};filter(Data!$A$2:$M999,Data!$A$2:$A999=$A20 , Data!$B$2:$B999 = $B20,Data!$C$2:$C999 = $C20, Data!$D$2:$D999 = D$1, Data!$E$2:$E999 = D$2 )},$K$2  , $Q$22:$Q$23)"),"52")</f>
        <v>52</v>
      </c>
      <c r="E20" s="23" t="str">
        <f>IFERROR(__xludf.DUMMYFUNCTION("DMAX({{Data!$A$1:$M$1};filter(Data!$A$2:$M999,Data!$A$2:$A999=$A20 , Data!$B$2:$B999 = $B20,Data!$C$2:$C999 = $C20, Data!$D$2:$D999 = E$1, Data!$E$2:$E999 = E$2 )},$K$2  , $Q$22:$Q$23)"),"10")</f>
        <v>10</v>
      </c>
      <c r="F20" s="24" t="str">
        <f t="shared" si="1"/>
        <v>5.2</v>
      </c>
      <c r="G20" s="21"/>
      <c r="H20" s="21"/>
      <c r="I20" s="21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26">
        <v>1000.0</v>
      </c>
      <c r="B21" s="26">
        <v>50.0</v>
      </c>
      <c r="C21" s="26">
        <v>3.0</v>
      </c>
      <c r="D21" s="23" t="str">
        <f>IFERROR(__xludf.DUMMYFUNCTION("DMAX({{Data!$A$1:$M$1};filter(Data!$A$2:$M999,Data!$A$2:$A999=$A21 , Data!$B$2:$B999 = $B21,Data!$C$2:$C999 = $C21, Data!$D$2:$D999 = D$1, Data!$E$2:$E999 = D$2 )},$K$2  , $Q$22:$Q$23)"),"51")</f>
        <v>51</v>
      </c>
      <c r="E21" s="23" t="str">
        <f>IFERROR(__xludf.DUMMYFUNCTION("DMAX({{Data!$A$1:$M$1};filter(Data!$A$2:$M999,Data!$A$2:$A999=$A21 , Data!$B$2:$B999 = $B21,Data!$C$2:$C999 = $C21, Data!$D$2:$D999 = E$1, Data!$E$2:$E999 = E$2 )},$K$2  , $Q$22:$Q$23)"),"10")</f>
        <v>10</v>
      </c>
      <c r="F21" s="24" t="str">
        <f t="shared" si="1"/>
        <v>5.1</v>
      </c>
      <c r="G21" s="21"/>
      <c r="H21" s="21"/>
      <c r="I21" s="2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8">
        <v>1000.0</v>
      </c>
      <c r="B22" s="26">
        <v>50.0</v>
      </c>
      <c r="C22" s="26">
        <v>4.0</v>
      </c>
      <c r="D22" s="23" t="str">
        <f>IFERROR(__xludf.DUMMYFUNCTION("DMAX({{Data!$A$1:$M$1};filter(Data!$A$2:$M999,Data!$A$2:$A999=$A22 , Data!$B$2:$B999 = $B22,Data!$C$2:$C999 = $C22, Data!$D$2:$D999 = D$1, Data!$E$2:$E999 = D$2 )},$K$2  , $Q$22:$Q$23)"),"50")</f>
        <v>50</v>
      </c>
      <c r="E22" s="23" t="str">
        <f>IFERROR(__xludf.DUMMYFUNCTION("DMAX({{Data!$A$1:$M$1};filter(Data!$A$2:$M999,Data!$A$2:$A999=$A22 , Data!$B$2:$B999 = $B22,Data!$C$2:$C999 = $C22, Data!$D$2:$D999 = E$1, Data!$E$2:$E999 = E$2 )},$K$2  , $Q$22:$Q$23)"),"10")</f>
        <v>10</v>
      </c>
      <c r="F22" s="24" t="str">
        <f t="shared" si="1"/>
        <v>5</v>
      </c>
      <c r="G22" s="21"/>
      <c r="H22" s="21"/>
      <c r="I22" s="2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6">
        <v>1000.0</v>
      </c>
      <c r="B23" s="26">
        <v>50.0</v>
      </c>
      <c r="C23" s="26">
        <v>5.0</v>
      </c>
      <c r="D23" s="23" t="str">
        <f>IFERROR(__xludf.DUMMYFUNCTION("DMAX({{Data!$A$1:$M$1};filter(Data!$A$2:$M999,Data!$A$2:$A999=$A23 , Data!$B$2:$B999 = $B23,Data!$C$2:$C999 = $C23, Data!$D$2:$D999 = D$1, Data!$E$2:$E999 = D$2 )},$K$2  , $Q$22:$Q$23)"),"34")</f>
        <v>34</v>
      </c>
      <c r="E23" s="23" t="str">
        <f>IFERROR(__xludf.DUMMYFUNCTION("DMAX({{Data!$A$1:$M$1};filter(Data!$A$2:$M999,Data!$A$2:$A999=$A23 , Data!$B$2:$B999 = $B23,Data!$C$2:$C999 = $C23, Data!$D$2:$D999 = E$1, Data!$E$2:$E999 = E$2 )},$K$2  , $Q$22:$Q$23)"),"8")</f>
        <v>8</v>
      </c>
      <c r="F23" s="24" t="str">
        <f t="shared" si="1"/>
        <v>4.25</v>
      </c>
      <c r="G23" s="21"/>
      <c r="H23" s="21"/>
      <c r="I23" s="2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1">
        <v>1000.0</v>
      </c>
      <c r="B24" s="11">
        <v>100.0</v>
      </c>
      <c r="C24" s="11">
        <v>1.0</v>
      </c>
      <c r="D24" s="19" t="str">
        <f>IFERROR(__xludf.DUMMYFUNCTION("DMAX({{Data!$A$1:$M$1};filter(Data!$A$2:$M999,Data!$A$2:$A999=$A24 , Data!$B$2:$B999 = $B24,Data!$C$2:$C999 = $C24, Data!$D$2:$D999 = D$1, Data!$E$2:$E999 = D$2 )},$K$2  , $Q$22:$Q$23)"),"40")</f>
        <v>40</v>
      </c>
      <c r="E24" s="19" t="str">
        <f>IFERROR(__xludf.DUMMYFUNCTION("DMAX({{Data!$A$1:$M$1};filter(Data!$A$2:$M999,Data!$A$2:$A999=$A24 , Data!$B$2:$B999 = $B24,Data!$C$2:$C999 = $C24, Data!$D$2:$D999 = E$1, Data!$E$2:$E999 = E$2 )},$K$2  , $Q$22:$Q$23)"),"6")</f>
        <v>6</v>
      </c>
      <c r="F24" s="20" t="str">
        <f t="shared" si="1"/>
        <v>6.666666667</v>
      </c>
      <c r="G24" s="21"/>
      <c r="H24" s="21"/>
      <c r="I24" s="21"/>
      <c r="J24" s="13"/>
      <c r="K24" s="13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8">
        <v>1000.0</v>
      </c>
      <c r="B25" s="27">
        <v>100.0</v>
      </c>
      <c r="C25" s="18">
        <v>2.0</v>
      </c>
      <c r="D25" s="19" t="str">
        <f>IFERROR(__xludf.DUMMYFUNCTION("DMAX({{Data!$A$1:$M$1};filter(Data!$A$2:$M999,Data!$A$2:$A999=$A25 , Data!$B$2:$B999 = $B25,Data!$C$2:$C999 = $C25, Data!$D$2:$D999 = D$1, Data!$E$2:$E999 = D$2 )},$K$2  , $Q$22:$Q$23)"),"39")</f>
        <v>39</v>
      </c>
      <c r="E25" s="19" t="str">
        <f>IFERROR(__xludf.DUMMYFUNCTION("DMAX({{Data!$A$1:$M$1};filter(Data!$A$2:$M999,Data!$A$2:$A999=$A25 , Data!$B$2:$B999 = $B25,Data!$C$2:$C999 = $C25, Data!$D$2:$D999 = E$1, Data!$E$2:$E999 = E$2 )},$K$2  , $Q$22:$Q$23)"),"6")</f>
        <v>6</v>
      </c>
      <c r="F25" s="20" t="str">
        <f t="shared" si="1"/>
        <v>6.5</v>
      </c>
      <c r="G25" s="21"/>
      <c r="H25" s="21"/>
      <c r="I25" s="21"/>
      <c r="J25" s="28"/>
      <c r="K25" s="2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8">
        <v>1000.0</v>
      </c>
      <c r="B26" s="18">
        <v>100.0</v>
      </c>
      <c r="C26" s="18">
        <v>3.0</v>
      </c>
      <c r="D26" s="19" t="str">
        <f>IFERROR(__xludf.DUMMYFUNCTION("DMAX({{Data!$A$1:$M$1};filter(Data!$A$2:$M999,Data!$A$2:$A999=$A26 , Data!$B$2:$B999 = $B26,Data!$C$2:$C999 = $C26, Data!$D$2:$D999 = D$1, Data!$E$2:$E999 = D$2 )},$K$2  , $Q$22:$Q$23)"),"40")</f>
        <v>40</v>
      </c>
      <c r="E26" s="19" t="str">
        <f>IFERROR(__xludf.DUMMYFUNCTION("DMAX({{Data!$A$1:$M$1};filter(Data!$A$2:$M999,Data!$A$2:$A999=$A26 , Data!$B$2:$B999 = $B26,Data!$C$2:$C999 = $C26, Data!$D$2:$D999 = E$1, Data!$E$2:$E999 = E$2 )},$K$2  , $Q$22:$Q$23)"),"5")</f>
        <v>5</v>
      </c>
      <c r="F26" s="20" t="str">
        <f t="shared" si="1"/>
        <v>8</v>
      </c>
      <c r="G26" s="21"/>
      <c r="H26" s="21"/>
      <c r="I26" s="21"/>
      <c r="J26" s="28"/>
      <c r="K26" s="28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8">
        <v>1000.0</v>
      </c>
      <c r="B27" s="18">
        <v>100.0</v>
      </c>
      <c r="C27" s="18">
        <v>4.0</v>
      </c>
      <c r="D27" s="19" t="str">
        <f>IFERROR(__xludf.DUMMYFUNCTION("DMAX({{Data!$A$1:$M$1};filter(Data!$A$2:$M999,Data!$A$2:$A999=$A27 , Data!$B$2:$B999 = $B27,Data!$C$2:$C999 = $C27, Data!$D$2:$D999 = D$1, Data!$E$2:$E999 = D$2 )},$K$2  , $Q$22:$Q$23)"),"35")</f>
        <v>35</v>
      </c>
      <c r="E27" s="19" t="str">
        <f>IFERROR(__xludf.DUMMYFUNCTION("DMAX({{Data!$A$1:$M$1};filter(Data!$A$2:$M999,Data!$A$2:$A999=$A27 , Data!$B$2:$B999 = $B27,Data!$C$2:$C999 = $C27, Data!$D$2:$D999 = E$1, Data!$E$2:$E999 = E$2 )},$K$2  , $Q$22:$Q$23)"),"6")</f>
        <v>6</v>
      </c>
      <c r="F27" s="20" t="str">
        <f t="shared" si="1"/>
        <v>5.833333333</v>
      </c>
      <c r="G27" s="21"/>
      <c r="H27" s="21"/>
      <c r="I27" s="21"/>
      <c r="J27" s="28"/>
      <c r="K27" s="28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8">
        <v>1000.0</v>
      </c>
      <c r="B28" s="18">
        <v>100.0</v>
      </c>
      <c r="C28" s="18">
        <v>5.0</v>
      </c>
      <c r="D28" s="19" t="str">
        <f>IFERROR(__xludf.DUMMYFUNCTION("DMAX({{Data!$A$1:$M$1};filter(Data!$A$2:$M999,Data!$A$2:$A999=$A28 , Data!$B$2:$B999 = $B28,Data!$C$2:$C999 = $C28, Data!$D$2:$D999 = D$1, Data!$E$2:$E999 = D$2 )},$K$2  , $Q$22:$Q$23)"),"38")</f>
        <v>38</v>
      </c>
      <c r="E28" s="19" t="str">
        <f>IFERROR(__xludf.DUMMYFUNCTION("DMAX({{Data!$A$1:$M$1};filter(Data!$A$2:$M999,Data!$A$2:$A999=$A28 , Data!$B$2:$B999 = $B28,Data!$C$2:$C999 = $C28, Data!$D$2:$D999 = E$1, Data!$E$2:$E999 = E$2 )},$K$2  , $Q$22:$Q$23)"),"6")</f>
        <v>6</v>
      </c>
      <c r="F28" s="20" t="str">
        <f t="shared" si="1"/>
        <v>6.333333333</v>
      </c>
      <c r="G28" s="21"/>
      <c r="H28" s="21"/>
      <c r="I28" s="21"/>
      <c r="J28" s="28"/>
      <c r="K28" s="28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28"/>
      <c r="B29" s="28"/>
      <c r="C29" s="28"/>
      <c r="D29" s="15"/>
      <c r="E29" s="13"/>
      <c r="F29" s="13"/>
      <c r="G29" s="13"/>
      <c r="H29" s="28"/>
      <c r="I29" s="28"/>
      <c r="J29" s="28"/>
      <c r="K29" s="28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3"/>
      <c r="B32" s="15"/>
      <c r="C32" s="15"/>
      <c r="D32" s="14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29"/>
      <c r="B33" s="29"/>
      <c r="C33" s="29"/>
      <c r="D33" s="14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  <col hidden="1" min="6" max="10"/>
  </cols>
  <sheetData>
    <row r="1">
      <c r="C1" s="10" t="s">
        <v>19</v>
      </c>
      <c r="D1" s="11" t="str">
        <f>IFERROR(__xludf.DUMMYFUNCTION("TRANSPOSE(UNIQUE(Data!D2:E1000))"),"basic")</f>
        <v>basic</v>
      </c>
      <c r="E1" s="12" t="s">
        <v>17</v>
      </c>
      <c r="F1" s="13"/>
      <c r="G1" s="13"/>
      <c r="H1" s="13"/>
      <c r="I1" s="13"/>
      <c r="J1" s="13"/>
      <c r="K1" s="14" t="s">
        <v>29</v>
      </c>
      <c r="L1" s="13"/>
      <c r="M1" s="13"/>
      <c r="N1" s="13"/>
      <c r="O1" s="13"/>
      <c r="P1" s="13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C2" s="10" t="s">
        <v>20</v>
      </c>
      <c r="D2" s="11" t="s">
        <v>16</v>
      </c>
      <c r="E2" s="12" t="s">
        <v>16</v>
      </c>
      <c r="F2" s="13"/>
      <c r="G2" s="13"/>
      <c r="H2" s="13"/>
      <c r="I2" s="13"/>
      <c r="J2" s="13"/>
      <c r="K2" s="14" t="s">
        <v>8</v>
      </c>
      <c r="L2" s="13"/>
      <c r="M2" s="13"/>
      <c r="N2" s="13"/>
      <c r="O2" s="13"/>
      <c r="P2" s="13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0" t="s">
        <v>0</v>
      </c>
      <c r="B3" s="10" t="s">
        <v>1</v>
      </c>
      <c r="C3" s="10" t="s">
        <v>2</v>
      </c>
      <c r="D3" s="16"/>
      <c r="E3" s="16"/>
      <c r="F3" s="15"/>
      <c r="G3" s="15"/>
      <c r="H3" s="15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8" t="str">
        <f>IFERROR(__xludf.DUMMYFUNCTION("UNIQUE(Data!A2:C1000)"),"1000")</f>
        <v>1000</v>
      </c>
      <c r="B4" s="18">
        <v>1.0</v>
      </c>
      <c r="C4" s="18">
        <v>1.0</v>
      </c>
      <c r="D4" s="19" t="str">
        <f>IFERROR(__xludf.DUMMYFUNCTION("DMAX({{Data!$A$1:$M$1};filter(Data!$A$2:$M1000,Data!$A$2:$A1000=$A4 , Data!$B$2:$B1000 = $B4,Data!$C$2:$C1000 = $C4, Data!$D$2:$D1000 = D$1, Data!$E$2:$E1000 = D$2 )},$K$2  , $Q$22:$Q$23)"),"208400.2651")</f>
        <v>208400.2651</v>
      </c>
      <c r="E4" s="19" t="str">
        <f>IFERROR(__xludf.DUMMYFUNCTION("DMAX({{Data!$A$1:$M$1};filter(Data!$A$2:$M1000,Data!$A$2:$A1000=$A4 , Data!$B$2:$B1000 = $B4,Data!$C$2:$C1000 = $C4, Data!$D$2:$D1000 = E$1, Data!$E$2:$E1000 = E$2 )},$K$2  , $Q$22:$Q$23)"),"208935.1667")</f>
        <v>208935.1667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8">
        <v>1000.0</v>
      </c>
      <c r="B5" s="18">
        <v>1.0</v>
      </c>
      <c r="C5" s="18">
        <v>2.0</v>
      </c>
      <c r="D5" s="19" t="str">
        <f>IFERROR(__xludf.DUMMYFUNCTION("DMAX({{Data!$A$1:$M$1};filter(Data!$A$2:$M1000,Data!$A$2:$A1000=$A5 , Data!$B$2:$B1000 = $B5,Data!$C$2:$C1000 = $C5, Data!$D$2:$D1000 = D$1, Data!$E$2:$E1000 = D$2 )},$K$2  , $Q$22:$Q$23)"),"204629.7643")</f>
        <v>204629.7643</v>
      </c>
      <c r="E5" s="19" t="str">
        <f>IFERROR(__xludf.DUMMYFUNCTION("DMAX({{Data!$A$1:$M$1};filter(Data!$A$2:$M1000,Data!$A$2:$A1000=$A5 , Data!$B$2:$B1000 = $B5,Data!$C$2:$C1000 = $C5, Data!$D$2:$D1000 = E$1, Data!$E$2:$E1000 = E$2 )},$K$2  , $Q$22:$Q$23)"),"204995.8125")</f>
        <v>204995.8125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8">
        <v>1000.0</v>
      </c>
      <c r="B6" s="18">
        <v>1.0</v>
      </c>
      <c r="C6" s="18">
        <v>3.0</v>
      </c>
      <c r="D6" s="19" t="str">
        <f>IFERROR(__xludf.DUMMYFUNCTION("DMAX({{Data!$A$1:$M$1};filter(Data!$A$2:$M1000,Data!$A$2:$A1000=$A6 , Data!$B$2:$B1000 = $B6,Data!$C$2:$C1000 = $C6, Data!$D$2:$D1000 = D$1, Data!$E$2:$E1000 = D$2 )},$K$2  , $Q$22:$Q$23)"),"203266.8962")</f>
        <v>203266.8962</v>
      </c>
      <c r="E6" s="19" t="str">
        <f>IFERROR(__xludf.DUMMYFUNCTION("DMAX({{Data!$A$1:$M$1};filter(Data!$A$2:$M1000,Data!$A$2:$A1000=$A6 , Data!$B$2:$B1000 = $B6,Data!$C$2:$C1000 = $C6, Data!$D$2:$D1000 = E$1, Data!$E$2:$E1000 = E$2 )},$K$2  , $Q$22:$Q$23)"),"203646.7222")</f>
        <v>203646.7222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8">
        <v>1000.0</v>
      </c>
      <c r="B7" s="18">
        <v>1.0</v>
      </c>
      <c r="C7" s="18">
        <v>4.0</v>
      </c>
      <c r="D7" s="19" t="str">
        <f>IFERROR(__xludf.DUMMYFUNCTION("DMAX({{Data!$A$1:$M$1};filter(Data!$A$2:$M1000,Data!$A$2:$A1000=$A7 , Data!$B$2:$B1000 = $B7,Data!$C$2:$C1000 = $C7, Data!$D$2:$D1000 = D$1, Data!$E$2:$E1000 = D$2 )},$K$2  , $Q$22:$Q$23)"),"211657.6471")</f>
        <v>211657.6471</v>
      </c>
      <c r="E7" s="19" t="str">
        <f>IFERROR(__xludf.DUMMYFUNCTION("DMAX({{Data!$A$1:$M$1};filter(Data!$A$2:$M1000,Data!$A$2:$A1000=$A7 , Data!$B$2:$B1000 = $B7,Data!$C$2:$C1000 = $C7, Data!$D$2:$D1000 = E$1, Data!$E$2:$E1000 = E$2 )},$K$2  , $Q$22:$Q$23)"),"211841.3333")</f>
        <v>211841.3333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2">
        <v>1000.0</v>
      </c>
      <c r="B8" s="22">
        <v>1.0</v>
      </c>
      <c r="C8" s="22">
        <v>5.0</v>
      </c>
      <c r="D8" s="19" t="str">
        <f>IFERROR(__xludf.DUMMYFUNCTION("DMAX({{Data!$A$1:$M$1};filter(Data!$A$2:$M1000,Data!$A$2:$A1000=$A8 , Data!$B$2:$B1000 = $B8,Data!$C$2:$C1000 = $C8, Data!$D$2:$D1000 = D$1, Data!$E$2:$E1000 = D$2 )},$K$2  , $Q$22:$Q$23)"),"209946.6627")</f>
        <v>209946.6627</v>
      </c>
      <c r="E8" s="19" t="str">
        <f>IFERROR(__xludf.DUMMYFUNCTION("DMAX({{Data!$A$1:$M$1};filter(Data!$A$2:$M1000,Data!$A$2:$A1000=$A8 , Data!$B$2:$B1000 = $B8,Data!$C$2:$C1000 = $C8, Data!$D$2:$D1000 = E$1, Data!$E$2:$E1000 = E$2 )},$K$2  , $Q$22:$Q$23)"),"210296.9394")</f>
        <v>210296.9394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8">
        <v>1000.0</v>
      </c>
      <c r="B9" s="18">
        <v>5.0</v>
      </c>
      <c r="C9" s="18">
        <v>1.0</v>
      </c>
      <c r="D9" s="23" t="str">
        <f>IFERROR(__xludf.DUMMYFUNCTION("DMAX({{Data!$A$1:$M$1};filter(Data!$A$2:$M1000,Data!$A$2:$A1000=$A9 , Data!$B$2:$B1000 = $B9,Data!$C$2:$C1000 = $C9, Data!$D$2:$D1000 = D$1, Data!$E$2:$E1000 = D$2 )},$K$2  , $Q$22:$Q$23)"),"854392.8113")</f>
        <v>854392.8113</v>
      </c>
      <c r="E9" s="23" t="str">
        <f>IFERROR(__xludf.DUMMYFUNCTION("DMAX({{Data!$A$1:$M$1};filter(Data!$A$2:$M1000,Data!$A$2:$A1000=$A9 , Data!$B$2:$B1000 = $B9,Data!$C$2:$C1000 = $C9, Data!$D$2:$D1000 = E$1, Data!$E$2:$E1000 = E$2 )},$K$2  , $Q$22:$Q$23)"),"855539.3333")</f>
        <v>855539.3333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25">
        <v>1000.0</v>
      </c>
      <c r="B10" s="25">
        <v>5.0</v>
      </c>
      <c r="C10" s="25">
        <v>2.0</v>
      </c>
      <c r="D10" s="23" t="str">
        <f>IFERROR(__xludf.DUMMYFUNCTION("DMAX({{Data!$A$1:$M$1};filter(Data!$A$2:$M1000,Data!$A$2:$A1000=$A10 , Data!$B$2:$B1000 = $B10,Data!$C$2:$C1000 = $C10, Data!$D$2:$D1000 = D$1, Data!$E$2:$E1000 = D$2 )},$K$2  , $Q$22:$Q$23)"),"858777.6436")</f>
        <v>858777.6436</v>
      </c>
      <c r="E10" s="23" t="str">
        <f>IFERROR(__xludf.DUMMYFUNCTION("DMAX({{Data!$A$1:$M$1};filter(Data!$A$2:$M1000,Data!$A$2:$A1000=$A10 , Data!$B$2:$B1000 = $B10,Data!$C$2:$C1000 = $C10, Data!$D$2:$D1000 = E$1, Data!$E$2:$E1000 = E$2 )},$K$2  , $Q$22:$Q$23)"),"860207.9231")</f>
        <v>860207.9231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8">
        <v>1000.0</v>
      </c>
      <c r="B11" s="18">
        <v>5.0</v>
      </c>
      <c r="C11" s="18">
        <v>3.0</v>
      </c>
      <c r="D11" s="23" t="str">
        <f>IFERROR(__xludf.DUMMYFUNCTION("DMAX({{Data!$A$1:$M$1};filter(Data!$A$2:$M1000,Data!$A$2:$A1000=$A11 , Data!$B$2:$B1000 = $B11,Data!$C$2:$C1000 = $C11, Data!$D$2:$D1000 = D$1, Data!$E$2:$E1000 = D$2 )},$K$2  , $Q$22:$Q$23)"),"863825.4545")</f>
        <v>863825.4545</v>
      </c>
      <c r="E11" s="23" t="str">
        <f>IFERROR(__xludf.DUMMYFUNCTION("DMAX({{Data!$A$1:$M$1};filter(Data!$A$2:$M1000,Data!$A$2:$A1000=$A11 , Data!$B$2:$B1000 = $B11,Data!$C$2:$C1000 = $C11, Data!$D$2:$D1000 = E$1, Data!$E$2:$E1000 = E$2 )},$K$2  , $Q$22:$Q$23)"),"865615.4")</f>
        <v>865615.4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8">
        <v>1000.0</v>
      </c>
      <c r="B12" s="18">
        <v>5.0</v>
      </c>
      <c r="C12" s="18">
        <v>4.0</v>
      </c>
      <c r="D12" s="23" t="str">
        <f>IFERROR(__xludf.DUMMYFUNCTION("DMAX({{Data!$A$1:$M$1};filter(Data!$A$2:$M1000,Data!$A$2:$A1000=$A12 , Data!$B$2:$B1000 = $B12,Data!$C$2:$C1000 = $C12, Data!$D$2:$D1000 = D$1, Data!$E$2:$E1000 = D$2 )},$K$2  , $Q$22:$Q$23)"),"863264.0727")</f>
        <v>863264.0727</v>
      </c>
      <c r="E12" s="23" t="str">
        <f>IFERROR(__xludf.DUMMYFUNCTION("DMAX({{Data!$A$1:$M$1};filter(Data!$A$2:$M1000,Data!$A$2:$A1000=$A12 , Data!$B$2:$B1000 = $B12,Data!$C$2:$C1000 = $C12, Data!$D$2:$D1000 = E$1, Data!$E$2:$E1000 = E$2 )},$K$2  , $Q$22:$Q$23)"),"864601.4815")</f>
        <v>864601.4815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8">
        <v>1000.0</v>
      </c>
      <c r="B13" s="18">
        <v>5.0</v>
      </c>
      <c r="C13" s="18">
        <v>5.0</v>
      </c>
      <c r="D13" s="23" t="str">
        <f>IFERROR(__xludf.DUMMYFUNCTION("DMAX({{Data!$A$1:$M$1};filter(Data!$A$2:$M1000,Data!$A$2:$A1000=$A13 , Data!$B$2:$B1000 = $B13,Data!$C$2:$C1000 = $C13, Data!$D$2:$D1000 = D$1, Data!$E$2:$E1000 = D$2 )},$K$2  , $Q$22:$Q$23)"),"857516.1845")</f>
        <v>857516.1845</v>
      </c>
      <c r="E13" s="23" t="str">
        <f>IFERROR(__xludf.DUMMYFUNCTION("DMAX({{Data!$A$1:$M$1};filter(Data!$A$2:$M1000,Data!$A$2:$A1000=$A13 , Data!$B$2:$B1000 = $B13,Data!$C$2:$C1000 = $C13, Data!$D$2:$D1000 = E$1, Data!$E$2:$E1000 = E$2 )},$K$2  , $Q$22:$Q$23)"),"859589.1379")</f>
        <v>859589.1379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8">
        <v>1000.0</v>
      </c>
      <c r="B14" s="18">
        <v>10.0</v>
      </c>
      <c r="C14" s="18">
        <v>1.0</v>
      </c>
      <c r="D14" s="19" t="str">
        <f>IFERROR(__xludf.DUMMYFUNCTION("DMAX({{Data!$A$1:$M$1};filter(Data!$A$2:$M1000,Data!$A$2:$A1000=$A14 , Data!$B$2:$B1000 = $B14,Data!$C$2:$C1000 = $C14, Data!$D$2:$D1000 = D$1, Data!$E$2:$E1000 = D$2 )},$K$2  , $Q$22:$Q$23)"),"1603985.728")</f>
        <v>1603985.728</v>
      </c>
      <c r="E14" s="19" t="str">
        <f>IFERROR(__xludf.DUMMYFUNCTION("DMAX({{Data!$A$1:$M$1};filter(Data!$A$2:$M1000,Data!$A$2:$A1000=$A14 , Data!$B$2:$B1000 = $B14,Data!$C$2:$C1000 = $C14, Data!$D$2:$D1000 = E$1, Data!$E$2:$E1000 = E$2 )},$K$2  , $Q$22:$Q$23)"),"1606558.95")</f>
        <v>1606558.95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8">
        <v>1000.0</v>
      </c>
      <c r="B15" s="18">
        <v>10.0</v>
      </c>
      <c r="C15" s="18">
        <v>2.0</v>
      </c>
      <c r="D15" s="19" t="str">
        <f>IFERROR(__xludf.DUMMYFUNCTION("DMAX({{Data!$A$1:$M$1};filter(Data!$A$2:$M1000,Data!$A$2:$A1000=$A15 , Data!$B$2:$B1000 = $B15,Data!$C$2:$C1000 = $C15, Data!$D$2:$D1000 = D$1, Data!$E$2:$E1000 = D$2 )},$K$2  , $Q$22:$Q$23)"),"1623661.321")</f>
        <v>1623661.321</v>
      </c>
      <c r="E15" s="19" t="str">
        <f>IFERROR(__xludf.DUMMYFUNCTION("DMAX({{Data!$A$1:$M$1};filter(Data!$A$2:$M1000,Data!$A$2:$A1000=$A15 , Data!$B$2:$B1000 = $B15,Data!$C$2:$C1000 = $C15, Data!$D$2:$D1000 = E$1, Data!$E$2:$E1000 = E$2 )},$K$2  , $Q$22:$Q$23)"),"1626045.579")</f>
        <v>1626045.579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8">
        <v>1000.0</v>
      </c>
      <c r="B16" s="18">
        <v>10.0</v>
      </c>
      <c r="C16" s="18">
        <v>3.0</v>
      </c>
      <c r="D16" s="19" t="str">
        <f>IFERROR(__xludf.DUMMYFUNCTION("DMAX({{Data!$A$1:$M$1};filter(Data!$A$2:$M1000,Data!$A$2:$A1000=$A16 , Data!$B$2:$B1000 = $B16,Data!$C$2:$C1000 = $C16, Data!$D$2:$D1000 = D$1, Data!$E$2:$E1000 = D$2 )},$K$2  , $Q$22:$Q$23)"),"1622839.746")</f>
        <v>1622839.746</v>
      </c>
      <c r="E16" s="19" t="str">
        <f>IFERROR(__xludf.DUMMYFUNCTION("DMAX({{Data!$A$1:$M$1};filter(Data!$A$2:$M1000,Data!$A$2:$A1000=$A16 , Data!$B$2:$B1000 = $B16,Data!$C$2:$C1000 = $C16, Data!$D$2:$D1000 = E$1, Data!$E$2:$E1000 = E$2 )},$K$2  , $Q$22:$Q$23)"),"1614449.353")</f>
        <v>1614449.353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8">
        <v>1000.0</v>
      </c>
      <c r="B17" s="18">
        <v>10.0</v>
      </c>
      <c r="C17" s="18">
        <v>4.0</v>
      </c>
      <c r="D17" s="19" t="str">
        <f>IFERROR(__xludf.DUMMYFUNCTION("DMAX({{Data!$A$1:$M$1};filter(Data!$A$2:$M1000,Data!$A$2:$A1000=$A17 , Data!$B$2:$B1000 = $B17,Data!$C$2:$C1000 = $C17, Data!$D$2:$D1000 = D$1, Data!$E$2:$E1000 = D$2 )},$K$2  , $Q$22:$Q$23)"),"1618202.922")</f>
        <v>1618202.922</v>
      </c>
      <c r="E17" s="19" t="str">
        <f>IFERROR(__xludf.DUMMYFUNCTION("DMAX({{Data!$A$1:$M$1};filter(Data!$A$2:$M1000,Data!$A$2:$A1000=$A17 , Data!$B$2:$B1000 = $B17,Data!$C$2:$C1000 = $C17, Data!$D$2:$D1000 = E$1, Data!$E$2:$E1000 = E$2 )},$K$2  , $Q$22:$Q$23)"),"1620598.353")</f>
        <v>1620598.353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8">
        <v>1000.0</v>
      </c>
      <c r="B18" s="18">
        <v>10.0</v>
      </c>
      <c r="C18" s="18">
        <v>5.0</v>
      </c>
      <c r="D18" s="19" t="str">
        <f>IFERROR(__xludf.DUMMYFUNCTION("DMAX({{Data!$A$1:$M$1};filter(Data!$A$2:$M1000,Data!$A$2:$A1000=$A18 , Data!$B$2:$B1000 = $B18,Data!$C$2:$C1000 = $C18, Data!$D$2:$D1000 = D$1, Data!$E$2:$E1000 = D$2 )},$K$2  , $Q$22:$Q$23)"),"1617699.701")</f>
        <v>1617699.701</v>
      </c>
      <c r="E18" s="19" t="str">
        <f>IFERROR(__xludf.DUMMYFUNCTION("DMAX({{Data!$A$1:$M$1};filter(Data!$A$2:$M1000,Data!$A$2:$A1000=$A18 , Data!$B$2:$B1000 = $B18,Data!$C$2:$C1000 = $C18, Data!$D$2:$D1000 = E$1, Data!$E$2:$E1000 = E$2 )},$K$2  , $Q$22:$Q$23)"),"1619186.944")</f>
        <v>1619186.944</v>
      </c>
      <c r="F18" s="21"/>
      <c r="G18" s="21"/>
      <c r="H18" s="21"/>
      <c r="I18" s="2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1">
        <v>1000.0</v>
      </c>
      <c r="B19" s="11">
        <v>50.0</v>
      </c>
      <c r="C19" s="11">
        <v>1.0</v>
      </c>
      <c r="D19" s="23" t="str">
        <f>IFERROR(__xludf.DUMMYFUNCTION("DMAX({{Data!$A$1:$M$1};filter(Data!$A$2:$M1000,Data!$A$2:$A1000=$A19 , Data!$B$2:$B1000 = $B19,Data!$C$2:$C1000 = $C19, Data!$D$2:$D1000 = D$1, Data!$E$2:$E1000 = D$2 )},$K$2  , $Q$22:$Q$23)"),"8066955.8")</f>
        <v>8066955.8</v>
      </c>
      <c r="E19" s="23" t="str">
        <f>IFERROR(__xludf.DUMMYFUNCTION("DMAX({{Data!$A$1:$M$1};filter(Data!$A$2:$M1000,Data!$A$2:$A1000=$A19 , Data!$B$2:$B1000 = $B19,Data!$C$2:$C1000 = $C19, Data!$D$2:$D1000 = E$1, Data!$E$2:$E1000 = E$2 )},$K$2  , $Q$22:$Q$23)"),"8072055.556")</f>
        <v>8072055.556</v>
      </c>
      <c r="F19" s="21"/>
      <c r="G19" s="21"/>
      <c r="H19" s="21"/>
      <c r="I19" s="2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6">
        <v>1000.0</v>
      </c>
      <c r="B20" s="26">
        <v>50.0</v>
      </c>
      <c r="C20" s="26">
        <v>2.0</v>
      </c>
      <c r="D20" s="23" t="str">
        <f>IFERROR(__xludf.DUMMYFUNCTION("DMAX({{Data!$A$1:$M$1};filter(Data!$A$2:$M1000,Data!$A$2:$A1000=$A20 , Data!$B$2:$B1000 = $B20,Data!$C$2:$C1000 = $C20, Data!$D$2:$D1000 = D$1, Data!$E$2:$E1000 = D$2 )},$K$2  , $Q$22:$Q$23)"),"8058359.019")</f>
        <v>8058359.019</v>
      </c>
      <c r="E20" s="23" t="str">
        <f>IFERROR(__xludf.DUMMYFUNCTION("DMAX({{Data!$A$1:$M$1};filter(Data!$A$2:$M1000,Data!$A$2:$A1000=$A20 , Data!$B$2:$B1000 = $B20,Data!$C$2:$C1000 = $C20, Data!$D$2:$D1000 = E$1, Data!$E$2:$E1000 = E$2 )},$K$2  , $Q$22:$Q$23)"),"8070996.3")</f>
        <v>8070996.3</v>
      </c>
      <c r="F20" s="21"/>
      <c r="G20" s="21"/>
      <c r="H20" s="21"/>
      <c r="I20" s="21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26">
        <v>1000.0</v>
      </c>
      <c r="B21" s="26">
        <v>50.0</v>
      </c>
      <c r="C21" s="26">
        <v>3.0</v>
      </c>
      <c r="D21" s="23" t="str">
        <f>IFERROR(__xludf.DUMMYFUNCTION("DMAX({{Data!$A$1:$M$1};filter(Data!$A$2:$M1000,Data!$A$2:$A1000=$A21 , Data!$B$2:$B1000 = $B21,Data!$C$2:$C1000 = $C21, Data!$D$2:$D1000 = D$1, Data!$E$2:$E1000 = D$2 )},$K$2  , $Q$22:$Q$23)"),"8064998.49")</f>
        <v>8064998.49</v>
      </c>
      <c r="E21" s="23" t="str">
        <f>IFERROR(__xludf.DUMMYFUNCTION("DMAX({{Data!$A$1:$M$1};filter(Data!$A$2:$M1000,Data!$A$2:$A1000=$A21 , Data!$B$2:$B1000 = $B21,Data!$C$2:$C1000 = $C21, Data!$D$2:$D1000 = E$1, Data!$E$2:$E1000 = E$2 )},$K$2  , $Q$22:$Q$23)"),"8069269")</f>
        <v>8069269</v>
      </c>
      <c r="F21" s="21"/>
      <c r="G21" s="21"/>
      <c r="H21" s="21"/>
      <c r="I21" s="2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8">
        <v>1000.0</v>
      </c>
      <c r="B22" s="26">
        <v>50.0</v>
      </c>
      <c r="C22" s="26">
        <v>4.0</v>
      </c>
      <c r="D22" s="23" t="str">
        <f>IFERROR(__xludf.DUMMYFUNCTION("DMAX({{Data!$A$1:$M$1};filter(Data!$A$2:$M1000,Data!$A$2:$A1000=$A22 , Data!$B$2:$B1000 = $B22,Data!$C$2:$C1000 = $C22, Data!$D$2:$D1000 = D$1, Data!$E$2:$E1000 = D$2 )},$K$2  , $Q$22:$Q$23)"),"8068997.96")</f>
        <v>8068997.96</v>
      </c>
      <c r="E22" s="23" t="str">
        <f>IFERROR(__xludf.DUMMYFUNCTION("DMAX({{Data!$A$1:$M$1};filter(Data!$A$2:$M1000,Data!$A$2:$A1000=$A22 , Data!$B$2:$B1000 = $B22,Data!$C$2:$C1000 = $C22, Data!$D$2:$D1000 = E$1, Data!$E$2:$E1000 = E$2 )},$K$2  , $Q$22:$Q$23)"),"8071362.3")</f>
        <v>8071362.3</v>
      </c>
      <c r="F22" s="21"/>
      <c r="G22" s="21"/>
      <c r="H22" s="21"/>
      <c r="I22" s="2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6">
        <v>1000.0</v>
      </c>
      <c r="B23" s="26">
        <v>50.0</v>
      </c>
      <c r="C23" s="26">
        <v>5.0</v>
      </c>
      <c r="D23" s="23" t="str">
        <f>IFERROR(__xludf.DUMMYFUNCTION("DMAX({{Data!$A$1:$M$1};filter(Data!$A$2:$M1000,Data!$A$2:$A1000=$A23 , Data!$B$2:$B1000 = $B23,Data!$C$2:$C1000 = $C23, Data!$D$2:$D1000 = D$1, Data!$E$2:$E1000 = D$2 )},$K$2  , $Q$22:$Q$23)"),"8062828.559")</f>
        <v>8062828.559</v>
      </c>
      <c r="E23" s="23" t="str">
        <f>IFERROR(__xludf.DUMMYFUNCTION("DMAX({{Data!$A$1:$M$1};filter(Data!$A$2:$M1000,Data!$A$2:$A1000=$A23 , Data!$B$2:$B1000 = $B23,Data!$C$2:$C1000 = $C23, Data!$D$2:$D1000 = E$1, Data!$E$2:$E1000 = E$2 )},$K$2  , $Q$22:$Q$23)"),"8069384.625")</f>
        <v>8069384.625</v>
      </c>
      <c r="F23" s="21"/>
      <c r="G23" s="21"/>
      <c r="H23" s="21"/>
      <c r="I23" s="2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1">
        <v>1000.0</v>
      </c>
      <c r="B24" s="11">
        <v>100.0</v>
      </c>
      <c r="C24" s="11">
        <v>1.0</v>
      </c>
      <c r="D24" s="19" t="str">
        <f>IFERROR(__xludf.DUMMYFUNCTION("DMAX({{Data!$A$1:$M$1};filter(Data!$A$2:$M1000,Data!$A$2:$A1000=$A24 , Data!$B$2:$B1000 = $B24,Data!$C$2:$C1000 = $C24, Data!$D$2:$D1000 = D$1, Data!$E$2:$E1000 = D$2 )},$K$2  , $Q$22:$Q$23)"),"25759554.05")</f>
        <v>25759554.05</v>
      </c>
      <c r="E24" s="19" t="str">
        <f>IFERROR(__xludf.DUMMYFUNCTION("DMAX({{Data!$A$1:$M$1};filter(Data!$A$2:$M1000,Data!$A$2:$A1000=$A24 , Data!$B$2:$B1000 = $B24,Data!$C$2:$C1000 = $C24, Data!$D$2:$D1000 = E$1, Data!$E$2:$E1000 = E$2 )},$K$2  , $Q$22:$Q$23)"),"25760691.67")</f>
        <v>25760691.67</v>
      </c>
      <c r="F24" s="21"/>
      <c r="G24" s="21"/>
      <c r="H24" s="21"/>
      <c r="I24" s="21"/>
      <c r="J24" s="13"/>
      <c r="K24" s="13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8">
        <v>1000.0</v>
      </c>
      <c r="B25" s="27">
        <v>100.0</v>
      </c>
      <c r="C25" s="18">
        <v>2.0</v>
      </c>
      <c r="D25" s="19" t="str">
        <f>IFERROR(__xludf.DUMMYFUNCTION("DMAX({{Data!$A$1:$M$1};filter(Data!$A$2:$M1000,Data!$A$2:$A1000=$A25 , Data!$B$2:$B1000 = $B25,Data!$C$2:$C1000 = $C25, Data!$D$2:$D1000 = D$1, Data!$E$2:$E1000 = D$2 )},$K$2  , $Q$22:$Q$23)"),"25759414.15")</f>
        <v>25759414.15</v>
      </c>
      <c r="E25" s="19" t="str">
        <f>IFERROR(__xludf.DUMMYFUNCTION("DMAX({{Data!$A$1:$M$1};filter(Data!$A$2:$M1000,Data!$A$2:$A1000=$A25 , Data!$B$2:$B1000 = $B25,Data!$C$2:$C1000 = $C25, Data!$D$2:$D1000 = E$1, Data!$E$2:$E1000 = E$2 )},$K$2  , $Q$22:$Q$23)"),"25760248.5")</f>
        <v>25760248.5</v>
      </c>
      <c r="F25" s="21"/>
      <c r="G25" s="21"/>
      <c r="H25" s="21"/>
      <c r="I25" s="21"/>
      <c r="J25" s="28"/>
      <c r="K25" s="2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8">
        <v>1000.0</v>
      </c>
      <c r="B26" s="18">
        <v>100.0</v>
      </c>
      <c r="C26" s="18">
        <v>3.0</v>
      </c>
      <c r="D26" s="19" t="str">
        <f>IFERROR(__xludf.DUMMYFUNCTION("DMAX({{Data!$A$1:$M$1};filter(Data!$A$2:$M1000,Data!$A$2:$A1000=$A26 , Data!$B$2:$B1000 = $B26,Data!$C$2:$C1000 = $C26, Data!$D$2:$D1000 = D$1, Data!$E$2:$E1000 = D$2 )},$K$2  , $Q$22:$Q$23)"),"25796663.93")</f>
        <v>25796663.93</v>
      </c>
      <c r="E26" s="19" t="str">
        <f>IFERROR(__xludf.DUMMYFUNCTION("DMAX({{Data!$A$1:$M$1};filter(Data!$A$2:$M1000,Data!$A$2:$A1000=$A26 , Data!$B$2:$B1000 = $B26,Data!$C$2:$C1000 = $C26, Data!$D$2:$D1000 = E$1, Data!$E$2:$E1000 = E$2 )},$K$2  , $Q$22:$Q$23)"),"25796357.6")</f>
        <v>25796357.6</v>
      </c>
      <c r="F26" s="21"/>
      <c r="G26" s="21"/>
      <c r="H26" s="21"/>
      <c r="I26" s="21"/>
      <c r="J26" s="28"/>
      <c r="K26" s="28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8">
        <v>1000.0</v>
      </c>
      <c r="B27" s="18">
        <v>100.0</v>
      </c>
      <c r="C27" s="18">
        <v>4.0</v>
      </c>
      <c r="D27" s="19" t="str">
        <f>IFERROR(__xludf.DUMMYFUNCTION("DMAX({{Data!$A$1:$M$1};filter(Data!$A$2:$M1000,Data!$A$2:$A1000=$A27 , Data!$B$2:$B1000 = $B27,Data!$C$2:$C1000 = $C27, Data!$D$2:$D1000 = D$1, Data!$E$2:$E1000 = D$2 )},$K$2  , $Q$22:$Q$23)"),"25808591.57")</f>
        <v>25808591.57</v>
      </c>
      <c r="E27" s="19" t="str">
        <f>IFERROR(__xludf.DUMMYFUNCTION("DMAX({{Data!$A$1:$M$1};filter(Data!$A$2:$M1000,Data!$A$2:$A1000=$A27 , Data!$B$2:$B1000 = $B27,Data!$C$2:$C1000 = $C27, Data!$D$2:$D1000 = E$1, Data!$E$2:$E1000 = E$2 )},$K$2  , $Q$22:$Q$23)"),"25808559.5")</f>
        <v>25808559.5</v>
      </c>
      <c r="F27" s="21"/>
      <c r="G27" s="21"/>
      <c r="H27" s="21"/>
      <c r="I27" s="21"/>
      <c r="J27" s="28"/>
      <c r="K27" s="28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8">
        <v>1000.0</v>
      </c>
      <c r="B28" s="18">
        <v>100.0</v>
      </c>
      <c r="C28" s="18">
        <v>5.0</v>
      </c>
      <c r="D28" s="19" t="str">
        <f>IFERROR(__xludf.DUMMYFUNCTION("DMAX({{Data!$A$1:$M$1};filter(Data!$A$2:$M1000,Data!$A$2:$A1000=$A28 , Data!$B$2:$B1000 = $B28,Data!$C$2:$C1000 = $C28, Data!$D$2:$D1000 = D$1, Data!$E$2:$E1000 = D$2 )},$K$2  , $Q$22:$Q$23)"),"25763782.74")</f>
        <v>25763782.74</v>
      </c>
      <c r="E28" s="19" t="str">
        <f>IFERROR(__xludf.DUMMYFUNCTION("DMAX({{Data!$A$1:$M$1};filter(Data!$A$2:$M1000,Data!$A$2:$A1000=$A28 , Data!$B$2:$B1000 = $B28,Data!$C$2:$C1000 = $C28, Data!$D$2:$D1000 = E$1, Data!$E$2:$E1000 = E$2 )},$K$2  , $Q$22:$Q$23)"),"25768221.67")</f>
        <v>25768221.67</v>
      </c>
      <c r="F28" s="21"/>
      <c r="G28" s="21"/>
      <c r="H28" s="21"/>
      <c r="I28" s="21"/>
      <c r="J28" s="28"/>
      <c r="K28" s="28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28"/>
      <c r="B29" s="28"/>
      <c r="C29" s="28"/>
      <c r="D29" s="15"/>
      <c r="E29" s="13"/>
      <c r="F29" s="13"/>
      <c r="G29" s="13"/>
      <c r="H29" s="28"/>
      <c r="I29" s="28"/>
      <c r="J29" s="28"/>
      <c r="K29" s="28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3"/>
      <c r="B32" s="15"/>
      <c r="C32" s="15"/>
      <c r="D32" s="14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29"/>
      <c r="B33" s="29"/>
      <c r="C33" s="29"/>
      <c r="D33" s="14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  <col hidden="1" min="6" max="10"/>
  </cols>
  <sheetData>
    <row r="1">
      <c r="C1" s="10" t="s">
        <v>19</v>
      </c>
      <c r="D1" s="11" t="str">
        <f>IFERROR(__xludf.DUMMYFUNCTION("TRANSPOSE(UNIQUE(Data!D2:E1000))"),"basic")</f>
        <v>basic</v>
      </c>
      <c r="E1" s="12" t="s">
        <v>17</v>
      </c>
      <c r="F1" s="13"/>
      <c r="G1" s="13"/>
      <c r="H1" s="13"/>
      <c r="I1" s="13"/>
      <c r="J1" s="13"/>
      <c r="K1" s="14" t="s">
        <v>29</v>
      </c>
      <c r="L1" s="13"/>
      <c r="M1" s="13"/>
      <c r="N1" s="13"/>
      <c r="O1" s="13"/>
      <c r="P1" s="13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C2" s="10" t="s">
        <v>20</v>
      </c>
      <c r="D2" s="11" t="s">
        <v>16</v>
      </c>
      <c r="E2" s="12" t="s">
        <v>16</v>
      </c>
      <c r="F2" s="13"/>
      <c r="G2" s="13"/>
      <c r="H2" s="13"/>
      <c r="I2" s="13"/>
      <c r="J2" s="13"/>
      <c r="K2" s="14" t="s">
        <v>8</v>
      </c>
      <c r="L2" s="13"/>
      <c r="M2" s="13"/>
      <c r="N2" s="13"/>
      <c r="O2" s="13"/>
      <c r="P2" s="13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0" t="s">
        <v>0</v>
      </c>
      <c r="B3" s="10" t="s">
        <v>1</v>
      </c>
      <c r="C3" s="10" t="s">
        <v>2</v>
      </c>
      <c r="D3" s="16"/>
      <c r="E3" s="16"/>
      <c r="F3" s="15"/>
      <c r="G3" s="15"/>
      <c r="H3" s="15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8" t="str">
        <f>IFERROR(__xludf.DUMMYFUNCTION("UNIQUE(Data!A2:C1000)"),"1000")</f>
        <v>1000</v>
      </c>
      <c r="B4" s="18">
        <v>1.0</v>
      </c>
      <c r="C4" s="18">
        <v>1.0</v>
      </c>
      <c r="D4" s="30" t="str">
        <f>(MAX('F Mean'!$D4:$H4) - 'F Mean'!D4)/MAX('F Mean'!$D4:$H4)</f>
        <v>0.2560%</v>
      </c>
      <c r="E4" s="30" t="str">
        <f>(MAX('F Mean'!$D4:$H4) - 'F Mean'!E4)/MAX('F Mean'!$D4:$H4)</f>
        <v>0.0000%</v>
      </c>
      <c r="F4" s="31"/>
      <c r="G4" s="31"/>
      <c r="H4" s="31"/>
      <c r="I4" s="21"/>
      <c r="J4" s="21"/>
      <c r="K4" s="21"/>
      <c r="L4" s="21"/>
      <c r="M4" s="21"/>
      <c r="N4" s="21"/>
      <c r="O4" s="21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8">
        <v>1000.0</v>
      </c>
      <c r="B5" s="18">
        <v>1.0</v>
      </c>
      <c r="C5" s="18">
        <v>2.0</v>
      </c>
      <c r="D5" s="30" t="str">
        <f>(MAX('F Mean'!$D5:$H5) - 'F Mean'!D5)/MAX('F Mean'!$D5:$H5)</f>
        <v>0.1786%</v>
      </c>
      <c r="E5" s="30" t="str">
        <f>(MAX('F Mean'!$D5:$H5) - 'F Mean'!E5)/MAX('F Mean'!$D5:$H5)</f>
        <v>0.0000%</v>
      </c>
      <c r="F5" s="31"/>
      <c r="G5" s="31"/>
      <c r="H5" s="31"/>
      <c r="I5" s="21"/>
      <c r="J5" s="21"/>
      <c r="K5" s="21"/>
      <c r="L5" s="21"/>
      <c r="M5" s="21"/>
      <c r="N5" s="21"/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8">
        <v>1000.0</v>
      </c>
      <c r="B6" s="18">
        <v>1.0</v>
      </c>
      <c r="C6" s="18">
        <v>3.0</v>
      </c>
      <c r="D6" s="30" t="str">
        <f>(MAX('F Mean'!$D6:$H6) - 'F Mean'!D6)/MAX('F Mean'!$D6:$H6)</f>
        <v>0.1865%</v>
      </c>
      <c r="E6" s="30" t="str">
        <f>(MAX('F Mean'!$D6:$H6) - 'F Mean'!E6)/MAX('F Mean'!$D6:$H6)</f>
        <v>0.0000%</v>
      </c>
      <c r="F6" s="31"/>
      <c r="G6" s="31"/>
      <c r="H6" s="31"/>
      <c r="I6" s="21"/>
      <c r="J6" s="21"/>
      <c r="K6" s="21"/>
      <c r="L6" s="21"/>
      <c r="M6" s="21"/>
      <c r="N6" s="21"/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8">
        <v>1000.0</v>
      </c>
      <c r="B7" s="18">
        <v>1.0</v>
      </c>
      <c r="C7" s="18">
        <v>4.0</v>
      </c>
      <c r="D7" s="30" t="str">
        <f>(MAX('F Mean'!$D7:$H7) - 'F Mean'!D7)/MAX('F Mean'!$D7:$H7)</f>
        <v>0.0867%</v>
      </c>
      <c r="E7" s="30" t="str">
        <f>(MAX('F Mean'!$D7:$H7) - 'F Mean'!E7)/MAX('F Mean'!$D7:$H7)</f>
        <v>0.0000%</v>
      </c>
      <c r="F7" s="31"/>
      <c r="G7" s="31"/>
      <c r="H7" s="31"/>
      <c r="I7" s="21"/>
      <c r="J7" s="21"/>
      <c r="K7" s="21"/>
      <c r="L7" s="21"/>
      <c r="M7" s="21"/>
      <c r="N7" s="21"/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2">
        <v>1000.0</v>
      </c>
      <c r="B8" s="22">
        <v>1.0</v>
      </c>
      <c r="C8" s="22">
        <v>5.0</v>
      </c>
      <c r="D8" s="30" t="str">
        <f>(MAX('F Mean'!$D8:$H8) - 'F Mean'!D8)/MAX('F Mean'!$D8:$H8)</f>
        <v>0.1666%</v>
      </c>
      <c r="E8" s="30" t="str">
        <f>(MAX('F Mean'!$D8:$H8) - 'F Mean'!E8)/MAX('F Mean'!$D8:$H8)</f>
        <v>0.0000%</v>
      </c>
      <c r="F8" s="31"/>
      <c r="G8" s="31"/>
      <c r="H8" s="31"/>
      <c r="I8" s="21"/>
      <c r="J8" s="21"/>
      <c r="K8" s="21"/>
      <c r="L8" s="21"/>
      <c r="M8" s="21"/>
      <c r="N8" s="21"/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8">
        <v>1000.0</v>
      </c>
      <c r="B9" s="18">
        <v>5.0</v>
      </c>
      <c r="C9" s="18">
        <v>1.0</v>
      </c>
      <c r="D9" s="32" t="str">
        <f>(MAX('F Mean'!$D9:$H9) - 'F Mean'!D9)/MAX('F Mean'!$D9:$H9)</f>
        <v>0.1340%</v>
      </c>
      <c r="E9" s="32" t="str">
        <f>(MAX('F Mean'!$D9:$H9) - 'F Mean'!E9)/MAX('F Mean'!$D9:$H9)</f>
        <v>0.0000%</v>
      </c>
      <c r="F9" s="31"/>
      <c r="G9" s="31"/>
      <c r="H9" s="31"/>
      <c r="I9" s="21"/>
      <c r="J9" s="21"/>
      <c r="K9" s="21"/>
      <c r="L9" s="21"/>
      <c r="M9" s="21"/>
      <c r="N9" s="21"/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25">
        <v>1000.0</v>
      </c>
      <c r="B10" s="25">
        <v>5.0</v>
      </c>
      <c r="C10" s="25">
        <v>2.0</v>
      </c>
      <c r="D10" s="32" t="str">
        <f>(MAX('F Mean'!$D10:$H10) - 'F Mean'!D10)/MAX('F Mean'!$D10:$H10)</f>
        <v>0.1663%</v>
      </c>
      <c r="E10" s="32" t="str">
        <f>(MAX('F Mean'!$D10:$H10) - 'F Mean'!E10)/MAX('F Mean'!$D10:$H10)</f>
        <v>0.0000%</v>
      </c>
      <c r="F10" s="31"/>
      <c r="G10" s="31"/>
      <c r="H10" s="31"/>
      <c r="I10" s="21"/>
      <c r="J10" s="21"/>
      <c r="K10" s="21"/>
      <c r="L10" s="21"/>
      <c r="M10" s="21"/>
      <c r="N10" s="21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8">
        <v>1000.0</v>
      </c>
      <c r="B11" s="18">
        <v>5.0</v>
      </c>
      <c r="C11" s="18">
        <v>3.0</v>
      </c>
      <c r="D11" s="32" t="str">
        <f>(MAX('F Mean'!$D11:$H11) - 'F Mean'!D11)/MAX('F Mean'!$D11:$H11)</f>
        <v>0.2068%</v>
      </c>
      <c r="E11" s="32" t="str">
        <f>(MAX('F Mean'!$D11:$H11) - 'F Mean'!E11)/MAX('F Mean'!$D11:$H11)</f>
        <v>0.0000%</v>
      </c>
      <c r="F11" s="31"/>
      <c r="G11" s="31"/>
      <c r="H11" s="31"/>
      <c r="I11" s="21"/>
      <c r="J11" s="21"/>
      <c r="K11" s="21"/>
      <c r="L11" s="21"/>
      <c r="M11" s="21"/>
      <c r="N11" s="21"/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8">
        <v>1000.0</v>
      </c>
      <c r="B12" s="18">
        <v>5.0</v>
      </c>
      <c r="C12" s="18">
        <v>4.0</v>
      </c>
      <c r="D12" s="32" t="str">
        <f>(MAX('F Mean'!$D12:$H12) - 'F Mean'!D12)/MAX('F Mean'!$D12:$H12)</f>
        <v>0.1547%</v>
      </c>
      <c r="E12" s="32" t="str">
        <f>(MAX('F Mean'!$D12:$H12) - 'F Mean'!E12)/MAX('F Mean'!$D12:$H12)</f>
        <v>0.0000%</v>
      </c>
      <c r="F12" s="31"/>
      <c r="G12" s="31"/>
      <c r="H12" s="31"/>
      <c r="I12" s="21"/>
      <c r="J12" s="21"/>
      <c r="K12" s="21"/>
      <c r="L12" s="21"/>
      <c r="M12" s="21"/>
      <c r="N12" s="21"/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8">
        <v>1000.0</v>
      </c>
      <c r="B13" s="18">
        <v>5.0</v>
      </c>
      <c r="C13" s="18">
        <v>5.0</v>
      </c>
      <c r="D13" s="32" t="str">
        <f>(MAX('F Mean'!$D13:$H13) - 'F Mean'!D13)/MAX('F Mean'!$D13:$H13)</f>
        <v>0.2412%</v>
      </c>
      <c r="E13" s="32" t="str">
        <f>(MAX('F Mean'!$D13:$H13) - 'F Mean'!E13)/MAX('F Mean'!$D13:$H13)</f>
        <v>0.0000%</v>
      </c>
      <c r="F13" s="31"/>
      <c r="G13" s="31"/>
      <c r="H13" s="31"/>
      <c r="I13" s="21"/>
      <c r="J13" s="21"/>
      <c r="K13" s="21"/>
      <c r="L13" s="21"/>
      <c r="M13" s="21"/>
      <c r="N13" s="21"/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8">
        <v>1000.0</v>
      </c>
      <c r="B14" s="18">
        <v>10.0</v>
      </c>
      <c r="C14" s="18">
        <v>1.0</v>
      </c>
      <c r="D14" s="30" t="str">
        <f>(MAX('F Mean'!$D14:$H14) - 'F Mean'!D14)/MAX('F Mean'!$D14:$H14)</f>
        <v>0.1602%</v>
      </c>
      <c r="E14" s="30" t="str">
        <f>(MAX('F Mean'!$D14:$H14) - 'F Mean'!E14)/MAX('F Mean'!$D14:$H14)</f>
        <v>0.0000%</v>
      </c>
      <c r="F14" s="31"/>
      <c r="G14" s="31"/>
      <c r="H14" s="31"/>
      <c r="I14" s="21"/>
      <c r="J14" s="21"/>
      <c r="K14" s="21"/>
      <c r="L14" s="21"/>
      <c r="M14" s="21"/>
      <c r="N14" s="21"/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8">
        <v>1000.0</v>
      </c>
      <c r="B15" s="18">
        <v>10.0</v>
      </c>
      <c r="C15" s="18">
        <v>2.0</v>
      </c>
      <c r="D15" s="30" t="str">
        <f>(MAX('F Mean'!$D15:$H15) - 'F Mean'!D15)/MAX('F Mean'!$D15:$H15)</f>
        <v>0.1466%</v>
      </c>
      <c r="E15" s="30" t="str">
        <f>(MAX('F Mean'!$D15:$H15) - 'F Mean'!E15)/MAX('F Mean'!$D15:$H15)</f>
        <v>0.0000%</v>
      </c>
      <c r="F15" s="31"/>
      <c r="G15" s="31"/>
      <c r="H15" s="31"/>
      <c r="I15" s="21"/>
      <c r="J15" s="21"/>
      <c r="K15" s="21"/>
      <c r="L15" s="21"/>
      <c r="M15" s="21"/>
      <c r="N15" s="21"/>
      <c r="O15" s="21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8">
        <v>1000.0</v>
      </c>
      <c r="B16" s="18">
        <v>10.0</v>
      </c>
      <c r="C16" s="18">
        <v>3.0</v>
      </c>
      <c r="D16" s="30" t="str">
        <f>(MAX('F Mean'!$D16:$H16) - 'F Mean'!D16)/MAX('F Mean'!$D16:$H16)</f>
        <v>0.0000%</v>
      </c>
      <c r="E16" s="30" t="str">
        <f>(MAX('F Mean'!$D16:$H16) - 'F Mean'!E16)/MAX('F Mean'!$D16:$H16)</f>
        <v>0.5170%</v>
      </c>
      <c r="F16" s="31"/>
      <c r="G16" s="31"/>
      <c r="H16" s="31"/>
      <c r="I16" s="21"/>
      <c r="J16" s="21"/>
      <c r="K16" s="21"/>
      <c r="L16" s="21"/>
      <c r="M16" s="21"/>
      <c r="N16" s="21"/>
      <c r="O16" s="21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8">
        <v>1000.0</v>
      </c>
      <c r="B17" s="18">
        <v>10.0</v>
      </c>
      <c r="C17" s="18">
        <v>4.0</v>
      </c>
      <c r="D17" s="30" t="str">
        <f>(MAX('F Mean'!$D17:$H17) - 'F Mean'!D17)/MAX('F Mean'!$D17:$H17)</f>
        <v>0.1478%</v>
      </c>
      <c r="E17" s="30" t="str">
        <f>(MAX('F Mean'!$D17:$H17) - 'F Mean'!E17)/MAX('F Mean'!$D17:$H17)</f>
        <v>0.0000%</v>
      </c>
      <c r="F17" s="31"/>
      <c r="G17" s="31"/>
      <c r="H17" s="31"/>
      <c r="I17" s="21"/>
      <c r="J17" s="21"/>
      <c r="K17" s="21"/>
      <c r="L17" s="21"/>
      <c r="M17" s="21"/>
      <c r="N17" s="21"/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8">
        <v>1000.0</v>
      </c>
      <c r="B18" s="18">
        <v>10.0</v>
      </c>
      <c r="C18" s="18">
        <v>5.0</v>
      </c>
      <c r="D18" s="30" t="str">
        <f>(MAX('F Mean'!$D18:$H18) - 'F Mean'!D18)/MAX('F Mean'!$D18:$H18)</f>
        <v>0.0919%</v>
      </c>
      <c r="E18" s="30" t="str">
        <f>(MAX('F Mean'!$D18:$H18) - 'F Mean'!E18)/MAX('F Mean'!$D18:$H18)</f>
        <v>0.0000%</v>
      </c>
      <c r="F18" s="31"/>
      <c r="G18" s="31"/>
      <c r="H18" s="31"/>
      <c r="I18" s="2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1">
        <v>1000.0</v>
      </c>
      <c r="B19" s="11">
        <v>50.0</v>
      </c>
      <c r="C19" s="11">
        <v>1.0</v>
      </c>
      <c r="D19" s="32" t="str">
        <f>(MAX('F Mean'!$D19:$H19) - 'F Mean'!D19)/MAX('F Mean'!$D19:$H19)</f>
        <v>0.0632%</v>
      </c>
      <c r="E19" s="32" t="str">
        <f>(MAX('F Mean'!$D19:$H19) - 'F Mean'!E19)/MAX('F Mean'!$D19:$H19)</f>
        <v>0.0000%</v>
      </c>
      <c r="F19" s="31"/>
      <c r="G19" s="31"/>
      <c r="H19" s="31"/>
      <c r="I19" s="2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6">
        <v>1000.0</v>
      </c>
      <c r="B20" s="26">
        <v>50.0</v>
      </c>
      <c r="C20" s="26">
        <v>2.0</v>
      </c>
      <c r="D20" s="32" t="str">
        <f>(MAX('F Mean'!$D20:$H20) - 'F Mean'!D20)/MAX('F Mean'!$D20:$H20)</f>
        <v>0.1566%</v>
      </c>
      <c r="E20" s="32" t="str">
        <f>(MAX('F Mean'!$D20:$H20) - 'F Mean'!E20)/MAX('F Mean'!$D20:$H20)</f>
        <v>0.0000%</v>
      </c>
      <c r="F20" s="31"/>
      <c r="G20" s="31"/>
      <c r="H20" s="31"/>
      <c r="I20" s="21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26">
        <v>1000.0</v>
      </c>
      <c r="B21" s="26">
        <v>50.0</v>
      </c>
      <c r="C21" s="26">
        <v>3.0</v>
      </c>
      <c r="D21" s="32" t="str">
        <f>(MAX('F Mean'!$D21:$H21) - 'F Mean'!D21)/MAX('F Mean'!$D21:$H21)</f>
        <v>0.0529%</v>
      </c>
      <c r="E21" s="32" t="str">
        <f>(MAX('F Mean'!$D21:$H21) - 'F Mean'!E21)/MAX('F Mean'!$D21:$H21)</f>
        <v>0.0000%</v>
      </c>
      <c r="F21" s="31"/>
      <c r="G21" s="31"/>
      <c r="H21" s="31"/>
      <c r="I21" s="2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8">
        <v>1000.0</v>
      </c>
      <c r="B22" s="26">
        <v>50.0</v>
      </c>
      <c r="C22" s="26">
        <v>4.0</v>
      </c>
      <c r="D22" s="32" t="str">
        <f>(MAX('F Mean'!$D22:$H22) - 'F Mean'!D22)/MAX('F Mean'!$D22:$H22)</f>
        <v>0.0293%</v>
      </c>
      <c r="E22" s="32" t="str">
        <f>(MAX('F Mean'!$D22:$H22) - 'F Mean'!E22)/MAX('F Mean'!$D22:$H22)</f>
        <v>0.0000%</v>
      </c>
      <c r="F22" s="31"/>
      <c r="G22" s="31"/>
      <c r="H22" s="31"/>
      <c r="I22" s="2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6">
        <v>1000.0</v>
      </c>
      <c r="B23" s="26">
        <v>50.0</v>
      </c>
      <c r="C23" s="26">
        <v>5.0</v>
      </c>
      <c r="D23" s="32" t="str">
        <f>(MAX('F Mean'!$D23:$H23) - 'F Mean'!D23)/MAX('F Mean'!$D23:$H23)</f>
        <v>0.0812%</v>
      </c>
      <c r="E23" s="32" t="str">
        <f>(MAX('F Mean'!$D23:$H23) - 'F Mean'!E23)/MAX('F Mean'!$D23:$H23)</f>
        <v>0.0000%</v>
      </c>
      <c r="F23" s="31"/>
      <c r="G23" s="31"/>
      <c r="H23" s="31"/>
      <c r="I23" s="2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1">
        <v>1000.0</v>
      </c>
      <c r="B24" s="11">
        <v>100.0</v>
      </c>
      <c r="C24" s="11">
        <v>1.0</v>
      </c>
      <c r="D24" s="30" t="str">
        <f>(MAX('F Mean'!$D24:$H24) - 'F Mean'!D24)/MAX('F Mean'!$D24:$H24)</f>
        <v>0.0044%</v>
      </c>
      <c r="E24" s="30" t="str">
        <f>(MAX('F Mean'!$D24:$H24) - 'F Mean'!E24)/MAX('F Mean'!$D24:$H24)</f>
        <v>0.0000%</v>
      </c>
      <c r="F24" s="31"/>
      <c r="G24" s="31"/>
      <c r="H24" s="31"/>
      <c r="I24" s="21"/>
      <c r="J24" s="13"/>
      <c r="K24" s="13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8">
        <v>1000.0</v>
      </c>
      <c r="B25" s="27">
        <v>100.0</v>
      </c>
      <c r="C25" s="18">
        <v>2.0</v>
      </c>
      <c r="D25" s="30" t="str">
        <f>(MAX('F Mean'!$D25:$H25) - 'F Mean'!D25)/MAX('F Mean'!$D25:$H25)</f>
        <v>0.0032%</v>
      </c>
      <c r="E25" s="30" t="str">
        <f>(MAX('F Mean'!$D25:$H25) - 'F Mean'!E25)/MAX('F Mean'!$D25:$H25)</f>
        <v>0.0000%</v>
      </c>
      <c r="F25" s="31"/>
      <c r="G25" s="31"/>
      <c r="H25" s="31"/>
      <c r="I25" s="21"/>
      <c r="J25" s="28"/>
      <c r="K25" s="2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8">
        <v>1000.0</v>
      </c>
      <c r="B26" s="18">
        <v>100.0</v>
      </c>
      <c r="C26" s="18">
        <v>3.0</v>
      </c>
      <c r="D26" s="30" t="str">
        <f>(MAX('F Mean'!$D26:$H26) - 'F Mean'!D26)/MAX('F Mean'!$D26:$H26)</f>
        <v>0.0000%</v>
      </c>
      <c r="E26" s="30" t="str">
        <f>(MAX('F Mean'!$D26:$H26) - 'F Mean'!E26)/MAX('F Mean'!$D26:$H26)</f>
        <v>0.0012%</v>
      </c>
      <c r="F26" s="31"/>
      <c r="G26" s="31"/>
      <c r="H26" s="31"/>
      <c r="I26" s="21"/>
      <c r="J26" s="28"/>
      <c r="K26" s="28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8">
        <v>1000.0</v>
      </c>
      <c r="B27" s="18">
        <v>100.0</v>
      </c>
      <c r="C27" s="18">
        <v>4.0</v>
      </c>
      <c r="D27" s="30" t="str">
        <f>(MAX('F Mean'!$D27:$H27) - 'F Mean'!D27)/MAX('F Mean'!$D27:$H27)</f>
        <v>0.0000%</v>
      </c>
      <c r="E27" s="30" t="str">
        <f>(MAX('F Mean'!$D27:$H27) - 'F Mean'!E27)/MAX('F Mean'!$D27:$H27)</f>
        <v>0.0001%</v>
      </c>
      <c r="F27" s="31"/>
      <c r="G27" s="31"/>
      <c r="H27" s="31"/>
      <c r="I27" s="21"/>
      <c r="J27" s="28"/>
      <c r="K27" s="28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8">
        <v>1000.0</v>
      </c>
      <c r="B28" s="18">
        <v>100.0</v>
      </c>
      <c r="C28" s="18">
        <v>5.0</v>
      </c>
      <c r="D28" s="30" t="str">
        <f>(MAX('F Mean'!$D28:$H28) - 'F Mean'!D28)/MAX('F Mean'!$D28:$H28)</f>
        <v>0.0172%</v>
      </c>
      <c r="E28" s="30" t="str">
        <f>(MAX('F Mean'!$D28:$H28) - 'F Mean'!E28)/MAX('F Mean'!$D28:$H28)</f>
        <v>0.0000%</v>
      </c>
      <c r="F28" s="31"/>
      <c r="G28" s="31"/>
      <c r="H28" s="31"/>
      <c r="I28" s="21"/>
      <c r="J28" s="28"/>
      <c r="K28" s="28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28"/>
      <c r="B29" s="28"/>
      <c r="C29" s="28"/>
      <c r="D29" s="15"/>
      <c r="E29" s="13"/>
      <c r="F29" s="13"/>
      <c r="G29" s="13"/>
      <c r="H29" s="28"/>
      <c r="I29" s="28"/>
      <c r="J29" s="28"/>
      <c r="K29" s="28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3"/>
      <c r="B32" s="15"/>
      <c r="C32" s="15"/>
      <c r="D32" s="14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29"/>
      <c r="B33" s="29"/>
      <c r="C33" s="29"/>
      <c r="D33" s="14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33"/>
      <c r="E34" s="3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33"/>
      <c r="E35" s="33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33"/>
      <c r="E36" s="3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33"/>
      <c r="E37" s="33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33"/>
      <c r="E38" s="3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33"/>
      <c r="E39" s="33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33"/>
      <c r="E40" s="3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33"/>
      <c r="E41" s="33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33"/>
      <c r="E42" s="3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33"/>
      <c r="E43" s="33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15"/>
      <c r="D44" s="33"/>
      <c r="E44" s="3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15"/>
      <c r="D45" s="33"/>
      <c r="E45" s="33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15"/>
      <c r="D46" s="33"/>
      <c r="E46" s="33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15"/>
      <c r="D47" s="33"/>
      <c r="E47" s="33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15"/>
      <c r="D48" s="33"/>
      <c r="E48" s="33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15"/>
      <c r="D49" s="33"/>
      <c r="E49" s="33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15"/>
      <c r="D50" s="33"/>
      <c r="E50" s="33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33"/>
      <c r="E51" s="33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33"/>
      <c r="E52" s="33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33"/>
      <c r="E53" s="33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15"/>
      <c r="D54" s="33"/>
      <c r="E54" s="33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33"/>
      <c r="E55" s="33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33"/>
      <c r="E56" s="33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33"/>
      <c r="E57" s="33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33"/>
      <c r="E58" s="33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</sheetData>
  <conditionalFormatting sqref="D4:H28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  <col hidden="1" min="6" max="10"/>
    <col customWidth="1" min="11" max="11" width="30.29"/>
  </cols>
  <sheetData>
    <row r="1">
      <c r="C1" s="10" t="s">
        <v>19</v>
      </c>
      <c r="D1" s="11" t="str">
        <f>IFERROR(__xludf.DUMMYFUNCTION("TRANSPOSE(UNIQUE(Data!D2:E1000))"),"basic")</f>
        <v>basic</v>
      </c>
      <c r="E1" s="12" t="s">
        <v>17</v>
      </c>
      <c r="F1" s="13"/>
      <c r="G1" s="13"/>
      <c r="H1" s="13"/>
      <c r="I1" s="13"/>
      <c r="J1" s="13"/>
      <c r="K1" s="14" t="s">
        <v>29</v>
      </c>
      <c r="L1" s="13"/>
      <c r="M1" s="13"/>
      <c r="N1" s="13"/>
      <c r="O1" s="13"/>
      <c r="P1" s="13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C2" s="10" t="s">
        <v>20</v>
      </c>
      <c r="D2" s="11" t="s">
        <v>16</v>
      </c>
      <c r="E2" s="12" t="s">
        <v>16</v>
      </c>
      <c r="F2" s="13"/>
      <c r="G2" s="13"/>
      <c r="H2" s="13"/>
      <c r="I2" s="13"/>
      <c r="J2" s="13"/>
      <c r="K2" s="14" t="s">
        <v>10</v>
      </c>
      <c r="L2" s="13"/>
      <c r="M2" s="13"/>
      <c r="N2" s="13"/>
      <c r="O2" s="13"/>
      <c r="P2" s="13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0" t="s">
        <v>0</v>
      </c>
      <c r="B3" s="10" t="s">
        <v>1</v>
      </c>
      <c r="C3" s="10" t="s">
        <v>2</v>
      </c>
      <c r="D3" s="16"/>
      <c r="E3" s="16"/>
      <c r="F3" s="15"/>
      <c r="G3" s="15"/>
      <c r="H3" s="15"/>
      <c r="I3" s="14"/>
      <c r="J3" s="15"/>
      <c r="K3" s="14" t="s">
        <v>31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8" t="str">
        <f>IFERROR(__xludf.DUMMYFUNCTION("UNIQUE(Data!A2:C1000)"),"1000")</f>
        <v>1000</v>
      </c>
      <c r="B4" s="18">
        <v>1.0</v>
      </c>
      <c r="C4" s="18">
        <v>1.0</v>
      </c>
      <c r="D4" s="19" t="str">
        <f>IFERROR(__xludf.DUMMYFUNCTION("DMAX({{Data!$A$1:$M$1};filter(Data!$A$2:$M1000,Data!$A$2:$A1000=$A4 , Data!$B$2:$B1000 = $B4,Data!$C$2:$C1000 = $C4, Data!$D$2:$D1000 = D$1, Data!$E$2:$E1000 = D$2 )},$K$2  , $Q$22:$Q$23)"),"1056.644578")</f>
        <v>1056.644578</v>
      </c>
      <c r="E4" s="19" t="str">
        <f>IFERROR(__xludf.DUMMYFUNCTION("DMAX({{Data!$A$1:$M$1};filter(Data!$A$2:$M1000,Data!$A$2:$A1000=$A4 , Data!$B$2:$B1000 = $B4,Data!$C$2:$C1000 = $C4, Data!$D$2:$D1000 = E$1, Data!$E$2:$E1000 = E$2 )},$K$2  , $Q$22:$Q$23)"),"1079.683333")</f>
        <v>1079.683333</v>
      </c>
      <c r="F4" s="21"/>
      <c r="G4" s="21"/>
      <c r="H4" s="21"/>
      <c r="I4" s="21"/>
      <c r="J4" s="21"/>
      <c r="K4" s="31" t="str">
        <f t="shared" ref="K4:K28" si="1">(D4 - E4)/E4</f>
        <v>-2.1338%</v>
      </c>
      <c r="L4" s="21"/>
      <c r="M4" s="21"/>
      <c r="N4" s="21"/>
      <c r="O4" s="21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8">
        <v>1000.0</v>
      </c>
      <c r="B5" s="18">
        <v>1.0</v>
      </c>
      <c r="C5" s="18">
        <v>2.0</v>
      </c>
      <c r="D5" s="19" t="str">
        <f>IFERROR(__xludf.DUMMYFUNCTION("DMAX({{Data!$A$1:$M$1};filter(Data!$A$2:$M1000,Data!$A$2:$A1000=$A5 , Data!$B$2:$B1000 = $B5,Data!$C$2:$C1000 = $C5, Data!$D$2:$D1000 = D$1, Data!$E$2:$E1000 = D$2 )},$K$2  , $Q$22:$Q$23)"),"1060.917197")</f>
        <v>1060.917197</v>
      </c>
      <c r="E5" s="19" t="str">
        <f>IFERROR(__xludf.DUMMYFUNCTION("DMAX({{Data!$A$1:$M$1};filter(Data!$A$2:$M1000,Data!$A$2:$A1000=$A5 , Data!$B$2:$B1000 = $B5,Data!$C$2:$C1000 = $C5, Data!$D$2:$D1000 = E$1, Data!$E$2:$E1000 = E$2 )},$K$2  , $Q$22:$Q$23)"),"1082.484375")</f>
        <v>1082.484375</v>
      </c>
      <c r="F5" s="21"/>
      <c r="G5" s="21"/>
      <c r="H5" s="21"/>
      <c r="I5" s="21"/>
      <c r="J5" s="21"/>
      <c r="K5" s="31" t="str">
        <f t="shared" si="1"/>
        <v>-1.9924%</v>
      </c>
      <c r="L5" s="21"/>
      <c r="M5" s="21"/>
      <c r="N5" s="21"/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8">
        <v>1000.0</v>
      </c>
      <c r="B6" s="18">
        <v>1.0</v>
      </c>
      <c r="C6" s="18">
        <v>3.0</v>
      </c>
      <c r="D6" s="19" t="str">
        <f>IFERROR(__xludf.DUMMYFUNCTION("DMAX({{Data!$A$1:$M$1};filter(Data!$A$2:$M1000,Data!$A$2:$A1000=$A6 , Data!$B$2:$B1000 = $B6,Data!$C$2:$C1000 = $C6, Data!$D$2:$D1000 = D$1, Data!$E$2:$E1000 = D$2 )},$K$2  , $Q$22:$Q$23)"),"1049.617486")</f>
        <v>1049.617486</v>
      </c>
      <c r="E6" s="19" t="str">
        <f>IFERROR(__xludf.DUMMYFUNCTION("DMAX({{Data!$A$1:$M$1};filter(Data!$A$2:$M1000,Data!$A$2:$A1000=$A6 , Data!$B$2:$B1000 = $B6,Data!$C$2:$C1000 = $C6, Data!$D$2:$D1000 = E$1, Data!$E$2:$E1000 = E$2 )},$K$2  , $Q$22:$Q$23)"),"1069.069444")</f>
        <v>1069.069444</v>
      </c>
      <c r="F6" s="21"/>
      <c r="G6" s="21"/>
      <c r="H6" s="21"/>
      <c r="I6" s="21"/>
      <c r="J6" s="21"/>
      <c r="K6" s="31" t="str">
        <f t="shared" si="1"/>
        <v>-1.8195%</v>
      </c>
      <c r="L6" s="21"/>
      <c r="M6" s="21"/>
      <c r="N6" s="21"/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8">
        <v>1000.0</v>
      </c>
      <c r="B7" s="18">
        <v>1.0</v>
      </c>
      <c r="C7" s="18">
        <v>4.0</v>
      </c>
      <c r="D7" s="19" t="str">
        <f>IFERROR(__xludf.DUMMYFUNCTION("DMAX({{Data!$A$1:$M$1};filter(Data!$A$2:$M1000,Data!$A$2:$A1000=$A7 , Data!$B$2:$B1000 = $B7,Data!$C$2:$C1000 = $C7, Data!$D$2:$D1000 = D$1, Data!$E$2:$E1000 = D$2 )},$K$2  , $Q$22:$Q$23)"),"1067.747059")</f>
        <v>1067.747059</v>
      </c>
      <c r="E7" s="19" t="str">
        <f>IFERROR(__xludf.DUMMYFUNCTION("DMAX({{Data!$A$1:$M$1};filter(Data!$A$2:$M1000,Data!$A$2:$A1000=$A7 , Data!$B$2:$B1000 = $B7,Data!$C$2:$C1000 = $C7, Data!$D$2:$D1000 = E$1, Data!$E$2:$E1000 = E$2 )},$K$2  , $Q$22:$Q$23)"),"1081.625")</f>
        <v>1081.625</v>
      </c>
      <c r="F7" s="21"/>
      <c r="G7" s="21"/>
      <c r="H7" s="21"/>
      <c r="I7" s="21"/>
      <c r="J7" s="21"/>
      <c r="K7" s="31" t="str">
        <f t="shared" si="1"/>
        <v>-1.2831%</v>
      </c>
      <c r="L7" s="21"/>
      <c r="M7" s="21"/>
      <c r="N7" s="21"/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2">
        <v>1000.0</v>
      </c>
      <c r="B8" s="22">
        <v>1.0</v>
      </c>
      <c r="C8" s="22">
        <v>5.0</v>
      </c>
      <c r="D8" s="19" t="str">
        <f>IFERROR(__xludf.DUMMYFUNCTION("DMAX({{Data!$A$1:$M$1};filter(Data!$A$2:$M1000,Data!$A$2:$A1000=$A8 , Data!$B$2:$B1000 = $B8,Data!$C$2:$C1000 = $C8, Data!$D$2:$D1000 = D$1, Data!$E$2:$E1000 = D$2 )},$K$2  , $Q$22:$Q$23)"),"1062.204819")</f>
        <v>1062.204819</v>
      </c>
      <c r="E8" s="19" t="str">
        <f>IFERROR(__xludf.DUMMYFUNCTION("DMAX({{Data!$A$1:$M$1};filter(Data!$A$2:$M1000,Data!$A$2:$A1000=$A8 , Data!$B$2:$B1000 = $B8,Data!$C$2:$C1000 = $C8, Data!$D$2:$D1000 = E$1, Data!$E$2:$E1000 = E$2 )},$K$2  , $Q$22:$Q$23)"),"1077.69697")</f>
        <v>1077.69697</v>
      </c>
      <c r="F8" s="21"/>
      <c r="G8" s="21"/>
      <c r="H8" s="21"/>
      <c r="I8" s="21"/>
      <c r="J8" s="21"/>
      <c r="K8" s="31" t="str">
        <f t="shared" si="1"/>
        <v>-1.4375%</v>
      </c>
      <c r="L8" s="21"/>
      <c r="M8" s="21"/>
      <c r="N8" s="21"/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8">
        <v>1000.0</v>
      </c>
      <c r="B9" s="18">
        <v>5.0</v>
      </c>
      <c r="C9" s="18">
        <v>1.0</v>
      </c>
      <c r="D9" s="23" t="str">
        <f>IFERROR(__xludf.DUMMYFUNCTION("DMAX({{Data!$A$1:$M$1};filter(Data!$A$2:$M1000,Data!$A$2:$A1000=$A9 , Data!$B$2:$B1000 = $B9,Data!$C$2:$C1000 = $C9, Data!$D$2:$D1000 = D$1, Data!$E$2:$E1000 = D$2 )},$K$2  , $Q$22:$Q$23)"),"1783.169811")</f>
        <v>1783.169811</v>
      </c>
      <c r="E9" s="23" t="str">
        <f>IFERROR(__xludf.DUMMYFUNCTION("DMAX({{Data!$A$1:$M$1};filter(Data!$A$2:$M1000,Data!$A$2:$A1000=$A9 , Data!$B$2:$B1000 = $B9,Data!$C$2:$C1000 = $C9, Data!$D$2:$D1000 = E$1, Data!$E$2:$E1000 = E$2 )},$K$2  , $Q$22:$Q$23)"),"1854.037037")</f>
        <v>1854.037037</v>
      </c>
      <c r="F9" s="21"/>
      <c r="G9" s="21"/>
      <c r="H9" s="21"/>
      <c r="I9" s="21"/>
      <c r="J9" s="21"/>
      <c r="K9" s="31" t="str">
        <f t="shared" si="1"/>
        <v>-3.8223%</v>
      </c>
      <c r="L9" s="21"/>
      <c r="M9" s="21"/>
      <c r="N9" s="21"/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25">
        <v>1000.0</v>
      </c>
      <c r="B10" s="25">
        <v>5.0</v>
      </c>
      <c r="C10" s="25">
        <v>2.0</v>
      </c>
      <c r="D10" s="23" t="str">
        <f>IFERROR(__xludf.DUMMYFUNCTION("DMAX({{Data!$A$1:$M$1};filter(Data!$A$2:$M1000,Data!$A$2:$A1000=$A10 , Data!$B$2:$B1000 = $B10,Data!$C$2:$C1000 = $C10, Data!$D$2:$D1000 = D$1, Data!$E$2:$E1000 = D$2 )},$K$2  , $Q$22:$Q$23)"),"1792.207921")</f>
        <v>1792.207921</v>
      </c>
      <c r="E10" s="23" t="str">
        <f>IFERROR(__xludf.DUMMYFUNCTION("DMAX({{Data!$A$1:$M$1};filter(Data!$A$2:$M1000,Data!$A$2:$A1000=$A10 , Data!$B$2:$B1000 = $B10,Data!$C$2:$C1000 = $C10, Data!$D$2:$D1000 = E$1, Data!$E$2:$E1000 = E$2 )},$K$2  , $Q$22:$Q$23)"),"1864.961538")</f>
        <v>1864.961538</v>
      </c>
      <c r="F10" s="21"/>
      <c r="G10" s="21"/>
      <c r="H10" s="21"/>
      <c r="I10" s="21"/>
      <c r="J10" s="21"/>
      <c r="K10" s="31" t="str">
        <f t="shared" si="1"/>
        <v>-3.9011%</v>
      </c>
      <c r="L10" s="21"/>
      <c r="M10" s="21"/>
      <c r="N10" s="21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8">
        <v>1000.0</v>
      </c>
      <c r="B11" s="18">
        <v>5.0</v>
      </c>
      <c r="C11" s="18">
        <v>3.0</v>
      </c>
      <c r="D11" s="23" t="str">
        <f>IFERROR(__xludf.DUMMYFUNCTION("DMAX({{Data!$A$1:$M$1};filter(Data!$A$2:$M1000,Data!$A$2:$A1000=$A11 , Data!$B$2:$B1000 = $B11,Data!$C$2:$C1000 = $C11, Data!$D$2:$D1000 = D$1, Data!$E$2:$E1000 = D$2 )},$K$2  , $Q$22:$Q$23)"),"1771.151515")</f>
        <v>1771.151515</v>
      </c>
      <c r="E11" s="23" t="str">
        <f>IFERROR(__xludf.DUMMYFUNCTION("DMAX({{Data!$A$1:$M$1};filter(Data!$A$2:$M1000,Data!$A$2:$A1000=$A11 , Data!$B$2:$B1000 = $B11,Data!$C$2:$C1000 = $C11, Data!$D$2:$D1000 = E$1, Data!$E$2:$E1000 = E$2 )},$K$2  , $Q$22:$Q$23)"),"1858.64")</f>
        <v>1858.64</v>
      </c>
      <c r="F11" s="21"/>
      <c r="G11" s="21"/>
      <c r="H11" s="21"/>
      <c r="I11" s="21"/>
      <c r="J11" s="21"/>
      <c r="K11" s="31" t="str">
        <f t="shared" si="1"/>
        <v>-4.7071%</v>
      </c>
      <c r="L11" s="21"/>
      <c r="M11" s="21"/>
      <c r="N11" s="21"/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8">
        <v>1000.0</v>
      </c>
      <c r="B12" s="18">
        <v>5.0</v>
      </c>
      <c r="C12" s="18">
        <v>4.0</v>
      </c>
      <c r="D12" s="23" t="str">
        <f>IFERROR(__xludf.DUMMYFUNCTION("DMAX({{Data!$A$1:$M$1};filter(Data!$A$2:$M1000,Data!$A$2:$A1000=$A12 , Data!$B$2:$B1000 = $B12,Data!$C$2:$C1000 = $C12, Data!$D$2:$D1000 = D$1, Data!$E$2:$E1000 = D$2 )},$K$2  , $Q$22:$Q$23)"),"1773.490909")</f>
        <v>1773.490909</v>
      </c>
      <c r="E12" s="23" t="str">
        <f>IFERROR(__xludf.DUMMYFUNCTION("DMAX({{Data!$A$1:$M$1};filter(Data!$A$2:$M1000,Data!$A$2:$A1000=$A12 , Data!$B$2:$B1000 = $B12,Data!$C$2:$C1000 = $C12, Data!$D$2:$D1000 = E$1, Data!$E$2:$E1000 = E$2 )},$K$2  , $Q$22:$Q$23)"),"1836.814815")</f>
        <v>1836.814815</v>
      </c>
      <c r="F12" s="21"/>
      <c r="G12" s="21"/>
      <c r="H12" s="21"/>
      <c r="I12" s="21"/>
      <c r="J12" s="21"/>
      <c r="K12" s="31" t="str">
        <f t="shared" si="1"/>
        <v>-3.4475%</v>
      </c>
      <c r="L12" s="21"/>
      <c r="M12" s="21"/>
      <c r="N12" s="21"/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8">
        <v>1000.0</v>
      </c>
      <c r="B13" s="18">
        <v>5.0</v>
      </c>
      <c r="C13" s="18">
        <v>5.0</v>
      </c>
      <c r="D13" s="23" t="str">
        <f>IFERROR(__xludf.DUMMYFUNCTION("DMAX({{Data!$A$1:$M$1};filter(Data!$A$2:$M1000,Data!$A$2:$A1000=$A13 , Data!$B$2:$B1000 = $B13,Data!$C$2:$C1000 = $C13, Data!$D$2:$D1000 = D$1, Data!$E$2:$E1000 = D$2 )},$K$2  , $Q$22:$Q$23)"),"1776.174757")</f>
        <v>1776.174757</v>
      </c>
      <c r="E13" s="23" t="str">
        <f>IFERROR(__xludf.DUMMYFUNCTION("DMAX({{Data!$A$1:$M$1};filter(Data!$A$2:$M1000,Data!$A$2:$A1000=$A13 , Data!$B$2:$B1000 = $B13,Data!$C$2:$C1000 = $C13, Data!$D$2:$D1000 = E$1, Data!$E$2:$E1000 = E$2 )},$K$2  , $Q$22:$Q$23)"),"1848.103448")</f>
        <v>1848.103448</v>
      </c>
      <c r="F13" s="21"/>
      <c r="G13" s="21"/>
      <c r="H13" s="21"/>
      <c r="I13" s="21"/>
      <c r="J13" s="21"/>
      <c r="K13" s="31" t="str">
        <f t="shared" si="1"/>
        <v>-3.8920%</v>
      </c>
      <c r="L13" s="21"/>
      <c r="M13" s="21"/>
      <c r="N13" s="21"/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8">
        <v>1000.0</v>
      </c>
      <c r="B14" s="18">
        <v>10.0</v>
      </c>
      <c r="C14" s="18">
        <v>1.0</v>
      </c>
      <c r="D14" s="19" t="str">
        <f>IFERROR(__xludf.DUMMYFUNCTION("DMAX({{Data!$A$1:$M$1};filter(Data!$A$2:$M1000,Data!$A$2:$A1000=$A14 , Data!$B$2:$B1000 = $B14,Data!$C$2:$C1000 = $C14, Data!$D$2:$D1000 = D$1, Data!$E$2:$E1000 = D$2 )},$K$2  , $Q$22:$Q$23)"),"2112.347826")</f>
        <v>2112.347826</v>
      </c>
      <c r="E14" s="19" t="str">
        <f>IFERROR(__xludf.DUMMYFUNCTION("DMAX({{Data!$A$1:$M$1};filter(Data!$A$2:$M1000,Data!$A$2:$A1000=$A14 , Data!$B$2:$B1000 = $B14,Data!$C$2:$C1000 = $C14, Data!$D$2:$D1000 = E$1, Data!$E$2:$E1000 = E$2 )},$K$2  , $Q$22:$Q$23)"),"2233.85")</f>
        <v>2233.85</v>
      </c>
      <c r="F14" s="21"/>
      <c r="G14" s="21"/>
      <c r="H14" s="21"/>
      <c r="I14" s="21"/>
      <c r="J14" s="21"/>
      <c r="K14" s="31" t="str">
        <f t="shared" si="1"/>
        <v>-5.4391%</v>
      </c>
      <c r="L14" s="21"/>
      <c r="M14" s="21"/>
      <c r="N14" s="21"/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8">
        <v>1000.0</v>
      </c>
      <c r="B15" s="18">
        <v>10.0</v>
      </c>
      <c r="C15" s="18">
        <v>2.0</v>
      </c>
      <c r="D15" s="19" t="str">
        <f>IFERROR(__xludf.DUMMYFUNCTION("DMAX({{Data!$A$1:$M$1};filter(Data!$A$2:$M1000,Data!$A$2:$A1000=$A15 , Data!$B$2:$B1000 = $B15,Data!$C$2:$C1000 = $C15, Data!$D$2:$D1000 = D$1, Data!$E$2:$E1000 = D$2 )},$K$2  , $Q$22:$Q$23)"),"2115.690476")</f>
        <v>2115.690476</v>
      </c>
      <c r="E15" s="19" t="str">
        <f>IFERROR(__xludf.DUMMYFUNCTION("DMAX({{Data!$A$1:$M$1};filter(Data!$A$2:$M1000,Data!$A$2:$A1000=$A15 , Data!$B$2:$B1000 = $B15,Data!$C$2:$C1000 = $C15, Data!$D$2:$D1000 = E$1, Data!$E$2:$E1000 = E$2 )},$K$2  , $Q$22:$Q$23)"),"2208.947368")</f>
        <v>2208.947368</v>
      </c>
      <c r="F15" s="21"/>
      <c r="G15" s="21"/>
      <c r="H15" s="21"/>
      <c r="I15" s="21"/>
      <c r="J15" s="21"/>
      <c r="K15" s="31" t="str">
        <f t="shared" si="1"/>
        <v>-4.2218%</v>
      </c>
      <c r="L15" s="21"/>
      <c r="M15" s="21"/>
      <c r="N15" s="21"/>
      <c r="O15" s="21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8">
        <v>1000.0</v>
      </c>
      <c r="B16" s="18">
        <v>10.0</v>
      </c>
      <c r="C16" s="18">
        <v>3.0</v>
      </c>
      <c r="D16" s="19" t="str">
        <f>IFERROR(__xludf.DUMMYFUNCTION("DMAX({{Data!$A$1:$M$1};filter(Data!$A$2:$M1000,Data!$A$2:$A1000=$A16 , Data!$B$2:$B1000 = $B16,Data!$C$2:$C1000 = $C16, Data!$D$2:$D1000 = D$1, Data!$E$2:$E1000 = D$2 )},$K$2  , $Q$22:$Q$23)"),"2105.358209")</f>
        <v>2105.358209</v>
      </c>
      <c r="E16" s="19" t="str">
        <f>IFERROR(__xludf.DUMMYFUNCTION("DMAX({{Data!$A$1:$M$1};filter(Data!$A$2:$M1000,Data!$A$2:$A1000=$A16 , Data!$B$2:$B1000 = $B16,Data!$C$2:$C1000 = $C16, Data!$D$2:$D1000 = E$1, Data!$E$2:$E1000 = E$2 )},$K$2  , $Q$22:$Q$23)"),"2119.705882")</f>
        <v>2119.705882</v>
      </c>
      <c r="F16" s="21"/>
      <c r="G16" s="21"/>
      <c r="H16" s="21"/>
      <c r="I16" s="21"/>
      <c r="J16" s="21"/>
      <c r="K16" s="31" t="str">
        <f t="shared" si="1"/>
        <v>-0.6769%</v>
      </c>
      <c r="L16" s="21"/>
      <c r="M16" s="21"/>
      <c r="N16" s="21"/>
      <c r="O16" s="21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8">
        <v>1000.0</v>
      </c>
      <c r="B17" s="18">
        <v>10.0</v>
      </c>
      <c r="C17" s="18">
        <v>4.0</v>
      </c>
      <c r="D17" s="19" t="str">
        <f>IFERROR(__xludf.DUMMYFUNCTION("DMAX({{Data!$A$1:$M$1};filter(Data!$A$2:$M1000,Data!$A$2:$A1000=$A17 , Data!$B$2:$B1000 = $B17,Data!$C$2:$C1000 = $C17, Data!$D$2:$D1000 = D$1, Data!$E$2:$E1000 = D$2 )},$K$2  , $Q$22:$Q$23)"),"2125.921875")</f>
        <v>2125.921875</v>
      </c>
      <c r="E17" s="19" t="str">
        <f>IFERROR(__xludf.DUMMYFUNCTION("DMAX({{Data!$A$1:$M$1};filter(Data!$A$2:$M1000,Data!$A$2:$A1000=$A17 , Data!$B$2:$B1000 = $B17,Data!$C$2:$C1000 = $C17, Data!$D$2:$D1000 = E$1, Data!$E$2:$E1000 = E$2 )},$K$2  , $Q$22:$Q$23)"),"2251.764706")</f>
        <v>2251.764706</v>
      </c>
      <c r="F17" s="21"/>
      <c r="G17" s="21"/>
      <c r="H17" s="21"/>
      <c r="I17" s="21"/>
      <c r="J17" s="21"/>
      <c r="K17" s="31" t="str">
        <f t="shared" si="1"/>
        <v>-5.5886%</v>
      </c>
      <c r="L17" s="21"/>
      <c r="M17" s="21"/>
      <c r="N17" s="21"/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8">
        <v>1000.0</v>
      </c>
      <c r="B18" s="18">
        <v>10.0</v>
      </c>
      <c r="C18" s="18">
        <v>5.0</v>
      </c>
      <c r="D18" s="19" t="str">
        <f>IFERROR(__xludf.DUMMYFUNCTION("DMAX({{Data!$A$1:$M$1};filter(Data!$A$2:$M1000,Data!$A$2:$A1000=$A18 , Data!$B$2:$B1000 = $B18,Data!$C$2:$C1000 = $C18, Data!$D$2:$D1000 = D$1, Data!$E$2:$E1000 = D$2 )},$K$2  , $Q$22:$Q$23)"),"2119.87013")</f>
        <v>2119.87013</v>
      </c>
      <c r="E18" s="19" t="str">
        <f>IFERROR(__xludf.DUMMYFUNCTION("DMAX({{Data!$A$1:$M$1};filter(Data!$A$2:$M1000,Data!$A$2:$A1000=$A18 , Data!$B$2:$B1000 = $B18,Data!$C$2:$C1000 = $C18, Data!$D$2:$D1000 = E$1, Data!$E$2:$E1000 = E$2 )},$K$2  , $Q$22:$Q$23)"),"2194.111111")</f>
        <v>2194.111111</v>
      </c>
      <c r="F18" s="21"/>
      <c r="G18" s="21"/>
      <c r="H18" s="21"/>
      <c r="I18" s="21"/>
      <c r="J18" s="15"/>
      <c r="K18" s="31" t="str">
        <f t="shared" si="1"/>
        <v>-3.3836%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1">
        <v>1000.0</v>
      </c>
      <c r="B19" s="11">
        <v>50.0</v>
      </c>
      <c r="C19" s="11">
        <v>1.0</v>
      </c>
      <c r="D19" s="23" t="str">
        <f>IFERROR(__xludf.DUMMYFUNCTION("DMAX({{Data!$A$1:$M$1};filter(Data!$A$2:$M1000,Data!$A$2:$A1000=$A19 , Data!$B$2:$B1000 = $B19,Data!$C$2:$C1000 = $C19, Data!$D$2:$D1000 = D$1, Data!$E$2:$E1000 = D$2 )},$K$2  , $Q$22:$Q$23)"),"2989.74")</f>
        <v>2989.74</v>
      </c>
      <c r="E19" s="23" t="str">
        <f>IFERROR(__xludf.DUMMYFUNCTION("DMAX({{Data!$A$1:$M$1};filter(Data!$A$2:$M1000,Data!$A$2:$A1000=$A19 , Data!$B$2:$B1000 = $B19,Data!$C$2:$C1000 = $C19, Data!$D$2:$D1000 = E$1, Data!$E$2:$E1000 = E$2 )},$K$2  , $Q$22:$Q$23)"),"3057.333333")</f>
        <v>3057.333333</v>
      </c>
      <c r="F19" s="21"/>
      <c r="G19" s="21"/>
      <c r="H19" s="21"/>
      <c r="I19" s="21"/>
      <c r="J19" s="15"/>
      <c r="K19" s="31" t="str">
        <f t="shared" si="1"/>
        <v>-2.2109%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6">
        <v>1000.0</v>
      </c>
      <c r="B20" s="26">
        <v>50.0</v>
      </c>
      <c r="C20" s="26">
        <v>2.0</v>
      </c>
      <c r="D20" s="23" t="str">
        <f>IFERROR(__xludf.DUMMYFUNCTION("DMAX({{Data!$A$1:$M$1};filter(Data!$A$2:$M1000,Data!$A$2:$A1000=$A20 , Data!$B$2:$B1000 = $B20,Data!$C$2:$C1000 = $C20, Data!$D$2:$D1000 = D$1, Data!$E$2:$E1000 = D$2 )},$K$2  , $Q$22:$Q$23)"),"2953.230769")</f>
        <v>2953.230769</v>
      </c>
      <c r="E20" s="23" t="str">
        <f>IFERROR(__xludf.DUMMYFUNCTION("DMAX({{Data!$A$1:$M$1};filter(Data!$A$2:$M1000,Data!$A$2:$A1000=$A20 , Data!$B$2:$B1000 = $B20,Data!$C$2:$C1000 = $C20, Data!$D$2:$D1000 = E$1, Data!$E$2:$E1000 = E$2 )},$K$2  , $Q$22:$Q$23)"),"3149.4")</f>
        <v>3149.4</v>
      </c>
      <c r="F20" s="21"/>
      <c r="G20" s="21"/>
      <c r="H20" s="21"/>
      <c r="I20" s="21"/>
      <c r="J20" s="15"/>
      <c r="K20" s="31" t="str">
        <f t="shared" si="1"/>
        <v>-6.2288%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26">
        <v>1000.0</v>
      </c>
      <c r="B21" s="26">
        <v>50.0</v>
      </c>
      <c r="C21" s="26">
        <v>3.0</v>
      </c>
      <c r="D21" s="23" t="str">
        <f>IFERROR(__xludf.DUMMYFUNCTION("DMAX({{Data!$A$1:$M$1};filter(Data!$A$2:$M1000,Data!$A$2:$A1000=$A21 , Data!$B$2:$B1000 = $B21,Data!$C$2:$C1000 = $C21, Data!$D$2:$D1000 = D$1, Data!$E$2:$E1000 = D$2 )},$K$2  , $Q$22:$Q$23)"),"2985.686275")</f>
        <v>2985.686275</v>
      </c>
      <c r="E21" s="23" t="str">
        <f>IFERROR(__xludf.DUMMYFUNCTION("DMAX({{Data!$A$1:$M$1};filter(Data!$A$2:$M1000,Data!$A$2:$A1000=$A21 , Data!$B$2:$B1000 = $B21,Data!$C$2:$C1000 = $C21, Data!$D$2:$D1000 = E$1, Data!$E$2:$E1000 = E$2 )},$K$2  , $Q$22:$Q$23)"),"3145.7")</f>
        <v>3145.7</v>
      </c>
      <c r="F21" s="21"/>
      <c r="G21" s="21"/>
      <c r="H21" s="21"/>
      <c r="I21" s="21"/>
      <c r="J21" s="15"/>
      <c r="K21" s="31" t="str">
        <f t="shared" si="1"/>
        <v>-5.0867%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8">
        <v>1000.0</v>
      </c>
      <c r="B22" s="26">
        <v>50.0</v>
      </c>
      <c r="C22" s="26">
        <v>4.0</v>
      </c>
      <c r="D22" s="23" t="str">
        <f>IFERROR(__xludf.DUMMYFUNCTION("DMAX({{Data!$A$1:$M$1};filter(Data!$A$2:$M1000,Data!$A$2:$A1000=$A22 , Data!$B$2:$B1000 = $B22,Data!$C$2:$C1000 = $C22, Data!$D$2:$D1000 = D$1, Data!$E$2:$E1000 = D$2 )},$K$2  , $Q$22:$Q$23)"),"3027.54")</f>
        <v>3027.54</v>
      </c>
      <c r="E22" s="23" t="str">
        <f>IFERROR(__xludf.DUMMYFUNCTION("DMAX({{Data!$A$1:$M$1};filter(Data!$A$2:$M1000,Data!$A$2:$A1000=$A22 , Data!$B$2:$B1000 = $B22,Data!$C$2:$C1000 = $C22, Data!$D$2:$D1000 = E$1, Data!$E$2:$E1000 = E$2 )},$K$2  , $Q$22:$Q$23)"),"3042.3")</f>
        <v>3042.3</v>
      </c>
      <c r="F22" s="21"/>
      <c r="G22" s="21"/>
      <c r="H22" s="21"/>
      <c r="I22" s="21"/>
      <c r="J22" s="15"/>
      <c r="K22" s="31" t="str">
        <f t="shared" si="1"/>
        <v>-0.4852%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6">
        <v>1000.0</v>
      </c>
      <c r="B23" s="26">
        <v>50.0</v>
      </c>
      <c r="C23" s="26">
        <v>5.0</v>
      </c>
      <c r="D23" s="23" t="str">
        <f>IFERROR(__xludf.DUMMYFUNCTION("DMAX({{Data!$A$1:$M$1};filter(Data!$A$2:$M1000,Data!$A$2:$A1000=$A23 , Data!$B$2:$B1000 = $B23,Data!$C$2:$C1000 = $C23, Data!$D$2:$D1000 = D$1, Data!$E$2:$E1000 = D$2 )},$K$2  , $Q$22:$Q$23)"),"2932.235294")</f>
        <v>2932.235294</v>
      </c>
      <c r="E23" s="23" t="str">
        <f>IFERROR(__xludf.DUMMYFUNCTION("DMAX({{Data!$A$1:$M$1};filter(Data!$A$2:$M1000,Data!$A$2:$A1000=$A23 , Data!$B$2:$B1000 = $B23,Data!$C$2:$C1000 = $C23, Data!$D$2:$D1000 = E$1, Data!$E$2:$E1000 = E$2 )},$K$2  , $Q$22:$Q$23)"),"3159.375")</f>
        <v>3159.375</v>
      </c>
      <c r="F23" s="21"/>
      <c r="G23" s="21"/>
      <c r="H23" s="21"/>
      <c r="I23" s="21"/>
      <c r="J23" s="15"/>
      <c r="K23" s="31" t="str">
        <f t="shared" si="1"/>
        <v>-7.1894%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1">
        <v>1000.0</v>
      </c>
      <c r="B24" s="11">
        <v>100.0</v>
      </c>
      <c r="C24" s="11">
        <v>1.0</v>
      </c>
      <c r="D24" s="19" t="str">
        <f>IFERROR(__xludf.DUMMYFUNCTION("DMAX({{Data!$A$1:$M$1};filter(Data!$A$2:$M1000,Data!$A$2:$A1000=$A24 , Data!$B$2:$B1000 = $B24,Data!$C$2:$C1000 = $C24, Data!$D$2:$D1000 = D$1, Data!$E$2:$E1000 = D$2 )},$K$2  , $Q$22:$Q$23)"),"3378.175")</f>
        <v>3378.175</v>
      </c>
      <c r="E24" s="19" t="str">
        <f>IFERROR(__xludf.DUMMYFUNCTION("DMAX({{Data!$A$1:$M$1};filter(Data!$A$2:$M1000,Data!$A$2:$A1000=$A24 , Data!$B$2:$B1000 = $B24,Data!$C$2:$C1000 = $C24, Data!$D$2:$D1000 = E$1, Data!$E$2:$E1000 = E$2 )},$K$2  , $Q$22:$Q$23)"),"3550.166667")</f>
        <v>3550.166667</v>
      </c>
      <c r="F24" s="21"/>
      <c r="G24" s="21"/>
      <c r="H24" s="21"/>
      <c r="I24" s="21"/>
      <c r="J24" s="13"/>
      <c r="K24" s="31" t="str">
        <f t="shared" si="1"/>
        <v>-4.8446%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8">
        <v>1000.0</v>
      </c>
      <c r="B25" s="27">
        <v>100.0</v>
      </c>
      <c r="C25" s="18">
        <v>2.0</v>
      </c>
      <c r="D25" s="19" t="str">
        <f>IFERROR(__xludf.DUMMYFUNCTION("DMAX({{Data!$A$1:$M$1};filter(Data!$A$2:$M1000,Data!$A$2:$A1000=$A25 , Data!$B$2:$B1000 = $B25,Data!$C$2:$C1000 = $C25, Data!$D$2:$D1000 = D$1, Data!$E$2:$E1000 = D$2 )},$K$2  , $Q$22:$Q$23)"),"3383.102564")</f>
        <v>3383.102564</v>
      </c>
      <c r="E25" s="19" t="str">
        <f>IFERROR(__xludf.DUMMYFUNCTION("DMAX({{Data!$A$1:$M$1};filter(Data!$A$2:$M1000,Data!$A$2:$A1000=$A25 , Data!$B$2:$B1000 = $B25,Data!$C$2:$C1000 = $C25, Data!$D$2:$D1000 = E$1, Data!$E$2:$E1000 = E$2 )},$K$2  , $Q$22:$Q$23)"),"3349.833333")</f>
        <v>3349.833333</v>
      </c>
      <c r="F25" s="21"/>
      <c r="G25" s="21"/>
      <c r="H25" s="21"/>
      <c r="I25" s="21"/>
      <c r="J25" s="28"/>
      <c r="K25" s="31" t="str">
        <f t="shared" si="1"/>
        <v>0.9932%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8">
        <v>1000.0</v>
      </c>
      <c r="B26" s="18">
        <v>100.0</v>
      </c>
      <c r="C26" s="18">
        <v>3.0</v>
      </c>
      <c r="D26" s="19" t="str">
        <f>IFERROR(__xludf.DUMMYFUNCTION("DMAX({{Data!$A$1:$M$1};filter(Data!$A$2:$M1000,Data!$A$2:$A1000=$A26 , Data!$B$2:$B1000 = $B26,Data!$C$2:$C1000 = $C26, Data!$D$2:$D1000 = D$1, Data!$E$2:$E1000 = D$2 )},$K$2  , $Q$22:$Q$23)"),"3446.725")</f>
        <v>3446.725</v>
      </c>
      <c r="E26" s="19" t="str">
        <f>IFERROR(__xludf.DUMMYFUNCTION("DMAX({{Data!$A$1:$M$1};filter(Data!$A$2:$M1000,Data!$A$2:$A1000=$A26 , Data!$B$2:$B1000 = $B26,Data!$C$2:$C1000 = $C26, Data!$D$2:$D1000 = E$1, Data!$E$2:$E1000 = E$2 )},$K$2  , $Q$22:$Q$23)"),"3530.6")</f>
        <v>3530.6</v>
      </c>
      <c r="F26" s="21"/>
      <c r="G26" s="21"/>
      <c r="H26" s="21"/>
      <c r="I26" s="21"/>
      <c r="J26" s="28"/>
      <c r="K26" s="31" t="str">
        <f t="shared" si="1"/>
        <v>-2.3757%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8">
        <v>1000.0</v>
      </c>
      <c r="B27" s="18">
        <v>100.0</v>
      </c>
      <c r="C27" s="18">
        <v>4.0</v>
      </c>
      <c r="D27" s="19" t="str">
        <f>IFERROR(__xludf.DUMMYFUNCTION("DMAX({{Data!$A$1:$M$1};filter(Data!$A$2:$M1000,Data!$A$2:$A1000=$A27 , Data!$B$2:$B1000 = $B27,Data!$C$2:$C1000 = $C27, Data!$D$2:$D1000 = D$1, Data!$E$2:$E1000 = D$2 )},$K$2  , $Q$22:$Q$23)"),"3446.8")</f>
        <v>3446.8</v>
      </c>
      <c r="E27" s="19" t="str">
        <f>IFERROR(__xludf.DUMMYFUNCTION("DMAX({{Data!$A$1:$M$1};filter(Data!$A$2:$M1000,Data!$A$2:$A1000=$A27 , Data!$B$2:$B1000 = $B27,Data!$C$2:$C1000 = $C27, Data!$D$2:$D1000 = E$1, Data!$E$2:$E1000 = E$2 )},$K$2  , $Q$22:$Q$23)"),"3518.166667")</f>
        <v>3518.166667</v>
      </c>
      <c r="F27" s="21"/>
      <c r="G27" s="21"/>
      <c r="H27" s="21"/>
      <c r="I27" s="21"/>
      <c r="J27" s="28"/>
      <c r="K27" s="31" t="str">
        <f t="shared" si="1"/>
        <v>-2.0285%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8">
        <v>1000.0</v>
      </c>
      <c r="B28" s="18">
        <v>100.0</v>
      </c>
      <c r="C28" s="18">
        <v>5.0</v>
      </c>
      <c r="D28" s="19" t="str">
        <f>IFERROR(__xludf.DUMMYFUNCTION("DMAX({{Data!$A$1:$M$1};filter(Data!$A$2:$M1000,Data!$A$2:$A1000=$A28 , Data!$B$2:$B1000 = $B28,Data!$C$2:$C1000 = $C28, Data!$D$2:$D1000 = D$1, Data!$E$2:$E1000 = D$2 )},$K$2  , $Q$22:$Q$23)"),"3410.184211")</f>
        <v>3410.184211</v>
      </c>
      <c r="E28" s="19" t="str">
        <f>IFERROR(__xludf.DUMMYFUNCTION("DMAX({{Data!$A$1:$M$1};filter(Data!$A$2:$M1000,Data!$A$2:$A1000=$A28 , Data!$B$2:$B1000 = $B28,Data!$C$2:$C1000 = $C28, Data!$D$2:$D1000 = E$1, Data!$E$2:$E1000 = E$2 )},$K$2  , $Q$22:$Q$23)"),"3500")</f>
        <v>3500</v>
      </c>
      <c r="F28" s="21"/>
      <c r="G28" s="21"/>
      <c r="H28" s="21"/>
      <c r="I28" s="21"/>
      <c r="J28" s="28"/>
      <c r="K28" s="31" t="str">
        <f t="shared" si="1"/>
        <v>-2.5662%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28"/>
      <c r="B29" s="28"/>
      <c r="C29" s="28"/>
      <c r="D29" s="15"/>
      <c r="E29" s="13"/>
      <c r="F29" s="13"/>
      <c r="G29" s="13"/>
      <c r="H29" s="28"/>
      <c r="I29" s="28"/>
      <c r="J29" s="28"/>
      <c r="K29" s="28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3"/>
      <c r="B32" s="15"/>
      <c r="C32" s="15"/>
      <c r="D32" s="14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29"/>
      <c r="B33" s="29"/>
      <c r="C33" s="29"/>
      <c r="D33" s="14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  <col hidden="1" min="6" max="10"/>
  </cols>
  <sheetData>
    <row r="1">
      <c r="C1" s="10" t="s">
        <v>19</v>
      </c>
      <c r="D1" s="11" t="str">
        <f>IFERROR(__xludf.DUMMYFUNCTION("TRANSPOSE(UNIQUE(Data!D2:E1000))"),"basic")</f>
        <v>basic</v>
      </c>
      <c r="E1" s="12" t="s">
        <v>17</v>
      </c>
      <c r="F1" s="13"/>
      <c r="G1" s="13"/>
      <c r="H1" s="13"/>
      <c r="I1" s="13"/>
      <c r="J1" s="13"/>
      <c r="K1" s="14" t="s">
        <v>29</v>
      </c>
      <c r="L1" s="13"/>
      <c r="M1" s="13"/>
      <c r="N1" s="13"/>
      <c r="O1" s="13"/>
      <c r="P1" s="13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C2" s="10" t="s">
        <v>20</v>
      </c>
      <c r="D2" s="11" t="s">
        <v>16</v>
      </c>
      <c r="E2" s="12" t="s">
        <v>16</v>
      </c>
      <c r="F2" s="13"/>
      <c r="G2" s="13"/>
      <c r="H2" s="13"/>
      <c r="I2" s="13"/>
      <c r="J2" s="13"/>
      <c r="K2" s="14" t="s">
        <v>7</v>
      </c>
      <c r="L2" s="13"/>
      <c r="M2" s="13"/>
      <c r="N2" s="13"/>
      <c r="O2" s="13"/>
      <c r="P2" s="13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0" t="s">
        <v>0</v>
      </c>
      <c r="B3" s="10" t="s">
        <v>1</v>
      </c>
      <c r="C3" s="10" t="s">
        <v>2</v>
      </c>
      <c r="D3" s="16"/>
      <c r="E3" s="16"/>
      <c r="F3" s="14" t="s">
        <v>27</v>
      </c>
      <c r="G3" s="15"/>
      <c r="H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8" t="str">
        <f>IFERROR(__xludf.DUMMYFUNCTION("UNIQUE(Data!A2:C1000)"),"1000")</f>
        <v>1000</v>
      </c>
      <c r="B4" s="18">
        <v>1.0</v>
      </c>
      <c r="C4" s="18">
        <v>1.0</v>
      </c>
      <c r="D4" s="20" t="str">
        <f>IFERROR(__xludf.DUMMYFUNCTION("(DMAX({{Data!$A$1:$M$1};filter(Data!$A$2:$M1000,Data!$A$2:$A1000=$A4 , Data!$B$2:$B1000 = $B4,Data!$C$2:$C1000 = $C4, Data!$D$2:$D1000 = D$1, Data!$E$2:$E1000 = D$2 )},$K$2  , $Q$22:$Q$23))"),"210176")</f>
        <v>210176</v>
      </c>
      <c r="E4" s="34" t="str">
        <f>IFERROR(__xludf.DUMMYFUNCTION("(DMAX({{Data!$A$1:$M$1};filter(Data!$A$2:$M1000,Data!$A$2:$A1000=$A4 , Data!$B$2:$B1000 = $B4,Data!$C$2:$C1000 = $C4, Data!$D$2:$D1000 = E$1, Data!$E$2:$E1000 = E$2 )},$K$2  , $Q$22:$Q$23))"),"210107")</f>
        <v>210107</v>
      </c>
      <c r="F4" s="28" t="str">
        <f t="shared" ref="F4:F28" si="1">MAX(D4:E4)</f>
        <v>210176</v>
      </c>
      <c r="G4" s="28"/>
      <c r="H4" s="28"/>
      <c r="J4" s="21"/>
      <c r="K4" s="21"/>
      <c r="L4" s="21"/>
      <c r="M4" s="21"/>
      <c r="N4" s="21"/>
      <c r="O4" s="21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8">
        <v>1000.0</v>
      </c>
      <c r="B5" s="18">
        <v>1.0</v>
      </c>
      <c r="C5" s="18">
        <v>2.0</v>
      </c>
      <c r="D5" s="20" t="str">
        <f>IFERROR(__xludf.DUMMYFUNCTION("(DMAX({{Data!$A$1:$M$1};filter(Data!$A$2:$M1000,Data!$A$2:$A1000=$A5 , Data!$B$2:$B1000 = $B5,Data!$C$2:$C1000 = $C5, Data!$D$2:$D1000 = D$1, Data!$E$2:$E1000 = D$2 )},$K$2  , $Q$22:$Q$23))"),"206257")</f>
        <v>206257</v>
      </c>
      <c r="E5" s="34" t="str">
        <f>IFERROR(__xludf.DUMMYFUNCTION("(DMAX({{Data!$A$1:$M$1};filter(Data!$A$2:$M1000,Data!$A$2:$A1000=$A5 , Data!$B$2:$B1000 = $B5,Data!$C$2:$C1000 = $C5, Data!$D$2:$D1000 = E$1, Data!$E$2:$E1000 = E$2 )},$K$2  , $Q$22:$Q$23))"),"206452")</f>
        <v>206452</v>
      </c>
      <c r="F5" s="28" t="str">
        <f t="shared" si="1"/>
        <v>206452</v>
      </c>
      <c r="G5" s="28"/>
      <c r="H5" s="28"/>
      <c r="J5" s="21"/>
      <c r="K5" s="21"/>
      <c r="L5" s="21"/>
      <c r="M5" s="21"/>
      <c r="N5" s="21"/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8">
        <v>1000.0</v>
      </c>
      <c r="B6" s="18">
        <v>1.0</v>
      </c>
      <c r="C6" s="18">
        <v>3.0</v>
      </c>
      <c r="D6" s="20" t="str">
        <f>IFERROR(__xludf.DUMMYFUNCTION("(DMAX({{Data!$A$1:$M$1};filter(Data!$A$2:$M1000,Data!$A$2:$A1000=$A6 , Data!$B$2:$B1000 = $B6,Data!$C$2:$C1000 = $C6, Data!$D$2:$D1000 = D$1, Data!$E$2:$E1000 = D$2 )},$K$2  , $Q$22:$Q$23))"),"205050")</f>
        <v>205050</v>
      </c>
      <c r="E6" s="34" t="str">
        <f>IFERROR(__xludf.DUMMYFUNCTION("(DMAX({{Data!$A$1:$M$1};filter(Data!$A$2:$M1000,Data!$A$2:$A1000=$A6 , Data!$B$2:$B1000 = $B6,Data!$C$2:$C1000 = $C6, Data!$D$2:$D1000 = E$1, Data!$E$2:$E1000 = E$2 )},$K$2  , $Q$22:$Q$23))"),"204816")</f>
        <v>204816</v>
      </c>
      <c r="F6" s="28" t="str">
        <f t="shared" si="1"/>
        <v>205050</v>
      </c>
      <c r="G6" s="28"/>
      <c r="H6" s="28"/>
      <c r="J6" s="21"/>
      <c r="K6" s="21"/>
      <c r="L6" s="21"/>
      <c r="M6" s="21"/>
      <c r="N6" s="21"/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8">
        <v>1000.0</v>
      </c>
      <c r="B7" s="18">
        <v>1.0</v>
      </c>
      <c r="C7" s="18">
        <v>4.0</v>
      </c>
      <c r="D7" s="20" t="str">
        <f>IFERROR(__xludf.DUMMYFUNCTION("(DMAX({{Data!$A$1:$M$1};filter(Data!$A$2:$M1000,Data!$A$2:$A1000=$A7 , Data!$B$2:$B1000 = $B7,Data!$C$2:$C1000 = $C7, Data!$D$2:$D1000 = D$1, Data!$E$2:$E1000 = D$2 )},$K$2  , $Q$22:$Q$23))"),"213425")</f>
        <v>213425</v>
      </c>
      <c r="E7" s="34" t="str">
        <f>IFERROR(__xludf.DUMMYFUNCTION("(DMAX({{Data!$A$1:$M$1};filter(Data!$A$2:$M1000,Data!$A$2:$A1000=$A7 , Data!$B$2:$B1000 = $B7,Data!$C$2:$C1000 = $C7, Data!$D$2:$D1000 = E$1, Data!$E$2:$E1000 = E$2 )},$K$2  , $Q$22:$Q$23))"),"213724")</f>
        <v>213724</v>
      </c>
      <c r="F7" s="28" t="str">
        <f t="shared" si="1"/>
        <v>213724</v>
      </c>
      <c r="G7" s="28"/>
      <c r="H7" s="28"/>
      <c r="J7" s="21"/>
      <c r="K7" s="21"/>
      <c r="L7" s="21"/>
      <c r="M7" s="21"/>
      <c r="N7" s="21"/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2">
        <v>1000.0</v>
      </c>
      <c r="B8" s="22">
        <v>1.0</v>
      </c>
      <c r="C8" s="22">
        <v>5.0</v>
      </c>
      <c r="D8" s="20" t="str">
        <f>IFERROR(__xludf.DUMMYFUNCTION("(DMAX({{Data!$A$1:$M$1};filter(Data!$A$2:$M1000,Data!$A$2:$A1000=$A8 , Data!$B$2:$B1000 = $B8,Data!$C$2:$C1000 = $C8, Data!$D$2:$D1000 = D$1, Data!$E$2:$E1000 = D$2 )},$K$2  , $Q$22:$Q$23))"),"211431")</f>
        <v>211431</v>
      </c>
      <c r="E8" s="34" t="str">
        <f>IFERROR(__xludf.DUMMYFUNCTION("(DMAX({{Data!$A$1:$M$1};filter(Data!$A$2:$M1000,Data!$A$2:$A1000=$A8 , Data!$B$2:$B1000 = $B8,Data!$C$2:$C1000 = $C8, Data!$D$2:$D1000 = E$1, Data!$E$2:$E1000 = E$2 )},$K$2  , $Q$22:$Q$23))"),"211840")</f>
        <v>211840</v>
      </c>
      <c r="F8" s="28" t="str">
        <f t="shared" si="1"/>
        <v>211840</v>
      </c>
      <c r="G8" s="28"/>
      <c r="H8" s="28"/>
      <c r="J8" s="21"/>
      <c r="K8" s="21"/>
      <c r="L8" s="21"/>
      <c r="M8" s="21"/>
      <c r="N8" s="21"/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8">
        <v>1000.0</v>
      </c>
      <c r="B9" s="18">
        <v>5.0</v>
      </c>
      <c r="C9" s="18">
        <v>1.0</v>
      </c>
      <c r="D9" s="20" t="str">
        <f>IFERROR(__xludf.DUMMYFUNCTION("(DMAX({{Data!$A$1:$M$1};filter(Data!$A$2:$M1000,Data!$A$2:$A1000=$A9 , Data!$B$2:$B1000 = $B9,Data!$C$2:$C1000 = $C9, Data!$D$2:$D1000 = D$1, Data!$E$2:$E1000 = D$2 )},$K$2  , $Q$22:$Q$23))"),"859387")</f>
        <v>859387</v>
      </c>
      <c r="E9" s="34" t="str">
        <f>IFERROR(__xludf.DUMMYFUNCTION("(DMAX({{Data!$A$1:$M$1};filter(Data!$A$2:$M1000,Data!$A$2:$A1000=$A9 , Data!$B$2:$B1000 = $B9,Data!$C$2:$C1000 = $C9, Data!$D$2:$D1000 = E$1, Data!$E$2:$E1000 = E$2 )},$K$2  , $Q$22:$Q$23))"),"858373")</f>
        <v>858373</v>
      </c>
      <c r="F9" s="28" t="str">
        <f t="shared" si="1"/>
        <v>859387</v>
      </c>
      <c r="G9" s="28"/>
      <c r="H9" s="28"/>
      <c r="J9" s="21"/>
      <c r="K9" s="21"/>
      <c r="L9" s="21"/>
      <c r="M9" s="21"/>
      <c r="N9" s="21"/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25">
        <v>1000.0</v>
      </c>
      <c r="B10" s="25">
        <v>5.0</v>
      </c>
      <c r="C10" s="25">
        <v>2.0</v>
      </c>
      <c r="D10" s="20" t="str">
        <f>IFERROR(__xludf.DUMMYFUNCTION("(DMAX({{Data!$A$1:$M$1};filter(Data!$A$2:$M1000,Data!$A$2:$A1000=$A10 , Data!$B$2:$B1000 = $B10,Data!$C$2:$C1000 = $C10, Data!$D$2:$D1000 = D$1, Data!$E$2:$E1000 = D$2 )},$K$2  , $Q$22:$Q$23))"),"862698")</f>
        <v>862698</v>
      </c>
      <c r="E10" s="34" t="str">
        <f>IFERROR(__xludf.DUMMYFUNCTION("(DMAX({{Data!$A$1:$M$1};filter(Data!$A$2:$M1000,Data!$A$2:$A1000=$A10 , Data!$B$2:$B1000 = $B10,Data!$C$2:$C1000 = $C10, Data!$D$2:$D1000 = E$1, Data!$E$2:$E1000 = E$2 )},$K$2  , $Q$22:$Q$23))"),"862969")</f>
        <v>862969</v>
      </c>
      <c r="F10" s="28" t="str">
        <f t="shared" si="1"/>
        <v>862969</v>
      </c>
      <c r="G10" s="28"/>
      <c r="H10" s="28"/>
      <c r="J10" s="21"/>
      <c r="K10" s="21"/>
      <c r="L10" s="21"/>
      <c r="M10" s="21"/>
      <c r="N10" s="21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8">
        <v>1000.0</v>
      </c>
      <c r="B11" s="18">
        <v>5.0</v>
      </c>
      <c r="C11" s="18">
        <v>3.0</v>
      </c>
      <c r="D11" s="20" t="str">
        <f>IFERROR(__xludf.DUMMYFUNCTION("(DMAX({{Data!$A$1:$M$1};filter(Data!$A$2:$M1000,Data!$A$2:$A1000=$A11 , Data!$B$2:$B1000 = $B11,Data!$C$2:$C1000 = $C11, Data!$D$2:$D1000 = D$1, Data!$E$2:$E1000 = D$2 )},$K$2  , $Q$22:$Q$23))"),"867789")</f>
        <v>867789</v>
      </c>
      <c r="E11" s="34" t="str">
        <f>IFERROR(__xludf.DUMMYFUNCTION("(DMAX({{Data!$A$1:$M$1};filter(Data!$A$2:$M1000,Data!$A$2:$A1000=$A11 , Data!$B$2:$B1000 = $B11,Data!$C$2:$C1000 = $C11, Data!$D$2:$D1000 = E$1, Data!$E$2:$E1000 = E$2 )},$K$2  , $Q$22:$Q$23))"),"869301")</f>
        <v>869301</v>
      </c>
      <c r="F11" s="28" t="str">
        <f t="shared" si="1"/>
        <v>869301</v>
      </c>
      <c r="G11" s="28"/>
      <c r="H11" s="28"/>
      <c r="J11" s="21"/>
      <c r="K11" s="21"/>
      <c r="L11" s="21"/>
      <c r="M11" s="21"/>
      <c r="N11" s="21"/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8">
        <v>1000.0</v>
      </c>
      <c r="B12" s="18">
        <v>5.0</v>
      </c>
      <c r="C12" s="18">
        <v>4.0</v>
      </c>
      <c r="D12" s="20" t="str">
        <f>IFERROR(__xludf.DUMMYFUNCTION("(DMAX({{Data!$A$1:$M$1};filter(Data!$A$2:$M1000,Data!$A$2:$A1000=$A12 , Data!$B$2:$B1000 = $B12,Data!$C$2:$C1000 = $C12, Data!$D$2:$D1000 = D$1, Data!$E$2:$E1000 = D$2 )},$K$2  , $Q$22:$Q$23))"),"866906")</f>
        <v>866906</v>
      </c>
      <c r="E12" s="34" t="str">
        <f>IFERROR(__xludf.DUMMYFUNCTION("(DMAX({{Data!$A$1:$M$1};filter(Data!$A$2:$M1000,Data!$A$2:$A1000=$A12 , Data!$B$2:$B1000 = $B12,Data!$C$2:$C1000 = $C12, Data!$D$2:$D1000 = E$1, Data!$E$2:$E1000 = E$2 )},$K$2  , $Q$22:$Q$23))"),"866749")</f>
        <v>866749</v>
      </c>
      <c r="F12" s="28" t="str">
        <f t="shared" si="1"/>
        <v>866906</v>
      </c>
      <c r="G12" s="28"/>
      <c r="H12" s="28"/>
      <c r="J12" s="21"/>
      <c r="K12" s="21"/>
      <c r="L12" s="21"/>
      <c r="M12" s="21"/>
      <c r="N12" s="21"/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8">
        <v>1000.0</v>
      </c>
      <c r="B13" s="18">
        <v>5.0</v>
      </c>
      <c r="C13" s="18">
        <v>5.0</v>
      </c>
      <c r="D13" s="20" t="str">
        <f>IFERROR(__xludf.DUMMYFUNCTION("(DMAX({{Data!$A$1:$M$1};filter(Data!$A$2:$M1000,Data!$A$2:$A1000=$A13 , Data!$B$2:$B1000 = $B13,Data!$C$2:$C1000 = $C13, Data!$D$2:$D1000 = D$1, Data!$E$2:$E1000 = D$2 )},$K$2  , $Q$22:$Q$23))"),"861589")</f>
        <v>861589</v>
      </c>
      <c r="E13" s="34" t="str">
        <f>IFERROR(__xludf.DUMMYFUNCTION("(DMAX({{Data!$A$1:$M$1};filter(Data!$A$2:$M1000,Data!$A$2:$A1000=$A13 , Data!$B$2:$B1000 = $B13,Data!$C$2:$C1000 = $C13, Data!$D$2:$D1000 = E$1, Data!$E$2:$E1000 = E$2 )},$K$2  , $Q$22:$Q$23))"),"862775")</f>
        <v>862775</v>
      </c>
      <c r="F13" s="28" t="str">
        <f t="shared" si="1"/>
        <v>862775</v>
      </c>
      <c r="G13" s="28"/>
      <c r="H13" s="28"/>
      <c r="J13" s="21"/>
      <c r="K13" s="21"/>
      <c r="L13" s="21"/>
      <c r="M13" s="21"/>
      <c r="N13" s="21"/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8">
        <v>1000.0</v>
      </c>
      <c r="B14" s="18">
        <v>10.0</v>
      </c>
      <c r="C14" s="18">
        <v>1.0</v>
      </c>
      <c r="D14" s="20" t="str">
        <f>IFERROR(__xludf.DUMMYFUNCTION("(DMAX({{Data!$A$1:$M$1};filter(Data!$A$2:$M1000,Data!$A$2:$A1000=$A14 , Data!$B$2:$B1000 = $B14,Data!$C$2:$C1000 = $C14, Data!$D$2:$D1000 = D$1, Data!$E$2:$E1000 = D$2 )},$K$2  , $Q$22:$Q$23))"),"1609066")</f>
        <v>1609066</v>
      </c>
      <c r="E14" s="34" t="str">
        <f>IFERROR(__xludf.DUMMYFUNCTION("(DMAX({{Data!$A$1:$M$1};filter(Data!$A$2:$M1000,Data!$A$2:$A1000=$A14 , Data!$B$2:$B1000 = $B14,Data!$C$2:$C1000 = $C14, Data!$D$2:$D1000 = E$1, Data!$E$2:$E1000 = E$2 )},$K$2  , $Q$22:$Q$23))"),"1608601")</f>
        <v>1608601</v>
      </c>
      <c r="F14" s="28" t="str">
        <f t="shared" si="1"/>
        <v>1609066</v>
      </c>
      <c r="G14" s="28"/>
      <c r="H14" s="28"/>
      <c r="J14" s="21"/>
      <c r="K14" s="21"/>
      <c r="L14" s="21"/>
      <c r="M14" s="21"/>
      <c r="N14" s="21"/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8">
        <v>1000.0</v>
      </c>
      <c r="B15" s="18">
        <v>10.0</v>
      </c>
      <c r="C15" s="18">
        <v>2.0</v>
      </c>
      <c r="D15" s="20" t="str">
        <f>IFERROR(__xludf.DUMMYFUNCTION("(DMAX({{Data!$A$1:$M$1};filter(Data!$A$2:$M1000,Data!$A$2:$A1000=$A15 , Data!$B$2:$B1000 = $B15,Data!$C$2:$C1000 = $C15, Data!$D$2:$D1000 = D$1, Data!$E$2:$E1000 = D$2 )},$K$2  , $Q$22:$Q$23))"),"1628513")</f>
        <v>1628513</v>
      </c>
      <c r="E15" s="34" t="str">
        <f>IFERROR(__xludf.DUMMYFUNCTION("(DMAX({{Data!$A$1:$M$1};filter(Data!$A$2:$M1000,Data!$A$2:$A1000=$A15 , Data!$B$2:$B1000 = $B15,Data!$C$2:$C1000 = $C15, Data!$D$2:$D1000 = E$1, Data!$E$2:$E1000 = E$2 )},$K$2  , $Q$22:$Q$23))"),"1630020")</f>
        <v>1630020</v>
      </c>
      <c r="F15" s="28" t="str">
        <f t="shared" si="1"/>
        <v>1630020</v>
      </c>
      <c r="G15" s="28"/>
      <c r="H15" s="28"/>
      <c r="J15" s="21"/>
      <c r="K15" s="21"/>
      <c r="L15" s="21"/>
      <c r="M15" s="21"/>
      <c r="N15" s="21"/>
      <c r="O15" s="21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8">
        <v>1000.0</v>
      </c>
      <c r="B16" s="18">
        <v>10.0</v>
      </c>
      <c r="C16" s="18">
        <v>3.0</v>
      </c>
      <c r="D16" s="20" t="str">
        <f>IFERROR(__xludf.DUMMYFUNCTION("(DMAX({{Data!$A$1:$M$1};filter(Data!$A$2:$M1000,Data!$A$2:$A1000=$A16 , Data!$B$2:$B1000 = $B16,Data!$C$2:$C1000 = $C16, Data!$D$2:$D1000 = D$1, Data!$E$2:$E1000 = D$2 )},$K$2  , $Q$22:$Q$23))"),"1627757")</f>
        <v>1627757</v>
      </c>
      <c r="E16" s="34" t="str">
        <f>IFERROR(__xludf.DUMMYFUNCTION("(DMAX({{Data!$A$1:$M$1};filter(Data!$A$2:$M1000,Data!$A$2:$A1000=$A16 , Data!$B$2:$B1000 = $B16,Data!$C$2:$C1000 = $C16, Data!$D$2:$D1000 = E$1, Data!$E$2:$E1000 = E$2 )},$K$2  , $Q$22:$Q$23))"),"1627759")</f>
        <v>1627759</v>
      </c>
      <c r="F16" s="28" t="str">
        <f t="shared" si="1"/>
        <v>1627759</v>
      </c>
      <c r="G16" s="28"/>
      <c r="H16" s="28"/>
      <c r="J16" s="21"/>
      <c r="K16" s="21"/>
      <c r="L16" s="21"/>
      <c r="M16" s="21"/>
      <c r="N16" s="21"/>
      <c r="O16" s="21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8">
        <v>1000.0</v>
      </c>
      <c r="B17" s="18">
        <v>10.0</v>
      </c>
      <c r="C17" s="18">
        <v>4.0</v>
      </c>
      <c r="D17" s="20" t="str">
        <f>IFERROR(__xludf.DUMMYFUNCTION("(DMAX({{Data!$A$1:$M$1};filter(Data!$A$2:$M1000,Data!$A$2:$A1000=$A17 , Data!$B$2:$B1000 = $B17,Data!$C$2:$C1000 = $C17, Data!$D$2:$D1000 = D$1, Data!$E$2:$E1000 = D$2 )},$K$2  , $Q$22:$Q$23))"),"1623135")</f>
        <v>1623135</v>
      </c>
      <c r="E17" s="34" t="str">
        <f>IFERROR(__xludf.DUMMYFUNCTION("(DMAX({{Data!$A$1:$M$1};filter(Data!$A$2:$M1000,Data!$A$2:$A1000=$A17 , Data!$B$2:$B1000 = $B17,Data!$C$2:$C1000 = $C17, Data!$D$2:$D1000 = E$1, Data!$E$2:$E1000 = E$2 )},$K$2  , $Q$22:$Q$23))"),"1623051")</f>
        <v>1623051</v>
      </c>
      <c r="F17" s="28" t="str">
        <f t="shared" si="1"/>
        <v>1623135</v>
      </c>
      <c r="G17" s="28"/>
      <c r="H17" s="28"/>
      <c r="J17" s="21"/>
      <c r="K17" s="21"/>
      <c r="L17" s="21"/>
      <c r="M17" s="21"/>
      <c r="N17" s="21"/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8">
        <v>1000.0</v>
      </c>
      <c r="B18" s="18">
        <v>10.0</v>
      </c>
      <c r="C18" s="18">
        <v>5.0</v>
      </c>
      <c r="D18" s="20" t="str">
        <f>IFERROR(__xludf.DUMMYFUNCTION("(DMAX({{Data!$A$1:$M$1};filter(Data!$A$2:$M1000,Data!$A$2:$A1000=$A18 , Data!$B$2:$B1000 = $B18,Data!$C$2:$C1000 = $C18, Data!$D$2:$D1000 = D$1, Data!$E$2:$E1000 = D$2 )},$K$2  , $Q$22:$Q$23))"),"1623721")</f>
        <v>1623721</v>
      </c>
      <c r="E18" s="34" t="str">
        <f>IFERROR(__xludf.DUMMYFUNCTION("(DMAX({{Data!$A$1:$M$1};filter(Data!$A$2:$M1000,Data!$A$2:$A1000=$A18 , Data!$B$2:$B1000 = $B18,Data!$C$2:$C1000 = $C18, Data!$D$2:$D1000 = E$1, Data!$E$2:$E1000 = E$2 )},$K$2  , $Q$22:$Q$23))"),"1622955")</f>
        <v>1622955</v>
      </c>
      <c r="F18" s="28" t="str">
        <f t="shared" si="1"/>
        <v>1623721</v>
      </c>
      <c r="G18" s="28"/>
      <c r="H18" s="28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1">
        <v>1000.0</v>
      </c>
      <c r="B19" s="11">
        <v>50.0</v>
      </c>
      <c r="C19" s="11">
        <v>1.0</v>
      </c>
      <c r="D19" s="20" t="str">
        <f>IFERROR(__xludf.DUMMYFUNCTION("(DMAX({{Data!$A$1:$M$1};filter(Data!$A$2:$M1000,Data!$A$2:$A1000=$A19 , Data!$B$2:$B1000 = $B19,Data!$C$2:$C1000 = $C19, Data!$D$2:$D1000 = D$1, Data!$E$2:$E1000 = D$2 )},$K$2  , $Q$22:$Q$23))"),"8081828")</f>
        <v>8081828</v>
      </c>
      <c r="E19" s="34" t="str">
        <f>IFERROR(__xludf.DUMMYFUNCTION("(DMAX({{Data!$A$1:$M$1};filter(Data!$A$2:$M1000,Data!$A$2:$A1000=$A19 , Data!$B$2:$B1000 = $B19,Data!$C$2:$C1000 = $C19, Data!$D$2:$D1000 = E$1, Data!$E$2:$E1000 = E$2 )},$K$2  , $Q$22:$Q$23))"),"8077191")</f>
        <v>8077191</v>
      </c>
      <c r="F19" s="28" t="str">
        <f t="shared" si="1"/>
        <v>8081828</v>
      </c>
      <c r="G19" s="28"/>
      <c r="H19" s="28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6">
        <v>1000.0</v>
      </c>
      <c r="B20" s="26">
        <v>50.0</v>
      </c>
      <c r="C20" s="26">
        <v>2.0</v>
      </c>
      <c r="D20" s="20" t="str">
        <f>IFERROR(__xludf.DUMMYFUNCTION("(DMAX({{Data!$A$1:$M$1};filter(Data!$A$2:$M1000,Data!$A$2:$A1000=$A20 , Data!$B$2:$B1000 = $B20,Data!$C$2:$C1000 = $C20, Data!$D$2:$D1000 = D$1, Data!$E$2:$E1000 = D$2 )},$K$2  , $Q$22:$Q$23))"),"8075606")</f>
        <v>8075606</v>
      </c>
      <c r="E20" s="34" t="str">
        <f>IFERROR(__xludf.DUMMYFUNCTION("(DMAX({{Data!$A$1:$M$1};filter(Data!$A$2:$M1000,Data!$A$2:$A1000=$A20 , Data!$B$2:$B1000 = $B20,Data!$C$2:$C1000 = $C20, Data!$D$2:$D1000 = E$1, Data!$E$2:$E1000 = E$2 )},$K$2  , $Q$22:$Q$23))"),"8079403")</f>
        <v>8079403</v>
      </c>
      <c r="F20" s="28" t="str">
        <f t="shared" si="1"/>
        <v>8079403</v>
      </c>
      <c r="G20" s="28"/>
      <c r="H20" s="28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26">
        <v>1000.0</v>
      </c>
      <c r="B21" s="26">
        <v>50.0</v>
      </c>
      <c r="C21" s="26">
        <v>3.0</v>
      </c>
      <c r="D21" s="20" t="str">
        <f>IFERROR(__xludf.DUMMYFUNCTION("(DMAX({{Data!$A$1:$M$1};filter(Data!$A$2:$M1000,Data!$A$2:$A1000=$A21 , Data!$B$2:$B1000 = $B21,Data!$C$2:$C1000 = $C21, Data!$D$2:$D1000 = D$1, Data!$E$2:$E1000 = D$2 )},$K$2  , $Q$22:$Q$23))"),"8074995")</f>
        <v>8074995</v>
      </c>
      <c r="E21" s="34" t="str">
        <f>IFERROR(__xludf.DUMMYFUNCTION("(DMAX({{Data!$A$1:$M$1};filter(Data!$A$2:$M1000,Data!$A$2:$A1000=$A21 , Data!$B$2:$B1000 = $B21,Data!$C$2:$C1000 = $C21, Data!$D$2:$D1000 = E$1, Data!$E$2:$E1000 = E$2 )},$K$2  , $Q$22:$Q$23))"),"8080530")</f>
        <v>8080530</v>
      </c>
      <c r="F21" s="28" t="str">
        <f t="shared" si="1"/>
        <v>8080530</v>
      </c>
      <c r="G21" s="28"/>
      <c r="H21" s="28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8">
        <v>1000.0</v>
      </c>
      <c r="B22" s="26">
        <v>50.0</v>
      </c>
      <c r="C22" s="26">
        <v>4.0</v>
      </c>
      <c r="D22" s="20" t="str">
        <f>IFERROR(__xludf.DUMMYFUNCTION("(DMAX({{Data!$A$1:$M$1};filter(Data!$A$2:$M1000,Data!$A$2:$A1000=$A22 , Data!$B$2:$B1000 = $B22,Data!$C$2:$C1000 = $C22, Data!$D$2:$D1000 = D$1, Data!$E$2:$E1000 = D$2 )},$K$2  , $Q$22:$Q$23))"),"8080417")</f>
        <v>8080417</v>
      </c>
      <c r="E22" s="34" t="str">
        <f>IFERROR(__xludf.DUMMYFUNCTION("(DMAX({{Data!$A$1:$M$1};filter(Data!$A$2:$M1000,Data!$A$2:$A1000=$A22 , Data!$B$2:$B1000 = $B22,Data!$C$2:$C1000 = $C22, Data!$D$2:$D1000 = E$1, Data!$E$2:$E1000 = E$2 )},$K$2  , $Q$22:$Q$23))"),"8082878")</f>
        <v>8082878</v>
      </c>
      <c r="F22" s="28" t="str">
        <f t="shared" si="1"/>
        <v>8082878</v>
      </c>
      <c r="G22" s="28"/>
      <c r="H22" s="28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6">
        <v>1000.0</v>
      </c>
      <c r="B23" s="26">
        <v>50.0</v>
      </c>
      <c r="C23" s="26">
        <v>5.0</v>
      </c>
      <c r="D23" s="20" t="str">
        <f>IFERROR(__xludf.DUMMYFUNCTION("(DMAX({{Data!$A$1:$M$1};filter(Data!$A$2:$M1000,Data!$A$2:$A1000=$A23 , Data!$B$2:$B1000 = $B23,Data!$C$2:$C1000 = $C23, Data!$D$2:$D1000 = D$1, Data!$E$2:$E1000 = D$2 )},$K$2  , $Q$22:$Q$23))"),"8075189")</f>
        <v>8075189</v>
      </c>
      <c r="E23" s="34" t="str">
        <f>IFERROR(__xludf.DUMMYFUNCTION("(DMAX({{Data!$A$1:$M$1};filter(Data!$A$2:$M1000,Data!$A$2:$A1000=$A23 , Data!$B$2:$B1000 = $B23,Data!$C$2:$C1000 = $C23, Data!$D$2:$D1000 = E$1, Data!$E$2:$E1000 = E$2 )},$K$2  , $Q$22:$Q$23))"),"8079402")</f>
        <v>8079402</v>
      </c>
      <c r="F23" s="28" t="str">
        <f t="shared" si="1"/>
        <v>8079402</v>
      </c>
      <c r="G23" s="28"/>
      <c r="H23" s="28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1">
        <v>1000.0</v>
      </c>
      <c r="B24" s="11">
        <v>100.0</v>
      </c>
      <c r="C24" s="11">
        <v>1.0</v>
      </c>
      <c r="D24" s="20" t="str">
        <f>IFERROR(__xludf.DUMMYFUNCTION("(DMAX({{Data!$A$1:$M$1};filter(Data!$A$2:$M1000,Data!$A$2:$A1000=$A24 , Data!$B$2:$B1000 = $B24,Data!$C$2:$C1000 = $C24, Data!$D$2:$D1000 = D$1, Data!$E$2:$E1000 = D$2 )},$K$2  , $Q$22:$Q$23))"),"25766718")</f>
        <v>25766718</v>
      </c>
      <c r="E24" s="34" t="str">
        <f>IFERROR(__xludf.DUMMYFUNCTION("(DMAX({{Data!$A$1:$M$1};filter(Data!$A$2:$M1000,Data!$A$2:$A1000=$A24 , Data!$B$2:$B1000 = $B24,Data!$C$2:$C1000 = $C24, Data!$D$2:$D1000 = E$1, Data!$E$2:$E1000 = E$2 )},$K$2  , $Q$22:$Q$23))"),"25768095")</f>
        <v>25768095</v>
      </c>
      <c r="F24" s="28" t="str">
        <f t="shared" si="1"/>
        <v>25768095</v>
      </c>
      <c r="G24" s="28"/>
      <c r="H24" s="28"/>
      <c r="J24" s="13"/>
      <c r="K24" s="13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8">
        <v>1000.0</v>
      </c>
      <c r="B25" s="27">
        <v>100.0</v>
      </c>
      <c r="C25" s="18">
        <v>2.0</v>
      </c>
      <c r="D25" s="20" t="str">
        <f>IFERROR(__xludf.DUMMYFUNCTION("(DMAX({{Data!$A$1:$M$1};filter(Data!$A$2:$M1000,Data!$A$2:$A1000=$A25 , Data!$B$2:$B1000 = $B25,Data!$C$2:$C1000 = $C25, Data!$D$2:$D1000 = D$1, Data!$E$2:$E1000 = D$2 )},$K$2  , $Q$22:$Q$23))"),"25769034")</f>
        <v>25769034</v>
      </c>
      <c r="E25" s="34" t="str">
        <f>IFERROR(__xludf.DUMMYFUNCTION("(DMAX({{Data!$A$1:$M$1};filter(Data!$A$2:$M1000,Data!$A$2:$A1000=$A25 , Data!$B$2:$B1000 = $B25,Data!$C$2:$C1000 = $C25, Data!$D$2:$D1000 = E$1, Data!$E$2:$E1000 = E$2 )},$K$2  , $Q$22:$Q$23))"),"25766817")</f>
        <v>25766817</v>
      </c>
      <c r="F25" s="28" t="str">
        <f t="shared" si="1"/>
        <v>25769034</v>
      </c>
      <c r="G25" s="28"/>
      <c r="H25" s="28"/>
      <c r="J25" s="28"/>
      <c r="K25" s="2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8">
        <v>1000.0</v>
      </c>
      <c r="B26" s="18">
        <v>100.0</v>
      </c>
      <c r="C26" s="18">
        <v>3.0</v>
      </c>
      <c r="D26" s="20" t="str">
        <f>IFERROR(__xludf.DUMMYFUNCTION("(DMAX({{Data!$A$1:$M$1};filter(Data!$A$2:$M1000,Data!$A$2:$A1000=$A26 , Data!$B$2:$B1000 = $B26,Data!$C$2:$C1000 = $C26, Data!$D$2:$D1000 = D$1, Data!$E$2:$E1000 = D$2 )},$K$2  , $Q$22:$Q$23))"),"25809808")</f>
        <v>25809808</v>
      </c>
      <c r="E26" s="34" t="str">
        <f>IFERROR(__xludf.DUMMYFUNCTION("(DMAX({{Data!$A$1:$M$1};filter(Data!$A$2:$M1000,Data!$A$2:$A1000=$A26 , Data!$B$2:$B1000 = $B26,Data!$C$2:$C1000 = $C26, Data!$D$2:$D1000 = E$1, Data!$E$2:$E1000 = E$2 )},$K$2  , $Q$22:$Q$23))"),"25800688")</f>
        <v>25800688</v>
      </c>
      <c r="F26" s="28" t="str">
        <f t="shared" si="1"/>
        <v>25809808</v>
      </c>
      <c r="G26" s="28"/>
      <c r="H26" s="28"/>
      <c r="J26" s="28"/>
      <c r="K26" s="28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8">
        <v>1000.0</v>
      </c>
      <c r="B27" s="18">
        <v>100.0</v>
      </c>
      <c r="C27" s="18">
        <v>4.0</v>
      </c>
      <c r="D27" s="20" t="str">
        <f>IFERROR(__xludf.DUMMYFUNCTION("(DMAX({{Data!$A$1:$M$1};filter(Data!$A$2:$M1000,Data!$A$2:$A1000=$A27 , Data!$B$2:$B1000 = $B27,Data!$C$2:$C1000 = $C27, Data!$D$2:$D1000 = D$1, Data!$E$2:$E1000 = D$2 )},$K$2  , $Q$22:$Q$23))"),"25820101")</f>
        <v>25820101</v>
      </c>
      <c r="E27" s="34" t="str">
        <f>IFERROR(__xludf.DUMMYFUNCTION("(DMAX({{Data!$A$1:$M$1};filter(Data!$A$2:$M1000,Data!$A$2:$A1000=$A27 , Data!$B$2:$B1000 = $B27,Data!$C$2:$C1000 = $C27, Data!$D$2:$D1000 = E$1, Data!$E$2:$E1000 = E$2 )},$K$2  , $Q$22:$Q$23))"),"25814493")</f>
        <v>25814493</v>
      </c>
      <c r="F27" s="28" t="str">
        <f t="shared" si="1"/>
        <v>25820101</v>
      </c>
      <c r="G27" s="28"/>
      <c r="H27" s="28"/>
      <c r="J27" s="28"/>
      <c r="K27" s="28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8">
        <v>1000.0</v>
      </c>
      <c r="B28" s="18">
        <v>100.0</v>
      </c>
      <c r="C28" s="18">
        <v>5.0</v>
      </c>
      <c r="D28" s="20" t="str">
        <f>IFERROR(__xludf.DUMMYFUNCTION("(DMAX({{Data!$A$1:$M$1};filter(Data!$A$2:$M1000,Data!$A$2:$A1000=$A28 , Data!$B$2:$B1000 = $B28,Data!$C$2:$C1000 = $C28, Data!$D$2:$D1000 = D$1, Data!$E$2:$E1000 = D$2 )},$K$2  , $Q$22:$Q$23))"),"25773830")</f>
        <v>25773830</v>
      </c>
      <c r="E28" s="34" t="str">
        <f>IFERROR(__xludf.DUMMYFUNCTION("(DMAX({{Data!$A$1:$M$1};filter(Data!$A$2:$M1000,Data!$A$2:$A1000=$A28 , Data!$B$2:$B1000 = $B28,Data!$C$2:$C1000 = $C28, Data!$D$2:$D1000 = E$1, Data!$E$2:$E1000 = E$2 )},$K$2  , $Q$22:$Q$23))"),"25773874")</f>
        <v>25773874</v>
      </c>
      <c r="F28" s="28" t="str">
        <f t="shared" si="1"/>
        <v>25773874</v>
      </c>
      <c r="G28" s="28"/>
      <c r="H28" s="28"/>
      <c r="J28" s="28"/>
      <c r="K28" s="28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28"/>
      <c r="B29" s="28"/>
      <c r="C29" s="28"/>
      <c r="D29" s="15"/>
      <c r="E29" s="13"/>
      <c r="F29" s="13"/>
      <c r="G29" s="13"/>
      <c r="H29" s="28"/>
      <c r="I29" s="28"/>
      <c r="J29" s="28"/>
      <c r="K29" s="28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3"/>
      <c r="B32" s="15"/>
      <c r="C32" s="15"/>
      <c r="D32" s="14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29"/>
      <c r="B33" s="29"/>
      <c r="C33" s="29"/>
      <c r="D33" s="14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13"/>
      <c r="E34" s="1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13"/>
      <c r="E35" s="13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13"/>
      <c r="E36" s="1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13"/>
      <c r="E37" s="13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13"/>
      <c r="E38" s="1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13"/>
      <c r="E39" s="13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13"/>
      <c r="E40" s="1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13"/>
      <c r="E41" s="13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13"/>
      <c r="E42" s="1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13"/>
      <c r="E43" s="13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15"/>
      <c r="D44" s="13"/>
      <c r="E44" s="1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15"/>
      <c r="D45" s="13"/>
      <c r="E45" s="13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15"/>
      <c r="D46" s="13"/>
      <c r="E46" s="13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15"/>
      <c r="D47" s="13"/>
      <c r="E47" s="13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15"/>
      <c r="D48" s="13"/>
      <c r="E48" s="13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15"/>
      <c r="D49" s="13"/>
      <c r="E49" s="13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15"/>
      <c r="D50" s="13"/>
      <c r="E50" s="13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13"/>
      <c r="E51" s="13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13"/>
      <c r="E52" s="13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13"/>
      <c r="E53" s="13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15"/>
      <c r="D54" s="13"/>
      <c r="E54" s="13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13"/>
      <c r="E55" s="13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13"/>
      <c r="E56" s="13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13"/>
      <c r="E57" s="13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13"/>
      <c r="E58" s="13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</sheetData>
  <conditionalFormatting sqref="D4:E28 G4:H28">
    <cfRule type="cellIs" dxfId="0" priority="1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  <col hidden="1" min="6" max="10"/>
  </cols>
  <sheetData>
    <row r="1">
      <c r="C1" s="10" t="s">
        <v>19</v>
      </c>
      <c r="D1" s="11" t="str">
        <f>IFERROR(__xludf.DUMMYFUNCTION("TRANSPOSE(UNIQUE(Data!D2:E1000))"),"basic")</f>
        <v>basic</v>
      </c>
      <c r="E1" s="12" t="s">
        <v>17</v>
      </c>
      <c r="F1" s="13"/>
      <c r="G1" s="13"/>
      <c r="H1" s="13"/>
      <c r="I1" s="13"/>
      <c r="J1" s="13"/>
      <c r="K1" s="14" t="s">
        <v>29</v>
      </c>
      <c r="L1" s="13"/>
      <c r="M1" s="13"/>
      <c r="N1" s="13"/>
      <c r="O1" s="13"/>
      <c r="P1" s="13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C2" s="10" t="s">
        <v>20</v>
      </c>
      <c r="D2" s="11" t="s">
        <v>16</v>
      </c>
      <c r="E2" s="12" t="s">
        <v>16</v>
      </c>
      <c r="F2" s="13"/>
      <c r="G2" s="13"/>
      <c r="H2" s="13"/>
      <c r="I2" s="13"/>
      <c r="J2" s="13"/>
      <c r="K2" s="14" t="s">
        <v>7</v>
      </c>
      <c r="L2" s="13"/>
      <c r="M2" s="13"/>
      <c r="N2" s="13"/>
      <c r="O2" s="13"/>
      <c r="P2" s="13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0" t="s">
        <v>0</v>
      </c>
      <c r="B3" s="10" t="s">
        <v>1</v>
      </c>
      <c r="C3" s="10" t="s">
        <v>2</v>
      </c>
      <c r="D3" s="16"/>
      <c r="E3" s="16"/>
      <c r="F3" s="15"/>
      <c r="G3" s="15"/>
      <c r="H3" s="15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8" t="str">
        <f>IFERROR(__xludf.DUMMYFUNCTION("UNIQUE(Data!A2:C1000)"),"1000")</f>
        <v>1000</v>
      </c>
      <c r="B4" s="18">
        <v>1.0</v>
      </c>
      <c r="C4" s="18">
        <v>1.0</v>
      </c>
      <c r="D4" s="30" t="str">
        <f>('F Max'!$F4 - 'F Max'!D4)/'F Max'!$F4</f>
        <v>0.0000%</v>
      </c>
      <c r="E4" s="35" t="str">
        <f>('F Max'!$F4 - 'F Max'!E4)/'F Max'!$F4</f>
        <v>0.0328%</v>
      </c>
      <c r="F4" s="31"/>
      <c r="G4" s="31"/>
      <c r="H4" s="31"/>
      <c r="I4" s="21"/>
      <c r="J4" s="21"/>
      <c r="K4" s="21"/>
      <c r="L4" s="21"/>
      <c r="M4" s="21"/>
      <c r="N4" s="21"/>
      <c r="O4" s="21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8">
        <v>1000.0</v>
      </c>
      <c r="B5" s="18">
        <v>1.0</v>
      </c>
      <c r="C5" s="18">
        <v>2.0</v>
      </c>
      <c r="D5" s="30" t="str">
        <f>('F Max'!$F5 - 'F Max'!D5)/'F Max'!$F5</f>
        <v>0.0945%</v>
      </c>
      <c r="E5" s="35" t="str">
        <f>('F Max'!$F5 - 'F Max'!E5)/'F Max'!$F5</f>
        <v>0.0000%</v>
      </c>
      <c r="F5" s="31"/>
      <c r="G5" s="31"/>
      <c r="H5" s="31"/>
      <c r="I5" s="21"/>
      <c r="J5" s="21"/>
      <c r="K5" s="21"/>
      <c r="L5" s="21"/>
      <c r="M5" s="21"/>
      <c r="N5" s="21"/>
      <c r="O5" s="2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8">
        <v>1000.0</v>
      </c>
      <c r="B6" s="18">
        <v>1.0</v>
      </c>
      <c r="C6" s="18">
        <v>3.0</v>
      </c>
      <c r="D6" s="30" t="str">
        <f>('F Max'!$F6 - 'F Max'!D6)/'F Max'!$F6</f>
        <v>0.0000%</v>
      </c>
      <c r="E6" s="35" t="str">
        <f>('F Max'!$F6 - 'F Max'!E6)/'F Max'!$F6</f>
        <v>0.1141%</v>
      </c>
      <c r="F6" s="31"/>
      <c r="G6" s="31"/>
      <c r="H6" s="31"/>
      <c r="I6" s="21"/>
      <c r="J6" s="21"/>
      <c r="K6" s="21"/>
      <c r="L6" s="21"/>
      <c r="M6" s="21"/>
      <c r="N6" s="21"/>
      <c r="O6" s="2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8">
        <v>1000.0</v>
      </c>
      <c r="B7" s="18">
        <v>1.0</v>
      </c>
      <c r="C7" s="18">
        <v>4.0</v>
      </c>
      <c r="D7" s="30" t="str">
        <f>('F Max'!$F7 - 'F Max'!D7)/'F Max'!$F7</f>
        <v>0.1399%</v>
      </c>
      <c r="E7" s="35" t="str">
        <f>('F Max'!$F7 - 'F Max'!E7)/'F Max'!$F7</f>
        <v>0.0000%</v>
      </c>
      <c r="F7" s="31"/>
      <c r="G7" s="31"/>
      <c r="H7" s="31"/>
      <c r="I7" s="21"/>
      <c r="J7" s="21"/>
      <c r="K7" s="21"/>
      <c r="L7" s="21"/>
      <c r="M7" s="21"/>
      <c r="N7" s="21"/>
      <c r="O7" s="2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22">
        <v>1000.0</v>
      </c>
      <c r="B8" s="22">
        <v>1.0</v>
      </c>
      <c r="C8" s="22">
        <v>5.0</v>
      </c>
      <c r="D8" s="30" t="str">
        <f>('F Max'!$F8 - 'F Max'!D8)/'F Max'!$F8</f>
        <v>0.1931%</v>
      </c>
      <c r="E8" s="35" t="str">
        <f>('F Max'!$F8 - 'F Max'!E8)/'F Max'!$F8</f>
        <v>0.0000%</v>
      </c>
      <c r="F8" s="31"/>
      <c r="G8" s="31"/>
      <c r="H8" s="31"/>
      <c r="I8" s="21"/>
      <c r="J8" s="21"/>
      <c r="K8" s="21"/>
      <c r="L8" s="21"/>
      <c r="M8" s="21"/>
      <c r="N8" s="21"/>
      <c r="O8" s="2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8">
        <v>1000.0</v>
      </c>
      <c r="B9" s="18">
        <v>5.0</v>
      </c>
      <c r="C9" s="18">
        <v>1.0</v>
      </c>
      <c r="D9" s="30" t="str">
        <f>('F Max'!$F9 - 'F Max'!D9)/'F Max'!$F9</f>
        <v>0.0000%</v>
      </c>
      <c r="E9" s="35" t="str">
        <f>('F Max'!$F9 - 'F Max'!E9)/'F Max'!$F9</f>
        <v>0.1180%</v>
      </c>
      <c r="F9" s="31"/>
      <c r="G9" s="31"/>
      <c r="H9" s="31"/>
      <c r="I9" s="21"/>
      <c r="J9" s="21"/>
      <c r="K9" s="21"/>
      <c r="L9" s="21"/>
      <c r="M9" s="21"/>
      <c r="N9" s="21"/>
      <c r="O9" s="2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25">
        <v>1000.0</v>
      </c>
      <c r="B10" s="25">
        <v>5.0</v>
      </c>
      <c r="C10" s="25">
        <v>2.0</v>
      </c>
      <c r="D10" s="30" t="str">
        <f>('F Max'!$F10 - 'F Max'!D10)/'F Max'!$F10</f>
        <v>0.0314%</v>
      </c>
      <c r="E10" s="35" t="str">
        <f>('F Max'!$F10 - 'F Max'!E10)/'F Max'!$F10</f>
        <v>0.0000%</v>
      </c>
      <c r="F10" s="31"/>
      <c r="G10" s="31"/>
      <c r="H10" s="31"/>
      <c r="I10" s="21"/>
      <c r="J10" s="21"/>
      <c r="K10" s="21"/>
      <c r="L10" s="21"/>
      <c r="M10" s="21"/>
      <c r="N10" s="21"/>
      <c r="O10" s="2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8">
        <v>1000.0</v>
      </c>
      <c r="B11" s="18">
        <v>5.0</v>
      </c>
      <c r="C11" s="18">
        <v>3.0</v>
      </c>
      <c r="D11" s="30" t="str">
        <f>('F Max'!$F11 - 'F Max'!D11)/'F Max'!$F11</f>
        <v>0.1739%</v>
      </c>
      <c r="E11" s="35" t="str">
        <f>('F Max'!$F11 - 'F Max'!E11)/'F Max'!$F11</f>
        <v>0.0000%</v>
      </c>
      <c r="F11" s="31"/>
      <c r="G11" s="31"/>
      <c r="H11" s="31"/>
      <c r="I11" s="21"/>
      <c r="J11" s="21"/>
      <c r="K11" s="21"/>
      <c r="L11" s="21"/>
      <c r="M11" s="21"/>
      <c r="N11" s="21"/>
      <c r="O11" s="2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8">
        <v>1000.0</v>
      </c>
      <c r="B12" s="18">
        <v>5.0</v>
      </c>
      <c r="C12" s="18">
        <v>4.0</v>
      </c>
      <c r="D12" s="30" t="str">
        <f>('F Max'!$F12 - 'F Max'!D12)/'F Max'!$F12</f>
        <v>0.0000%</v>
      </c>
      <c r="E12" s="35" t="str">
        <f>('F Max'!$F12 - 'F Max'!E12)/'F Max'!$F12</f>
        <v>0.0181%</v>
      </c>
      <c r="F12" s="31"/>
      <c r="G12" s="31"/>
      <c r="H12" s="31"/>
      <c r="I12" s="21"/>
      <c r="J12" s="21"/>
      <c r="K12" s="21"/>
      <c r="L12" s="21"/>
      <c r="M12" s="21"/>
      <c r="N12" s="21"/>
      <c r="O12" s="2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8">
        <v>1000.0</v>
      </c>
      <c r="B13" s="18">
        <v>5.0</v>
      </c>
      <c r="C13" s="18">
        <v>5.0</v>
      </c>
      <c r="D13" s="30" t="str">
        <f>('F Max'!$F13 - 'F Max'!D13)/'F Max'!$F13</f>
        <v>0.1375%</v>
      </c>
      <c r="E13" s="35" t="str">
        <f>('F Max'!$F13 - 'F Max'!E13)/'F Max'!$F13</f>
        <v>0.0000%</v>
      </c>
      <c r="F13" s="31"/>
      <c r="G13" s="31"/>
      <c r="H13" s="31"/>
      <c r="I13" s="21"/>
      <c r="J13" s="21"/>
      <c r="K13" s="21"/>
      <c r="L13" s="21"/>
      <c r="M13" s="21"/>
      <c r="N13" s="21"/>
      <c r="O13" s="2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8">
        <v>1000.0</v>
      </c>
      <c r="B14" s="18">
        <v>10.0</v>
      </c>
      <c r="C14" s="18">
        <v>1.0</v>
      </c>
      <c r="D14" s="30" t="str">
        <f>('F Max'!$F14 - 'F Max'!D14)/'F Max'!$F14</f>
        <v>0.0000%</v>
      </c>
      <c r="E14" s="35" t="str">
        <f>('F Max'!$F14 - 'F Max'!E14)/'F Max'!$F14</f>
        <v>0.0289%</v>
      </c>
      <c r="F14" s="31"/>
      <c r="G14" s="31"/>
      <c r="H14" s="31"/>
      <c r="I14" s="21"/>
      <c r="J14" s="21"/>
      <c r="K14" s="21"/>
      <c r="L14" s="21"/>
      <c r="M14" s="21"/>
      <c r="N14" s="21"/>
      <c r="O14" s="2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8">
        <v>1000.0</v>
      </c>
      <c r="B15" s="18">
        <v>10.0</v>
      </c>
      <c r="C15" s="18">
        <v>2.0</v>
      </c>
      <c r="D15" s="30" t="str">
        <f>('F Max'!$F15 - 'F Max'!D15)/'F Max'!$F15</f>
        <v>0.0925%</v>
      </c>
      <c r="E15" s="35" t="str">
        <f>('F Max'!$F15 - 'F Max'!E15)/'F Max'!$F15</f>
        <v>0.0000%</v>
      </c>
      <c r="F15" s="31"/>
      <c r="G15" s="31"/>
      <c r="H15" s="31"/>
      <c r="I15" s="21"/>
      <c r="J15" s="21"/>
      <c r="K15" s="21"/>
      <c r="L15" s="21"/>
      <c r="M15" s="21"/>
      <c r="N15" s="21"/>
      <c r="O15" s="21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8">
        <v>1000.0</v>
      </c>
      <c r="B16" s="18">
        <v>10.0</v>
      </c>
      <c r="C16" s="18">
        <v>3.0</v>
      </c>
      <c r="D16" s="30" t="str">
        <f>('F Max'!$F16 - 'F Max'!D16)/'F Max'!$F16</f>
        <v>0.0001%</v>
      </c>
      <c r="E16" s="35" t="str">
        <f>('F Max'!$F16 - 'F Max'!E16)/'F Max'!$F16</f>
        <v>0.0000%</v>
      </c>
      <c r="F16" s="31"/>
      <c r="G16" s="31"/>
      <c r="H16" s="31"/>
      <c r="I16" s="21"/>
      <c r="J16" s="21"/>
      <c r="K16" s="21"/>
      <c r="L16" s="21"/>
      <c r="M16" s="21"/>
      <c r="N16" s="21"/>
      <c r="O16" s="21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8">
        <v>1000.0</v>
      </c>
      <c r="B17" s="18">
        <v>10.0</v>
      </c>
      <c r="C17" s="18">
        <v>4.0</v>
      </c>
      <c r="D17" s="30" t="str">
        <f>('F Max'!$F17 - 'F Max'!D17)/'F Max'!$F17</f>
        <v>0.0000%</v>
      </c>
      <c r="E17" s="35" t="str">
        <f>('F Max'!$F17 - 'F Max'!E17)/'F Max'!$F17</f>
        <v>0.0052%</v>
      </c>
      <c r="F17" s="31"/>
      <c r="G17" s="31"/>
      <c r="H17" s="31"/>
      <c r="I17" s="21"/>
      <c r="J17" s="21"/>
      <c r="K17" s="21"/>
      <c r="L17" s="21"/>
      <c r="M17" s="21"/>
      <c r="N17" s="21"/>
      <c r="O17" s="2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8">
        <v>1000.0</v>
      </c>
      <c r="B18" s="18">
        <v>10.0</v>
      </c>
      <c r="C18" s="18">
        <v>5.0</v>
      </c>
      <c r="D18" s="30" t="str">
        <f>('F Max'!$F18 - 'F Max'!D18)/'F Max'!$F18</f>
        <v>0.0000%</v>
      </c>
      <c r="E18" s="35" t="str">
        <f>('F Max'!$F18 - 'F Max'!E18)/'F Max'!$F18</f>
        <v>0.0472%</v>
      </c>
      <c r="F18" s="31"/>
      <c r="G18" s="31"/>
      <c r="H18" s="31"/>
      <c r="I18" s="2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1">
        <v>1000.0</v>
      </c>
      <c r="B19" s="11">
        <v>50.0</v>
      </c>
      <c r="C19" s="11">
        <v>1.0</v>
      </c>
      <c r="D19" s="30" t="str">
        <f>('F Max'!$F19 - 'F Max'!D19)/'F Max'!$F19</f>
        <v>0.0000%</v>
      </c>
      <c r="E19" s="35" t="str">
        <f>('F Max'!$F19 - 'F Max'!E19)/'F Max'!$F19</f>
        <v>0.0574%</v>
      </c>
      <c r="F19" s="31"/>
      <c r="G19" s="31"/>
      <c r="H19" s="31"/>
      <c r="I19" s="2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6">
        <v>1000.0</v>
      </c>
      <c r="B20" s="26">
        <v>50.0</v>
      </c>
      <c r="C20" s="26">
        <v>2.0</v>
      </c>
      <c r="D20" s="30" t="str">
        <f>('F Max'!$F20 - 'F Max'!D20)/'F Max'!$F20</f>
        <v>0.0470%</v>
      </c>
      <c r="E20" s="35" t="str">
        <f>('F Max'!$F20 - 'F Max'!E20)/'F Max'!$F20</f>
        <v>0.0000%</v>
      </c>
      <c r="F20" s="31"/>
      <c r="G20" s="31"/>
      <c r="H20" s="31"/>
      <c r="I20" s="21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26">
        <v>1000.0</v>
      </c>
      <c r="B21" s="26">
        <v>50.0</v>
      </c>
      <c r="C21" s="26">
        <v>3.0</v>
      </c>
      <c r="D21" s="30" t="str">
        <f>('F Max'!$F21 - 'F Max'!D21)/'F Max'!$F21</f>
        <v>0.0685%</v>
      </c>
      <c r="E21" s="35" t="str">
        <f>('F Max'!$F21 - 'F Max'!E21)/'F Max'!$F21</f>
        <v>0.0000%</v>
      </c>
      <c r="F21" s="31"/>
      <c r="G21" s="31"/>
      <c r="H21" s="31"/>
      <c r="I21" s="2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8">
        <v>1000.0</v>
      </c>
      <c r="B22" s="26">
        <v>50.0</v>
      </c>
      <c r="C22" s="26">
        <v>4.0</v>
      </c>
      <c r="D22" s="30" t="str">
        <f>('F Max'!$F22 - 'F Max'!D22)/'F Max'!$F22</f>
        <v>0.0304%</v>
      </c>
      <c r="E22" s="35" t="str">
        <f>('F Max'!$F22 - 'F Max'!E22)/'F Max'!$F22</f>
        <v>0.0000%</v>
      </c>
      <c r="F22" s="31"/>
      <c r="G22" s="31"/>
      <c r="H22" s="31"/>
      <c r="I22" s="2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26">
        <v>1000.0</v>
      </c>
      <c r="B23" s="26">
        <v>50.0</v>
      </c>
      <c r="C23" s="26">
        <v>5.0</v>
      </c>
      <c r="D23" s="30" t="str">
        <f>('F Max'!$F23 - 'F Max'!D23)/'F Max'!$F23</f>
        <v>0.0521%</v>
      </c>
      <c r="E23" s="35" t="str">
        <f>('F Max'!$F23 - 'F Max'!E23)/'F Max'!$F23</f>
        <v>0.0000%</v>
      </c>
      <c r="F23" s="31"/>
      <c r="G23" s="31"/>
      <c r="H23" s="31"/>
      <c r="I23" s="2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1">
        <v>1000.0</v>
      </c>
      <c r="B24" s="11">
        <v>100.0</v>
      </c>
      <c r="C24" s="11">
        <v>1.0</v>
      </c>
      <c r="D24" s="30" t="str">
        <f>('F Max'!$F24 - 'F Max'!D24)/'F Max'!$F24</f>
        <v>0.0053%</v>
      </c>
      <c r="E24" s="35" t="str">
        <f>('F Max'!$F24 - 'F Max'!E24)/'F Max'!$F24</f>
        <v>0.0000%</v>
      </c>
      <c r="F24" s="31"/>
      <c r="G24" s="31"/>
      <c r="H24" s="31"/>
      <c r="I24" s="21"/>
      <c r="J24" s="13"/>
      <c r="K24" s="13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8">
        <v>1000.0</v>
      </c>
      <c r="B25" s="27">
        <v>100.0</v>
      </c>
      <c r="C25" s="18">
        <v>2.0</v>
      </c>
      <c r="D25" s="30" t="str">
        <f>('F Max'!$F25 - 'F Max'!D25)/'F Max'!$F25</f>
        <v>0.0000%</v>
      </c>
      <c r="E25" s="35" t="str">
        <f>('F Max'!$F25 - 'F Max'!E25)/'F Max'!$F25</f>
        <v>0.0086%</v>
      </c>
      <c r="F25" s="31"/>
      <c r="G25" s="31"/>
      <c r="H25" s="31"/>
      <c r="I25" s="21"/>
      <c r="J25" s="28"/>
      <c r="K25" s="2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18">
        <v>1000.0</v>
      </c>
      <c r="B26" s="18">
        <v>100.0</v>
      </c>
      <c r="C26" s="18">
        <v>3.0</v>
      </c>
      <c r="D26" s="30" t="str">
        <f>('F Max'!$F26 - 'F Max'!D26)/'F Max'!$F26</f>
        <v>0.0000%</v>
      </c>
      <c r="E26" s="35" t="str">
        <f>('F Max'!$F26 - 'F Max'!E26)/'F Max'!$F26</f>
        <v>0.0353%</v>
      </c>
      <c r="F26" s="31"/>
      <c r="G26" s="31"/>
      <c r="H26" s="31"/>
      <c r="I26" s="21"/>
      <c r="J26" s="28"/>
      <c r="K26" s="28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18">
        <v>1000.0</v>
      </c>
      <c r="B27" s="18">
        <v>100.0</v>
      </c>
      <c r="C27" s="18">
        <v>4.0</v>
      </c>
      <c r="D27" s="30" t="str">
        <f>('F Max'!$F27 - 'F Max'!D27)/'F Max'!$F27</f>
        <v>0.0000%</v>
      </c>
      <c r="E27" s="35" t="str">
        <f>('F Max'!$F27 - 'F Max'!E27)/'F Max'!$F27</f>
        <v>0.0217%</v>
      </c>
      <c r="F27" s="31"/>
      <c r="G27" s="31"/>
      <c r="H27" s="31"/>
      <c r="I27" s="21"/>
      <c r="J27" s="28"/>
      <c r="K27" s="28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18">
        <v>1000.0</v>
      </c>
      <c r="B28" s="18">
        <v>100.0</v>
      </c>
      <c r="C28" s="18">
        <v>5.0</v>
      </c>
      <c r="D28" s="30" t="str">
        <f>('F Max'!$F28 - 'F Max'!D28)/'F Max'!$F28</f>
        <v>0.0002%</v>
      </c>
      <c r="E28" s="35" t="str">
        <f>('F Max'!$F28 - 'F Max'!E28)/'F Max'!$F28</f>
        <v>0.0000%</v>
      </c>
      <c r="F28" s="31"/>
      <c r="G28" s="31"/>
      <c r="H28" s="31"/>
      <c r="I28" s="21"/>
      <c r="J28" s="28"/>
      <c r="K28" s="28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28"/>
      <c r="B29" s="28"/>
      <c r="C29" s="28"/>
      <c r="D29" s="15"/>
      <c r="E29" s="13"/>
      <c r="F29" s="13"/>
      <c r="G29" s="13"/>
      <c r="H29" s="28"/>
      <c r="I29" s="28"/>
      <c r="J29" s="28"/>
      <c r="K29" s="28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3"/>
      <c r="B32" s="15"/>
      <c r="C32" s="15"/>
      <c r="D32" s="14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29"/>
      <c r="B33" s="29"/>
      <c r="C33" s="29"/>
      <c r="D33" s="14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15"/>
      <c r="B34" s="15"/>
      <c r="C34" s="15"/>
      <c r="D34" s="33"/>
      <c r="E34" s="3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15"/>
      <c r="B35" s="15"/>
      <c r="C35" s="15"/>
      <c r="D35" s="33"/>
      <c r="E35" s="33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15"/>
      <c r="B36" s="15"/>
      <c r="C36" s="15"/>
      <c r="D36" s="33"/>
      <c r="E36" s="33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5"/>
      <c r="B37" s="15"/>
      <c r="C37" s="15"/>
      <c r="D37" s="33"/>
      <c r="E37" s="33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15"/>
      <c r="B38" s="15"/>
      <c r="C38" s="15"/>
      <c r="D38" s="33"/>
      <c r="E38" s="33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5"/>
      <c r="B39" s="15"/>
      <c r="C39" s="15"/>
      <c r="D39" s="33"/>
      <c r="E39" s="33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15"/>
      <c r="B40" s="15"/>
      <c r="C40" s="15"/>
      <c r="D40" s="33"/>
      <c r="E40" s="33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5"/>
      <c r="B41" s="15"/>
      <c r="C41" s="15"/>
      <c r="D41" s="33"/>
      <c r="E41" s="33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15"/>
      <c r="B42" s="15"/>
      <c r="C42" s="15"/>
      <c r="D42" s="33"/>
      <c r="E42" s="3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15"/>
      <c r="B43" s="15"/>
      <c r="C43" s="15"/>
      <c r="D43" s="33"/>
      <c r="E43" s="33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15"/>
      <c r="B44" s="15"/>
      <c r="C44" s="15"/>
      <c r="D44" s="33"/>
      <c r="E44" s="3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15"/>
      <c r="B45" s="15"/>
      <c r="C45" s="15"/>
      <c r="D45" s="33"/>
      <c r="E45" s="33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15"/>
      <c r="B46" s="15"/>
      <c r="C46" s="15"/>
      <c r="D46" s="33"/>
      <c r="E46" s="33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15"/>
      <c r="B47" s="15"/>
      <c r="C47" s="15"/>
      <c r="D47" s="33"/>
      <c r="E47" s="33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15"/>
      <c r="B48" s="15"/>
      <c r="C48" s="15"/>
      <c r="D48" s="33"/>
      <c r="E48" s="33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15"/>
      <c r="B49" s="15"/>
      <c r="C49" s="15"/>
      <c r="D49" s="33"/>
      <c r="E49" s="33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15"/>
      <c r="B50" s="15"/>
      <c r="C50" s="15"/>
      <c r="D50" s="33"/>
      <c r="E50" s="33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33"/>
      <c r="E51" s="33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33"/>
      <c r="E52" s="33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33"/>
      <c r="E53" s="33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5"/>
      <c r="B54" s="15"/>
      <c r="C54" s="15"/>
      <c r="D54" s="33"/>
      <c r="E54" s="33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5"/>
      <c r="B55" s="15"/>
      <c r="C55" s="15"/>
      <c r="D55" s="33"/>
      <c r="E55" s="33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5"/>
      <c r="B56" s="15"/>
      <c r="C56" s="15"/>
      <c r="D56" s="33"/>
      <c r="E56" s="33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5"/>
      <c r="B57" s="15"/>
      <c r="C57" s="15"/>
      <c r="D57" s="33"/>
      <c r="E57" s="33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5"/>
      <c r="B58" s="15"/>
      <c r="C58" s="15"/>
      <c r="D58" s="33"/>
      <c r="E58" s="33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</sheetData>
  <conditionalFormatting sqref="D4:H28">
    <cfRule type="cellIs" dxfId="0" priority="1" operator="equal">
      <formula>0</formula>
    </cfRule>
  </conditionalFormatting>
  <drawing r:id="rId1"/>
</worksheet>
</file>