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Best Solution" sheetId="2" r:id="rId4"/>
    <sheet state="visible" name="Best Mean" sheetId="3" r:id="rId5"/>
    <sheet state="visible" name="Number of Runs" sheetId="4" r:id="rId6"/>
    <sheet state="visible" name="F Mean" sheetId="5" r:id="rId7"/>
    <sheet state="visible" name="F Mean Relative" sheetId="6" r:id="rId8"/>
    <sheet state="visible" name="Compare F Mean" sheetId="7" r:id="rId9"/>
    <sheet state="visible" name="Mean Number of Moves" sheetId="8" r:id="rId10"/>
    <sheet state="visible" name="F Max" sheetId="9" r:id="rId11"/>
    <sheet state="visible" name="F Relative Max" sheetId="10" r:id="rId12"/>
  </sheets>
  <definedNames>
    <definedName name="AllData">Data!$A$1:$M$126</definedName>
    <definedName name="Header">Data!$A$1:$M$1</definedName>
    <definedName name="drange">Data!$A$2:$M$126</definedName>
  </definedNames>
  <calcPr/>
</workbook>
</file>

<file path=xl/sharedStrings.xml><?xml version="1.0" encoding="utf-8"?>
<sst xmlns="http://schemas.openxmlformats.org/spreadsheetml/2006/main" count="319" uniqueCount="35">
  <si>
    <t>N</t>
  </si>
  <si>
    <t>Density</t>
  </si>
  <si>
    <t>Index</t>
  </si>
  <si>
    <t>ls_name</t>
  </si>
  <si>
    <t>move_strg</t>
  </si>
  <si>
    <t>rmr_duration</t>
  </si>
  <si>
    <t>number_of_runs</t>
  </si>
  <si>
    <t>fo_max</t>
  </si>
  <si>
    <t>fo_mean</t>
  </si>
  <si>
    <t>fo_sd</t>
  </si>
  <si>
    <t>n_moves_mean</t>
  </si>
  <si>
    <t>n_moves_sd</t>
  </si>
  <si>
    <t>mean_round_time[ms]</t>
  </si>
  <si>
    <t>n_moves2_mean</t>
  </si>
  <si>
    <t>mean2_round_time[ms]</t>
  </si>
  <si>
    <t>basic</t>
  </si>
  <si>
    <t>first_move</t>
  </si>
  <si>
    <t>basic(order2)</t>
  </si>
  <si>
    <t>Best F</t>
  </si>
  <si>
    <t>Algorithm</t>
  </si>
  <si>
    <t>Strategy</t>
  </si>
  <si>
    <t># Runs</t>
  </si>
  <si>
    <t>F Mean</t>
  </si>
  <si>
    <t>F SD</t>
  </si>
  <si>
    <t>(F_best - F_mean)/F_SD</t>
  </si>
  <si>
    <t>Field</t>
  </si>
  <si>
    <t>Best F Mean</t>
  </si>
  <si>
    <t>F Max</t>
  </si>
  <si>
    <t>% Distance from Best F</t>
  </si>
  <si>
    <t>Property</t>
  </si>
  <si>
    <t>Factor #Runs_1/#Runs_2</t>
  </si>
  <si>
    <t>20 sec</t>
  </si>
  <si>
    <t>30 sec</t>
  </si>
  <si>
    <t>(%20 - %30)/%20</t>
  </si>
  <si>
    <t>Relative Diff (#MV1 - #MV2)/#MV1]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</si>
</sst>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4">
    <font>
      <sz val="10.0"/>
      <color rgb="FF000000"/>
      <name val="Arial"/>
    </font>
    <font/>
    <font>
      <sz val="11.0"/>
      <color rgb="FF000000"/>
      <name val="Inconsolata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3" fontId="1" numFmtId="0" xfId="0" applyFont="1"/>
    <xf borderId="0" fillId="4" fontId="2" numFmtId="0" xfId="0" applyAlignment="1" applyFill="1" applyFont="1">
      <alignment/>
    </xf>
    <xf borderId="0" fillId="3" fontId="1" numFmtId="10" xfId="0" applyAlignment="1" applyFont="1" applyNumberFormat="1">
      <alignment/>
    </xf>
    <xf borderId="0" fillId="0" fontId="1" numFmtId="10" xfId="0" applyAlignment="1" applyFont="1" applyNumberFormat="1">
      <alignment/>
    </xf>
    <xf borderId="1" fillId="5" fontId="3" numFmtId="0" xfId="0" applyAlignment="1" applyBorder="1" applyFill="1" applyFont="1">
      <alignment/>
    </xf>
    <xf borderId="1" fillId="5" fontId="3" numFmtId="0" xfId="0" applyAlignment="1" applyBorder="1" applyFont="1">
      <alignment/>
    </xf>
    <xf borderId="2" fillId="5" fontId="3" numFmtId="0" xfId="0" applyAlignment="1" applyBorder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3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5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4" fillId="5" fontId="3" numFmtId="0" xfId="0" applyAlignment="1" applyBorder="1" applyFont="1">
      <alignment horizontal="right"/>
    </xf>
    <xf borderId="1" fillId="3" fontId="3" numFmtId="0" xfId="0" applyAlignment="1" applyBorder="1" applyFont="1">
      <alignment horizontal="right"/>
    </xf>
    <xf borderId="1" fillId="3" fontId="3" numFmtId="0" xfId="0" applyAlignment="1" applyBorder="1" applyFont="1">
      <alignment horizontal="right"/>
    </xf>
    <xf borderId="5" fillId="5" fontId="3" numFmtId="0" xfId="0" applyAlignment="1" applyBorder="1" applyFont="1">
      <alignment horizontal="right"/>
    </xf>
    <xf borderId="1" fillId="5" fontId="3" numFmtId="0" xfId="0" applyAlignment="1" applyBorder="1" applyFont="1">
      <alignment/>
    </xf>
    <xf borderId="1" fillId="5" fontId="1" numFmtId="0" xfId="0" applyBorder="1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1" fillId="0" fontId="3" numFmtId="164" xfId="0" applyAlignment="1" applyBorder="1" applyFont="1" applyNumberFormat="1">
      <alignment horizontal="right"/>
    </xf>
    <xf borderId="0" fillId="0" fontId="3" numFmtId="164" xfId="0" applyAlignment="1" applyFont="1" applyNumberFormat="1">
      <alignment horizontal="right"/>
    </xf>
    <xf borderId="1" fillId="3" fontId="3" numFmtId="164" xfId="0" applyAlignment="1" applyBorder="1" applyFont="1" applyNumberFormat="1">
      <alignment horizontal="right"/>
    </xf>
    <xf borderId="0" fillId="0" fontId="3" numFmtId="4" xfId="0" applyAlignment="1" applyFont="1" applyNumberFormat="1">
      <alignment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3" numFmtId="10" xfId="0" applyAlignment="1" applyFont="1" applyNumberFormat="1">
      <alignment/>
    </xf>
    <xf borderId="2" fillId="0" fontId="3" numFmtId="0" xfId="0" applyAlignment="1" applyBorder="1" applyFont="1">
      <alignment horizontal="right"/>
    </xf>
    <xf borderId="2" fillId="0" fontId="3" numFmtId="164" xfId="0" applyAlignment="1" applyBorder="1" applyFont="1" applyNumberForma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5.57"/>
    <col customWidth="1" min="4" max="4" width="11.71"/>
    <col customWidth="1" min="5" max="5" width="9.71"/>
    <col customWidth="1" min="6" max="6" width="11.29"/>
    <col customWidth="1" min="7" max="7" width="14.29"/>
    <col customWidth="1" min="8" max="8" width="9.0"/>
    <col customWidth="1" min="9" max="10" width="11.57"/>
    <col customWidth="1" min="11" max="11" width="14.14"/>
    <col customWidth="1" min="12" max="12" width="11.57"/>
    <col customWidth="1" min="13" max="13" width="15.71"/>
    <col customWidth="1" min="14" max="14" width="15.14"/>
    <col customWidth="1" min="15" max="15" width="20.43"/>
    <col customWidth="1" min="16" max="16" width="14.14"/>
    <col customWidth="1" min="17" max="17" width="11.57"/>
    <col customWidth="1" min="18" max="18" width="15.14"/>
    <col customWidth="1" min="19" max="19" width="16.71"/>
    <col customWidth="1" min="20" max="20" width="10.57"/>
    <col customWidth="1" min="21" max="26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>
      <c r="A2" s="3">
        <v>1000.0</v>
      </c>
      <c r="B2" s="3">
        <v>1.0</v>
      </c>
      <c r="C2" s="3">
        <v>1.0</v>
      </c>
      <c r="D2" s="3" t="s">
        <v>15</v>
      </c>
      <c r="E2" s="3" t="s">
        <v>16</v>
      </c>
      <c r="F2" s="3">
        <v>30.0</v>
      </c>
      <c r="G2" s="3">
        <v>215.0</v>
      </c>
      <c r="H2" s="3">
        <v>210176.0</v>
      </c>
      <c r="I2" s="3">
        <v>208491.595349</v>
      </c>
      <c r="J2" s="3">
        <v>760.78501</v>
      </c>
      <c r="K2" s="3">
        <v>1058.72093</v>
      </c>
      <c r="L2" s="3">
        <v>31.776345</v>
      </c>
      <c r="M2" s="3">
        <v>0.0</v>
      </c>
      <c r="N2" s="3">
        <v>0.0</v>
      </c>
      <c r="O2" s="3">
        <v>0.0</v>
      </c>
      <c r="P2" s="3"/>
      <c r="Q2" s="3"/>
      <c r="R2" s="3"/>
      <c r="S2" s="3"/>
      <c r="T2" s="3"/>
    </row>
    <row r="3">
      <c r="A3" s="3">
        <v>1000.0</v>
      </c>
      <c r="B3" s="3">
        <v>1.0</v>
      </c>
      <c r="C3" s="3">
        <v>1.0</v>
      </c>
      <c r="D3" s="3" t="s">
        <v>17</v>
      </c>
      <c r="E3" s="3" t="s">
        <v>16</v>
      </c>
      <c r="F3" s="3">
        <v>30.001</v>
      </c>
      <c r="G3" s="3">
        <v>86.0</v>
      </c>
      <c r="H3" s="3">
        <v>210187.0</v>
      </c>
      <c r="I3" s="3">
        <v>209038.767442</v>
      </c>
      <c r="J3" s="3">
        <v>555.228461</v>
      </c>
      <c r="K3" s="3">
        <v>1078.162791</v>
      </c>
      <c r="L3" s="3">
        <v>27.357606</v>
      </c>
      <c r="M3" s="3">
        <v>0.0</v>
      </c>
      <c r="N3" s="3">
        <v>5.093023</v>
      </c>
      <c r="O3" s="3">
        <v>1.965116</v>
      </c>
      <c r="P3" s="3"/>
      <c r="Q3" s="3"/>
      <c r="R3" s="3"/>
      <c r="S3" s="3"/>
      <c r="T3" s="3"/>
    </row>
    <row r="4">
      <c r="A4" s="3">
        <v>1000.0</v>
      </c>
      <c r="B4" s="3">
        <v>1.0</v>
      </c>
      <c r="C4" s="3">
        <v>2.0</v>
      </c>
      <c r="D4" s="3" t="s">
        <v>15</v>
      </c>
      <c r="E4" s="3" t="s">
        <v>16</v>
      </c>
      <c r="F4" s="3">
        <v>30.0</v>
      </c>
      <c r="G4" s="3">
        <v>207.0</v>
      </c>
      <c r="H4" s="3">
        <v>206079.0</v>
      </c>
      <c r="I4" s="3">
        <v>204430.888889</v>
      </c>
      <c r="J4" s="3">
        <v>2774.313355</v>
      </c>
      <c r="K4" s="3">
        <v>1055.217391</v>
      </c>
      <c r="L4" s="3">
        <v>52.660485</v>
      </c>
      <c r="M4" s="3">
        <v>0.0</v>
      </c>
      <c r="N4" s="3">
        <v>0.0</v>
      </c>
      <c r="O4" s="3">
        <v>0.0</v>
      </c>
      <c r="P4" s="3"/>
      <c r="Q4" s="3"/>
      <c r="R4" s="3"/>
      <c r="S4" s="3"/>
      <c r="T4" s="3"/>
    </row>
    <row r="5">
      <c r="A5" s="3">
        <v>1000.0</v>
      </c>
      <c r="B5" s="3">
        <v>1.0</v>
      </c>
      <c r="C5" s="3">
        <v>2.0</v>
      </c>
      <c r="D5" s="3" t="s">
        <v>17</v>
      </c>
      <c r="E5" s="3" t="s">
        <v>16</v>
      </c>
      <c r="F5" s="3">
        <v>30.006</v>
      </c>
      <c r="G5" s="3">
        <v>85.0</v>
      </c>
      <c r="H5" s="3">
        <v>206514.0</v>
      </c>
      <c r="I5" s="3">
        <v>204998.070588</v>
      </c>
      <c r="J5" s="3">
        <v>552.768982</v>
      </c>
      <c r="K5" s="3">
        <v>1076.105882</v>
      </c>
      <c r="L5" s="3">
        <v>29.258291</v>
      </c>
      <c r="M5" s="3">
        <v>0.0</v>
      </c>
      <c r="N5" s="3">
        <v>5.0</v>
      </c>
      <c r="O5" s="3">
        <v>1.835294</v>
      </c>
      <c r="P5" s="3"/>
      <c r="Q5" s="3"/>
      <c r="R5" s="3"/>
      <c r="S5" s="3"/>
      <c r="T5" s="3"/>
    </row>
    <row r="6">
      <c r="A6" s="3">
        <v>1000.0</v>
      </c>
      <c r="B6" s="3">
        <v>1.0</v>
      </c>
      <c r="C6" s="3">
        <v>3.0</v>
      </c>
      <c r="D6" s="3" t="s">
        <v>15</v>
      </c>
      <c r="E6" s="3" t="s">
        <v>16</v>
      </c>
      <c r="F6" s="3">
        <v>30.0</v>
      </c>
      <c r="G6" s="3">
        <v>233.0</v>
      </c>
      <c r="H6" s="3">
        <v>204650.0</v>
      </c>
      <c r="I6" s="3">
        <v>203189.957082</v>
      </c>
      <c r="J6" s="3">
        <v>1274.10309</v>
      </c>
      <c r="K6" s="3">
        <v>1049.562232</v>
      </c>
      <c r="L6" s="3">
        <v>38.192046</v>
      </c>
      <c r="M6" s="3">
        <v>0.0</v>
      </c>
      <c r="N6" s="3">
        <v>0.0</v>
      </c>
      <c r="O6" s="3">
        <v>0.0</v>
      </c>
      <c r="P6" s="3"/>
      <c r="Q6" s="3"/>
      <c r="R6" s="3"/>
      <c r="S6" s="3"/>
      <c r="T6" s="3"/>
    </row>
    <row r="7">
      <c r="A7" s="3">
        <v>1000.0</v>
      </c>
      <c r="B7" s="3">
        <v>1.0</v>
      </c>
      <c r="C7" s="3">
        <v>3.0</v>
      </c>
      <c r="D7" s="3" t="s">
        <v>17</v>
      </c>
      <c r="E7" s="3" t="s">
        <v>16</v>
      </c>
      <c r="F7" s="3">
        <v>30.0</v>
      </c>
      <c r="G7" s="3">
        <v>95.0</v>
      </c>
      <c r="H7" s="3">
        <v>205006.0</v>
      </c>
      <c r="I7" s="3">
        <v>203484.747368</v>
      </c>
      <c r="J7" s="3">
        <v>878.59148</v>
      </c>
      <c r="K7" s="3">
        <v>1059.968421</v>
      </c>
      <c r="L7" s="3">
        <v>31.687438</v>
      </c>
      <c r="M7" s="3">
        <v>0.0</v>
      </c>
      <c r="N7" s="3">
        <v>4.4</v>
      </c>
      <c r="O7" s="3">
        <v>2.021053</v>
      </c>
      <c r="P7" s="3"/>
      <c r="Q7" s="3"/>
      <c r="R7" s="3"/>
      <c r="S7" s="3"/>
      <c r="T7" s="3"/>
    </row>
    <row r="8">
      <c r="A8" s="3">
        <v>1000.0</v>
      </c>
      <c r="B8" s="3">
        <v>1.0</v>
      </c>
      <c r="C8" s="3">
        <v>4.0</v>
      </c>
      <c r="D8" s="3" t="s">
        <v>15</v>
      </c>
      <c r="E8" s="3" t="s">
        <v>16</v>
      </c>
      <c r="F8" s="3">
        <v>30.0</v>
      </c>
      <c r="G8" s="3">
        <v>195.0</v>
      </c>
      <c r="H8" s="3">
        <v>213649.0</v>
      </c>
      <c r="I8" s="3">
        <v>211838.071795</v>
      </c>
      <c r="J8" s="3">
        <v>697.134108</v>
      </c>
      <c r="K8" s="3">
        <v>1071.666667</v>
      </c>
      <c r="L8" s="3">
        <v>30.258488</v>
      </c>
      <c r="M8" s="3">
        <v>0.0</v>
      </c>
      <c r="N8" s="3">
        <v>0.0</v>
      </c>
      <c r="O8" s="3">
        <v>0.0</v>
      </c>
      <c r="P8" s="3"/>
      <c r="Q8" s="3"/>
      <c r="R8" s="3"/>
      <c r="S8" s="3"/>
      <c r="T8" s="3"/>
    </row>
    <row r="9">
      <c r="A9" s="3">
        <v>1000.0</v>
      </c>
      <c r="B9" s="3">
        <v>1.0</v>
      </c>
      <c r="C9" s="3">
        <v>4.0</v>
      </c>
      <c r="D9" s="3" t="s">
        <v>17</v>
      </c>
      <c r="E9" s="3" t="s">
        <v>16</v>
      </c>
      <c r="F9" s="3">
        <v>30.0</v>
      </c>
      <c r="G9" s="3">
        <v>85.0</v>
      </c>
      <c r="H9" s="3">
        <v>213473.0</v>
      </c>
      <c r="I9" s="3">
        <v>212167.105882</v>
      </c>
      <c r="J9" s="3">
        <v>592.253821</v>
      </c>
      <c r="K9" s="3">
        <v>1085.541176</v>
      </c>
      <c r="L9" s="3">
        <v>28.967143</v>
      </c>
      <c r="M9" s="3">
        <v>0.0</v>
      </c>
      <c r="N9" s="3">
        <v>4.541176</v>
      </c>
      <c r="O9" s="3">
        <v>2.223529</v>
      </c>
      <c r="P9" s="3"/>
      <c r="Q9" s="3"/>
      <c r="R9" s="3"/>
      <c r="S9" s="3"/>
      <c r="T9" s="3"/>
    </row>
    <row r="10">
      <c r="A10" s="3">
        <v>1000.0</v>
      </c>
      <c r="B10" s="3">
        <v>1.0</v>
      </c>
      <c r="C10" s="3">
        <v>5.0</v>
      </c>
      <c r="D10" s="3" t="s">
        <v>15</v>
      </c>
      <c r="E10" s="3" t="s">
        <v>16</v>
      </c>
      <c r="F10" s="3">
        <v>30.0</v>
      </c>
      <c r="G10" s="3">
        <v>230.0</v>
      </c>
      <c r="H10" s="3">
        <v>211565.0</v>
      </c>
      <c r="I10" s="3">
        <v>209636.091304</v>
      </c>
      <c r="J10" s="3">
        <v>5127.848932</v>
      </c>
      <c r="K10" s="3">
        <v>1059.013043</v>
      </c>
      <c r="L10" s="3">
        <v>71.995017</v>
      </c>
      <c r="M10" s="3">
        <v>0.0</v>
      </c>
      <c r="N10" s="3">
        <v>0.0</v>
      </c>
      <c r="O10" s="3">
        <v>0.0</v>
      </c>
      <c r="P10" s="3"/>
      <c r="Q10" s="3"/>
      <c r="R10" s="3"/>
      <c r="S10" s="3"/>
      <c r="T10" s="3"/>
    </row>
    <row r="11">
      <c r="A11" s="3">
        <v>1000.0</v>
      </c>
      <c r="B11" s="3">
        <v>1.0</v>
      </c>
      <c r="C11" s="3">
        <v>5.0</v>
      </c>
      <c r="D11" s="3" t="s">
        <v>17</v>
      </c>
      <c r="E11" s="3" t="s">
        <v>16</v>
      </c>
      <c r="F11" s="3">
        <v>30.012</v>
      </c>
      <c r="G11" s="3">
        <v>91.0</v>
      </c>
      <c r="H11" s="3">
        <v>211464.0</v>
      </c>
      <c r="I11" s="3">
        <v>210336.142857</v>
      </c>
      <c r="J11" s="3">
        <v>570.607515</v>
      </c>
      <c r="K11" s="3">
        <v>1078.692308</v>
      </c>
      <c r="L11" s="3">
        <v>32.489624</v>
      </c>
      <c r="M11" s="3">
        <v>0.0</v>
      </c>
      <c r="N11" s="3">
        <v>5.010989</v>
      </c>
      <c r="O11" s="3">
        <v>1.758242</v>
      </c>
      <c r="P11" s="3"/>
      <c r="Q11" s="3"/>
      <c r="R11" s="3"/>
      <c r="S11" s="3"/>
      <c r="T11" s="3"/>
    </row>
    <row r="12">
      <c r="A12" s="3">
        <v>1000.0</v>
      </c>
      <c r="B12" s="3">
        <v>5.0</v>
      </c>
      <c r="C12" s="3">
        <v>1.0</v>
      </c>
      <c r="D12" s="3" t="s">
        <v>15</v>
      </c>
      <c r="E12" s="3" t="s">
        <v>16</v>
      </c>
      <c r="F12" s="3">
        <v>30.0</v>
      </c>
      <c r="G12" s="3">
        <v>128.0</v>
      </c>
      <c r="H12" s="3">
        <v>858342.0</v>
      </c>
      <c r="I12" s="3">
        <v>853971.453125</v>
      </c>
      <c r="J12" s="3">
        <v>1790.496295</v>
      </c>
      <c r="K12" s="3">
        <v>1773.75</v>
      </c>
      <c r="L12" s="3">
        <v>59.747908</v>
      </c>
      <c r="M12" s="3">
        <v>0.0</v>
      </c>
      <c r="N12" s="3">
        <v>0.0</v>
      </c>
      <c r="O12" s="3">
        <v>0.0</v>
      </c>
      <c r="P12" s="3"/>
      <c r="Q12" s="3"/>
      <c r="R12" s="3"/>
      <c r="S12" s="3"/>
      <c r="T12" s="3"/>
    </row>
    <row r="13">
      <c r="A13" s="3">
        <v>1000.0</v>
      </c>
      <c r="B13" s="3">
        <v>5.0</v>
      </c>
      <c r="C13" s="3">
        <v>1.0</v>
      </c>
      <c r="D13" s="3" t="s">
        <v>17</v>
      </c>
      <c r="E13" s="3" t="s">
        <v>16</v>
      </c>
      <c r="F13" s="3">
        <v>30.008</v>
      </c>
      <c r="G13" s="3">
        <v>34.0</v>
      </c>
      <c r="H13" s="3">
        <v>858115.0</v>
      </c>
      <c r="I13" s="3">
        <v>856004.205882</v>
      </c>
      <c r="J13" s="3">
        <v>1246.340992</v>
      </c>
      <c r="K13" s="3">
        <v>1840.647059</v>
      </c>
      <c r="L13" s="3">
        <v>52.475699</v>
      </c>
      <c r="M13" s="3">
        <v>0.0</v>
      </c>
      <c r="N13" s="3">
        <v>11.058824</v>
      </c>
      <c r="O13" s="3">
        <v>7.588235</v>
      </c>
      <c r="P13" s="3"/>
      <c r="Q13" s="3"/>
      <c r="R13" s="3"/>
      <c r="S13" s="3"/>
      <c r="T13" s="3"/>
    </row>
    <row r="14">
      <c r="A14" s="3">
        <v>1000.0</v>
      </c>
      <c r="B14" s="3">
        <v>5.0</v>
      </c>
      <c r="C14" s="3">
        <v>2.0</v>
      </c>
      <c r="D14" s="3" t="s">
        <v>15</v>
      </c>
      <c r="E14" s="3" t="s">
        <v>16</v>
      </c>
      <c r="F14" s="3">
        <v>30.0</v>
      </c>
      <c r="G14" s="3">
        <v>128.0</v>
      </c>
      <c r="H14" s="3">
        <v>861793.0</v>
      </c>
      <c r="I14" s="3">
        <v>858318.289063</v>
      </c>
      <c r="J14" s="3">
        <v>3578.074961</v>
      </c>
      <c r="K14" s="3">
        <v>1783.835938</v>
      </c>
      <c r="L14" s="3">
        <v>80.348147</v>
      </c>
      <c r="M14" s="3">
        <v>0.0</v>
      </c>
      <c r="N14" s="3">
        <v>0.0</v>
      </c>
      <c r="O14" s="3">
        <v>0.0</v>
      </c>
      <c r="P14" s="3"/>
      <c r="Q14" s="3"/>
      <c r="R14" s="3"/>
      <c r="S14" s="3"/>
      <c r="T14" s="3"/>
    </row>
    <row r="15">
      <c r="A15" s="3">
        <v>1000.0</v>
      </c>
      <c r="B15" s="3">
        <v>5.0</v>
      </c>
      <c r="C15" s="3">
        <v>2.0</v>
      </c>
      <c r="D15" s="3" t="s">
        <v>17</v>
      </c>
      <c r="E15" s="3" t="s">
        <v>16</v>
      </c>
      <c r="F15" s="3">
        <v>30.025</v>
      </c>
      <c r="G15" s="3">
        <v>37.0</v>
      </c>
      <c r="H15" s="3">
        <v>863748.0</v>
      </c>
      <c r="I15" s="3">
        <v>860183.432432</v>
      </c>
      <c r="J15" s="3">
        <v>1537.984036</v>
      </c>
      <c r="K15" s="3">
        <v>1847.72973</v>
      </c>
      <c r="L15" s="3">
        <v>48.232348</v>
      </c>
      <c r="M15" s="3">
        <v>0.0</v>
      </c>
      <c r="N15" s="3">
        <v>10.648649</v>
      </c>
      <c r="O15" s="3">
        <v>7.567568</v>
      </c>
      <c r="P15" s="3"/>
      <c r="Q15" s="3"/>
      <c r="R15" s="3"/>
      <c r="S15" s="3"/>
      <c r="T15" s="3"/>
    </row>
    <row r="16">
      <c r="A16" s="3">
        <v>1000.0</v>
      </c>
      <c r="B16" s="3">
        <v>5.0</v>
      </c>
      <c r="C16" s="3">
        <v>3.0</v>
      </c>
      <c r="D16" s="3" t="s">
        <v>15</v>
      </c>
      <c r="E16" s="3" t="s">
        <v>16</v>
      </c>
      <c r="F16" s="3">
        <v>30.0</v>
      </c>
      <c r="G16" s="3">
        <v>139.0</v>
      </c>
      <c r="H16" s="3">
        <v>866792.0</v>
      </c>
      <c r="I16" s="3">
        <v>863706.805755</v>
      </c>
      <c r="J16" s="3">
        <v>1636.132375</v>
      </c>
      <c r="K16" s="3">
        <v>1774.971223</v>
      </c>
      <c r="L16" s="3">
        <v>54.80245</v>
      </c>
      <c r="M16" s="3">
        <v>0.0</v>
      </c>
      <c r="N16" s="3">
        <v>0.0</v>
      </c>
      <c r="O16" s="3">
        <v>0.0</v>
      </c>
      <c r="P16" s="3"/>
      <c r="Q16" s="3"/>
      <c r="R16" s="3"/>
      <c r="S16" s="3"/>
      <c r="T16" s="3"/>
    </row>
    <row r="17">
      <c r="A17" s="3">
        <v>1000.0</v>
      </c>
      <c r="B17" s="3">
        <v>5.0</v>
      </c>
      <c r="C17" s="3">
        <v>3.0</v>
      </c>
      <c r="D17" s="3" t="s">
        <v>17</v>
      </c>
      <c r="E17" s="3" t="s">
        <v>16</v>
      </c>
      <c r="F17" s="3">
        <v>30.0</v>
      </c>
      <c r="G17" s="3">
        <v>36.0</v>
      </c>
      <c r="H17" s="3">
        <v>869682.0</v>
      </c>
      <c r="I17" s="3">
        <v>862240.055556</v>
      </c>
      <c r="J17" s="3">
        <v>20772.820719</v>
      </c>
      <c r="K17" s="3">
        <v>1831.0</v>
      </c>
      <c r="L17" s="3">
        <v>242.065648</v>
      </c>
      <c r="M17" s="3">
        <v>0.0</v>
      </c>
      <c r="N17" s="3">
        <v>12.277778</v>
      </c>
      <c r="O17" s="3">
        <v>7.25</v>
      </c>
      <c r="P17" s="3"/>
      <c r="Q17" s="3"/>
      <c r="R17" s="3"/>
      <c r="S17" s="3"/>
      <c r="T17" s="3"/>
    </row>
    <row r="18">
      <c r="A18" s="3">
        <v>1000.0</v>
      </c>
      <c r="B18" s="3">
        <v>5.0</v>
      </c>
      <c r="C18" s="3">
        <v>4.0</v>
      </c>
      <c r="D18" s="3" t="s">
        <v>15</v>
      </c>
      <c r="E18" s="3" t="s">
        <v>16</v>
      </c>
      <c r="F18" s="3">
        <v>30.01</v>
      </c>
      <c r="G18" s="3">
        <v>144.0</v>
      </c>
      <c r="H18" s="3">
        <v>866732.0</v>
      </c>
      <c r="I18" s="3">
        <v>863140.979167</v>
      </c>
      <c r="J18" s="3">
        <v>1428.384317</v>
      </c>
      <c r="K18" s="3">
        <v>1771.3125</v>
      </c>
      <c r="L18" s="3">
        <v>55.074882</v>
      </c>
      <c r="M18" s="3">
        <v>0.0</v>
      </c>
      <c r="N18" s="3">
        <v>0.0</v>
      </c>
      <c r="O18" s="3">
        <v>0.0</v>
      </c>
      <c r="P18" s="3"/>
      <c r="Q18" s="3"/>
      <c r="R18" s="3"/>
      <c r="S18" s="3"/>
      <c r="T18" s="3"/>
    </row>
    <row r="19">
      <c r="A19" s="3">
        <v>1000.0</v>
      </c>
      <c r="B19" s="3">
        <v>5.0</v>
      </c>
      <c r="C19" s="3">
        <v>4.0</v>
      </c>
      <c r="D19" s="3" t="s">
        <v>17</v>
      </c>
      <c r="E19" s="3" t="s">
        <v>16</v>
      </c>
      <c r="F19" s="3">
        <v>30.01</v>
      </c>
      <c r="G19" s="3">
        <v>34.0</v>
      </c>
      <c r="H19" s="3">
        <v>867754.0</v>
      </c>
      <c r="I19" s="3">
        <v>864908.088235</v>
      </c>
      <c r="J19" s="3">
        <v>1441.749802</v>
      </c>
      <c r="K19" s="3">
        <v>1833.352941</v>
      </c>
      <c r="L19" s="3">
        <v>59.688841</v>
      </c>
      <c r="M19" s="3">
        <v>0.0</v>
      </c>
      <c r="N19" s="3">
        <v>12.852941</v>
      </c>
      <c r="O19" s="3">
        <v>6.588235</v>
      </c>
      <c r="P19" s="3"/>
      <c r="Q19" s="3"/>
      <c r="R19" s="3"/>
      <c r="S19" s="3"/>
      <c r="T19" s="3"/>
    </row>
    <row r="20">
      <c r="A20" s="3">
        <v>1000.0</v>
      </c>
      <c r="B20" s="3">
        <v>5.0</v>
      </c>
      <c r="C20" s="3">
        <v>5.0</v>
      </c>
      <c r="D20" s="3" t="s">
        <v>15</v>
      </c>
      <c r="E20" s="3" t="s">
        <v>16</v>
      </c>
      <c r="F20" s="3">
        <v>30.0</v>
      </c>
      <c r="G20" s="3">
        <v>144.0</v>
      </c>
      <c r="H20" s="3">
        <v>860732.0</v>
      </c>
      <c r="I20" s="3">
        <v>857044.104167</v>
      </c>
      <c r="J20" s="3">
        <v>3181.786801</v>
      </c>
      <c r="K20" s="3">
        <v>1770.493056</v>
      </c>
      <c r="L20" s="3">
        <v>78.309127</v>
      </c>
      <c r="M20" s="3">
        <v>0.0</v>
      </c>
      <c r="N20" s="3">
        <v>0.0</v>
      </c>
      <c r="O20" s="3">
        <v>0.0</v>
      </c>
      <c r="P20" s="3"/>
      <c r="Q20" s="3"/>
      <c r="R20" s="3"/>
      <c r="S20" s="3"/>
      <c r="T20" s="3"/>
    </row>
    <row r="21">
      <c r="A21" s="3">
        <v>1000.0</v>
      </c>
      <c r="B21" s="3">
        <v>5.0</v>
      </c>
      <c r="C21" s="3">
        <v>5.0</v>
      </c>
      <c r="D21" s="3" t="s">
        <v>17</v>
      </c>
      <c r="E21" s="3" t="s">
        <v>16</v>
      </c>
      <c r="F21" s="3">
        <v>30.006</v>
      </c>
      <c r="G21" s="3">
        <v>39.0</v>
      </c>
      <c r="H21" s="3">
        <v>862624.0</v>
      </c>
      <c r="I21" s="3">
        <v>859228.487179</v>
      </c>
      <c r="J21" s="3">
        <v>1572.882474</v>
      </c>
      <c r="K21" s="3">
        <v>1853.897436</v>
      </c>
      <c r="L21" s="3">
        <v>71.856622</v>
      </c>
      <c r="M21" s="3">
        <v>0.0</v>
      </c>
      <c r="N21" s="3">
        <v>10.230769</v>
      </c>
      <c r="O21" s="3">
        <v>7.25641</v>
      </c>
      <c r="P21" s="3"/>
      <c r="Q21" s="3"/>
      <c r="R21" s="3"/>
      <c r="S21" s="3"/>
      <c r="T21" s="3"/>
    </row>
    <row r="22">
      <c r="A22" s="3">
        <v>1000.0</v>
      </c>
      <c r="B22" s="3">
        <v>10.0</v>
      </c>
      <c r="C22" s="3">
        <v>1.0</v>
      </c>
      <c r="D22" s="3" t="s">
        <v>15</v>
      </c>
      <c r="E22" s="3" t="s">
        <v>16</v>
      </c>
      <c r="F22" s="3">
        <v>30.0</v>
      </c>
      <c r="G22" s="3">
        <v>106.0</v>
      </c>
      <c r="H22" s="3">
        <v>1609855.0</v>
      </c>
      <c r="I22" s="3">
        <v>1604205.603774</v>
      </c>
      <c r="J22" s="3">
        <v>2116.261913</v>
      </c>
      <c r="K22" s="3">
        <v>2116.471698</v>
      </c>
      <c r="L22" s="3">
        <v>72.842063</v>
      </c>
      <c r="M22" s="3">
        <v>0.0</v>
      </c>
      <c r="N22" s="3">
        <v>0.0</v>
      </c>
      <c r="O22" s="3">
        <v>0.0</v>
      </c>
      <c r="P22" s="3"/>
      <c r="Q22" s="3"/>
      <c r="R22" s="3"/>
      <c r="S22" s="3"/>
      <c r="T22" s="3"/>
    </row>
    <row r="23">
      <c r="A23" s="3">
        <v>1000.0</v>
      </c>
      <c r="B23" s="3">
        <v>10.0</v>
      </c>
      <c r="C23" s="3">
        <v>1.0</v>
      </c>
      <c r="D23" s="3" t="s">
        <v>17</v>
      </c>
      <c r="E23" s="3" t="s">
        <v>16</v>
      </c>
      <c r="F23" s="3">
        <v>30.044</v>
      </c>
      <c r="G23" s="3">
        <v>24.0</v>
      </c>
      <c r="H23" s="3">
        <v>1609312.0</v>
      </c>
      <c r="I23" s="3">
        <v>1606828.625</v>
      </c>
      <c r="J23" s="3">
        <v>2164.633741</v>
      </c>
      <c r="K23" s="3">
        <v>2225.75</v>
      </c>
      <c r="L23" s="3">
        <v>73.036663</v>
      </c>
      <c r="M23" s="3">
        <v>0.0</v>
      </c>
      <c r="N23" s="3">
        <v>14.041667</v>
      </c>
      <c r="O23" s="3">
        <v>13.916667</v>
      </c>
      <c r="P23" s="3"/>
      <c r="Q23" s="3"/>
      <c r="R23" s="3"/>
      <c r="S23" s="3"/>
      <c r="T23" s="3"/>
    </row>
    <row r="24">
      <c r="A24" s="3">
        <v>1000.0</v>
      </c>
      <c r="B24" s="3">
        <v>10.0</v>
      </c>
      <c r="C24" s="3">
        <v>2.0</v>
      </c>
      <c r="D24" s="3" t="s">
        <v>15</v>
      </c>
      <c r="E24" s="3" t="s">
        <v>16</v>
      </c>
      <c r="F24" s="3">
        <v>30.0</v>
      </c>
      <c r="G24" s="3">
        <v>107.0</v>
      </c>
      <c r="H24" s="3">
        <v>1628761.0</v>
      </c>
      <c r="I24" s="3">
        <v>1623773.981308</v>
      </c>
      <c r="J24" s="3">
        <v>1942.246618</v>
      </c>
      <c r="K24" s="3">
        <v>2132.401869</v>
      </c>
      <c r="L24" s="3">
        <v>73.62444</v>
      </c>
      <c r="M24" s="3">
        <v>0.0</v>
      </c>
      <c r="N24" s="3">
        <v>0.0</v>
      </c>
      <c r="O24" s="3">
        <v>0.0</v>
      </c>
      <c r="P24" s="3"/>
      <c r="Q24" s="3"/>
      <c r="R24" s="3"/>
      <c r="S24" s="3"/>
      <c r="T24" s="3"/>
    </row>
    <row r="25">
      <c r="A25" s="3">
        <v>1000.0</v>
      </c>
      <c r="B25" s="3">
        <v>10.0</v>
      </c>
      <c r="C25" s="3">
        <v>2.0</v>
      </c>
      <c r="D25" s="3" t="s">
        <v>17</v>
      </c>
      <c r="E25" s="3" t="s">
        <v>16</v>
      </c>
      <c r="F25" s="3">
        <v>30.008</v>
      </c>
      <c r="G25" s="3">
        <v>28.0</v>
      </c>
      <c r="H25" s="3">
        <v>1628535.0</v>
      </c>
      <c r="I25" s="3">
        <v>1626213.285714</v>
      </c>
      <c r="J25" s="3">
        <v>1624.904522</v>
      </c>
      <c r="K25" s="3">
        <v>2224.178571</v>
      </c>
      <c r="L25" s="3">
        <v>73.33244</v>
      </c>
      <c r="M25" s="3">
        <v>0.0</v>
      </c>
      <c r="N25" s="3">
        <v>11.214286</v>
      </c>
      <c r="O25" s="3">
        <v>15.607143</v>
      </c>
      <c r="P25" s="3"/>
      <c r="Q25" s="3"/>
      <c r="R25" s="3"/>
      <c r="S25" s="3"/>
      <c r="T25" s="3"/>
    </row>
    <row r="26">
      <c r="A26" s="3">
        <v>1000.0</v>
      </c>
      <c r="B26" s="3">
        <v>10.0</v>
      </c>
      <c r="C26" s="3">
        <v>3.0</v>
      </c>
      <c r="D26" s="3" t="s">
        <v>15</v>
      </c>
      <c r="E26" s="3" t="s">
        <v>16</v>
      </c>
      <c r="F26" s="3">
        <v>30.0</v>
      </c>
      <c r="G26" s="3">
        <v>126.0</v>
      </c>
      <c r="H26" s="3">
        <v>1628480.0</v>
      </c>
      <c r="I26" s="3">
        <v>1622341.944444</v>
      </c>
      <c r="J26" s="3">
        <v>5340.611992</v>
      </c>
      <c r="K26" s="3">
        <v>2095.81746</v>
      </c>
      <c r="L26" s="3">
        <v>107.354435</v>
      </c>
      <c r="M26" s="3">
        <v>0.0</v>
      </c>
      <c r="N26" s="3">
        <v>0.0</v>
      </c>
      <c r="O26" s="3">
        <v>0.0</v>
      </c>
      <c r="P26" s="3"/>
      <c r="Q26" s="3"/>
      <c r="R26" s="3"/>
      <c r="S26" s="3"/>
      <c r="T26" s="3"/>
    </row>
    <row r="27">
      <c r="A27" s="3">
        <v>1000.0</v>
      </c>
      <c r="B27" s="3">
        <v>10.0</v>
      </c>
      <c r="C27" s="3">
        <v>3.0</v>
      </c>
      <c r="D27" s="3" t="s">
        <v>17</v>
      </c>
      <c r="E27" s="3" t="s">
        <v>16</v>
      </c>
      <c r="F27" s="3">
        <v>30.019</v>
      </c>
      <c r="G27" s="3">
        <v>30.0</v>
      </c>
      <c r="H27" s="3">
        <v>1630108.0</v>
      </c>
      <c r="I27" s="3">
        <v>1625145.266667</v>
      </c>
      <c r="J27" s="3">
        <v>1847.574535</v>
      </c>
      <c r="K27" s="3">
        <v>2201.533333</v>
      </c>
      <c r="L27" s="3">
        <v>96.543162</v>
      </c>
      <c r="M27" s="3">
        <v>0.0</v>
      </c>
      <c r="N27" s="3">
        <v>12.766667</v>
      </c>
      <c r="O27" s="3">
        <v>13.4</v>
      </c>
      <c r="P27" s="3"/>
      <c r="Q27" s="3"/>
      <c r="R27" s="3"/>
      <c r="S27" s="3"/>
      <c r="T27" s="3"/>
    </row>
    <row r="28">
      <c r="A28" s="3">
        <v>1000.0</v>
      </c>
      <c r="B28" s="3">
        <v>10.0</v>
      </c>
      <c r="C28" s="3">
        <v>4.0</v>
      </c>
      <c r="D28" s="3" t="s">
        <v>15</v>
      </c>
      <c r="E28" s="3" t="s">
        <v>16</v>
      </c>
      <c r="F28" s="3">
        <v>30.0</v>
      </c>
      <c r="G28" s="3">
        <v>111.0</v>
      </c>
      <c r="H28" s="3">
        <v>1623657.0</v>
      </c>
      <c r="I28" s="3">
        <v>1618495.873874</v>
      </c>
      <c r="J28" s="3">
        <v>3030.131562</v>
      </c>
      <c r="K28" s="3">
        <v>2128.72973</v>
      </c>
      <c r="L28" s="3">
        <v>85.152322</v>
      </c>
      <c r="M28" s="3">
        <v>0.0</v>
      </c>
      <c r="N28" s="3">
        <v>0.0</v>
      </c>
      <c r="O28" s="3">
        <v>0.0</v>
      </c>
      <c r="P28" s="3"/>
      <c r="Q28" s="3"/>
      <c r="R28" s="3"/>
      <c r="S28" s="3"/>
      <c r="T28" s="3"/>
    </row>
    <row r="29">
      <c r="A29" s="3">
        <v>1000.0</v>
      </c>
      <c r="B29" s="3">
        <v>10.0</v>
      </c>
      <c r="C29" s="3">
        <v>4.0</v>
      </c>
      <c r="D29" s="3" t="s">
        <v>17</v>
      </c>
      <c r="E29" s="3" t="s">
        <v>16</v>
      </c>
      <c r="F29" s="3">
        <v>30.007</v>
      </c>
      <c r="G29" s="3">
        <v>27.0</v>
      </c>
      <c r="H29" s="3">
        <v>1624521.0</v>
      </c>
      <c r="I29" s="3">
        <v>1620910.444444</v>
      </c>
      <c r="J29" s="3">
        <v>2021.804682</v>
      </c>
      <c r="K29" s="3">
        <v>2215.222222</v>
      </c>
      <c r="L29" s="3">
        <v>73.205107</v>
      </c>
      <c r="M29" s="3">
        <v>0.0</v>
      </c>
      <c r="N29" s="3">
        <v>13.0</v>
      </c>
      <c r="O29" s="3">
        <v>12.888889</v>
      </c>
      <c r="P29" s="3"/>
      <c r="Q29" s="3"/>
      <c r="R29" s="3"/>
      <c r="S29" s="3"/>
      <c r="T29" s="3"/>
    </row>
    <row r="30">
      <c r="A30" s="3">
        <v>1000.0</v>
      </c>
      <c r="B30" s="3">
        <v>10.0</v>
      </c>
      <c r="C30" s="3">
        <v>5.0</v>
      </c>
      <c r="D30" s="3" t="s">
        <v>15</v>
      </c>
      <c r="E30" s="3" t="s">
        <v>16</v>
      </c>
      <c r="F30" s="3">
        <v>30.002</v>
      </c>
      <c r="G30" s="3">
        <v>97.0</v>
      </c>
      <c r="H30" s="3">
        <v>1622778.0</v>
      </c>
      <c r="I30" s="3">
        <v>1618254.402062</v>
      </c>
      <c r="J30" s="3">
        <v>2048.77882</v>
      </c>
      <c r="K30" s="3">
        <v>2129.85567</v>
      </c>
      <c r="L30" s="3">
        <v>70.037396</v>
      </c>
      <c r="M30" s="3">
        <v>0.0</v>
      </c>
      <c r="N30" s="3">
        <v>0.0</v>
      </c>
      <c r="O30" s="3">
        <v>0.0</v>
      </c>
      <c r="P30" s="3"/>
      <c r="Q30" s="3"/>
      <c r="R30" s="3"/>
      <c r="S30" s="3"/>
      <c r="T30" s="3"/>
    </row>
    <row r="31">
      <c r="A31" s="3">
        <v>1000.0</v>
      </c>
      <c r="B31" s="3">
        <v>10.0</v>
      </c>
      <c r="C31" s="3">
        <v>5.0</v>
      </c>
      <c r="D31" s="3" t="s">
        <v>17</v>
      </c>
      <c r="E31" s="3" t="s">
        <v>16</v>
      </c>
      <c r="F31" s="3">
        <v>30.006</v>
      </c>
      <c r="G31" s="3">
        <v>25.0</v>
      </c>
      <c r="H31" s="3">
        <v>1623760.0</v>
      </c>
      <c r="I31" s="3">
        <v>1619793.56</v>
      </c>
      <c r="J31" s="3">
        <v>1913.836964</v>
      </c>
      <c r="K31" s="3">
        <v>2206.68</v>
      </c>
      <c r="L31" s="3">
        <v>78.780058</v>
      </c>
      <c r="M31" s="3">
        <v>0.0</v>
      </c>
      <c r="N31" s="3">
        <v>13.4</v>
      </c>
      <c r="O31" s="3">
        <v>15.12</v>
      </c>
      <c r="P31" s="3"/>
      <c r="Q31" s="3"/>
      <c r="R31" s="3"/>
      <c r="S31" s="3"/>
      <c r="T31" s="3"/>
    </row>
    <row r="32">
      <c r="A32" s="3">
        <v>1000.0</v>
      </c>
      <c r="B32" s="3">
        <v>50.0</v>
      </c>
      <c r="C32" s="3">
        <v>1.0</v>
      </c>
      <c r="D32" s="3" t="s">
        <v>15</v>
      </c>
      <c r="E32" s="3" t="s">
        <v>16</v>
      </c>
      <c r="F32" s="3">
        <v>30.004</v>
      </c>
      <c r="G32" s="3">
        <v>81.0</v>
      </c>
      <c r="H32" s="3">
        <v>8078180.0</v>
      </c>
      <c r="I32" s="3">
        <v>8069146.728395</v>
      </c>
      <c r="J32" s="3">
        <v>4448.222678</v>
      </c>
      <c r="K32" s="3">
        <v>2984.135802</v>
      </c>
      <c r="L32" s="3">
        <v>120.318687</v>
      </c>
      <c r="M32" s="3">
        <v>0.0</v>
      </c>
      <c r="N32" s="3">
        <v>0.0</v>
      </c>
      <c r="O32" s="3">
        <v>0.0</v>
      </c>
      <c r="P32" s="3"/>
      <c r="Q32" s="3"/>
      <c r="R32" s="3"/>
      <c r="S32" s="3"/>
      <c r="T32" s="3"/>
    </row>
    <row r="33">
      <c r="A33" s="3">
        <v>1000.0</v>
      </c>
      <c r="B33" s="3">
        <v>50.0</v>
      </c>
      <c r="C33" s="3">
        <v>1.0</v>
      </c>
      <c r="D33" s="3" t="s">
        <v>17</v>
      </c>
      <c r="E33" s="3" t="s">
        <v>16</v>
      </c>
      <c r="F33" s="3">
        <v>30.106</v>
      </c>
      <c r="G33" s="3">
        <v>13.0</v>
      </c>
      <c r="H33" s="3">
        <v>8081307.0</v>
      </c>
      <c r="I33" s="3">
        <v>8073514.0</v>
      </c>
      <c r="J33" s="3">
        <v>4706.439811</v>
      </c>
      <c r="K33" s="3">
        <v>3147.538462</v>
      </c>
      <c r="L33" s="3">
        <v>151.454799</v>
      </c>
      <c r="M33" s="3">
        <v>0.0</v>
      </c>
      <c r="N33" s="3">
        <v>11.153846</v>
      </c>
      <c r="O33" s="3">
        <v>100.076923</v>
      </c>
      <c r="P33" s="3"/>
      <c r="Q33" s="3"/>
      <c r="R33" s="3"/>
      <c r="S33" s="3"/>
      <c r="T33" s="3"/>
    </row>
    <row r="34">
      <c r="A34" s="3">
        <v>1000.0</v>
      </c>
      <c r="B34" s="3">
        <v>50.0</v>
      </c>
      <c r="C34" s="3">
        <v>2.0</v>
      </c>
      <c r="D34" s="3" t="s">
        <v>15</v>
      </c>
      <c r="E34" s="3" t="s">
        <v>16</v>
      </c>
      <c r="F34" s="3">
        <v>30.003</v>
      </c>
      <c r="G34" s="3">
        <v>65.0</v>
      </c>
      <c r="H34" s="3">
        <v>8075184.0</v>
      </c>
      <c r="I34" s="3">
        <v>8068661.430769</v>
      </c>
      <c r="J34" s="3">
        <v>4142.228641</v>
      </c>
      <c r="K34" s="3">
        <v>3029.630769</v>
      </c>
      <c r="L34" s="3">
        <v>111.969167</v>
      </c>
      <c r="M34" s="3">
        <v>0.0</v>
      </c>
      <c r="N34" s="3">
        <v>0.0</v>
      </c>
      <c r="O34" s="3">
        <v>0.0</v>
      </c>
      <c r="P34" s="3"/>
      <c r="Q34" s="3"/>
      <c r="R34" s="3"/>
      <c r="S34" s="3"/>
      <c r="T34" s="3"/>
    </row>
    <row r="35">
      <c r="A35" s="3">
        <v>1000.0</v>
      </c>
      <c r="B35" s="3">
        <v>50.0</v>
      </c>
      <c r="C35" s="3">
        <v>2.0</v>
      </c>
      <c r="D35" s="3" t="s">
        <v>17</v>
      </c>
      <c r="E35" s="3" t="s">
        <v>16</v>
      </c>
      <c r="F35" s="3">
        <v>30.042</v>
      </c>
      <c r="G35" s="3">
        <v>13.0</v>
      </c>
      <c r="H35" s="3">
        <v>8074676.0</v>
      </c>
      <c r="I35" s="3">
        <v>8070467.076923</v>
      </c>
      <c r="J35" s="3">
        <v>4713.70585</v>
      </c>
      <c r="K35" s="3">
        <v>3067.153846</v>
      </c>
      <c r="L35" s="3">
        <v>156.175861</v>
      </c>
      <c r="M35" s="3">
        <v>0.0</v>
      </c>
      <c r="N35" s="3">
        <v>11.923077</v>
      </c>
      <c r="O35" s="3">
        <v>106.230769</v>
      </c>
      <c r="P35" s="3"/>
      <c r="Q35" s="3"/>
      <c r="R35" s="3"/>
      <c r="S35" s="3"/>
      <c r="T35" s="3"/>
    </row>
    <row r="36">
      <c r="A36" s="3">
        <v>1000.0</v>
      </c>
      <c r="B36" s="3">
        <v>50.0</v>
      </c>
      <c r="C36" s="3">
        <v>3.0</v>
      </c>
      <c r="D36" s="3" t="s">
        <v>15</v>
      </c>
      <c r="E36" s="3" t="s">
        <v>16</v>
      </c>
      <c r="F36" s="3">
        <v>30.0</v>
      </c>
      <c r="G36" s="3">
        <v>86.0</v>
      </c>
      <c r="H36" s="3">
        <v>8074928.0</v>
      </c>
      <c r="I36" s="3">
        <v>8064823.139535</v>
      </c>
      <c r="J36" s="3">
        <v>4745.207413</v>
      </c>
      <c r="K36" s="3">
        <v>2989.209302</v>
      </c>
      <c r="L36" s="3">
        <v>130.456632</v>
      </c>
      <c r="M36" s="3">
        <v>0.0</v>
      </c>
      <c r="N36" s="3">
        <v>0.0</v>
      </c>
      <c r="O36" s="3">
        <v>0.0</v>
      </c>
      <c r="P36" s="3"/>
      <c r="Q36" s="3"/>
      <c r="R36" s="3"/>
      <c r="S36" s="3"/>
      <c r="T36" s="3"/>
    </row>
    <row r="37">
      <c r="A37" s="3">
        <v>1000.0</v>
      </c>
      <c r="B37" s="3">
        <v>50.0</v>
      </c>
      <c r="C37" s="3">
        <v>3.0</v>
      </c>
      <c r="D37" s="3" t="s">
        <v>17</v>
      </c>
      <c r="E37" s="3" t="s">
        <v>16</v>
      </c>
      <c r="F37" s="3">
        <v>30.0</v>
      </c>
      <c r="G37" s="3">
        <v>16.0</v>
      </c>
      <c r="H37" s="3">
        <v>8074305.0</v>
      </c>
      <c r="I37" s="3">
        <v>8065361.3125</v>
      </c>
      <c r="J37" s="3">
        <v>6399.744465</v>
      </c>
      <c r="K37" s="3">
        <v>3046.1875</v>
      </c>
      <c r="L37" s="3">
        <v>141.388303</v>
      </c>
      <c r="M37" s="3">
        <v>0.0</v>
      </c>
      <c r="N37" s="3">
        <v>8.6875</v>
      </c>
      <c r="O37" s="3">
        <v>106.25</v>
      </c>
      <c r="P37" s="3"/>
      <c r="Q37" s="3"/>
      <c r="R37" s="3"/>
      <c r="S37" s="3"/>
      <c r="T37" s="3"/>
    </row>
    <row r="38">
      <c r="A38" s="3">
        <v>1000.0</v>
      </c>
      <c r="B38" s="3">
        <v>50.0</v>
      </c>
      <c r="C38" s="3">
        <v>4.0</v>
      </c>
      <c r="D38" s="3" t="s">
        <v>15</v>
      </c>
      <c r="E38" s="3" t="s">
        <v>16</v>
      </c>
      <c r="F38" s="3">
        <v>30.002</v>
      </c>
      <c r="G38" s="3">
        <v>60.0</v>
      </c>
      <c r="H38" s="3">
        <v>8077253.0</v>
      </c>
      <c r="I38" s="3">
        <v>8069949.8</v>
      </c>
      <c r="J38" s="3">
        <v>4000.200419</v>
      </c>
      <c r="K38" s="3">
        <v>3045.75</v>
      </c>
      <c r="L38" s="3">
        <v>118.957923</v>
      </c>
      <c r="M38" s="3">
        <v>0.0</v>
      </c>
      <c r="N38" s="3">
        <v>0.0</v>
      </c>
      <c r="O38" s="3">
        <v>0.0</v>
      </c>
      <c r="P38" s="3"/>
      <c r="Q38" s="3"/>
      <c r="R38" s="3"/>
      <c r="S38" s="3"/>
      <c r="T38" s="3"/>
    </row>
    <row r="39">
      <c r="A39" s="3">
        <v>1000.0</v>
      </c>
      <c r="B39" s="3">
        <v>50.0</v>
      </c>
      <c r="C39" s="3">
        <v>4.0</v>
      </c>
      <c r="D39" s="3" t="s">
        <v>17</v>
      </c>
      <c r="E39" s="3" t="s">
        <v>16</v>
      </c>
      <c r="F39" s="3">
        <v>30.065</v>
      </c>
      <c r="G39" s="3">
        <v>13.0</v>
      </c>
      <c r="H39" s="3">
        <v>8073911.0</v>
      </c>
      <c r="I39" s="3">
        <v>8070863.307692</v>
      </c>
      <c r="J39" s="3">
        <v>2492.670158</v>
      </c>
      <c r="K39" s="3">
        <v>3142.384615</v>
      </c>
      <c r="L39" s="3">
        <v>154.930525</v>
      </c>
      <c r="M39" s="3">
        <v>0.0</v>
      </c>
      <c r="N39" s="3">
        <v>11.0</v>
      </c>
      <c r="O39" s="3">
        <v>91.307692</v>
      </c>
      <c r="P39" s="3"/>
      <c r="Q39" s="3"/>
      <c r="R39" s="3"/>
      <c r="S39" s="3"/>
      <c r="T39" s="3"/>
    </row>
    <row r="40">
      <c r="A40" s="3">
        <v>1000.0</v>
      </c>
      <c r="B40" s="3">
        <v>50.0</v>
      </c>
      <c r="C40" s="3">
        <v>5.0</v>
      </c>
      <c r="D40" s="3" t="s">
        <v>15</v>
      </c>
      <c r="E40" s="3" t="s">
        <v>16</v>
      </c>
      <c r="F40" s="3">
        <v>30.0</v>
      </c>
      <c r="G40" s="3">
        <v>67.0</v>
      </c>
      <c r="H40" s="3">
        <v>8075990.0</v>
      </c>
      <c r="I40" s="3">
        <v>8064654.268657</v>
      </c>
      <c r="J40" s="3">
        <v>5881.794418</v>
      </c>
      <c r="K40" s="3">
        <v>2987.283582</v>
      </c>
      <c r="L40" s="3">
        <v>149.152312</v>
      </c>
      <c r="M40" s="3">
        <v>0.0</v>
      </c>
      <c r="N40" s="3">
        <v>0.0</v>
      </c>
      <c r="O40" s="3">
        <v>0.0</v>
      </c>
      <c r="P40" s="3"/>
      <c r="Q40" s="3"/>
      <c r="R40" s="3"/>
      <c r="S40" s="3"/>
      <c r="T40" s="3"/>
    </row>
    <row r="41">
      <c r="A41" s="3">
        <v>1000.0</v>
      </c>
      <c r="B41" s="3">
        <v>50.0</v>
      </c>
      <c r="C41" s="3">
        <v>5.0</v>
      </c>
      <c r="D41" s="3" t="s">
        <v>17</v>
      </c>
      <c r="E41" s="3" t="s">
        <v>16</v>
      </c>
      <c r="F41" s="3">
        <v>30.0</v>
      </c>
      <c r="G41" s="3">
        <v>12.0</v>
      </c>
      <c r="H41" s="3">
        <v>8077547.0</v>
      </c>
      <c r="I41" s="3">
        <v>8069707.666667</v>
      </c>
      <c r="J41" s="3">
        <v>6445.338708</v>
      </c>
      <c r="K41" s="3">
        <v>3168.833333</v>
      </c>
      <c r="L41" s="3">
        <v>167.279125</v>
      </c>
      <c r="M41" s="3">
        <v>0.0</v>
      </c>
      <c r="N41" s="3">
        <v>13.0</v>
      </c>
      <c r="O41" s="3">
        <v>86.833333</v>
      </c>
      <c r="P41" s="3"/>
      <c r="Q41" s="3"/>
      <c r="R41" s="3"/>
      <c r="S41" s="3"/>
      <c r="T41" s="3"/>
    </row>
    <row r="42">
      <c r="A42" s="3">
        <v>1000.0</v>
      </c>
      <c r="B42" s="3">
        <v>100.0</v>
      </c>
      <c r="C42" s="3">
        <v>1.0</v>
      </c>
      <c r="D42" s="3" t="s">
        <v>15</v>
      </c>
      <c r="E42" s="3" t="s">
        <v>16</v>
      </c>
      <c r="F42" s="3">
        <v>30.006</v>
      </c>
      <c r="G42" s="3">
        <v>59.0</v>
      </c>
      <c r="H42" s="3">
        <v>2.5773541E7</v>
      </c>
      <c r="I42" s="3">
        <v>2.5759933254237E7</v>
      </c>
      <c r="J42" s="3">
        <v>5094.665912</v>
      </c>
      <c r="K42" s="3">
        <v>3379.694915</v>
      </c>
      <c r="L42" s="3">
        <v>161.84249</v>
      </c>
      <c r="M42" s="3">
        <v>0.0</v>
      </c>
      <c r="N42" s="3">
        <v>0.0</v>
      </c>
      <c r="O42" s="3">
        <v>0.0</v>
      </c>
      <c r="P42" s="3"/>
      <c r="Q42" s="3"/>
      <c r="R42" s="3"/>
      <c r="S42" s="3"/>
      <c r="T42" s="3"/>
    </row>
    <row r="43">
      <c r="A43" s="3">
        <v>1000.0</v>
      </c>
      <c r="B43" s="3">
        <v>100.0</v>
      </c>
      <c r="C43" s="3">
        <v>1.0</v>
      </c>
      <c r="D43" s="3" t="s">
        <v>17</v>
      </c>
      <c r="E43" s="3" t="s">
        <v>16</v>
      </c>
      <c r="F43" s="3">
        <v>30.106</v>
      </c>
      <c r="G43" s="3">
        <v>10.0</v>
      </c>
      <c r="H43" s="3">
        <v>2.5767637E7</v>
      </c>
      <c r="I43" s="3">
        <v>2.57613768E7</v>
      </c>
      <c r="J43" s="3">
        <v>4626.397383</v>
      </c>
      <c r="K43" s="3">
        <v>3548.1</v>
      </c>
      <c r="L43" s="3">
        <v>236.526299</v>
      </c>
      <c r="M43" s="3">
        <v>0.0</v>
      </c>
      <c r="N43" s="3">
        <v>6.8</v>
      </c>
      <c r="O43" s="3">
        <v>309.0</v>
      </c>
      <c r="P43" s="3"/>
      <c r="Q43" s="3"/>
      <c r="R43" s="3"/>
      <c r="S43" s="3"/>
      <c r="T43" s="3"/>
    </row>
    <row r="44">
      <c r="A44" s="3">
        <v>1000.0</v>
      </c>
      <c r="B44" s="3">
        <v>100.0</v>
      </c>
      <c r="C44" s="3">
        <v>2.0</v>
      </c>
      <c r="D44" s="3" t="s">
        <v>15</v>
      </c>
      <c r="E44" s="3" t="s">
        <v>16</v>
      </c>
      <c r="F44" s="3">
        <v>30.003</v>
      </c>
      <c r="G44" s="3">
        <v>66.0</v>
      </c>
      <c r="H44" s="3">
        <v>2.5773517E7</v>
      </c>
      <c r="I44" s="3">
        <v>2.5759767772727E7</v>
      </c>
      <c r="J44" s="3">
        <v>4455.25242</v>
      </c>
      <c r="K44" s="3">
        <v>3372.893939</v>
      </c>
      <c r="L44" s="3">
        <v>150.546593</v>
      </c>
      <c r="M44" s="3">
        <v>0.0</v>
      </c>
      <c r="N44" s="3">
        <v>0.0</v>
      </c>
      <c r="O44" s="3">
        <v>0.0</v>
      </c>
      <c r="P44" s="3"/>
      <c r="Q44" s="3"/>
      <c r="R44" s="3"/>
      <c r="S44" s="3"/>
      <c r="T44" s="3"/>
    </row>
    <row r="45">
      <c r="A45" s="3">
        <v>1000.0</v>
      </c>
      <c r="B45" s="3">
        <v>100.0</v>
      </c>
      <c r="C45" s="3">
        <v>2.0</v>
      </c>
      <c r="D45" s="3" t="s">
        <v>17</v>
      </c>
      <c r="E45" s="3" t="s">
        <v>16</v>
      </c>
      <c r="F45" s="3">
        <v>30.066</v>
      </c>
      <c r="G45" s="3">
        <v>8.0</v>
      </c>
      <c r="H45" s="3">
        <v>2.5769794E7</v>
      </c>
      <c r="I45" s="3">
        <v>2.57622195E7</v>
      </c>
      <c r="J45" s="3">
        <v>4468.745014</v>
      </c>
      <c r="K45" s="3">
        <v>3496.25</v>
      </c>
      <c r="L45" s="3">
        <v>104.003305</v>
      </c>
      <c r="M45" s="3">
        <v>0.0</v>
      </c>
      <c r="N45" s="3">
        <v>7.875</v>
      </c>
      <c r="O45" s="3">
        <v>333.25</v>
      </c>
      <c r="P45" s="3"/>
      <c r="Q45" s="3"/>
      <c r="R45" s="3"/>
      <c r="S45" s="3"/>
      <c r="T45" s="3"/>
    </row>
    <row r="46">
      <c r="A46" s="3">
        <v>1000.0</v>
      </c>
      <c r="B46" s="3">
        <v>100.0</v>
      </c>
      <c r="C46" s="3">
        <v>3.0</v>
      </c>
      <c r="D46" s="3" t="s">
        <v>15</v>
      </c>
      <c r="E46" s="3" t="s">
        <v>16</v>
      </c>
      <c r="F46" s="3">
        <v>30.001</v>
      </c>
      <c r="G46" s="3">
        <v>61.0</v>
      </c>
      <c r="H46" s="3">
        <v>2.5806177E7</v>
      </c>
      <c r="I46" s="3">
        <v>2.5795284196721E7</v>
      </c>
      <c r="J46" s="3">
        <v>5334.030383</v>
      </c>
      <c r="K46" s="3">
        <v>3388.04918</v>
      </c>
      <c r="L46" s="3">
        <v>180.657036</v>
      </c>
      <c r="M46" s="3">
        <v>0.0</v>
      </c>
      <c r="N46" s="3">
        <v>0.0</v>
      </c>
      <c r="O46" s="3">
        <v>0.0</v>
      </c>
      <c r="P46" s="3"/>
      <c r="Q46" s="3"/>
      <c r="R46" s="3"/>
      <c r="S46" s="3"/>
      <c r="T46" s="3"/>
    </row>
    <row r="47">
      <c r="A47" s="3">
        <v>1000.0</v>
      </c>
      <c r="B47" s="3">
        <v>100.0</v>
      </c>
      <c r="C47" s="3">
        <v>3.0</v>
      </c>
      <c r="D47" s="3" t="s">
        <v>17</v>
      </c>
      <c r="E47" s="3" t="s">
        <v>16</v>
      </c>
      <c r="F47" s="3">
        <v>30.0</v>
      </c>
      <c r="G47" s="3">
        <v>8.0</v>
      </c>
      <c r="H47" s="3">
        <v>2.5807747E7</v>
      </c>
      <c r="I47" s="3">
        <v>2.579922175E7</v>
      </c>
      <c r="J47" s="3">
        <v>5372.333385</v>
      </c>
      <c r="K47" s="3">
        <v>3534.125</v>
      </c>
      <c r="L47" s="3">
        <v>196.234195</v>
      </c>
      <c r="M47" s="3">
        <v>0.0</v>
      </c>
      <c r="N47" s="3">
        <v>9.125</v>
      </c>
      <c r="O47" s="3">
        <v>283.5</v>
      </c>
      <c r="P47" s="3"/>
      <c r="Q47" s="3"/>
      <c r="R47" s="3"/>
      <c r="S47" s="3"/>
      <c r="T47" s="3"/>
    </row>
    <row r="48">
      <c r="A48" s="3">
        <v>1000.0</v>
      </c>
      <c r="B48" s="3">
        <v>100.0</v>
      </c>
      <c r="C48" s="3">
        <v>4.0</v>
      </c>
      <c r="D48" s="3" t="s">
        <v>15</v>
      </c>
      <c r="E48" s="3" t="s">
        <v>16</v>
      </c>
      <c r="F48" s="3">
        <v>30.001</v>
      </c>
      <c r="G48" s="3">
        <v>55.0</v>
      </c>
      <c r="H48" s="3">
        <v>2.582068E7</v>
      </c>
      <c r="I48" s="3">
        <v>2.5807574854545E7</v>
      </c>
      <c r="J48" s="3">
        <v>5341.216669</v>
      </c>
      <c r="K48" s="3">
        <v>3411.090909</v>
      </c>
      <c r="L48" s="3">
        <v>171.050899</v>
      </c>
      <c r="M48" s="3">
        <v>0.0</v>
      </c>
      <c r="N48" s="3">
        <v>0.0</v>
      </c>
      <c r="O48" s="3">
        <v>0.0</v>
      </c>
      <c r="P48" s="3"/>
      <c r="Q48" s="3"/>
      <c r="R48" s="3"/>
      <c r="S48" s="3"/>
      <c r="T48" s="3"/>
    </row>
    <row r="49">
      <c r="A49" s="3">
        <v>1000.0</v>
      </c>
      <c r="B49" s="3">
        <v>100.0</v>
      </c>
      <c r="C49" s="3">
        <v>4.0</v>
      </c>
      <c r="D49" s="3" t="s">
        <v>17</v>
      </c>
      <c r="E49" s="3" t="s">
        <v>16</v>
      </c>
      <c r="F49" s="3">
        <v>30.593</v>
      </c>
      <c r="G49" s="3">
        <v>8.0</v>
      </c>
      <c r="H49" s="3">
        <v>2.5816153E7</v>
      </c>
      <c r="I49" s="3">
        <v>2.5807935875E7</v>
      </c>
      <c r="J49" s="3">
        <v>4700.149851</v>
      </c>
      <c r="K49" s="3">
        <v>3551.75</v>
      </c>
      <c r="L49" s="3">
        <v>117.153478</v>
      </c>
      <c r="M49" s="3">
        <v>0.0</v>
      </c>
      <c r="N49" s="3">
        <v>8.875</v>
      </c>
      <c r="O49" s="3">
        <v>300.625</v>
      </c>
      <c r="P49" s="3"/>
      <c r="Q49" s="3"/>
      <c r="R49" s="3"/>
      <c r="S49" s="3"/>
      <c r="T49" s="3"/>
    </row>
    <row r="50">
      <c r="A50" s="3">
        <v>1000.0</v>
      </c>
      <c r="B50" s="3">
        <v>100.0</v>
      </c>
      <c r="C50" s="3">
        <v>5.0</v>
      </c>
      <c r="D50" s="3" t="s">
        <v>15</v>
      </c>
      <c r="E50" s="3" t="s">
        <v>16</v>
      </c>
      <c r="F50" s="3">
        <v>30.0</v>
      </c>
      <c r="G50" s="3">
        <v>54.0</v>
      </c>
      <c r="H50" s="3">
        <v>2.5779992E7</v>
      </c>
      <c r="I50" s="3">
        <v>2.5758332462963E7</v>
      </c>
      <c r="J50" s="3">
        <v>47672.598096</v>
      </c>
      <c r="K50" s="3">
        <v>3398.037037</v>
      </c>
      <c r="L50" s="3">
        <v>411.567733</v>
      </c>
      <c r="M50" s="3">
        <v>0.0</v>
      </c>
      <c r="N50" s="3">
        <v>0.0</v>
      </c>
      <c r="O50" s="3">
        <v>0.0</v>
      </c>
      <c r="P50" s="3"/>
      <c r="Q50" s="3"/>
      <c r="R50" s="3"/>
      <c r="S50" s="3"/>
      <c r="T50" s="3"/>
    </row>
    <row r="51">
      <c r="A51" s="3">
        <v>1000.0</v>
      </c>
      <c r="B51" s="3">
        <v>100.0</v>
      </c>
      <c r="C51" s="3">
        <v>5.0</v>
      </c>
      <c r="D51" s="3" t="s">
        <v>17</v>
      </c>
      <c r="E51" s="3" t="s">
        <v>16</v>
      </c>
      <c r="F51" s="3">
        <v>30.644</v>
      </c>
      <c r="G51" s="3">
        <v>8.0</v>
      </c>
      <c r="H51" s="3">
        <v>2.577171E7</v>
      </c>
      <c r="I51" s="3">
        <v>2.5764935125E7</v>
      </c>
      <c r="J51" s="3">
        <v>3675.409586</v>
      </c>
      <c r="K51" s="3">
        <v>3502.875</v>
      </c>
      <c r="L51" s="3">
        <v>235.975866</v>
      </c>
      <c r="M51" s="3">
        <v>0.0</v>
      </c>
      <c r="N51" s="3">
        <v>8.25</v>
      </c>
      <c r="O51" s="3">
        <v>312.25</v>
      </c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5.57"/>
    <col customWidth="1" min="4" max="4" width="10.57"/>
    <col customWidth="1" hidden="1" min="5" max="5" width="5.0"/>
    <col customWidth="1" hidden="1" min="6" max="6" width="4.0"/>
    <col customWidth="1" hidden="1" min="7" max="7" width="14.29"/>
    <col customWidth="1" min="8" max="8" width="11.71"/>
    <col customWidth="1" min="9" max="9" width="9.71"/>
    <col customWidth="1" hidden="1" min="10" max="10" width="6.57"/>
    <col customWidth="1" min="11" max="11" width="7.0"/>
    <col customWidth="1" hidden="1" min="12" max="12" width="9.0"/>
    <col customWidth="1" min="13" max="14" width="11.57"/>
    <col customWidth="1" min="15" max="15" width="23.57"/>
  </cols>
  <sheetData>
    <row r="1">
      <c r="A1" s="1" t="str">
        <f>IFERROR(__xludf.DUMMYFUNCTION("UNIQUE(Data!A:C)"),"N")</f>
        <v>N</v>
      </c>
      <c r="B1" s="1" t="s">
        <v>1</v>
      </c>
      <c r="C1" s="1" t="s">
        <v>2</v>
      </c>
      <c r="D1" s="1" t="s">
        <v>18</v>
      </c>
      <c r="E1" s="1"/>
      <c r="F1" s="1"/>
      <c r="G1" s="1"/>
      <c r="H1" s="1" t="s">
        <v>19</v>
      </c>
      <c r="I1" s="1" t="s">
        <v>20</v>
      </c>
      <c r="J1" s="1"/>
      <c r="K1" s="1" t="s">
        <v>21</v>
      </c>
      <c r="L1" s="1"/>
      <c r="M1" s="1" t="s">
        <v>22</v>
      </c>
      <c r="N1" s="1" t="s">
        <v>23</v>
      </c>
      <c r="O1" s="1" t="s">
        <v>24</v>
      </c>
      <c r="P1" s="1" t="s">
        <v>25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1000.0</v>
      </c>
      <c r="B2" s="4">
        <v>1.0</v>
      </c>
      <c r="C2" s="4">
        <v>1.0</v>
      </c>
      <c r="D2" s="4" t="str">
        <f>IFERROR(__xludf.DUMMYFUNCTION("DMAX({{Data!$A$1:$J$1};filter(Data!$A$2:$J1000,Data!$A$2:$A1000=$A2 , Data!$B$2:$B1000 = $B2, Data!$C$2:$C1000 = $C2)},$P$2, $P$22:$P$23)"),"210187")</f>
        <v>210187</v>
      </c>
      <c r="E2" s="4" t="str">
        <f>IFERROR(__xludf.DUMMYFUNCTION("filter(Data!$A$2:$J1000,Data!$A$2:$A1000=$A2 , Data!$B$2:$B1000 = $B2, Data!$C$2:$C1000 = $C2, Data!$H$2:$H1000 =$D2)"),"1000")</f>
        <v>1000</v>
      </c>
      <c r="F2" s="4">
        <v>1.0</v>
      </c>
      <c r="G2" s="4">
        <v>1.0</v>
      </c>
      <c r="H2" s="4" t="s">
        <v>17</v>
      </c>
      <c r="I2" s="4" t="s">
        <v>16</v>
      </c>
      <c r="J2" s="4">
        <v>30.001</v>
      </c>
      <c r="K2" s="4">
        <v>86.0</v>
      </c>
      <c r="L2" s="4">
        <v>210187.0</v>
      </c>
      <c r="M2" s="4">
        <v>209038.767442</v>
      </c>
      <c r="N2" s="5">
        <v>555.228461</v>
      </c>
      <c r="O2" s="6" t="str">
        <f t="shared" ref="O2:O26" si="1">(D2-M2)/N2</f>
        <v>2.068036202</v>
      </c>
      <c r="P2" s="3" t="s">
        <v>7</v>
      </c>
    </row>
    <row r="3">
      <c r="A3" s="4">
        <v>1000.0</v>
      </c>
      <c r="B3" s="4">
        <v>1.0</v>
      </c>
      <c r="C3" s="4">
        <v>2.0</v>
      </c>
      <c r="D3" s="4" t="str">
        <f>IFERROR(__xludf.DUMMYFUNCTION("DMAX({{Data!$A$1:$J$1};filter(Data!$A$2:$J1000,Data!$A$2:$A1000=$A3 , Data!$B$2:$B1000 = $B3, Data!$C$2:$C1000 = $C3)},$P$2, $P$22:$P$23)"),"206514")</f>
        <v>206514</v>
      </c>
      <c r="E3" s="4" t="str">
        <f>IFERROR(__xludf.DUMMYFUNCTION("filter(Data!$A$2:$J1000,Data!$A$2:$A1000=$A3 , Data!$B$2:$B1000 = $B3, Data!$C$2:$C1000 = $C3, Data!$H$2:$H1000 =$D3)"),"1000")</f>
        <v>1000</v>
      </c>
      <c r="F3" s="4">
        <v>1.0</v>
      </c>
      <c r="G3" s="4">
        <v>2.0</v>
      </c>
      <c r="H3" s="4" t="s">
        <v>17</v>
      </c>
      <c r="I3" s="4" t="s">
        <v>16</v>
      </c>
      <c r="J3" s="4">
        <v>30.006</v>
      </c>
      <c r="K3" s="4">
        <v>85.0</v>
      </c>
      <c r="L3" s="4">
        <v>206514.0</v>
      </c>
      <c r="M3" s="4">
        <v>204998.070588</v>
      </c>
      <c r="N3" s="5">
        <v>552.768982</v>
      </c>
      <c r="O3" s="6" t="str">
        <f t="shared" si="1"/>
        <v>2.742428503</v>
      </c>
    </row>
    <row r="4">
      <c r="A4" s="4">
        <v>1000.0</v>
      </c>
      <c r="B4" s="4">
        <v>1.0</v>
      </c>
      <c r="C4" s="4">
        <v>3.0</v>
      </c>
      <c r="D4" s="4" t="str">
        <f>IFERROR(__xludf.DUMMYFUNCTION("DMAX({{Data!$A$1:$J$1};filter(Data!$A$2:$J1000,Data!$A$2:$A1000=$A4 , Data!$B$2:$B1000 = $B4, Data!$C$2:$C1000 = $C4)},$P$2, $P$22:$P$23)"),"205006")</f>
        <v>205006</v>
      </c>
      <c r="E4" s="4" t="str">
        <f>IFERROR(__xludf.DUMMYFUNCTION("filter(Data!$A$2:$J1000,Data!$A$2:$A1000=$A4 , Data!$B$2:$B1000 = $B4, Data!$C$2:$C1000 = $C4, Data!$H$2:$H1000 =$D4)"),"1000")</f>
        <v>1000</v>
      </c>
      <c r="F4" s="4">
        <v>1.0</v>
      </c>
      <c r="G4" s="4">
        <v>3.0</v>
      </c>
      <c r="H4" s="4" t="s">
        <v>17</v>
      </c>
      <c r="I4" s="4" t="s">
        <v>16</v>
      </c>
      <c r="J4" s="4">
        <v>30.0</v>
      </c>
      <c r="K4" s="4">
        <v>95.0</v>
      </c>
      <c r="L4" s="4">
        <v>205006.0</v>
      </c>
      <c r="M4" s="4">
        <v>203484.747368</v>
      </c>
      <c r="N4" s="5">
        <v>878.59148</v>
      </c>
      <c r="O4" s="6" t="str">
        <f t="shared" si="1"/>
        <v>1.731467544</v>
      </c>
    </row>
    <row r="5">
      <c r="A5" s="4">
        <v>1000.0</v>
      </c>
      <c r="B5" s="4">
        <v>1.0</v>
      </c>
      <c r="C5" s="4">
        <v>4.0</v>
      </c>
      <c r="D5" s="4" t="str">
        <f>IFERROR(__xludf.DUMMYFUNCTION("DMAX({{Data!$A$1:$J$1};filter(Data!$A$2:$J1000,Data!$A$2:$A1000=$A5 , Data!$B$2:$B1000 = $B5, Data!$C$2:$C1000 = $C5)},$P$2, $P$22:$P$23)"),"213649")</f>
        <v>213649</v>
      </c>
      <c r="E5" s="4" t="str">
        <f>IFERROR(__xludf.DUMMYFUNCTION("filter(Data!$A$2:$J1000,Data!$A$2:$A1000=$A5 , Data!$B$2:$B1000 = $B5, Data!$C$2:$C1000 = $C5, Data!$H$2:$H1000 =$D5)"),"1000")</f>
        <v>1000</v>
      </c>
      <c r="F5" s="4">
        <v>1.0</v>
      </c>
      <c r="G5" s="4">
        <v>4.0</v>
      </c>
      <c r="H5" s="4" t="s">
        <v>15</v>
      </c>
      <c r="I5" s="4" t="s">
        <v>16</v>
      </c>
      <c r="J5" s="4">
        <v>30.0</v>
      </c>
      <c r="K5" s="4">
        <v>195.0</v>
      </c>
      <c r="L5" s="4">
        <v>213649.0</v>
      </c>
      <c r="M5" s="4">
        <v>211838.071795</v>
      </c>
      <c r="N5" s="5">
        <v>697.134108</v>
      </c>
      <c r="O5" s="6" t="str">
        <f t="shared" si="1"/>
        <v>2.597675518</v>
      </c>
    </row>
    <row r="6">
      <c r="A6" s="4">
        <v>1000.0</v>
      </c>
      <c r="B6" s="4">
        <v>1.0</v>
      </c>
      <c r="C6" s="4">
        <v>5.0</v>
      </c>
      <c r="D6" s="4" t="str">
        <f>IFERROR(__xludf.DUMMYFUNCTION("DMAX({{Data!$A$1:$J$1};filter(Data!$A$2:$J1000,Data!$A$2:$A1000=$A6 , Data!$B$2:$B1000 = $B6, Data!$C$2:$C1000 = $C6)},$P$2, $P$22:$P$23)"),"211565")</f>
        <v>211565</v>
      </c>
      <c r="E6" s="4" t="str">
        <f>IFERROR(__xludf.DUMMYFUNCTION("filter(Data!$A$2:$J1000,Data!$A$2:$A1000=$A6 , Data!$B$2:$B1000 = $B6, Data!$C$2:$C1000 = $C6, Data!$H$2:$H1000 =$D6)"),"1000")</f>
        <v>1000</v>
      </c>
      <c r="F6" s="4">
        <v>1.0</v>
      </c>
      <c r="G6" s="4">
        <v>5.0</v>
      </c>
      <c r="H6" s="4" t="s">
        <v>15</v>
      </c>
      <c r="I6" s="4" t="s">
        <v>16</v>
      </c>
      <c r="J6" s="4">
        <v>30.0</v>
      </c>
      <c r="K6" s="4">
        <v>230.0</v>
      </c>
      <c r="L6" s="4">
        <v>211565.0</v>
      </c>
      <c r="M6" s="4">
        <v>209636.091304</v>
      </c>
      <c r="N6" s="5">
        <v>5127.848932</v>
      </c>
      <c r="O6" s="6" t="str">
        <f t="shared" si="1"/>
        <v>0.3761633234</v>
      </c>
    </row>
    <row r="7">
      <c r="A7" s="3">
        <v>1000.0</v>
      </c>
      <c r="B7" s="3">
        <v>5.0</v>
      </c>
      <c r="C7" s="3">
        <v>1.0</v>
      </c>
      <c r="D7" s="3" t="str">
        <f>IFERROR(__xludf.DUMMYFUNCTION("DMAX({{Data!$A$1:$J$1};filter(Data!$A$2:$J1000,Data!$A$2:$A1000=$A7 , Data!$B$2:$B1000 = $B7, Data!$C$2:$C1000 = $C7)},$P$2, $P$22:$P$23)"),"858342")</f>
        <v>858342</v>
      </c>
      <c r="E7" s="3" t="str">
        <f>IFERROR(__xludf.DUMMYFUNCTION("filter(Data!$A$2:$J1000,Data!$A$2:$A1000=$A7 , Data!$B$2:$B1000 = $B7, Data!$C$2:$C1000 = $C7, Data!$H$2:$H1000 =$D7)"),"1000")</f>
        <v>1000</v>
      </c>
      <c r="F7" s="3">
        <v>5.0</v>
      </c>
      <c r="G7" s="3">
        <v>1.0</v>
      </c>
      <c r="H7" s="3" t="s">
        <v>15</v>
      </c>
      <c r="I7" s="3" t="s">
        <v>16</v>
      </c>
      <c r="J7" s="3">
        <v>30.0</v>
      </c>
      <c r="K7" s="3">
        <v>128.0</v>
      </c>
      <c r="L7" s="3">
        <v>858342.0</v>
      </c>
      <c r="M7" s="3">
        <v>853971.453125</v>
      </c>
      <c r="N7">
        <v>1790.496295</v>
      </c>
      <c r="O7" t="str">
        <f t="shared" si="1"/>
        <v>2.440969516</v>
      </c>
    </row>
    <row r="8">
      <c r="A8" s="3">
        <v>1000.0</v>
      </c>
      <c r="B8" s="3">
        <v>5.0</v>
      </c>
      <c r="C8" s="3">
        <v>2.0</v>
      </c>
      <c r="D8" s="3" t="str">
        <f>IFERROR(__xludf.DUMMYFUNCTION("DMAX({{Data!$A$1:$J$1};filter(Data!$A$2:$J1000,Data!$A$2:$A1000=$A8 , Data!$B$2:$B1000 = $B8, Data!$C$2:$C1000 = $C8)},$P$2, $P$22:$P$23)"),"863748")</f>
        <v>863748</v>
      </c>
      <c r="E8" s="3" t="str">
        <f>IFERROR(__xludf.DUMMYFUNCTION("filter(Data!$A$2:$J1000,Data!$A$2:$A1000=$A8 , Data!$B$2:$B1000 = $B8, Data!$C$2:$C1000 = $C8, Data!$H$2:$H1000 =$D8)"),"1000")</f>
        <v>1000</v>
      </c>
      <c r="F8" s="3">
        <v>5.0</v>
      </c>
      <c r="G8" s="3">
        <v>2.0</v>
      </c>
      <c r="H8" s="3" t="s">
        <v>17</v>
      </c>
      <c r="I8" s="3" t="s">
        <v>16</v>
      </c>
      <c r="J8" s="3">
        <v>30.025</v>
      </c>
      <c r="K8" s="3">
        <v>37.0</v>
      </c>
      <c r="L8" s="3">
        <v>863748.0</v>
      </c>
      <c r="M8" s="3">
        <v>860183.432432</v>
      </c>
      <c r="N8">
        <v>1537.984036</v>
      </c>
      <c r="O8" t="str">
        <f t="shared" si="1"/>
        <v>2.317688275</v>
      </c>
    </row>
    <row r="9">
      <c r="A9" s="3">
        <v>1000.0</v>
      </c>
      <c r="B9" s="3">
        <v>5.0</v>
      </c>
      <c r="C9" s="3">
        <v>3.0</v>
      </c>
      <c r="D9" s="3" t="str">
        <f>IFERROR(__xludf.DUMMYFUNCTION("DMAX({{Data!$A$1:$J$1};filter(Data!$A$2:$J1000,Data!$A$2:$A1000=$A9 , Data!$B$2:$B1000 = $B9, Data!$C$2:$C1000 = $C9)},$P$2, $P$22:$P$23)"),"869682")</f>
        <v>869682</v>
      </c>
      <c r="E9" s="3" t="str">
        <f>IFERROR(__xludf.DUMMYFUNCTION("filter(Data!$A$2:$J1000,Data!$A$2:$A1000=$A9 , Data!$B$2:$B1000 = $B9, Data!$C$2:$C1000 = $C9, Data!$H$2:$H1000 =$D9)"),"1000")</f>
        <v>1000</v>
      </c>
      <c r="F9" s="3">
        <v>5.0</v>
      </c>
      <c r="G9" s="3">
        <v>3.0</v>
      </c>
      <c r="H9" s="3" t="s">
        <v>17</v>
      </c>
      <c r="I9" s="3" t="s">
        <v>16</v>
      </c>
      <c r="J9" s="3">
        <v>30.0</v>
      </c>
      <c r="K9" s="3">
        <v>36.0</v>
      </c>
      <c r="L9" s="3">
        <v>869682.0</v>
      </c>
      <c r="M9" s="3">
        <v>862240.055556</v>
      </c>
      <c r="N9">
        <v>20772.820719</v>
      </c>
      <c r="O9" t="str">
        <f t="shared" si="1"/>
        <v>0.3582539196</v>
      </c>
    </row>
    <row r="10">
      <c r="A10" s="3">
        <v>1000.0</v>
      </c>
      <c r="B10" s="3">
        <v>5.0</v>
      </c>
      <c r="C10" s="3">
        <v>4.0</v>
      </c>
      <c r="D10" s="3" t="str">
        <f>IFERROR(__xludf.DUMMYFUNCTION("DMAX({{Data!$A$1:$J$1};filter(Data!$A$2:$J1000,Data!$A$2:$A1000=$A10 , Data!$B$2:$B1000 = $B10, Data!$C$2:$C1000 = $C10)},$P$2, $P$22:$P$23)"),"867754")</f>
        <v>867754</v>
      </c>
      <c r="E10" s="3" t="str">
        <f>IFERROR(__xludf.DUMMYFUNCTION("filter(Data!$A$2:$J1000,Data!$A$2:$A1000=$A10 , Data!$B$2:$B1000 = $B10, Data!$C$2:$C1000 = $C10, Data!$H$2:$H1000 =$D10)"),"1000")</f>
        <v>1000</v>
      </c>
      <c r="F10" s="3">
        <v>5.0</v>
      </c>
      <c r="G10" s="3">
        <v>4.0</v>
      </c>
      <c r="H10" s="3" t="s">
        <v>17</v>
      </c>
      <c r="I10" s="3" t="s">
        <v>16</v>
      </c>
      <c r="J10" s="3">
        <v>30.01</v>
      </c>
      <c r="K10" s="3">
        <v>34.0</v>
      </c>
      <c r="L10" s="3">
        <v>867754.0</v>
      </c>
      <c r="M10" s="3">
        <v>864908.088235</v>
      </c>
      <c r="N10">
        <v>1441.749802</v>
      </c>
      <c r="O10" t="str">
        <f t="shared" si="1"/>
        <v>1.973929014</v>
      </c>
    </row>
    <row r="11">
      <c r="A11" s="3">
        <v>1000.0</v>
      </c>
      <c r="B11" s="3">
        <v>5.0</v>
      </c>
      <c r="C11" s="3">
        <v>5.0</v>
      </c>
      <c r="D11" s="3" t="str">
        <f>IFERROR(__xludf.DUMMYFUNCTION("DMAX({{Data!$A$1:$J$1};filter(Data!$A$2:$J1000,Data!$A$2:$A1000=$A11 , Data!$B$2:$B1000 = $B11, Data!$C$2:$C1000 = $C11)},$P$2, $P$22:$P$23)"),"862624")</f>
        <v>862624</v>
      </c>
      <c r="E11" s="3" t="str">
        <f>IFERROR(__xludf.DUMMYFUNCTION("filter(Data!$A$2:$J1000,Data!$A$2:$A1000=$A11 , Data!$B$2:$B1000 = $B11, Data!$C$2:$C1000 = $C11, Data!$H$2:$H1000 =$D11)"),"1000")</f>
        <v>1000</v>
      </c>
      <c r="F11" s="3">
        <v>5.0</v>
      </c>
      <c r="G11" s="3">
        <v>5.0</v>
      </c>
      <c r="H11" s="3" t="s">
        <v>17</v>
      </c>
      <c r="I11" s="3" t="s">
        <v>16</v>
      </c>
      <c r="J11" s="3">
        <v>30.006</v>
      </c>
      <c r="K11" s="3">
        <v>39.0</v>
      </c>
      <c r="L11" s="3">
        <v>862624.0</v>
      </c>
      <c r="M11" s="3">
        <v>859228.487179</v>
      </c>
      <c r="N11">
        <v>1572.882474</v>
      </c>
      <c r="O11" t="str">
        <f t="shared" si="1"/>
        <v>2.158783556</v>
      </c>
    </row>
    <row r="12">
      <c r="A12" s="4">
        <v>1000.0</v>
      </c>
      <c r="B12" s="4">
        <v>10.0</v>
      </c>
      <c r="C12" s="4">
        <v>1.0</v>
      </c>
      <c r="D12" s="4" t="str">
        <f>IFERROR(__xludf.DUMMYFUNCTION("DMAX({{Data!$A$1:$J$1};filter(Data!$A$2:$J1000,Data!$A$2:$A1000=$A12 , Data!$B$2:$B1000 = $B12, Data!$C$2:$C1000 = $C12)},$P$2, $P$22:$P$23)"),"1609855")</f>
        <v>1609855</v>
      </c>
      <c r="E12" s="4" t="str">
        <f>IFERROR(__xludf.DUMMYFUNCTION("filter(Data!$A$2:$J1000,Data!$A$2:$A1000=$A12 , Data!$B$2:$B1000 = $B12, Data!$C$2:$C1000 = $C12, Data!$H$2:$H1000 =$D12)"),"1000")</f>
        <v>1000</v>
      </c>
      <c r="F12" s="4">
        <v>10.0</v>
      </c>
      <c r="G12" s="4">
        <v>1.0</v>
      </c>
      <c r="H12" s="4" t="s">
        <v>15</v>
      </c>
      <c r="I12" s="4" t="s">
        <v>16</v>
      </c>
      <c r="J12" s="4">
        <v>30.0</v>
      </c>
      <c r="K12" s="4">
        <v>106.0</v>
      </c>
      <c r="L12" s="4">
        <v>1609855.0</v>
      </c>
      <c r="M12" s="4">
        <v>1604205.603774</v>
      </c>
      <c r="N12" s="5">
        <v>2116.261913</v>
      </c>
      <c r="O12" s="6" t="str">
        <f t="shared" si="1"/>
        <v>2.669516562</v>
      </c>
    </row>
    <row r="13">
      <c r="A13" s="4">
        <v>1000.0</v>
      </c>
      <c r="B13" s="4">
        <v>10.0</v>
      </c>
      <c r="C13" s="4">
        <v>2.0</v>
      </c>
      <c r="D13" s="4" t="str">
        <f>IFERROR(__xludf.DUMMYFUNCTION("DMAX({{Data!$A$1:$J$1};filter(Data!$A$2:$J1000,Data!$A$2:$A1000=$A13 , Data!$B$2:$B1000 = $B13, Data!$C$2:$C1000 = $C13)},$P$2, $P$22:$P$23)"),"1628761")</f>
        <v>1628761</v>
      </c>
      <c r="E13" s="4" t="str">
        <f>IFERROR(__xludf.DUMMYFUNCTION("filter(Data!$A$2:$J1000,Data!$A$2:$A1000=$A13 , Data!$B$2:$B1000 = $B13, Data!$C$2:$C1000 = $C13, Data!$H$2:$H1000 =$D13)"),"1000")</f>
        <v>1000</v>
      </c>
      <c r="F13" s="4">
        <v>10.0</v>
      </c>
      <c r="G13" s="4">
        <v>2.0</v>
      </c>
      <c r="H13" s="4" t="s">
        <v>15</v>
      </c>
      <c r="I13" s="4" t="s">
        <v>16</v>
      </c>
      <c r="J13" s="4">
        <v>30.0</v>
      </c>
      <c r="K13" s="4">
        <v>107.0</v>
      </c>
      <c r="L13" s="4">
        <v>1628761.0</v>
      </c>
      <c r="M13" s="4">
        <v>1623773.981308</v>
      </c>
      <c r="N13" s="5">
        <v>1942.246618</v>
      </c>
      <c r="O13" s="6" t="str">
        <f t="shared" si="1"/>
        <v>2.567654718</v>
      </c>
    </row>
    <row r="14">
      <c r="A14" s="4">
        <v>1000.0</v>
      </c>
      <c r="B14" s="4">
        <v>10.0</v>
      </c>
      <c r="C14" s="4">
        <v>3.0</v>
      </c>
      <c r="D14" s="4" t="str">
        <f>IFERROR(__xludf.DUMMYFUNCTION("DMAX({{Data!$A$1:$J$1};filter(Data!$A$2:$J1000,Data!$A$2:$A1000=$A14 , Data!$B$2:$B1000 = $B14, Data!$C$2:$C1000 = $C14)},$P$2, $P$22:$P$23)"),"1630108")</f>
        <v>1630108</v>
      </c>
      <c r="E14" s="4" t="str">
        <f>IFERROR(__xludf.DUMMYFUNCTION("filter(Data!$A$2:$J1000,Data!$A$2:$A1000=$A14 , Data!$B$2:$B1000 = $B14, Data!$C$2:$C1000 = $C14, Data!$H$2:$H1000 =$D14)"),"1000")</f>
        <v>1000</v>
      </c>
      <c r="F14" s="4">
        <v>10.0</v>
      </c>
      <c r="G14" s="4">
        <v>3.0</v>
      </c>
      <c r="H14" s="4" t="s">
        <v>17</v>
      </c>
      <c r="I14" s="4" t="s">
        <v>16</v>
      </c>
      <c r="J14" s="4">
        <v>30.019</v>
      </c>
      <c r="K14" s="4">
        <v>30.0</v>
      </c>
      <c r="L14" s="4">
        <v>1630108.0</v>
      </c>
      <c r="M14" s="4">
        <v>1625145.266667</v>
      </c>
      <c r="N14" s="5">
        <v>1847.574535</v>
      </c>
      <c r="O14" s="6" t="str">
        <f t="shared" si="1"/>
        <v>2.686080176</v>
      </c>
    </row>
    <row r="15">
      <c r="A15" s="4">
        <v>1000.0</v>
      </c>
      <c r="B15" s="4">
        <v>10.0</v>
      </c>
      <c r="C15" s="4">
        <v>4.0</v>
      </c>
      <c r="D15" s="4" t="str">
        <f>IFERROR(__xludf.DUMMYFUNCTION("DMAX({{Data!$A$1:$J$1};filter(Data!$A$2:$J1000,Data!$A$2:$A1000=$A15 , Data!$B$2:$B1000 = $B15, Data!$C$2:$C1000 = $C15)},$P$2, $P$22:$P$23)"),"1624521")</f>
        <v>1624521</v>
      </c>
      <c r="E15" s="4" t="str">
        <f>IFERROR(__xludf.DUMMYFUNCTION("filter(Data!$A$2:$J1000,Data!$A$2:$A1000=$A15 , Data!$B$2:$B1000 = $B15, Data!$C$2:$C1000 = $C15, Data!$H$2:$H1000 =$D15)"),"1000")</f>
        <v>1000</v>
      </c>
      <c r="F15" s="4">
        <v>10.0</v>
      </c>
      <c r="G15" s="4">
        <v>4.0</v>
      </c>
      <c r="H15" s="4" t="s">
        <v>17</v>
      </c>
      <c r="I15" s="4" t="s">
        <v>16</v>
      </c>
      <c r="J15" s="4">
        <v>30.007</v>
      </c>
      <c r="K15" s="4">
        <v>27.0</v>
      </c>
      <c r="L15" s="4">
        <v>1624521.0</v>
      </c>
      <c r="M15" s="4">
        <v>1620910.444444</v>
      </c>
      <c r="N15" s="5">
        <v>2021.804682</v>
      </c>
      <c r="O15" s="6" t="str">
        <f t="shared" si="1"/>
        <v>1.785808287</v>
      </c>
    </row>
    <row r="16">
      <c r="A16" s="4">
        <v>1000.0</v>
      </c>
      <c r="B16" s="4">
        <v>10.0</v>
      </c>
      <c r="C16" s="4">
        <v>5.0</v>
      </c>
      <c r="D16" s="4" t="str">
        <f>IFERROR(__xludf.DUMMYFUNCTION("DMAX({{Data!$A$1:$J$1};filter(Data!$A$2:$J1000,Data!$A$2:$A1000=$A16 , Data!$B$2:$B1000 = $B16, Data!$C$2:$C1000 = $C16)},$P$2, $P$22:$P$23)"),"1623760")</f>
        <v>1623760</v>
      </c>
      <c r="E16" s="4" t="str">
        <f>IFERROR(__xludf.DUMMYFUNCTION("filter(Data!$A$2:$J1000,Data!$A$2:$A1000=$A16 , Data!$B$2:$B1000 = $B16, Data!$C$2:$C1000 = $C16, Data!$H$2:$H1000 =$D16)"),"1000")</f>
        <v>1000</v>
      </c>
      <c r="F16" s="4">
        <v>10.0</v>
      </c>
      <c r="G16" s="4">
        <v>5.0</v>
      </c>
      <c r="H16" s="4" t="s">
        <v>17</v>
      </c>
      <c r="I16" s="4" t="s">
        <v>16</v>
      </c>
      <c r="J16" s="4">
        <v>30.006</v>
      </c>
      <c r="K16" s="4">
        <v>25.0</v>
      </c>
      <c r="L16" s="4">
        <v>1623760.0</v>
      </c>
      <c r="M16" s="4">
        <v>1619793.56</v>
      </c>
      <c r="N16" s="5">
        <v>1913.836964</v>
      </c>
      <c r="O16" s="6" t="str">
        <f t="shared" si="1"/>
        <v>2.072506736</v>
      </c>
    </row>
    <row r="17">
      <c r="A17" s="3">
        <v>1000.0</v>
      </c>
      <c r="B17" s="3">
        <v>50.0</v>
      </c>
      <c r="C17" s="3">
        <v>1.0</v>
      </c>
      <c r="D17" s="3" t="str">
        <f>IFERROR(__xludf.DUMMYFUNCTION("DMAX({{Data!$A$1:$J$1};filter(Data!$A$2:$J1000,Data!$A$2:$A1000=$A17 , Data!$B$2:$B1000 = $B17, Data!$C$2:$C1000 = $C17)},$P$2, $P$22:$P$23)"),"8081307")</f>
        <v>8081307</v>
      </c>
      <c r="E17" s="3" t="str">
        <f>IFERROR(__xludf.DUMMYFUNCTION("filter(Data!$A$2:$J1000,Data!$A$2:$A1000=$A17 , Data!$B$2:$B1000 = $B17, Data!$C$2:$C1000 = $C17, Data!$H$2:$H1000 =$D17)"),"1000")</f>
        <v>1000</v>
      </c>
      <c r="F17" s="3">
        <v>50.0</v>
      </c>
      <c r="G17" s="3">
        <v>1.0</v>
      </c>
      <c r="H17" s="3" t="s">
        <v>17</v>
      </c>
      <c r="I17" s="3" t="s">
        <v>16</v>
      </c>
      <c r="J17" s="3">
        <v>30.106</v>
      </c>
      <c r="K17" s="3">
        <v>13.0</v>
      </c>
      <c r="L17" s="3">
        <v>8081307.0</v>
      </c>
      <c r="M17" s="3">
        <v>8073514.0</v>
      </c>
      <c r="N17">
        <v>4706.439811</v>
      </c>
      <c r="O17" t="str">
        <f t="shared" si="1"/>
        <v>1.655816352</v>
      </c>
    </row>
    <row r="18">
      <c r="A18" s="3">
        <v>1000.0</v>
      </c>
      <c r="B18" s="3">
        <v>50.0</v>
      </c>
      <c r="C18" s="3">
        <v>2.0</v>
      </c>
      <c r="D18" s="3" t="str">
        <f>IFERROR(__xludf.DUMMYFUNCTION("DMAX({{Data!$A$1:$J$1};filter(Data!$A$2:$J1000,Data!$A$2:$A1000=$A18 , Data!$B$2:$B1000 = $B18, Data!$C$2:$C1000 = $C18)},$P$2, $P$22:$P$23)"),"8075184")</f>
        <v>8075184</v>
      </c>
      <c r="E18" s="3" t="str">
        <f>IFERROR(__xludf.DUMMYFUNCTION("filter(Data!$A$2:$J1000,Data!$A$2:$A1000=$A18 , Data!$B$2:$B1000 = $B18, Data!$C$2:$C1000 = $C18, Data!$H$2:$H1000 =$D18)"),"1000")</f>
        <v>1000</v>
      </c>
      <c r="F18" s="3">
        <v>50.0</v>
      </c>
      <c r="G18" s="3">
        <v>2.0</v>
      </c>
      <c r="H18" s="3" t="s">
        <v>15</v>
      </c>
      <c r="I18" s="3" t="s">
        <v>16</v>
      </c>
      <c r="J18" s="3">
        <v>30.003</v>
      </c>
      <c r="K18" s="3">
        <v>65.0</v>
      </c>
      <c r="L18" s="3">
        <v>8075184.0</v>
      </c>
      <c r="M18" s="3">
        <v>8068661.430769</v>
      </c>
      <c r="N18">
        <v>4142.228641</v>
      </c>
      <c r="O18" t="str">
        <f t="shared" si="1"/>
        <v>1.574652149</v>
      </c>
    </row>
    <row r="19">
      <c r="A19" s="3">
        <v>1000.0</v>
      </c>
      <c r="B19" s="3">
        <v>50.0</v>
      </c>
      <c r="C19" s="3">
        <v>3.0</v>
      </c>
      <c r="D19" s="3" t="str">
        <f>IFERROR(__xludf.DUMMYFUNCTION("DMAX({{Data!$A$1:$J$1};filter(Data!$A$2:$J1000,Data!$A$2:$A1000=$A19 , Data!$B$2:$B1000 = $B19, Data!$C$2:$C1000 = $C19)},$P$2, $P$22:$P$23)"),"8074928")</f>
        <v>8074928</v>
      </c>
      <c r="E19" s="3" t="str">
        <f>IFERROR(__xludf.DUMMYFUNCTION("filter(Data!$A$2:$J1000,Data!$A$2:$A1000=$A19 , Data!$B$2:$B1000 = $B19, Data!$C$2:$C1000 = $C19, Data!$H$2:$H1000 =$D19)"),"1000")</f>
        <v>1000</v>
      </c>
      <c r="F19" s="3">
        <v>50.0</v>
      </c>
      <c r="G19" s="3">
        <v>3.0</v>
      </c>
      <c r="H19" s="3" t="s">
        <v>15</v>
      </c>
      <c r="I19" s="3" t="s">
        <v>16</v>
      </c>
      <c r="J19" s="3">
        <v>30.0</v>
      </c>
      <c r="K19" s="3">
        <v>86.0</v>
      </c>
      <c r="L19" s="3">
        <v>8074928.0</v>
      </c>
      <c r="M19" s="3">
        <v>8064823.139535</v>
      </c>
      <c r="N19">
        <v>4745.207413</v>
      </c>
      <c r="O19" t="str">
        <f t="shared" si="1"/>
        <v>2.129487625</v>
      </c>
    </row>
    <row r="20">
      <c r="A20" s="3">
        <v>1000.0</v>
      </c>
      <c r="B20" s="3">
        <v>50.0</v>
      </c>
      <c r="C20" s="3">
        <v>4.0</v>
      </c>
      <c r="D20" s="3" t="str">
        <f>IFERROR(__xludf.DUMMYFUNCTION("DMAX({{Data!$A$1:$J$1};filter(Data!$A$2:$J1000,Data!$A$2:$A1000=$A20 , Data!$B$2:$B1000 = $B20, Data!$C$2:$C1000 = $C20)},$P$2, $P$22:$P$23)"),"8077253")</f>
        <v>8077253</v>
      </c>
      <c r="E20" s="3" t="str">
        <f>IFERROR(__xludf.DUMMYFUNCTION("filter(Data!$A$2:$J1000,Data!$A$2:$A1000=$A20 , Data!$B$2:$B1000 = $B20, Data!$C$2:$C1000 = $C20, Data!$H$2:$H1000 =$D20)"),"1000")</f>
        <v>1000</v>
      </c>
      <c r="F20" s="3">
        <v>50.0</v>
      </c>
      <c r="G20" s="3">
        <v>4.0</v>
      </c>
      <c r="H20" s="3" t="s">
        <v>15</v>
      </c>
      <c r="I20" s="3" t="s">
        <v>16</v>
      </c>
      <c r="J20" s="3">
        <v>30.002</v>
      </c>
      <c r="K20" s="3">
        <v>60.0</v>
      </c>
      <c r="L20" s="3">
        <v>8077253.0</v>
      </c>
      <c r="M20" s="3">
        <v>8069949.8</v>
      </c>
      <c r="N20">
        <v>4000.200419</v>
      </c>
      <c r="O20" t="str">
        <f t="shared" si="1"/>
        <v>1.825708523</v>
      </c>
    </row>
    <row r="21">
      <c r="A21" s="3">
        <v>1000.0</v>
      </c>
      <c r="B21" s="3">
        <v>50.0</v>
      </c>
      <c r="C21" s="3">
        <v>5.0</v>
      </c>
      <c r="D21" s="3" t="str">
        <f>IFERROR(__xludf.DUMMYFUNCTION("DMAX({{Data!$A$1:$J$1};filter(Data!$A$2:$J1000,Data!$A$2:$A1000=$A21 , Data!$B$2:$B1000 = $B21, Data!$C$2:$C1000 = $C21)},$P$2, $P$22:$P$23)"),"8077547")</f>
        <v>8077547</v>
      </c>
      <c r="E21" s="3" t="str">
        <f>IFERROR(__xludf.DUMMYFUNCTION("filter(Data!$A$2:$J1000,Data!$A$2:$A1000=$A21 , Data!$B$2:$B1000 = $B21, Data!$C$2:$C1000 = $C21, Data!$H$2:$H1000 =$D21)"),"1000")</f>
        <v>1000</v>
      </c>
      <c r="F21" s="3">
        <v>50.0</v>
      </c>
      <c r="G21" s="3">
        <v>5.0</v>
      </c>
      <c r="H21" s="3" t="s">
        <v>17</v>
      </c>
      <c r="I21" s="3" t="s">
        <v>16</v>
      </c>
      <c r="J21" s="3">
        <v>30.0</v>
      </c>
      <c r="K21" s="3">
        <v>12.0</v>
      </c>
      <c r="L21" s="3">
        <v>8077547.0</v>
      </c>
      <c r="M21" s="3">
        <v>8069707.666667</v>
      </c>
      <c r="N21">
        <v>6445.338708</v>
      </c>
      <c r="O21" t="str">
        <f t="shared" si="1"/>
        <v>1.216279499</v>
      </c>
    </row>
    <row r="22">
      <c r="A22" s="4">
        <v>1000.0</v>
      </c>
      <c r="B22" s="4">
        <v>100.0</v>
      </c>
      <c r="C22" s="4">
        <v>1.0</v>
      </c>
      <c r="D22" s="4" t="str">
        <f>IFERROR(__xludf.DUMMYFUNCTION("DMAX({{Data!$A$1:$J$1};filter(Data!$A$2:$J1000,Data!$A$2:$A1000=$A22 , Data!$B$2:$B1000 = $B22, Data!$C$2:$C1000 = $C22)},$P$2, $P$22:$P$23)"),"25773541")</f>
        <v>25773541</v>
      </c>
      <c r="E22" s="4" t="str">
        <f>IFERROR(__xludf.DUMMYFUNCTION("filter(Data!$A$2:$J1000,Data!$A$2:$A1000=$A22 , Data!$B$2:$B1000 = $B22, Data!$C$2:$C1000 = $C22, Data!$H$2:$H1000 =$D22)"),"1000")</f>
        <v>1000</v>
      </c>
      <c r="F22" s="4">
        <v>100.0</v>
      </c>
      <c r="G22" s="4">
        <v>1.0</v>
      </c>
      <c r="H22" s="4" t="s">
        <v>15</v>
      </c>
      <c r="I22" s="4" t="s">
        <v>16</v>
      </c>
      <c r="J22" s="4">
        <v>30.006</v>
      </c>
      <c r="K22" s="4">
        <v>59.0</v>
      </c>
      <c r="L22" s="4">
        <v>2.5773541E7</v>
      </c>
      <c r="M22" s="4">
        <v>2.5759933254237E7</v>
      </c>
      <c r="N22" s="5">
        <v>5094.665912</v>
      </c>
      <c r="O22" s="6" t="str">
        <f t="shared" si="1"/>
        <v>2.67097902</v>
      </c>
    </row>
    <row r="23">
      <c r="A23" s="4">
        <v>1000.0</v>
      </c>
      <c r="B23" s="4">
        <v>100.0</v>
      </c>
      <c r="C23" s="4">
        <v>2.0</v>
      </c>
      <c r="D23" s="4" t="str">
        <f>IFERROR(__xludf.DUMMYFUNCTION("DMAX({{Data!$A$1:$J$1};filter(Data!$A$2:$J1000,Data!$A$2:$A1000=$A23 , Data!$B$2:$B1000 = $B23, Data!$C$2:$C1000 = $C23)},$P$2, $P$22:$P$23)"),"25773517")</f>
        <v>25773517</v>
      </c>
      <c r="E23" s="4" t="str">
        <f>IFERROR(__xludf.DUMMYFUNCTION("filter(Data!$A$2:$J1000,Data!$A$2:$A1000=$A23 , Data!$B$2:$B1000 = $B23, Data!$C$2:$C1000 = $C23, Data!$H$2:$H1000 =$D23)"),"1000")</f>
        <v>1000</v>
      </c>
      <c r="F23" s="4">
        <v>100.0</v>
      </c>
      <c r="G23" s="4">
        <v>2.0</v>
      </c>
      <c r="H23" s="4" t="s">
        <v>15</v>
      </c>
      <c r="I23" s="4" t="s">
        <v>16</v>
      </c>
      <c r="J23" s="4">
        <v>30.003</v>
      </c>
      <c r="K23" s="4">
        <v>66.0</v>
      </c>
      <c r="L23" s="4">
        <v>2.5773517E7</v>
      </c>
      <c r="M23" s="4">
        <v>2.5759767772727E7</v>
      </c>
      <c r="N23" s="5">
        <v>4455.25242</v>
      </c>
      <c r="O23" s="6" t="str">
        <f t="shared" si="1"/>
        <v>3.086071445</v>
      </c>
    </row>
    <row r="24">
      <c r="A24" s="4">
        <v>1000.0</v>
      </c>
      <c r="B24" s="4">
        <v>100.0</v>
      </c>
      <c r="C24" s="4">
        <v>3.0</v>
      </c>
      <c r="D24" s="4" t="str">
        <f>IFERROR(__xludf.DUMMYFUNCTION("DMAX({{Data!$A$1:$J$1};filter(Data!$A$2:$J1000,Data!$A$2:$A1000=$A24 , Data!$B$2:$B1000 = $B24, Data!$C$2:$C1000 = $C24)},$P$2, $P$22:$P$23)"),"25807747")</f>
        <v>25807747</v>
      </c>
      <c r="E24" s="4" t="str">
        <f>IFERROR(__xludf.DUMMYFUNCTION("filter(Data!$A$2:$J1000,Data!$A$2:$A1000=$A24 , Data!$B$2:$B1000 = $B24, Data!$C$2:$C1000 = $C24, Data!$H$2:$H1000 =$D24)"),"1000")</f>
        <v>1000</v>
      </c>
      <c r="F24" s="4">
        <v>100.0</v>
      </c>
      <c r="G24" s="4">
        <v>3.0</v>
      </c>
      <c r="H24" s="4" t="s">
        <v>17</v>
      </c>
      <c r="I24" s="4" t="s">
        <v>16</v>
      </c>
      <c r="J24" s="4">
        <v>30.0</v>
      </c>
      <c r="K24" s="4">
        <v>8.0</v>
      </c>
      <c r="L24" s="4">
        <v>2.5807747E7</v>
      </c>
      <c r="M24" s="4">
        <v>2.579922175E7</v>
      </c>
      <c r="N24" s="5">
        <v>5372.333385</v>
      </c>
      <c r="O24" s="6" t="str">
        <f t="shared" si="1"/>
        <v>1.586880297</v>
      </c>
    </row>
    <row r="25">
      <c r="A25" s="4">
        <v>1000.0</v>
      </c>
      <c r="B25" s="4">
        <v>100.0</v>
      </c>
      <c r="C25" s="4">
        <v>4.0</v>
      </c>
      <c r="D25" s="4" t="str">
        <f>IFERROR(__xludf.DUMMYFUNCTION("DMAX({{Data!$A$1:$J$1};filter(Data!$A$2:$J1000,Data!$A$2:$A1000=$A25 , Data!$B$2:$B1000 = $B25, Data!$C$2:$C1000 = $C25)},$P$2, $P$22:$P$23)"),"25820680")</f>
        <v>25820680</v>
      </c>
      <c r="E25" s="4" t="str">
        <f>IFERROR(__xludf.DUMMYFUNCTION("filter(Data!$A$2:$J1000,Data!$A$2:$A1000=$A25 , Data!$B$2:$B1000 = $B25, Data!$C$2:$C1000 = $C25, Data!$H$2:$H1000 =$D25)"),"1000")</f>
        <v>1000</v>
      </c>
      <c r="F25" s="4">
        <v>100.0</v>
      </c>
      <c r="G25" s="4">
        <v>4.0</v>
      </c>
      <c r="H25" s="4" t="s">
        <v>15</v>
      </c>
      <c r="I25" s="4" t="s">
        <v>16</v>
      </c>
      <c r="J25" s="4">
        <v>30.001</v>
      </c>
      <c r="K25" s="4">
        <v>55.0</v>
      </c>
      <c r="L25" s="4">
        <v>2.582068E7</v>
      </c>
      <c r="M25" s="4">
        <v>2.5807574854545E7</v>
      </c>
      <c r="N25" s="5">
        <v>5341.216669</v>
      </c>
      <c r="O25" s="6" t="str">
        <f t="shared" si="1"/>
        <v>2.453588062</v>
      </c>
    </row>
    <row r="26">
      <c r="A26" s="4">
        <v>1000.0</v>
      </c>
      <c r="B26" s="4">
        <v>100.0</v>
      </c>
      <c r="C26" s="4">
        <v>5.0</v>
      </c>
      <c r="D26" s="4" t="str">
        <f>IFERROR(__xludf.DUMMYFUNCTION("DMAX({{Data!$A$1:$J$1};filter(Data!$A$2:$J1000,Data!$A$2:$A1000=$A26 , Data!$B$2:$B1000 = $B26, Data!$C$2:$C1000 = $C26)},$P$2, $P$22:$P$23)"),"25779992")</f>
        <v>25779992</v>
      </c>
      <c r="E26" s="4" t="str">
        <f>IFERROR(__xludf.DUMMYFUNCTION("filter(Data!$A$2:$J1000,Data!$A$2:$A1000=$A26 , Data!$B$2:$B1000 = $B26, Data!$C$2:$C1000 = $C26, Data!$H$2:$H1000 =$D26)"),"1000")</f>
        <v>1000</v>
      </c>
      <c r="F26" s="4">
        <v>100.0</v>
      </c>
      <c r="G26" s="4">
        <v>5.0</v>
      </c>
      <c r="H26" s="4" t="s">
        <v>15</v>
      </c>
      <c r="I26" s="4" t="s">
        <v>16</v>
      </c>
      <c r="J26" s="4">
        <v>30.0</v>
      </c>
      <c r="K26" s="4">
        <v>54.0</v>
      </c>
      <c r="L26" s="4">
        <v>2.5779992E7</v>
      </c>
      <c r="M26" s="4">
        <v>2.5758332462963E7</v>
      </c>
      <c r="N26" s="5">
        <v>47672.598096</v>
      </c>
      <c r="O26" s="6" t="str">
        <f t="shared" si="1"/>
        <v>0.4543393459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/>
      <c r="B32" s="3"/>
      <c r="C32" s="3"/>
      <c r="D32" s="3"/>
      <c r="E32" s="7"/>
      <c r="F32" s="3"/>
      <c r="G32" s="3"/>
      <c r="H32" s="3"/>
      <c r="I32" s="3"/>
      <c r="J32" s="3"/>
      <c r="K32" s="3"/>
      <c r="L32" s="3"/>
      <c r="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5.57"/>
    <col customWidth="1" min="4" max="4" width="11.71"/>
    <col customWidth="1" hidden="1" min="5" max="5" width="5.0"/>
    <col customWidth="1" hidden="1" min="6" max="6" width="4.0"/>
    <col customWidth="1" hidden="1" min="7" max="7" width="2.0"/>
    <col customWidth="1" min="8" max="8" width="11.71"/>
    <col customWidth="1" min="9" max="9" width="9.71"/>
    <col customWidth="1" hidden="1" min="10" max="10" width="6.57"/>
    <col customWidth="1" min="11" max="11" width="6.86"/>
    <col customWidth="1" min="12" max="12" width="9.0"/>
    <col customWidth="1" hidden="1" min="13" max="13" width="11.57"/>
    <col customWidth="1" min="14" max="14" width="11.57"/>
    <col customWidth="1" min="15" max="15" width="21.0"/>
    <col customWidth="1" min="16" max="16" width="8.14"/>
  </cols>
  <sheetData>
    <row r="1">
      <c r="A1" s="1" t="str">
        <f>IFERROR(__xludf.DUMMYFUNCTION("UNIQUE(Data!A:C)"),"N")</f>
        <v>N</v>
      </c>
      <c r="B1" s="1" t="s">
        <v>1</v>
      </c>
      <c r="C1" s="1" t="s">
        <v>2</v>
      </c>
      <c r="D1" s="1" t="s">
        <v>26</v>
      </c>
      <c r="E1" s="1"/>
      <c r="F1" s="1"/>
      <c r="G1" s="1"/>
      <c r="H1" s="1" t="s">
        <v>19</v>
      </c>
      <c r="I1" s="1" t="s">
        <v>20</v>
      </c>
      <c r="J1" s="1"/>
      <c r="K1" s="1" t="s">
        <v>21</v>
      </c>
      <c r="L1" s="1" t="s">
        <v>27</v>
      </c>
      <c r="M1" s="1" t="s">
        <v>22</v>
      </c>
      <c r="N1" s="1" t="s">
        <v>23</v>
      </c>
      <c r="O1" s="1" t="s">
        <v>28</v>
      </c>
      <c r="P1" s="1" t="s">
        <v>25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1000.0</v>
      </c>
      <c r="B2" s="4">
        <v>1.0</v>
      </c>
      <c r="C2" s="4">
        <v>1.0</v>
      </c>
      <c r="D2" s="4" t="str">
        <f>IFERROR(__xludf.DUMMYFUNCTION("DMAX({{Data!$A$1:$J$1};filter(Data!$A$2:$J1000,Data!$A$2:$A1000=$A2 , Data!$B$2:$B1000 = $B2, Data!$C$2:$C1000 = $C2)},$P$2, $P$22:$P$23)"),"209038.7674")</f>
        <v>209038.7674</v>
      </c>
      <c r="E2" s="4" t="str">
        <f>IFERROR(__xludf.DUMMYFUNCTION("filter(Data!$A$2:$J1000,Data!$A$2:$A1000=$A2 , Data!$B$2:$B1000 = $B2, Data!$C$2:$C1000 = $C2, Data!$I$2:$I1000 =$D2)"),"1000")</f>
        <v>1000</v>
      </c>
      <c r="F2" s="4">
        <v>1.0</v>
      </c>
      <c r="G2" s="4">
        <v>1.0</v>
      </c>
      <c r="H2" s="4" t="s">
        <v>17</v>
      </c>
      <c r="I2" s="4" t="s">
        <v>16</v>
      </c>
      <c r="J2" s="4">
        <v>30.001</v>
      </c>
      <c r="K2" s="4">
        <v>86.0</v>
      </c>
      <c r="L2" s="4">
        <v>210187.0</v>
      </c>
      <c r="M2" s="4">
        <v>209038.767442</v>
      </c>
      <c r="N2" s="5">
        <v>555.228461</v>
      </c>
      <c r="O2" s="8" t="str">
        <f>('Best Solution'!D2 - D2)/'Best Solution'!D2</f>
        <v>0.55%</v>
      </c>
      <c r="P2" s="3" t="s">
        <v>8</v>
      </c>
    </row>
    <row r="3">
      <c r="A3" s="4">
        <v>1000.0</v>
      </c>
      <c r="B3" s="4">
        <v>1.0</v>
      </c>
      <c r="C3" s="4">
        <v>2.0</v>
      </c>
      <c r="D3" s="4" t="str">
        <f>IFERROR(__xludf.DUMMYFUNCTION("DMAX({{Data!$A$1:$J$1};filter(Data!$A$2:$J1000,Data!$A$2:$A1000=$A3 , Data!$B$2:$B1000 = $B3, Data!$C$2:$C1000 = $C3)},$P$2, $P$22:$P$23)"),"204998.0706")</f>
        <v>204998.0706</v>
      </c>
      <c r="E3" s="4" t="str">
        <f>IFERROR(__xludf.DUMMYFUNCTION("filter(Data!$A$2:$J1000,Data!$A$2:$A1000=$A3 , Data!$B$2:$B1000 = $B3, Data!$C$2:$C1000 = $C3, Data!$I$2:$I1000 =$D3)"),"1000")</f>
        <v>1000</v>
      </c>
      <c r="F3" s="4">
        <v>1.0</v>
      </c>
      <c r="G3" s="4">
        <v>2.0</v>
      </c>
      <c r="H3" s="4" t="s">
        <v>17</v>
      </c>
      <c r="I3" s="4" t="s">
        <v>16</v>
      </c>
      <c r="J3" s="4">
        <v>30.006</v>
      </c>
      <c r="K3" s="4">
        <v>85.0</v>
      </c>
      <c r="L3" s="4">
        <v>206514.0</v>
      </c>
      <c r="M3" s="4">
        <v>204998.070588</v>
      </c>
      <c r="N3" s="5">
        <v>552.768982</v>
      </c>
      <c r="O3" s="8" t="str">
        <f>('Best Solution'!D3 - D3)/'Best Solution'!D3</f>
        <v>0.73%</v>
      </c>
    </row>
    <row r="4">
      <c r="A4" s="4">
        <v>1000.0</v>
      </c>
      <c r="B4" s="4">
        <v>1.0</v>
      </c>
      <c r="C4" s="4">
        <v>3.0</v>
      </c>
      <c r="D4" s="4" t="str">
        <f>IFERROR(__xludf.DUMMYFUNCTION("DMAX({{Data!$A$1:$J$1};filter(Data!$A$2:$J1000,Data!$A$2:$A1000=$A4 , Data!$B$2:$B1000 = $B4, Data!$C$2:$C1000 = $C4)},$P$2, $P$22:$P$23)"),"203484.7474")</f>
        <v>203484.7474</v>
      </c>
      <c r="E4" s="4" t="str">
        <f>IFERROR(__xludf.DUMMYFUNCTION("filter(Data!$A$2:$J1000,Data!$A$2:$A1000=$A4 , Data!$B$2:$B1000 = $B4, Data!$C$2:$C1000 = $C4, Data!$I$2:$I1000 =$D4)"),"1000")</f>
        <v>1000</v>
      </c>
      <c r="F4" s="4">
        <v>1.0</v>
      </c>
      <c r="G4" s="4">
        <v>3.0</v>
      </c>
      <c r="H4" s="4" t="s">
        <v>17</v>
      </c>
      <c r="I4" s="4" t="s">
        <v>16</v>
      </c>
      <c r="J4" s="4">
        <v>30.0</v>
      </c>
      <c r="K4" s="4">
        <v>95.0</v>
      </c>
      <c r="L4" s="4">
        <v>205006.0</v>
      </c>
      <c r="M4" s="4">
        <v>203484.747368</v>
      </c>
      <c r="N4" s="5">
        <v>878.59148</v>
      </c>
      <c r="O4" s="8" t="str">
        <f>('Best Solution'!D4 - D4)/'Best Solution'!D4</f>
        <v>0.74%</v>
      </c>
    </row>
    <row r="5">
      <c r="A5" s="4">
        <v>1000.0</v>
      </c>
      <c r="B5" s="4">
        <v>1.0</v>
      </c>
      <c r="C5" s="4">
        <v>4.0</v>
      </c>
      <c r="D5" s="4" t="str">
        <f>IFERROR(__xludf.DUMMYFUNCTION("DMAX({{Data!$A$1:$J$1};filter(Data!$A$2:$J1000,Data!$A$2:$A1000=$A5 , Data!$B$2:$B1000 = $B5, Data!$C$2:$C1000 = $C5)},$P$2, $P$22:$P$23)"),"212167.1059")</f>
        <v>212167.1059</v>
      </c>
      <c r="E5" s="4" t="str">
        <f>IFERROR(__xludf.DUMMYFUNCTION("filter(Data!$A$2:$J1000,Data!$A$2:$A1000=$A5 , Data!$B$2:$B1000 = $B5, Data!$C$2:$C1000 = $C5, Data!$I$2:$I1000 =$D5)"),"1000")</f>
        <v>1000</v>
      </c>
      <c r="F5" s="4">
        <v>1.0</v>
      </c>
      <c r="G5" s="4">
        <v>4.0</v>
      </c>
      <c r="H5" s="4" t="s">
        <v>17</v>
      </c>
      <c r="I5" s="4" t="s">
        <v>16</v>
      </c>
      <c r="J5" s="4">
        <v>30.0</v>
      </c>
      <c r="K5" s="4">
        <v>85.0</v>
      </c>
      <c r="L5" s="4">
        <v>213473.0</v>
      </c>
      <c r="M5" s="4">
        <v>212167.105882</v>
      </c>
      <c r="N5" s="5">
        <v>592.253821</v>
      </c>
      <c r="O5" s="8" t="str">
        <f>('Best Solution'!D5 - D5)/'Best Solution'!D5</f>
        <v>0.69%</v>
      </c>
    </row>
    <row r="6">
      <c r="A6" s="4">
        <v>1000.0</v>
      </c>
      <c r="B6" s="4">
        <v>1.0</v>
      </c>
      <c r="C6" s="4">
        <v>5.0</v>
      </c>
      <c r="D6" s="4" t="str">
        <f>IFERROR(__xludf.DUMMYFUNCTION("DMAX({{Data!$A$1:$J$1};filter(Data!$A$2:$J1000,Data!$A$2:$A1000=$A6 , Data!$B$2:$B1000 = $B6, Data!$C$2:$C1000 = $C6)},$P$2, $P$22:$P$23)"),"210336.1429")</f>
        <v>210336.1429</v>
      </c>
      <c r="E6" s="4" t="str">
        <f>IFERROR(__xludf.DUMMYFUNCTION("filter(Data!$A$2:$J1000,Data!$A$2:$A1000=$A6 , Data!$B$2:$B1000 = $B6, Data!$C$2:$C1000 = $C6, Data!$I$2:$I1000 =$D6)"),"1000")</f>
        <v>1000</v>
      </c>
      <c r="F6" s="4">
        <v>1.0</v>
      </c>
      <c r="G6" s="4">
        <v>5.0</v>
      </c>
      <c r="H6" s="4" t="s">
        <v>17</v>
      </c>
      <c r="I6" s="4" t="s">
        <v>16</v>
      </c>
      <c r="J6" s="4">
        <v>30.012</v>
      </c>
      <c r="K6" s="4">
        <v>91.0</v>
      </c>
      <c r="L6" s="4">
        <v>211464.0</v>
      </c>
      <c r="M6" s="4">
        <v>210336.142857</v>
      </c>
      <c r="N6" s="5">
        <v>570.607515</v>
      </c>
      <c r="O6" s="8" t="str">
        <f>('Best Solution'!D6 - D6)/'Best Solution'!D6</f>
        <v>0.58%</v>
      </c>
    </row>
    <row r="7">
      <c r="A7" s="3">
        <v>1000.0</v>
      </c>
      <c r="B7" s="3">
        <v>5.0</v>
      </c>
      <c r="C7" s="3">
        <v>1.0</v>
      </c>
      <c r="D7" s="3" t="str">
        <f>IFERROR(__xludf.DUMMYFUNCTION("DMAX({{Data!$A$1:$J$1};filter(Data!$A$2:$J1000,Data!$A$2:$A1000=$A7 , Data!$B$2:$B1000 = $B7, Data!$C$2:$C1000 = $C7)},$P$2, $P$22:$P$23)"),"856004.2059")</f>
        <v>856004.2059</v>
      </c>
      <c r="E7" s="3" t="str">
        <f>IFERROR(__xludf.DUMMYFUNCTION("filter(Data!$A$2:$J1000,Data!$A$2:$A1000=$A7 , Data!$B$2:$B1000 = $B7, Data!$C$2:$C1000 = $C7, Data!$I$2:$I1000 =$D7)"),"1000")</f>
        <v>1000</v>
      </c>
      <c r="F7" s="3">
        <v>5.0</v>
      </c>
      <c r="G7" s="3">
        <v>1.0</v>
      </c>
      <c r="H7" s="3" t="s">
        <v>17</v>
      </c>
      <c r="I7" s="3" t="s">
        <v>16</v>
      </c>
      <c r="J7" s="3">
        <v>30.008</v>
      </c>
      <c r="K7" s="3">
        <v>34.0</v>
      </c>
      <c r="L7" s="3">
        <v>858115.0</v>
      </c>
      <c r="M7" s="3">
        <v>856004.205882</v>
      </c>
      <c r="N7">
        <v>1246.340992</v>
      </c>
      <c r="O7" s="9" t="str">
        <f>('Best Solution'!D7 - D7)/'Best Solution'!D7</f>
        <v>0.27%</v>
      </c>
    </row>
    <row r="8">
      <c r="A8" s="3">
        <v>1000.0</v>
      </c>
      <c r="B8" s="3">
        <v>5.0</v>
      </c>
      <c r="C8" s="3">
        <v>2.0</v>
      </c>
      <c r="D8" s="3" t="str">
        <f>IFERROR(__xludf.DUMMYFUNCTION("DMAX({{Data!$A$1:$J$1};filter(Data!$A$2:$J1000,Data!$A$2:$A1000=$A8 , Data!$B$2:$B1000 = $B8, Data!$C$2:$C1000 = $C8)},$P$2, $P$22:$P$23)"),"860183.4324")</f>
        <v>860183.4324</v>
      </c>
      <c r="E8" s="3" t="str">
        <f>IFERROR(__xludf.DUMMYFUNCTION("filter(Data!$A$2:$J1000,Data!$A$2:$A1000=$A8 , Data!$B$2:$B1000 = $B8, Data!$C$2:$C1000 = $C8, Data!$I$2:$I1000 =$D8)"),"1000")</f>
        <v>1000</v>
      </c>
      <c r="F8" s="3">
        <v>5.0</v>
      </c>
      <c r="G8" s="3">
        <v>2.0</v>
      </c>
      <c r="H8" s="3" t="s">
        <v>17</v>
      </c>
      <c r="I8" s="3" t="s">
        <v>16</v>
      </c>
      <c r="J8" s="3">
        <v>30.025</v>
      </c>
      <c r="K8" s="3">
        <v>37.0</v>
      </c>
      <c r="L8" s="3">
        <v>863748.0</v>
      </c>
      <c r="M8" s="3">
        <v>860183.432432</v>
      </c>
      <c r="N8">
        <v>1537.984036</v>
      </c>
      <c r="O8" s="9" t="str">
        <f>('Best Solution'!D8 - D8)/'Best Solution'!D8</f>
        <v>0.41%</v>
      </c>
    </row>
    <row r="9">
      <c r="A9" s="3">
        <v>1000.0</v>
      </c>
      <c r="B9" s="3">
        <v>5.0</v>
      </c>
      <c r="C9" s="3">
        <v>3.0</v>
      </c>
      <c r="D9" s="3" t="str">
        <f>IFERROR(__xludf.DUMMYFUNCTION("DMAX({{Data!$A$1:$J$1};filter(Data!$A$2:$J1000,Data!$A$2:$A1000=$A9 , Data!$B$2:$B1000 = $B9, Data!$C$2:$C1000 = $C9)},$P$2, $P$22:$P$23)"),"863706.8058")</f>
        <v>863706.8058</v>
      </c>
      <c r="E9" s="3" t="str">
        <f>IFERROR(__xludf.DUMMYFUNCTION("filter(Data!$A$2:$J1000,Data!$A$2:$A1000=$A9 , Data!$B$2:$B1000 = $B9, Data!$C$2:$C1000 = $C9, Data!$I$2:$I1000 =$D9)"),"1000")</f>
        <v>1000</v>
      </c>
      <c r="F9" s="3">
        <v>5.0</v>
      </c>
      <c r="G9" s="3">
        <v>3.0</v>
      </c>
      <c r="H9" s="3" t="s">
        <v>15</v>
      </c>
      <c r="I9" s="3" t="s">
        <v>16</v>
      </c>
      <c r="J9" s="3">
        <v>30.0</v>
      </c>
      <c r="K9" s="3">
        <v>139.0</v>
      </c>
      <c r="L9" s="3">
        <v>866792.0</v>
      </c>
      <c r="M9" s="3">
        <v>863706.805755</v>
      </c>
      <c r="N9">
        <v>1636.132375</v>
      </c>
      <c r="O9" s="9" t="str">
        <f>('Best Solution'!D9 - D9)/'Best Solution'!D9</f>
        <v>0.69%</v>
      </c>
    </row>
    <row r="10">
      <c r="A10" s="3">
        <v>1000.0</v>
      </c>
      <c r="B10" s="3">
        <v>5.0</v>
      </c>
      <c r="C10" s="3">
        <v>4.0</v>
      </c>
      <c r="D10" s="3" t="str">
        <f>IFERROR(__xludf.DUMMYFUNCTION("DMAX({{Data!$A$1:$J$1};filter(Data!$A$2:$J1000,Data!$A$2:$A1000=$A10 , Data!$B$2:$B1000 = $B10, Data!$C$2:$C1000 = $C10)},$P$2, $P$22:$P$23)"),"864908.0882")</f>
        <v>864908.0882</v>
      </c>
      <c r="E10" s="3" t="str">
        <f>IFERROR(__xludf.DUMMYFUNCTION("filter(Data!$A$2:$J1000,Data!$A$2:$A1000=$A10 , Data!$B$2:$B1000 = $B10, Data!$C$2:$C1000 = $C10, Data!$I$2:$I1000 =$D10)"),"1000")</f>
        <v>1000</v>
      </c>
      <c r="F10" s="3">
        <v>5.0</v>
      </c>
      <c r="G10" s="3">
        <v>4.0</v>
      </c>
      <c r="H10" s="3" t="s">
        <v>17</v>
      </c>
      <c r="I10" s="3" t="s">
        <v>16</v>
      </c>
      <c r="J10" s="3">
        <v>30.01</v>
      </c>
      <c r="K10" s="3">
        <v>34.0</v>
      </c>
      <c r="L10" s="3">
        <v>867754.0</v>
      </c>
      <c r="M10" s="3">
        <v>864908.088235</v>
      </c>
      <c r="N10">
        <v>1441.749802</v>
      </c>
      <c r="O10" s="9" t="str">
        <f>('Best Solution'!D10 - D10)/'Best Solution'!D10</f>
        <v>0.33%</v>
      </c>
    </row>
    <row r="11">
      <c r="A11" s="3">
        <v>1000.0</v>
      </c>
      <c r="B11" s="3">
        <v>5.0</v>
      </c>
      <c r="C11" s="3">
        <v>5.0</v>
      </c>
      <c r="D11" s="3" t="str">
        <f>IFERROR(__xludf.DUMMYFUNCTION("DMAX({{Data!$A$1:$J$1};filter(Data!$A$2:$J1000,Data!$A$2:$A1000=$A11 , Data!$B$2:$B1000 = $B11, Data!$C$2:$C1000 = $C11)},$P$2, $P$22:$P$23)"),"859228.4872")</f>
        <v>859228.4872</v>
      </c>
      <c r="E11" s="3" t="str">
        <f>IFERROR(__xludf.DUMMYFUNCTION("filter(Data!$A$2:$J1000,Data!$A$2:$A1000=$A11 , Data!$B$2:$B1000 = $B11, Data!$C$2:$C1000 = $C11, Data!$I$2:$I1000 =$D11)"),"1000")</f>
        <v>1000</v>
      </c>
      <c r="F11" s="3">
        <v>5.0</v>
      </c>
      <c r="G11" s="3">
        <v>5.0</v>
      </c>
      <c r="H11" s="3" t="s">
        <v>17</v>
      </c>
      <c r="I11" s="3" t="s">
        <v>16</v>
      </c>
      <c r="J11" s="3">
        <v>30.006</v>
      </c>
      <c r="K11" s="3">
        <v>39.0</v>
      </c>
      <c r="L11" s="3">
        <v>862624.0</v>
      </c>
      <c r="M11" s="3">
        <v>859228.487179</v>
      </c>
      <c r="N11">
        <v>1572.882474</v>
      </c>
      <c r="O11" s="9" t="str">
        <f>('Best Solution'!D11 - D11)/'Best Solution'!D11</f>
        <v>0.39%</v>
      </c>
    </row>
    <row r="12">
      <c r="A12" s="4">
        <v>1000.0</v>
      </c>
      <c r="B12" s="4">
        <v>10.0</v>
      </c>
      <c r="C12" s="4">
        <v>1.0</v>
      </c>
      <c r="D12" s="4" t="str">
        <f>IFERROR(__xludf.DUMMYFUNCTION("DMAX({{Data!$A$1:$J$1};filter(Data!$A$2:$J1000,Data!$A$2:$A1000=$A12 , Data!$B$2:$B1000 = $B12, Data!$C$2:$C1000 = $C12)},$P$2, $P$22:$P$23)"),"1606828.625")</f>
        <v>1606828.625</v>
      </c>
      <c r="E12" s="4" t="str">
        <f>IFERROR(__xludf.DUMMYFUNCTION("filter(Data!$A$2:$J1000,Data!$A$2:$A1000=$A12 , Data!$B$2:$B1000 = $B12, Data!$C$2:$C1000 = $C12, Data!$I$2:$I1000 =$D12)"),"1000")</f>
        <v>1000</v>
      </c>
      <c r="F12" s="4">
        <v>10.0</v>
      </c>
      <c r="G12" s="4">
        <v>1.0</v>
      </c>
      <c r="H12" s="4" t="s">
        <v>17</v>
      </c>
      <c r="I12" s="4" t="s">
        <v>16</v>
      </c>
      <c r="J12" s="4">
        <v>30.044</v>
      </c>
      <c r="K12" s="4">
        <v>24.0</v>
      </c>
      <c r="L12" s="4">
        <v>1609312.0</v>
      </c>
      <c r="M12" s="4">
        <v>1606828.625</v>
      </c>
      <c r="N12" s="5">
        <v>2164.633741</v>
      </c>
      <c r="O12" s="8" t="str">
        <f>('Best Solution'!D12 - D12)/'Best Solution'!D12</f>
        <v>0.19%</v>
      </c>
    </row>
    <row r="13">
      <c r="A13" s="4">
        <v>1000.0</v>
      </c>
      <c r="B13" s="4">
        <v>10.0</v>
      </c>
      <c r="C13" s="4">
        <v>2.0</v>
      </c>
      <c r="D13" s="4" t="str">
        <f>IFERROR(__xludf.DUMMYFUNCTION("DMAX({{Data!$A$1:$J$1};filter(Data!$A$2:$J1000,Data!$A$2:$A1000=$A13 , Data!$B$2:$B1000 = $B13, Data!$C$2:$C1000 = $C13)},$P$2, $P$22:$P$23)"),"1626213.286")</f>
        <v>1626213.286</v>
      </c>
      <c r="E13" s="4" t="str">
        <f>IFERROR(__xludf.DUMMYFUNCTION("filter(Data!$A$2:$J1000,Data!$A$2:$A1000=$A13 , Data!$B$2:$B1000 = $B13, Data!$C$2:$C1000 = $C13, Data!$I$2:$I1000 =$D13)"),"1000")</f>
        <v>1000</v>
      </c>
      <c r="F13" s="4">
        <v>10.0</v>
      </c>
      <c r="G13" s="4">
        <v>2.0</v>
      </c>
      <c r="H13" s="4" t="s">
        <v>17</v>
      </c>
      <c r="I13" s="4" t="s">
        <v>16</v>
      </c>
      <c r="J13" s="4">
        <v>30.008</v>
      </c>
      <c r="K13" s="4">
        <v>28.0</v>
      </c>
      <c r="L13" s="4">
        <v>1628535.0</v>
      </c>
      <c r="M13" s="4">
        <v>1626213.285714</v>
      </c>
      <c r="N13" s="5">
        <v>1624.904522</v>
      </c>
      <c r="O13" s="8" t="str">
        <f>('Best Solution'!D13 - D13)/'Best Solution'!D13</f>
        <v>0.16%</v>
      </c>
    </row>
    <row r="14">
      <c r="A14" s="4">
        <v>1000.0</v>
      </c>
      <c r="B14" s="4">
        <v>10.0</v>
      </c>
      <c r="C14" s="4">
        <v>3.0</v>
      </c>
      <c r="D14" s="4" t="str">
        <f>IFERROR(__xludf.DUMMYFUNCTION("DMAX({{Data!$A$1:$J$1};filter(Data!$A$2:$J1000,Data!$A$2:$A1000=$A14 , Data!$B$2:$B1000 = $B14, Data!$C$2:$C1000 = $C14)},$P$2, $P$22:$P$23)"),"1625145.267")</f>
        <v>1625145.267</v>
      </c>
      <c r="E14" s="4" t="str">
        <f>IFERROR(__xludf.DUMMYFUNCTION("filter(Data!$A$2:$J1000,Data!$A$2:$A1000=$A14 , Data!$B$2:$B1000 = $B14, Data!$C$2:$C1000 = $C14, Data!$I$2:$I1000 =$D14)"),"1000")</f>
        <v>1000</v>
      </c>
      <c r="F14" s="4">
        <v>10.0</v>
      </c>
      <c r="G14" s="4">
        <v>3.0</v>
      </c>
      <c r="H14" s="4" t="s">
        <v>17</v>
      </c>
      <c r="I14" s="4" t="s">
        <v>16</v>
      </c>
      <c r="J14" s="4">
        <v>30.019</v>
      </c>
      <c r="K14" s="4">
        <v>30.0</v>
      </c>
      <c r="L14" s="4">
        <v>1630108.0</v>
      </c>
      <c r="M14" s="4">
        <v>1625145.266667</v>
      </c>
      <c r="N14" s="5">
        <v>1847.574535</v>
      </c>
      <c r="O14" s="8" t="str">
        <f>('Best Solution'!D14 - D14)/'Best Solution'!D14</f>
        <v>0.30%</v>
      </c>
    </row>
    <row r="15">
      <c r="A15" s="4">
        <v>1000.0</v>
      </c>
      <c r="B15" s="4">
        <v>10.0</v>
      </c>
      <c r="C15" s="4">
        <v>4.0</v>
      </c>
      <c r="D15" s="4" t="str">
        <f>IFERROR(__xludf.DUMMYFUNCTION("DMAX({{Data!$A$1:$J$1};filter(Data!$A$2:$J1000,Data!$A$2:$A1000=$A15 , Data!$B$2:$B1000 = $B15, Data!$C$2:$C1000 = $C15)},$P$2, $P$22:$P$23)"),"1620910.444")</f>
        <v>1620910.444</v>
      </c>
      <c r="E15" s="4" t="str">
        <f>IFERROR(__xludf.DUMMYFUNCTION("filter(Data!$A$2:$J1000,Data!$A$2:$A1000=$A15 , Data!$B$2:$B1000 = $B15, Data!$C$2:$C1000 = $C15, Data!$I$2:$I1000 =$D15)"),"1000")</f>
        <v>1000</v>
      </c>
      <c r="F15" s="4">
        <v>10.0</v>
      </c>
      <c r="G15" s="4">
        <v>4.0</v>
      </c>
      <c r="H15" s="4" t="s">
        <v>17</v>
      </c>
      <c r="I15" s="4" t="s">
        <v>16</v>
      </c>
      <c r="J15" s="4">
        <v>30.007</v>
      </c>
      <c r="K15" s="4">
        <v>27.0</v>
      </c>
      <c r="L15" s="4">
        <v>1624521.0</v>
      </c>
      <c r="M15" s="4">
        <v>1620910.444444</v>
      </c>
      <c r="N15" s="5">
        <v>2021.804682</v>
      </c>
      <c r="O15" s="8" t="str">
        <f>('Best Solution'!D15 - D15)/'Best Solution'!D15</f>
        <v>0.22%</v>
      </c>
    </row>
    <row r="16">
      <c r="A16" s="4">
        <v>1000.0</v>
      </c>
      <c r="B16" s="4">
        <v>10.0</v>
      </c>
      <c r="C16" s="4">
        <v>5.0</v>
      </c>
      <c r="D16" s="4" t="str">
        <f>IFERROR(__xludf.DUMMYFUNCTION("DMAX({{Data!$A$1:$J$1};filter(Data!$A$2:$J1000,Data!$A$2:$A1000=$A16 , Data!$B$2:$B1000 = $B16, Data!$C$2:$C1000 = $C16)},$P$2, $P$22:$P$23)"),"1619793.56")</f>
        <v>1619793.56</v>
      </c>
      <c r="E16" s="4" t="str">
        <f>IFERROR(__xludf.DUMMYFUNCTION("filter(Data!$A$2:$J1000,Data!$A$2:$A1000=$A16 , Data!$B$2:$B1000 = $B16, Data!$C$2:$C1000 = $C16, Data!$I$2:$I1000 =$D16)"),"1000")</f>
        <v>1000</v>
      </c>
      <c r="F16" s="4">
        <v>10.0</v>
      </c>
      <c r="G16" s="4">
        <v>5.0</v>
      </c>
      <c r="H16" s="4" t="s">
        <v>17</v>
      </c>
      <c r="I16" s="4" t="s">
        <v>16</v>
      </c>
      <c r="J16" s="4">
        <v>30.006</v>
      </c>
      <c r="K16" s="4">
        <v>25.0</v>
      </c>
      <c r="L16" s="4">
        <v>1623760.0</v>
      </c>
      <c r="M16" s="4">
        <v>1619793.56</v>
      </c>
      <c r="N16" s="5">
        <v>1913.836964</v>
      </c>
      <c r="O16" s="8" t="str">
        <f>('Best Solution'!D16 - D16)/'Best Solution'!D16</f>
        <v>0.24%</v>
      </c>
    </row>
    <row r="17">
      <c r="A17" s="3">
        <v>1000.0</v>
      </c>
      <c r="B17" s="3">
        <v>50.0</v>
      </c>
      <c r="C17" s="3">
        <v>1.0</v>
      </c>
      <c r="D17" s="3" t="str">
        <f>IFERROR(__xludf.DUMMYFUNCTION("DMAX({{Data!$A$1:$J$1};filter(Data!$A$2:$J1000,Data!$A$2:$A1000=$A17 , Data!$B$2:$B1000 = $B17, Data!$C$2:$C1000 = $C17)},$P$2, $P$22:$P$23)"),"8073514")</f>
        <v>8073514</v>
      </c>
      <c r="E17" s="3" t="str">
        <f>IFERROR(__xludf.DUMMYFUNCTION("filter(Data!$A$2:$J1000,Data!$A$2:$A1000=$A17 , Data!$B$2:$B1000 = $B17, Data!$C$2:$C1000 = $C17, Data!$I$2:$I1000 =$D17)"),"1000")</f>
        <v>1000</v>
      </c>
      <c r="F17" s="3">
        <v>50.0</v>
      </c>
      <c r="G17" s="3">
        <v>1.0</v>
      </c>
      <c r="H17" s="3" t="s">
        <v>17</v>
      </c>
      <c r="I17" s="3" t="s">
        <v>16</v>
      </c>
      <c r="J17" s="3">
        <v>30.106</v>
      </c>
      <c r="K17" s="3">
        <v>13.0</v>
      </c>
      <c r="L17" s="3">
        <v>8081307.0</v>
      </c>
      <c r="M17" s="3">
        <v>8073514.0</v>
      </c>
      <c r="N17">
        <v>4706.439811</v>
      </c>
      <c r="O17" s="9" t="str">
        <f>('Best Solution'!D17 - D17)/'Best Solution'!D17</f>
        <v>0.10%</v>
      </c>
    </row>
    <row r="18">
      <c r="A18" s="3">
        <v>1000.0</v>
      </c>
      <c r="B18" s="3">
        <v>50.0</v>
      </c>
      <c r="C18" s="3">
        <v>2.0</v>
      </c>
      <c r="D18" s="3" t="str">
        <f>IFERROR(__xludf.DUMMYFUNCTION("DMAX({{Data!$A$1:$J$1};filter(Data!$A$2:$J1000,Data!$A$2:$A1000=$A18 , Data!$B$2:$B1000 = $B18, Data!$C$2:$C1000 = $C18)},$P$2, $P$22:$P$23)"),"8070467.077")</f>
        <v>8070467.077</v>
      </c>
      <c r="E18" s="3" t="str">
        <f>IFERROR(__xludf.DUMMYFUNCTION("filter(Data!$A$2:$J1000,Data!$A$2:$A1000=$A18 , Data!$B$2:$B1000 = $B18, Data!$C$2:$C1000 = $C18, Data!$I$2:$I1000 =$D18)"),"1000")</f>
        <v>1000</v>
      </c>
      <c r="F18" s="3">
        <v>50.0</v>
      </c>
      <c r="G18" s="3">
        <v>2.0</v>
      </c>
      <c r="H18" s="3" t="s">
        <v>17</v>
      </c>
      <c r="I18" s="3" t="s">
        <v>16</v>
      </c>
      <c r="J18" s="3">
        <v>30.042</v>
      </c>
      <c r="K18" s="3">
        <v>13.0</v>
      </c>
      <c r="L18" s="3">
        <v>8074676.0</v>
      </c>
      <c r="M18" s="3">
        <v>8070467.076923</v>
      </c>
      <c r="N18">
        <v>4713.70585</v>
      </c>
      <c r="O18" s="9" t="str">
        <f>('Best Solution'!D18 - D18)/'Best Solution'!D18</f>
        <v>0.06%</v>
      </c>
    </row>
    <row r="19">
      <c r="A19" s="3">
        <v>1000.0</v>
      </c>
      <c r="B19" s="3">
        <v>50.0</v>
      </c>
      <c r="C19" s="3">
        <v>3.0</v>
      </c>
      <c r="D19" s="3" t="str">
        <f>IFERROR(__xludf.DUMMYFUNCTION("DMAX({{Data!$A$1:$J$1};filter(Data!$A$2:$J1000,Data!$A$2:$A1000=$A19 , Data!$B$2:$B1000 = $B19, Data!$C$2:$C1000 = $C19)},$P$2, $P$22:$P$23)"),"8065361.313")</f>
        <v>8065361.313</v>
      </c>
      <c r="E19" s="3" t="str">
        <f>IFERROR(__xludf.DUMMYFUNCTION("filter(Data!$A$2:$J1000,Data!$A$2:$A1000=$A19 , Data!$B$2:$B1000 = $B19, Data!$C$2:$C1000 = $C19, Data!$I$2:$I1000 =$D19)"),"1000")</f>
        <v>1000</v>
      </c>
      <c r="F19" s="3">
        <v>50.0</v>
      </c>
      <c r="G19" s="3">
        <v>3.0</v>
      </c>
      <c r="H19" s="3" t="s">
        <v>17</v>
      </c>
      <c r="I19" s="3" t="s">
        <v>16</v>
      </c>
      <c r="J19" s="3">
        <v>30.0</v>
      </c>
      <c r="K19" s="3">
        <v>16.0</v>
      </c>
      <c r="L19" s="3">
        <v>8074305.0</v>
      </c>
      <c r="M19" s="3">
        <v>8065361.3125</v>
      </c>
      <c r="N19">
        <v>6399.744465</v>
      </c>
      <c r="O19" s="9" t="str">
        <f>('Best Solution'!D19 - D19)/'Best Solution'!D19</f>
        <v>0.12%</v>
      </c>
    </row>
    <row r="20">
      <c r="A20" s="3">
        <v>1000.0</v>
      </c>
      <c r="B20" s="3">
        <v>50.0</v>
      </c>
      <c r="C20" s="3">
        <v>4.0</v>
      </c>
      <c r="D20" s="3" t="str">
        <f>IFERROR(__xludf.DUMMYFUNCTION("DMAX({{Data!$A$1:$J$1};filter(Data!$A$2:$J1000,Data!$A$2:$A1000=$A20 , Data!$B$2:$B1000 = $B20, Data!$C$2:$C1000 = $C20)},$P$2, $P$22:$P$23)"),"8070863.308")</f>
        <v>8070863.308</v>
      </c>
      <c r="E20" s="3" t="str">
        <f>IFERROR(__xludf.DUMMYFUNCTION("filter(Data!$A$2:$J1000,Data!$A$2:$A1000=$A20 , Data!$B$2:$B1000 = $B20, Data!$C$2:$C1000 = $C20, Data!$I$2:$I1000 =$D20)"),"1000")</f>
        <v>1000</v>
      </c>
      <c r="F20" s="3">
        <v>50.0</v>
      </c>
      <c r="G20" s="3">
        <v>4.0</v>
      </c>
      <c r="H20" s="3" t="s">
        <v>17</v>
      </c>
      <c r="I20" s="3" t="s">
        <v>16</v>
      </c>
      <c r="J20" s="3">
        <v>30.065</v>
      </c>
      <c r="K20" s="3">
        <v>13.0</v>
      </c>
      <c r="L20" s="3">
        <v>8073911.0</v>
      </c>
      <c r="M20" s="3">
        <v>8070863.307692</v>
      </c>
      <c r="N20">
        <v>2492.670158</v>
      </c>
      <c r="O20" s="9" t="str">
        <f>('Best Solution'!D20 - D20)/'Best Solution'!D20</f>
        <v>0.08%</v>
      </c>
    </row>
    <row r="21">
      <c r="A21" s="3">
        <v>1000.0</v>
      </c>
      <c r="B21" s="3">
        <v>50.0</v>
      </c>
      <c r="C21" s="3">
        <v>5.0</v>
      </c>
      <c r="D21" s="3" t="str">
        <f>IFERROR(__xludf.DUMMYFUNCTION("DMAX({{Data!$A$1:$J$1};filter(Data!$A$2:$J1000,Data!$A$2:$A1000=$A21 , Data!$B$2:$B1000 = $B21, Data!$C$2:$C1000 = $C21)},$P$2, $P$22:$P$23)"),"8069707.667")</f>
        <v>8069707.667</v>
      </c>
      <c r="E21" s="3" t="str">
        <f>IFERROR(__xludf.DUMMYFUNCTION("filter(Data!$A$2:$J1000,Data!$A$2:$A1000=$A21 , Data!$B$2:$B1000 = $B21, Data!$C$2:$C1000 = $C21, Data!$I$2:$I1000 =$D21)"),"1000")</f>
        <v>1000</v>
      </c>
      <c r="F21" s="3">
        <v>50.0</v>
      </c>
      <c r="G21" s="3">
        <v>5.0</v>
      </c>
      <c r="H21" s="3" t="s">
        <v>17</v>
      </c>
      <c r="I21" s="3" t="s">
        <v>16</v>
      </c>
      <c r="J21" s="3">
        <v>30.0</v>
      </c>
      <c r="K21" s="3">
        <v>12.0</v>
      </c>
      <c r="L21" s="3">
        <v>8077547.0</v>
      </c>
      <c r="M21" s="3">
        <v>8069707.666667</v>
      </c>
      <c r="N21">
        <v>6445.338708</v>
      </c>
      <c r="O21" s="9" t="str">
        <f>('Best Solution'!D21 - D21)/'Best Solution'!D21</f>
        <v>0.10%</v>
      </c>
    </row>
    <row r="22">
      <c r="A22" s="4">
        <v>1000.0</v>
      </c>
      <c r="B22" s="4">
        <v>100.0</v>
      </c>
      <c r="C22" s="4">
        <v>1.0</v>
      </c>
      <c r="D22" s="4" t="str">
        <f>IFERROR(__xludf.DUMMYFUNCTION("DMAX({{Data!$A$1:$J$1};filter(Data!$A$2:$J1000,Data!$A$2:$A1000=$A22 , Data!$B$2:$B1000 = $B22, Data!$C$2:$C1000 = $C22)},$P$2, $P$22:$P$23)"),"25761376.8")</f>
        <v>25761376.8</v>
      </c>
      <c r="E22" s="4" t="str">
        <f>IFERROR(__xludf.DUMMYFUNCTION("filter(Data!$A$2:$J1000,Data!$A$2:$A1000=$A22 , Data!$B$2:$B1000 = $B22, Data!$C$2:$C1000 = $C22, Data!$I$2:$I1000 =$D22)"),"1000")</f>
        <v>1000</v>
      </c>
      <c r="F22" s="4">
        <v>100.0</v>
      </c>
      <c r="G22" s="4">
        <v>1.0</v>
      </c>
      <c r="H22" s="4" t="s">
        <v>17</v>
      </c>
      <c r="I22" s="4" t="s">
        <v>16</v>
      </c>
      <c r="J22" s="4">
        <v>30.106</v>
      </c>
      <c r="K22" s="4">
        <v>10.0</v>
      </c>
      <c r="L22" s="4">
        <v>2.5767637E7</v>
      </c>
      <c r="M22" s="4">
        <v>2.57613768E7</v>
      </c>
      <c r="N22" s="5">
        <v>4626.397383</v>
      </c>
      <c r="O22" s="8" t="str">
        <f>('Best Solution'!D22 - D22)/'Best Solution'!D22</f>
        <v>0.05%</v>
      </c>
    </row>
    <row r="23">
      <c r="A23" s="4">
        <v>1000.0</v>
      </c>
      <c r="B23" s="4">
        <v>100.0</v>
      </c>
      <c r="C23" s="4">
        <v>2.0</v>
      </c>
      <c r="D23" s="4" t="str">
        <f>IFERROR(__xludf.DUMMYFUNCTION("DMAX({{Data!$A$1:$J$1};filter(Data!$A$2:$J1000,Data!$A$2:$A1000=$A23 , Data!$B$2:$B1000 = $B23, Data!$C$2:$C1000 = $C23)},$P$2, $P$22:$P$23)"),"25762219.5")</f>
        <v>25762219.5</v>
      </c>
      <c r="E23" s="4" t="str">
        <f>IFERROR(__xludf.DUMMYFUNCTION("filter(Data!$A$2:$J1000,Data!$A$2:$A1000=$A23 , Data!$B$2:$B1000 = $B23, Data!$C$2:$C1000 = $C23, Data!$I$2:$I1000 =$D23)"),"1000")</f>
        <v>1000</v>
      </c>
      <c r="F23" s="4">
        <v>100.0</v>
      </c>
      <c r="G23" s="4">
        <v>2.0</v>
      </c>
      <c r="H23" s="4" t="s">
        <v>17</v>
      </c>
      <c r="I23" s="4" t="s">
        <v>16</v>
      </c>
      <c r="J23" s="4">
        <v>30.066</v>
      </c>
      <c r="K23" s="4">
        <v>8.0</v>
      </c>
      <c r="L23" s="4">
        <v>2.5769794E7</v>
      </c>
      <c r="M23" s="4">
        <v>2.57622195E7</v>
      </c>
      <c r="N23" s="5">
        <v>4468.745014</v>
      </c>
      <c r="O23" s="8" t="str">
        <f>('Best Solution'!D23 - D23)/'Best Solution'!D23</f>
        <v>0.04%</v>
      </c>
    </row>
    <row r="24">
      <c r="A24" s="4">
        <v>1000.0</v>
      </c>
      <c r="B24" s="4">
        <v>100.0</v>
      </c>
      <c r="C24" s="4">
        <v>3.0</v>
      </c>
      <c r="D24" s="4" t="str">
        <f>IFERROR(__xludf.DUMMYFUNCTION("DMAX({{Data!$A$1:$J$1};filter(Data!$A$2:$J1000,Data!$A$2:$A1000=$A24 , Data!$B$2:$B1000 = $B24, Data!$C$2:$C1000 = $C24)},$P$2, $P$22:$P$23)"),"25799221.75")</f>
        <v>25799221.75</v>
      </c>
      <c r="E24" s="4" t="str">
        <f>IFERROR(__xludf.DUMMYFUNCTION("filter(Data!$A$2:$J1000,Data!$A$2:$A1000=$A24 , Data!$B$2:$B1000 = $B24, Data!$C$2:$C1000 = $C24, Data!$I$2:$I1000 =$D24)"),"1000")</f>
        <v>1000</v>
      </c>
      <c r="F24" s="4">
        <v>100.0</v>
      </c>
      <c r="G24" s="4">
        <v>3.0</v>
      </c>
      <c r="H24" s="4" t="s">
        <v>17</v>
      </c>
      <c r="I24" s="4" t="s">
        <v>16</v>
      </c>
      <c r="J24" s="4">
        <v>30.0</v>
      </c>
      <c r="K24" s="4">
        <v>8.0</v>
      </c>
      <c r="L24" s="4">
        <v>2.5807747E7</v>
      </c>
      <c r="M24" s="4">
        <v>2.579922175E7</v>
      </c>
      <c r="N24" s="5">
        <v>5372.333385</v>
      </c>
      <c r="O24" s="8" t="str">
        <f>('Best Solution'!D24 - D24)/'Best Solution'!D24</f>
        <v>0.03%</v>
      </c>
    </row>
    <row r="25">
      <c r="A25" s="4">
        <v>1000.0</v>
      </c>
      <c r="B25" s="4">
        <v>100.0</v>
      </c>
      <c r="C25" s="4">
        <v>4.0</v>
      </c>
      <c r="D25" s="4" t="str">
        <f>IFERROR(__xludf.DUMMYFUNCTION("DMAX({{Data!$A$1:$J$1};filter(Data!$A$2:$J1000,Data!$A$2:$A1000=$A25 , Data!$B$2:$B1000 = $B25, Data!$C$2:$C1000 = $C25)},$P$2, $P$22:$P$23)"),"25807935.88")</f>
        <v>25807935.88</v>
      </c>
      <c r="E25" s="4" t="str">
        <f>IFERROR(__xludf.DUMMYFUNCTION("filter(Data!$A$2:$J1000,Data!$A$2:$A1000=$A25 , Data!$B$2:$B1000 = $B25, Data!$C$2:$C1000 = $C25, Data!$I$2:$I1000 =$D25)"),"1000")</f>
        <v>1000</v>
      </c>
      <c r="F25" s="4">
        <v>100.0</v>
      </c>
      <c r="G25" s="4">
        <v>4.0</v>
      </c>
      <c r="H25" s="4" t="s">
        <v>17</v>
      </c>
      <c r="I25" s="4" t="s">
        <v>16</v>
      </c>
      <c r="J25" s="4">
        <v>30.593</v>
      </c>
      <c r="K25" s="4">
        <v>8.0</v>
      </c>
      <c r="L25" s="4">
        <v>2.5816153E7</v>
      </c>
      <c r="M25" s="4">
        <v>2.5807935875E7</v>
      </c>
      <c r="N25" s="5">
        <v>4700.149851</v>
      </c>
      <c r="O25" s="8" t="str">
        <f>('Best Solution'!D25 - D25)/'Best Solution'!D25</f>
        <v>0.05%</v>
      </c>
    </row>
    <row r="26">
      <c r="A26" s="4">
        <v>1000.0</v>
      </c>
      <c r="B26" s="4">
        <v>100.0</v>
      </c>
      <c r="C26" s="4">
        <v>5.0</v>
      </c>
      <c r="D26" s="4" t="str">
        <f>IFERROR(__xludf.DUMMYFUNCTION("DMAX({{Data!$A$1:$J$1};filter(Data!$A$2:$J1000,Data!$A$2:$A1000=$A26 , Data!$B$2:$B1000 = $B26, Data!$C$2:$C1000 = $C26)},$P$2, $P$22:$P$23)"),"25764935.13")</f>
        <v>25764935.13</v>
      </c>
      <c r="E26" s="4" t="str">
        <f>IFERROR(__xludf.DUMMYFUNCTION("filter(Data!$A$2:$J1000,Data!$A$2:$A1000=$A26 , Data!$B$2:$B1000 = $B26, Data!$C$2:$C1000 = $C26, Data!$I$2:$I1000 =$D26)"),"1000")</f>
        <v>1000</v>
      </c>
      <c r="F26" s="4">
        <v>100.0</v>
      </c>
      <c r="G26" s="4">
        <v>5.0</v>
      </c>
      <c r="H26" s="4" t="s">
        <v>17</v>
      </c>
      <c r="I26" s="4" t="s">
        <v>16</v>
      </c>
      <c r="J26" s="4">
        <v>30.644</v>
      </c>
      <c r="K26" s="4">
        <v>8.0</v>
      </c>
      <c r="L26" s="4">
        <v>2.577171E7</v>
      </c>
      <c r="M26" s="4">
        <v>2.5764935125E7</v>
      </c>
      <c r="N26" s="5">
        <v>3675.409586</v>
      </c>
      <c r="O26" s="8" t="str">
        <f>('Best Solution'!D26 - D26)/'Best Solution'!D26</f>
        <v>0.06%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/>
      <c r="B32" s="3"/>
      <c r="C32" s="3"/>
      <c r="D32" s="3"/>
      <c r="E32" s="7"/>
      <c r="F32" s="3"/>
      <c r="G32" s="3"/>
      <c r="H32" s="3"/>
      <c r="I32" s="3"/>
      <c r="J32" s="3"/>
      <c r="K32" s="3"/>
      <c r="L32" s="3"/>
      <c r="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8.86"/>
    <col customWidth="1" min="6" max="6" width="22.0"/>
    <col hidden="1" min="7" max="10"/>
  </cols>
  <sheetData>
    <row r="1">
      <c r="C1" s="10" t="s">
        <v>19</v>
      </c>
      <c r="D1" s="11" t="str">
        <f>IFERROR(__xludf.DUMMYFUNCTION("TRANSPOSE(UNIQUE(Data!D2:E999))"),"basic")</f>
        <v>basic</v>
      </c>
      <c r="E1" s="12" t="s">
        <v>17</v>
      </c>
      <c r="F1" s="13"/>
      <c r="G1" s="13"/>
      <c r="H1" s="13"/>
      <c r="I1" s="13"/>
      <c r="J1" s="13"/>
      <c r="K1" s="14" t="s">
        <v>29</v>
      </c>
      <c r="L1" s="13"/>
      <c r="M1" s="13"/>
      <c r="N1" s="13"/>
      <c r="O1" s="13"/>
      <c r="P1" s="13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C2" s="10" t="s">
        <v>20</v>
      </c>
      <c r="D2" s="11" t="s">
        <v>16</v>
      </c>
      <c r="E2" s="12" t="s">
        <v>16</v>
      </c>
      <c r="F2" s="13"/>
      <c r="G2" s="13"/>
      <c r="H2" s="13"/>
      <c r="I2" s="13"/>
      <c r="J2" s="13"/>
      <c r="K2" s="14" t="s">
        <v>6</v>
      </c>
      <c r="L2" s="13"/>
      <c r="M2" s="13"/>
      <c r="N2" s="13"/>
      <c r="O2" s="13"/>
      <c r="P2" s="13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0" t="s">
        <v>0</v>
      </c>
      <c r="B3" s="10" t="s">
        <v>1</v>
      </c>
      <c r="C3" s="10" t="s">
        <v>2</v>
      </c>
      <c r="D3" s="16"/>
      <c r="E3" s="16"/>
      <c r="F3" s="17" t="s">
        <v>30</v>
      </c>
      <c r="G3" s="15"/>
      <c r="H3" s="15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8" t="str">
        <f>IFERROR(__xludf.DUMMYFUNCTION("UNIQUE(Data!A2:C999)"),"1000")</f>
        <v>1000</v>
      </c>
      <c r="B4" s="18">
        <v>1.0</v>
      </c>
      <c r="C4" s="18">
        <v>1.0</v>
      </c>
      <c r="D4" s="19" t="str">
        <f>IFERROR(__xludf.DUMMYFUNCTION("DMAX({{Data!$A$1:$M$1};filter(Data!$A$2:$M999,Data!$A$2:$A999=$A4 , Data!$B$2:$B999 = $B4,Data!$C$2:$C999 = $C4, Data!$D$2:$D999 = D$1, Data!$E$2:$E999 = D$2 )},$K$2  , $Q$22:$Q$23)"),"215")</f>
        <v>215</v>
      </c>
      <c r="E4" s="19" t="str">
        <f>IFERROR(__xludf.DUMMYFUNCTION("DMAX({{Data!$A$1:$M$1};filter(Data!$A$2:$M999,Data!$A$2:$A999=$A4 , Data!$B$2:$B999 = $B4,Data!$C$2:$C999 = $C4, Data!$D$2:$D999 = E$1, Data!$E$2:$E999 = E$2 )},$K$2  , $Q$22:$Q$23)"),"86")</f>
        <v>86</v>
      </c>
      <c r="F4" s="20" t="str">
        <f t="shared" ref="F4:F28" si="1">D4/E4</f>
        <v>2.5</v>
      </c>
      <c r="G4" s="21"/>
      <c r="H4" s="21"/>
      <c r="I4" s="21"/>
      <c r="J4" s="21"/>
      <c r="K4" s="21"/>
      <c r="L4" s="21"/>
      <c r="M4" s="21"/>
      <c r="N4" s="21"/>
      <c r="O4" s="2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8">
        <v>1000.0</v>
      </c>
      <c r="B5" s="18">
        <v>1.0</v>
      </c>
      <c r="C5" s="18">
        <v>2.0</v>
      </c>
      <c r="D5" s="19" t="str">
        <f>IFERROR(__xludf.DUMMYFUNCTION("DMAX({{Data!$A$1:$M$1};filter(Data!$A$2:$M999,Data!$A$2:$A999=$A5 , Data!$B$2:$B999 = $B5,Data!$C$2:$C999 = $C5, Data!$D$2:$D999 = D$1, Data!$E$2:$E999 = D$2 )},$K$2  , $Q$22:$Q$23)"),"207")</f>
        <v>207</v>
      </c>
      <c r="E5" s="19" t="str">
        <f>IFERROR(__xludf.DUMMYFUNCTION("DMAX({{Data!$A$1:$M$1};filter(Data!$A$2:$M999,Data!$A$2:$A999=$A5 , Data!$B$2:$B999 = $B5,Data!$C$2:$C999 = $C5, Data!$D$2:$D999 = E$1, Data!$E$2:$E999 = E$2 )},$K$2  , $Q$22:$Q$23)"),"85")</f>
        <v>85</v>
      </c>
      <c r="F5" s="20" t="str">
        <f t="shared" si="1"/>
        <v>2.435294118</v>
      </c>
      <c r="G5" s="21"/>
      <c r="H5" s="21"/>
      <c r="I5" s="21"/>
      <c r="J5" s="21"/>
      <c r="K5" s="21"/>
      <c r="L5" s="21"/>
      <c r="M5" s="21"/>
      <c r="N5" s="21"/>
      <c r="O5" s="2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8">
        <v>1000.0</v>
      </c>
      <c r="B6" s="18">
        <v>1.0</v>
      </c>
      <c r="C6" s="18">
        <v>3.0</v>
      </c>
      <c r="D6" s="19" t="str">
        <f>IFERROR(__xludf.DUMMYFUNCTION("DMAX({{Data!$A$1:$M$1};filter(Data!$A$2:$M999,Data!$A$2:$A999=$A6 , Data!$B$2:$B999 = $B6,Data!$C$2:$C999 = $C6, Data!$D$2:$D999 = D$1, Data!$E$2:$E999 = D$2 )},$K$2  , $Q$22:$Q$23)"),"233")</f>
        <v>233</v>
      </c>
      <c r="E6" s="19" t="str">
        <f>IFERROR(__xludf.DUMMYFUNCTION("DMAX({{Data!$A$1:$M$1};filter(Data!$A$2:$M999,Data!$A$2:$A999=$A6 , Data!$B$2:$B999 = $B6,Data!$C$2:$C999 = $C6, Data!$D$2:$D999 = E$1, Data!$E$2:$E999 = E$2 )},$K$2  , $Q$22:$Q$23)"),"95")</f>
        <v>95</v>
      </c>
      <c r="F6" s="20" t="str">
        <f t="shared" si="1"/>
        <v>2.452631579</v>
      </c>
      <c r="G6" s="21"/>
      <c r="H6" s="21"/>
      <c r="I6" s="21"/>
      <c r="J6" s="21"/>
      <c r="K6" s="21"/>
      <c r="L6" s="21"/>
      <c r="M6" s="21"/>
      <c r="N6" s="21"/>
      <c r="O6" s="2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8">
        <v>1000.0</v>
      </c>
      <c r="B7" s="18">
        <v>1.0</v>
      </c>
      <c r="C7" s="18">
        <v>4.0</v>
      </c>
      <c r="D7" s="19" t="str">
        <f>IFERROR(__xludf.DUMMYFUNCTION("DMAX({{Data!$A$1:$M$1};filter(Data!$A$2:$M999,Data!$A$2:$A999=$A7 , Data!$B$2:$B999 = $B7,Data!$C$2:$C999 = $C7, Data!$D$2:$D999 = D$1, Data!$E$2:$E999 = D$2 )},$K$2  , $Q$22:$Q$23)"),"195")</f>
        <v>195</v>
      </c>
      <c r="E7" s="19" t="str">
        <f>IFERROR(__xludf.DUMMYFUNCTION("DMAX({{Data!$A$1:$M$1};filter(Data!$A$2:$M999,Data!$A$2:$A999=$A7 , Data!$B$2:$B999 = $B7,Data!$C$2:$C999 = $C7, Data!$D$2:$D999 = E$1, Data!$E$2:$E999 = E$2 )},$K$2  , $Q$22:$Q$23)"),"85")</f>
        <v>85</v>
      </c>
      <c r="F7" s="20" t="str">
        <f t="shared" si="1"/>
        <v>2.294117647</v>
      </c>
      <c r="G7" s="21"/>
      <c r="H7" s="21"/>
      <c r="I7" s="21"/>
      <c r="J7" s="21"/>
      <c r="K7" s="21"/>
      <c r="L7" s="21"/>
      <c r="M7" s="21"/>
      <c r="N7" s="21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2">
        <v>1000.0</v>
      </c>
      <c r="B8" s="22">
        <v>1.0</v>
      </c>
      <c r="C8" s="22">
        <v>5.0</v>
      </c>
      <c r="D8" s="19" t="str">
        <f>IFERROR(__xludf.DUMMYFUNCTION("DMAX({{Data!$A$1:$M$1};filter(Data!$A$2:$M999,Data!$A$2:$A999=$A8 , Data!$B$2:$B999 = $B8,Data!$C$2:$C999 = $C8, Data!$D$2:$D999 = D$1, Data!$E$2:$E999 = D$2 )},$K$2  , $Q$22:$Q$23)"),"230")</f>
        <v>230</v>
      </c>
      <c r="E8" s="19" t="str">
        <f>IFERROR(__xludf.DUMMYFUNCTION("DMAX({{Data!$A$1:$M$1};filter(Data!$A$2:$M999,Data!$A$2:$A999=$A8 , Data!$B$2:$B999 = $B8,Data!$C$2:$C999 = $C8, Data!$D$2:$D999 = E$1, Data!$E$2:$E999 = E$2 )},$K$2  , $Q$22:$Q$23)"),"91")</f>
        <v>91</v>
      </c>
      <c r="F8" s="20" t="str">
        <f t="shared" si="1"/>
        <v>2.527472527</v>
      </c>
      <c r="G8" s="21"/>
      <c r="H8" s="21"/>
      <c r="I8" s="21"/>
      <c r="J8" s="21"/>
      <c r="K8" s="21"/>
      <c r="L8" s="21"/>
      <c r="M8" s="21"/>
      <c r="N8" s="21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8">
        <v>1000.0</v>
      </c>
      <c r="B9" s="18">
        <v>5.0</v>
      </c>
      <c r="C9" s="18">
        <v>1.0</v>
      </c>
      <c r="D9" s="23" t="str">
        <f>IFERROR(__xludf.DUMMYFUNCTION("DMAX({{Data!$A$1:$M$1};filter(Data!$A$2:$M999,Data!$A$2:$A999=$A9 , Data!$B$2:$B999 = $B9,Data!$C$2:$C999 = $C9, Data!$D$2:$D999 = D$1, Data!$E$2:$E999 = D$2 )},$K$2  , $Q$22:$Q$23)"),"128")</f>
        <v>128</v>
      </c>
      <c r="E9" s="23" t="str">
        <f>IFERROR(__xludf.DUMMYFUNCTION("DMAX({{Data!$A$1:$M$1};filter(Data!$A$2:$M999,Data!$A$2:$A999=$A9 , Data!$B$2:$B999 = $B9,Data!$C$2:$C999 = $C9, Data!$D$2:$D999 = E$1, Data!$E$2:$E999 = E$2 )},$K$2  , $Q$22:$Q$23)"),"34")</f>
        <v>34</v>
      </c>
      <c r="F9" s="24" t="str">
        <f t="shared" si="1"/>
        <v>3.764705882</v>
      </c>
      <c r="G9" s="21"/>
      <c r="H9" s="21"/>
      <c r="I9" s="21"/>
      <c r="J9" s="21"/>
      <c r="K9" s="21"/>
      <c r="L9" s="21"/>
      <c r="M9" s="21"/>
      <c r="N9" s="21"/>
      <c r="O9" s="2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5">
        <v>1000.0</v>
      </c>
      <c r="B10" s="25">
        <v>5.0</v>
      </c>
      <c r="C10" s="25">
        <v>2.0</v>
      </c>
      <c r="D10" s="23" t="str">
        <f>IFERROR(__xludf.DUMMYFUNCTION("DMAX({{Data!$A$1:$M$1};filter(Data!$A$2:$M999,Data!$A$2:$A999=$A10 , Data!$B$2:$B999 = $B10,Data!$C$2:$C999 = $C10, Data!$D$2:$D999 = D$1, Data!$E$2:$E999 = D$2 )},$K$2  , $Q$22:$Q$23)"),"128")</f>
        <v>128</v>
      </c>
      <c r="E10" s="23" t="str">
        <f>IFERROR(__xludf.DUMMYFUNCTION("DMAX({{Data!$A$1:$M$1};filter(Data!$A$2:$M999,Data!$A$2:$A999=$A10 , Data!$B$2:$B999 = $B10,Data!$C$2:$C999 = $C10, Data!$D$2:$D999 = E$1, Data!$E$2:$E999 = E$2 )},$K$2  , $Q$22:$Q$23)"),"37")</f>
        <v>37</v>
      </c>
      <c r="F10" s="24" t="str">
        <f t="shared" si="1"/>
        <v>3.459459459</v>
      </c>
      <c r="G10" s="21"/>
      <c r="H10" s="21"/>
      <c r="I10" s="21"/>
      <c r="J10" s="21"/>
      <c r="K10" s="21"/>
      <c r="L10" s="21"/>
      <c r="M10" s="21"/>
      <c r="N10" s="21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8">
        <v>1000.0</v>
      </c>
      <c r="B11" s="18">
        <v>5.0</v>
      </c>
      <c r="C11" s="18">
        <v>3.0</v>
      </c>
      <c r="D11" s="23" t="str">
        <f>IFERROR(__xludf.DUMMYFUNCTION("DMAX({{Data!$A$1:$M$1};filter(Data!$A$2:$M999,Data!$A$2:$A999=$A11 , Data!$B$2:$B999 = $B11,Data!$C$2:$C999 = $C11, Data!$D$2:$D999 = D$1, Data!$E$2:$E999 = D$2 )},$K$2  , $Q$22:$Q$23)"),"139")</f>
        <v>139</v>
      </c>
      <c r="E11" s="23" t="str">
        <f>IFERROR(__xludf.DUMMYFUNCTION("DMAX({{Data!$A$1:$M$1};filter(Data!$A$2:$M999,Data!$A$2:$A999=$A11 , Data!$B$2:$B999 = $B11,Data!$C$2:$C999 = $C11, Data!$D$2:$D999 = E$1, Data!$E$2:$E999 = E$2 )},$K$2  , $Q$22:$Q$23)"),"36")</f>
        <v>36</v>
      </c>
      <c r="F11" s="24" t="str">
        <f t="shared" si="1"/>
        <v>3.861111111</v>
      </c>
      <c r="G11" s="21"/>
      <c r="H11" s="21"/>
      <c r="I11" s="21"/>
      <c r="J11" s="21"/>
      <c r="K11" s="21"/>
      <c r="L11" s="21"/>
      <c r="M11" s="21"/>
      <c r="N11" s="21"/>
      <c r="O11" s="2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8">
        <v>1000.0</v>
      </c>
      <c r="B12" s="18">
        <v>5.0</v>
      </c>
      <c r="C12" s="18">
        <v>4.0</v>
      </c>
      <c r="D12" s="23" t="str">
        <f>IFERROR(__xludf.DUMMYFUNCTION("DMAX({{Data!$A$1:$M$1};filter(Data!$A$2:$M999,Data!$A$2:$A999=$A12 , Data!$B$2:$B999 = $B12,Data!$C$2:$C999 = $C12, Data!$D$2:$D999 = D$1, Data!$E$2:$E999 = D$2 )},$K$2  , $Q$22:$Q$23)"),"144")</f>
        <v>144</v>
      </c>
      <c r="E12" s="23" t="str">
        <f>IFERROR(__xludf.DUMMYFUNCTION("DMAX({{Data!$A$1:$M$1};filter(Data!$A$2:$M999,Data!$A$2:$A999=$A12 , Data!$B$2:$B999 = $B12,Data!$C$2:$C999 = $C12, Data!$D$2:$D999 = E$1, Data!$E$2:$E999 = E$2 )},$K$2  , $Q$22:$Q$23)"),"34")</f>
        <v>34</v>
      </c>
      <c r="F12" s="24" t="str">
        <f t="shared" si="1"/>
        <v>4.235294118</v>
      </c>
      <c r="G12" s="21"/>
      <c r="H12" s="21"/>
      <c r="I12" s="21"/>
      <c r="J12" s="21"/>
      <c r="K12" s="21"/>
      <c r="L12" s="21"/>
      <c r="M12" s="21"/>
      <c r="N12" s="21"/>
      <c r="O12" s="2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8">
        <v>1000.0</v>
      </c>
      <c r="B13" s="18">
        <v>5.0</v>
      </c>
      <c r="C13" s="18">
        <v>5.0</v>
      </c>
      <c r="D13" s="23" t="str">
        <f>IFERROR(__xludf.DUMMYFUNCTION("DMAX({{Data!$A$1:$M$1};filter(Data!$A$2:$M999,Data!$A$2:$A999=$A13 , Data!$B$2:$B999 = $B13,Data!$C$2:$C999 = $C13, Data!$D$2:$D999 = D$1, Data!$E$2:$E999 = D$2 )},$K$2  , $Q$22:$Q$23)"),"144")</f>
        <v>144</v>
      </c>
      <c r="E13" s="23" t="str">
        <f>IFERROR(__xludf.DUMMYFUNCTION("DMAX({{Data!$A$1:$M$1};filter(Data!$A$2:$M999,Data!$A$2:$A999=$A13 , Data!$B$2:$B999 = $B13,Data!$C$2:$C999 = $C13, Data!$D$2:$D999 = E$1, Data!$E$2:$E999 = E$2 )},$K$2  , $Q$22:$Q$23)"),"39")</f>
        <v>39</v>
      </c>
      <c r="F13" s="24" t="str">
        <f t="shared" si="1"/>
        <v>3.692307692</v>
      </c>
      <c r="G13" s="21"/>
      <c r="H13" s="21"/>
      <c r="I13" s="21"/>
      <c r="J13" s="21"/>
      <c r="K13" s="21"/>
      <c r="L13" s="21"/>
      <c r="M13" s="21"/>
      <c r="N13" s="21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8">
        <v>1000.0</v>
      </c>
      <c r="B14" s="18">
        <v>10.0</v>
      </c>
      <c r="C14" s="18">
        <v>1.0</v>
      </c>
      <c r="D14" s="19" t="str">
        <f>IFERROR(__xludf.DUMMYFUNCTION("DMAX({{Data!$A$1:$M$1};filter(Data!$A$2:$M999,Data!$A$2:$A999=$A14 , Data!$B$2:$B999 = $B14,Data!$C$2:$C999 = $C14, Data!$D$2:$D999 = D$1, Data!$E$2:$E999 = D$2 )},$K$2  , $Q$22:$Q$23)"),"106")</f>
        <v>106</v>
      </c>
      <c r="E14" s="19" t="str">
        <f>IFERROR(__xludf.DUMMYFUNCTION("DMAX({{Data!$A$1:$M$1};filter(Data!$A$2:$M999,Data!$A$2:$A999=$A14 , Data!$B$2:$B999 = $B14,Data!$C$2:$C999 = $C14, Data!$D$2:$D999 = E$1, Data!$E$2:$E999 = E$2 )},$K$2  , $Q$22:$Q$23)"),"24")</f>
        <v>24</v>
      </c>
      <c r="F14" s="20" t="str">
        <f t="shared" si="1"/>
        <v>4.416666667</v>
      </c>
      <c r="G14" s="21"/>
      <c r="H14" s="21"/>
      <c r="I14" s="21"/>
      <c r="J14" s="21"/>
      <c r="K14" s="21"/>
      <c r="L14" s="21"/>
      <c r="M14" s="21"/>
      <c r="N14" s="21"/>
      <c r="O14" s="2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8">
        <v>1000.0</v>
      </c>
      <c r="B15" s="18">
        <v>10.0</v>
      </c>
      <c r="C15" s="18">
        <v>2.0</v>
      </c>
      <c r="D15" s="19" t="str">
        <f>IFERROR(__xludf.DUMMYFUNCTION("DMAX({{Data!$A$1:$M$1};filter(Data!$A$2:$M999,Data!$A$2:$A999=$A15 , Data!$B$2:$B999 = $B15,Data!$C$2:$C999 = $C15, Data!$D$2:$D999 = D$1, Data!$E$2:$E999 = D$2 )},$K$2  , $Q$22:$Q$23)"),"107")</f>
        <v>107</v>
      </c>
      <c r="E15" s="19" t="str">
        <f>IFERROR(__xludf.DUMMYFUNCTION("DMAX({{Data!$A$1:$M$1};filter(Data!$A$2:$M999,Data!$A$2:$A999=$A15 , Data!$B$2:$B999 = $B15,Data!$C$2:$C999 = $C15, Data!$D$2:$D999 = E$1, Data!$E$2:$E999 = E$2 )},$K$2  , $Q$22:$Q$23)"),"28")</f>
        <v>28</v>
      </c>
      <c r="F15" s="20" t="str">
        <f t="shared" si="1"/>
        <v>3.821428571</v>
      </c>
      <c r="G15" s="21"/>
      <c r="H15" s="21"/>
      <c r="I15" s="21"/>
      <c r="J15" s="21"/>
      <c r="K15" s="21"/>
      <c r="L15" s="21"/>
      <c r="M15" s="21"/>
      <c r="N15" s="21"/>
      <c r="O15" s="2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8">
        <v>1000.0</v>
      </c>
      <c r="B16" s="18">
        <v>10.0</v>
      </c>
      <c r="C16" s="18">
        <v>3.0</v>
      </c>
      <c r="D16" s="19" t="str">
        <f>IFERROR(__xludf.DUMMYFUNCTION("DMAX({{Data!$A$1:$M$1};filter(Data!$A$2:$M999,Data!$A$2:$A999=$A16 , Data!$B$2:$B999 = $B16,Data!$C$2:$C999 = $C16, Data!$D$2:$D999 = D$1, Data!$E$2:$E999 = D$2 )},$K$2  , $Q$22:$Q$23)"),"126")</f>
        <v>126</v>
      </c>
      <c r="E16" s="19" t="str">
        <f>IFERROR(__xludf.DUMMYFUNCTION("DMAX({{Data!$A$1:$M$1};filter(Data!$A$2:$M999,Data!$A$2:$A999=$A16 , Data!$B$2:$B999 = $B16,Data!$C$2:$C999 = $C16, Data!$D$2:$D999 = E$1, Data!$E$2:$E999 = E$2 )},$K$2  , $Q$22:$Q$23)"),"30")</f>
        <v>30</v>
      </c>
      <c r="F16" s="20" t="str">
        <f t="shared" si="1"/>
        <v>4.2</v>
      </c>
      <c r="G16" s="21"/>
      <c r="H16" s="21"/>
      <c r="I16" s="21"/>
      <c r="J16" s="21"/>
      <c r="K16" s="21"/>
      <c r="L16" s="21"/>
      <c r="M16" s="21"/>
      <c r="N16" s="21"/>
      <c r="O16" s="2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8">
        <v>1000.0</v>
      </c>
      <c r="B17" s="18">
        <v>10.0</v>
      </c>
      <c r="C17" s="18">
        <v>4.0</v>
      </c>
      <c r="D17" s="19" t="str">
        <f>IFERROR(__xludf.DUMMYFUNCTION("DMAX({{Data!$A$1:$M$1};filter(Data!$A$2:$M999,Data!$A$2:$A999=$A17 , Data!$B$2:$B999 = $B17,Data!$C$2:$C999 = $C17, Data!$D$2:$D999 = D$1, Data!$E$2:$E999 = D$2 )},$K$2  , $Q$22:$Q$23)"),"111")</f>
        <v>111</v>
      </c>
      <c r="E17" s="19" t="str">
        <f>IFERROR(__xludf.DUMMYFUNCTION("DMAX({{Data!$A$1:$M$1};filter(Data!$A$2:$M999,Data!$A$2:$A999=$A17 , Data!$B$2:$B999 = $B17,Data!$C$2:$C999 = $C17, Data!$D$2:$D999 = E$1, Data!$E$2:$E999 = E$2 )},$K$2  , $Q$22:$Q$23)"),"27")</f>
        <v>27</v>
      </c>
      <c r="F17" s="20" t="str">
        <f t="shared" si="1"/>
        <v>4.111111111</v>
      </c>
      <c r="G17" s="21"/>
      <c r="H17" s="21"/>
      <c r="I17" s="21"/>
      <c r="J17" s="21"/>
      <c r="K17" s="21"/>
      <c r="L17" s="21"/>
      <c r="M17" s="21"/>
      <c r="N17" s="21"/>
      <c r="O17" s="2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8">
        <v>1000.0</v>
      </c>
      <c r="B18" s="18">
        <v>10.0</v>
      </c>
      <c r="C18" s="18">
        <v>5.0</v>
      </c>
      <c r="D18" s="19" t="str">
        <f>IFERROR(__xludf.DUMMYFUNCTION("DMAX({{Data!$A$1:$M$1};filter(Data!$A$2:$M999,Data!$A$2:$A999=$A18 , Data!$B$2:$B999 = $B18,Data!$C$2:$C999 = $C18, Data!$D$2:$D999 = D$1, Data!$E$2:$E999 = D$2 )},$K$2  , $Q$22:$Q$23)"),"97")</f>
        <v>97</v>
      </c>
      <c r="E18" s="19" t="str">
        <f>IFERROR(__xludf.DUMMYFUNCTION("DMAX({{Data!$A$1:$M$1};filter(Data!$A$2:$M999,Data!$A$2:$A999=$A18 , Data!$B$2:$B999 = $B18,Data!$C$2:$C999 = $C18, Data!$D$2:$D999 = E$1, Data!$E$2:$E999 = E$2 )},$K$2  , $Q$22:$Q$23)"),"25")</f>
        <v>25</v>
      </c>
      <c r="F18" s="20" t="str">
        <f t="shared" si="1"/>
        <v>3.88</v>
      </c>
      <c r="G18" s="21"/>
      <c r="H18" s="21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">
        <v>1000.0</v>
      </c>
      <c r="B19" s="11">
        <v>50.0</v>
      </c>
      <c r="C19" s="11">
        <v>1.0</v>
      </c>
      <c r="D19" s="23" t="str">
        <f>IFERROR(__xludf.DUMMYFUNCTION("DMAX({{Data!$A$1:$M$1};filter(Data!$A$2:$M999,Data!$A$2:$A999=$A19 , Data!$B$2:$B999 = $B19,Data!$C$2:$C999 = $C19, Data!$D$2:$D999 = D$1, Data!$E$2:$E999 = D$2 )},$K$2  , $Q$22:$Q$23)"),"81")</f>
        <v>81</v>
      </c>
      <c r="E19" s="23" t="str">
        <f>IFERROR(__xludf.DUMMYFUNCTION("DMAX({{Data!$A$1:$M$1};filter(Data!$A$2:$M999,Data!$A$2:$A999=$A19 , Data!$B$2:$B999 = $B19,Data!$C$2:$C999 = $C19, Data!$D$2:$D999 = E$1, Data!$E$2:$E999 = E$2 )},$K$2  , $Q$22:$Q$23)"),"13")</f>
        <v>13</v>
      </c>
      <c r="F19" s="24" t="str">
        <f t="shared" si="1"/>
        <v>6.230769231</v>
      </c>
      <c r="G19" s="21"/>
      <c r="H19" s="21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6">
        <v>1000.0</v>
      </c>
      <c r="B20" s="26">
        <v>50.0</v>
      </c>
      <c r="C20" s="26">
        <v>2.0</v>
      </c>
      <c r="D20" s="23" t="str">
        <f>IFERROR(__xludf.DUMMYFUNCTION("DMAX({{Data!$A$1:$M$1};filter(Data!$A$2:$M999,Data!$A$2:$A999=$A20 , Data!$B$2:$B999 = $B20,Data!$C$2:$C999 = $C20, Data!$D$2:$D999 = D$1, Data!$E$2:$E999 = D$2 )},$K$2  , $Q$22:$Q$23)"),"65")</f>
        <v>65</v>
      </c>
      <c r="E20" s="23" t="str">
        <f>IFERROR(__xludf.DUMMYFUNCTION("DMAX({{Data!$A$1:$M$1};filter(Data!$A$2:$M999,Data!$A$2:$A999=$A20 , Data!$B$2:$B999 = $B20,Data!$C$2:$C999 = $C20, Data!$D$2:$D999 = E$1, Data!$E$2:$E999 = E$2 )},$K$2  , $Q$22:$Q$23)"),"13")</f>
        <v>13</v>
      </c>
      <c r="F20" s="24" t="str">
        <f t="shared" si="1"/>
        <v>5</v>
      </c>
      <c r="G20" s="21"/>
      <c r="H20" s="21"/>
      <c r="I20" s="2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26">
        <v>1000.0</v>
      </c>
      <c r="B21" s="26">
        <v>50.0</v>
      </c>
      <c r="C21" s="26">
        <v>3.0</v>
      </c>
      <c r="D21" s="23" t="str">
        <f>IFERROR(__xludf.DUMMYFUNCTION("DMAX({{Data!$A$1:$M$1};filter(Data!$A$2:$M999,Data!$A$2:$A999=$A21 , Data!$B$2:$B999 = $B21,Data!$C$2:$C999 = $C21, Data!$D$2:$D999 = D$1, Data!$E$2:$E999 = D$2 )},$K$2  , $Q$22:$Q$23)"),"86")</f>
        <v>86</v>
      </c>
      <c r="E21" s="23" t="str">
        <f>IFERROR(__xludf.DUMMYFUNCTION("DMAX({{Data!$A$1:$M$1};filter(Data!$A$2:$M999,Data!$A$2:$A999=$A21 , Data!$B$2:$B999 = $B21,Data!$C$2:$C999 = $C21, Data!$D$2:$D999 = E$1, Data!$E$2:$E999 = E$2 )},$K$2  , $Q$22:$Q$23)"),"16")</f>
        <v>16</v>
      </c>
      <c r="F21" s="24" t="str">
        <f t="shared" si="1"/>
        <v>5.375</v>
      </c>
      <c r="G21" s="21"/>
      <c r="H21" s="21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8">
        <v>1000.0</v>
      </c>
      <c r="B22" s="26">
        <v>50.0</v>
      </c>
      <c r="C22" s="26">
        <v>4.0</v>
      </c>
      <c r="D22" s="23" t="str">
        <f>IFERROR(__xludf.DUMMYFUNCTION("DMAX({{Data!$A$1:$M$1};filter(Data!$A$2:$M999,Data!$A$2:$A999=$A22 , Data!$B$2:$B999 = $B22,Data!$C$2:$C999 = $C22, Data!$D$2:$D999 = D$1, Data!$E$2:$E999 = D$2 )},$K$2  , $Q$22:$Q$23)"),"60")</f>
        <v>60</v>
      </c>
      <c r="E22" s="23" t="str">
        <f>IFERROR(__xludf.DUMMYFUNCTION("DMAX({{Data!$A$1:$M$1};filter(Data!$A$2:$M999,Data!$A$2:$A999=$A22 , Data!$B$2:$B999 = $B22,Data!$C$2:$C999 = $C22, Data!$D$2:$D999 = E$1, Data!$E$2:$E999 = E$2 )},$K$2  , $Q$22:$Q$23)"),"13")</f>
        <v>13</v>
      </c>
      <c r="F22" s="24" t="str">
        <f t="shared" si="1"/>
        <v>4.615384615</v>
      </c>
      <c r="G22" s="21"/>
      <c r="H22" s="21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6">
        <v>1000.0</v>
      </c>
      <c r="B23" s="26">
        <v>50.0</v>
      </c>
      <c r="C23" s="26">
        <v>5.0</v>
      </c>
      <c r="D23" s="23" t="str">
        <f>IFERROR(__xludf.DUMMYFUNCTION("DMAX({{Data!$A$1:$M$1};filter(Data!$A$2:$M999,Data!$A$2:$A999=$A23 , Data!$B$2:$B999 = $B23,Data!$C$2:$C999 = $C23, Data!$D$2:$D999 = D$1, Data!$E$2:$E999 = D$2 )},$K$2  , $Q$22:$Q$23)"),"67")</f>
        <v>67</v>
      </c>
      <c r="E23" s="23" t="str">
        <f>IFERROR(__xludf.DUMMYFUNCTION("DMAX({{Data!$A$1:$M$1};filter(Data!$A$2:$M999,Data!$A$2:$A999=$A23 , Data!$B$2:$B999 = $B23,Data!$C$2:$C999 = $C23, Data!$D$2:$D999 = E$1, Data!$E$2:$E999 = E$2 )},$K$2  , $Q$22:$Q$23)"),"12")</f>
        <v>12</v>
      </c>
      <c r="F23" s="24" t="str">
        <f t="shared" si="1"/>
        <v>5.583333333</v>
      </c>
      <c r="G23" s="21"/>
      <c r="H23" s="21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>
        <v>1000.0</v>
      </c>
      <c r="B24" s="11">
        <v>100.0</v>
      </c>
      <c r="C24" s="11">
        <v>1.0</v>
      </c>
      <c r="D24" s="19" t="str">
        <f>IFERROR(__xludf.DUMMYFUNCTION("DMAX({{Data!$A$1:$M$1};filter(Data!$A$2:$M999,Data!$A$2:$A999=$A24 , Data!$B$2:$B999 = $B24,Data!$C$2:$C999 = $C24, Data!$D$2:$D999 = D$1, Data!$E$2:$E999 = D$2 )},$K$2  , $Q$22:$Q$23)"),"59")</f>
        <v>59</v>
      </c>
      <c r="E24" s="19" t="str">
        <f>IFERROR(__xludf.DUMMYFUNCTION("DMAX({{Data!$A$1:$M$1};filter(Data!$A$2:$M999,Data!$A$2:$A999=$A24 , Data!$B$2:$B999 = $B24,Data!$C$2:$C999 = $C24, Data!$D$2:$D999 = E$1, Data!$E$2:$E999 = E$2 )},$K$2  , $Q$22:$Q$23)"),"10")</f>
        <v>10</v>
      </c>
      <c r="F24" s="20" t="str">
        <f t="shared" si="1"/>
        <v>5.9</v>
      </c>
      <c r="G24" s="21"/>
      <c r="H24" s="21"/>
      <c r="I24" s="21"/>
      <c r="J24" s="13"/>
      <c r="K24" s="1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8">
        <v>1000.0</v>
      </c>
      <c r="B25" s="27">
        <v>100.0</v>
      </c>
      <c r="C25" s="18">
        <v>2.0</v>
      </c>
      <c r="D25" s="19" t="str">
        <f>IFERROR(__xludf.DUMMYFUNCTION("DMAX({{Data!$A$1:$M$1};filter(Data!$A$2:$M999,Data!$A$2:$A999=$A25 , Data!$B$2:$B999 = $B25,Data!$C$2:$C999 = $C25, Data!$D$2:$D999 = D$1, Data!$E$2:$E999 = D$2 )},$K$2  , $Q$22:$Q$23)"),"66")</f>
        <v>66</v>
      </c>
      <c r="E25" s="19" t="str">
        <f>IFERROR(__xludf.DUMMYFUNCTION("DMAX({{Data!$A$1:$M$1};filter(Data!$A$2:$M999,Data!$A$2:$A999=$A25 , Data!$B$2:$B999 = $B25,Data!$C$2:$C999 = $C25, Data!$D$2:$D999 = E$1, Data!$E$2:$E999 = E$2 )},$K$2  , $Q$22:$Q$23)"),"8")</f>
        <v>8</v>
      </c>
      <c r="F25" s="20" t="str">
        <f t="shared" si="1"/>
        <v>8.25</v>
      </c>
      <c r="G25" s="21"/>
      <c r="H25" s="21"/>
      <c r="I25" s="21"/>
      <c r="J25" s="28"/>
      <c r="K25" s="2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8">
        <v>1000.0</v>
      </c>
      <c r="B26" s="18">
        <v>100.0</v>
      </c>
      <c r="C26" s="18">
        <v>3.0</v>
      </c>
      <c r="D26" s="19" t="str">
        <f>IFERROR(__xludf.DUMMYFUNCTION("DMAX({{Data!$A$1:$M$1};filter(Data!$A$2:$M999,Data!$A$2:$A999=$A26 , Data!$B$2:$B999 = $B26,Data!$C$2:$C999 = $C26, Data!$D$2:$D999 = D$1, Data!$E$2:$E999 = D$2 )},$K$2  , $Q$22:$Q$23)"),"61")</f>
        <v>61</v>
      </c>
      <c r="E26" s="19" t="str">
        <f>IFERROR(__xludf.DUMMYFUNCTION("DMAX({{Data!$A$1:$M$1};filter(Data!$A$2:$M999,Data!$A$2:$A999=$A26 , Data!$B$2:$B999 = $B26,Data!$C$2:$C999 = $C26, Data!$D$2:$D999 = E$1, Data!$E$2:$E999 = E$2 )},$K$2  , $Q$22:$Q$23)"),"8")</f>
        <v>8</v>
      </c>
      <c r="F26" s="20" t="str">
        <f t="shared" si="1"/>
        <v>7.625</v>
      </c>
      <c r="G26" s="21"/>
      <c r="H26" s="21"/>
      <c r="I26" s="21"/>
      <c r="J26" s="28"/>
      <c r="K26" s="2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8">
        <v>1000.0</v>
      </c>
      <c r="B27" s="18">
        <v>100.0</v>
      </c>
      <c r="C27" s="18">
        <v>4.0</v>
      </c>
      <c r="D27" s="19" t="str">
        <f>IFERROR(__xludf.DUMMYFUNCTION("DMAX({{Data!$A$1:$M$1};filter(Data!$A$2:$M999,Data!$A$2:$A999=$A27 , Data!$B$2:$B999 = $B27,Data!$C$2:$C999 = $C27, Data!$D$2:$D999 = D$1, Data!$E$2:$E999 = D$2 )},$K$2  , $Q$22:$Q$23)"),"55")</f>
        <v>55</v>
      </c>
      <c r="E27" s="19" t="str">
        <f>IFERROR(__xludf.DUMMYFUNCTION("DMAX({{Data!$A$1:$M$1};filter(Data!$A$2:$M999,Data!$A$2:$A999=$A27 , Data!$B$2:$B999 = $B27,Data!$C$2:$C999 = $C27, Data!$D$2:$D999 = E$1, Data!$E$2:$E999 = E$2 )},$K$2  , $Q$22:$Q$23)"),"8")</f>
        <v>8</v>
      </c>
      <c r="F27" s="20" t="str">
        <f t="shared" si="1"/>
        <v>6.875</v>
      </c>
      <c r="G27" s="21"/>
      <c r="H27" s="21"/>
      <c r="I27" s="21"/>
      <c r="J27" s="28"/>
      <c r="K27" s="2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8">
        <v>1000.0</v>
      </c>
      <c r="B28" s="18">
        <v>100.0</v>
      </c>
      <c r="C28" s="18">
        <v>5.0</v>
      </c>
      <c r="D28" s="19" t="str">
        <f>IFERROR(__xludf.DUMMYFUNCTION("DMAX({{Data!$A$1:$M$1};filter(Data!$A$2:$M999,Data!$A$2:$A999=$A28 , Data!$B$2:$B999 = $B28,Data!$C$2:$C999 = $C28, Data!$D$2:$D999 = D$1, Data!$E$2:$E999 = D$2 )},$K$2  , $Q$22:$Q$23)"),"54")</f>
        <v>54</v>
      </c>
      <c r="E28" s="19" t="str">
        <f>IFERROR(__xludf.DUMMYFUNCTION("DMAX({{Data!$A$1:$M$1};filter(Data!$A$2:$M999,Data!$A$2:$A999=$A28 , Data!$B$2:$B999 = $B28,Data!$C$2:$C999 = $C28, Data!$D$2:$D999 = E$1, Data!$E$2:$E999 = E$2 )},$K$2  , $Q$22:$Q$23)"),"8")</f>
        <v>8</v>
      </c>
      <c r="F28" s="20" t="str">
        <f t="shared" si="1"/>
        <v>6.75</v>
      </c>
      <c r="G28" s="21"/>
      <c r="H28" s="21"/>
      <c r="I28" s="21"/>
      <c r="J28" s="28"/>
      <c r="K28" s="2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8"/>
      <c r="B29" s="28"/>
      <c r="C29" s="28"/>
      <c r="D29" s="15"/>
      <c r="E29" s="13"/>
      <c r="F29" s="13"/>
      <c r="G29" s="13"/>
      <c r="H29" s="28"/>
      <c r="I29" s="28"/>
      <c r="J29" s="28"/>
      <c r="K29" s="2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3"/>
      <c r="B32" s="15"/>
      <c r="C32" s="15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9"/>
      <c r="B33" s="29"/>
      <c r="C33" s="29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8.86"/>
    <col hidden="1" min="6" max="10"/>
  </cols>
  <sheetData>
    <row r="1">
      <c r="C1" s="10" t="s">
        <v>19</v>
      </c>
      <c r="D1" s="11" t="str">
        <f>IFERROR(__xludf.DUMMYFUNCTION("TRANSPOSE(UNIQUE(Data!D2:E1000))"),"basic")</f>
        <v>basic</v>
      </c>
      <c r="E1" s="12" t="s">
        <v>17</v>
      </c>
      <c r="F1" s="13"/>
      <c r="G1" s="13"/>
      <c r="H1" s="13"/>
      <c r="I1" s="13"/>
      <c r="J1" s="13"/>
      <c r="K1" s="14" t="s">
        <v>29</v>
      </c>
      <c r="L1" s="13"/>
      <c r="M1" s="13"/>
      <c r="N1" s="13"/>
      <c r="O1" s="13"/>
      <c r="P1" s="13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C2" s="10" t="s">
        <v>20</v>
      </c>
      <c r="D2" s="11" t="s">
        <v>16</v>
      </c>
      <c r="E2" s="12" t="s">
        <v>16</v>
      </c>
      <c r="F2" s="13"/>
      <c r="G2" s="13"/>
      <c r="H2" s="13"/>
      <c r="I2" s="13"/>
      <c r="J2" s="13"/>
      <c r="K2" s="14" t="s">
        <v>8</v>
      </c>
      <c r="L2" s="13"/>
      <c r="M2" s="13"/>
      <c r="N2" s="13"/>
      <c r="O2" s="13"/>
      <c r="P2" s="13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0" t="s">
        <v>0</v>
      </c>
      <c r="B3" s="10" t="s">
        <v>1</v>
      </c>
      <c r="C3" s="10" t="s">
        <v>2</v>
      </c>
      <c r="D3" s="16"/>
      <c r="E3" s="16"/>
      <c r="F3" s="15"/>
      <c r="G3" s="15"/>
      <c r="H3" s="15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8" t="str">
        <f>IFERROR(__xludf.DUMMYFUNCTION("UNIQUE(Data!A2:C1000)"),"1000")</f>
        <v>1000</v>
      </c>
      <c r="B4" s="18">
        <v>1.0</v>
      </c>
      <c r="C4" s="18">
        <v>1.0</v>
      </c>
      <c r="D4" s="19" t="str">
        <f>IFERROR(__xludf.DUMMYFUNCTION("DMAX({{Data!$A$1:$M$1};filter(Data!$A$2:$M1000,Data!$A$2:$A1000=$A4 , Data!$B$2:$B1000 = $B4,Data!$C$2:$C1000 = $C4, Data!$D$2:$D1000 = D$1, Data!$E$2:$E1000 = D$2 )},$K$2  , $Q$22:$Q$23)"),"208491.5953")</f>
        <v>208491.5953</v>
      </c>
      <c r="E4" s="19" t="str">
        <f>IFERROR(__xludf.DUMMYFUNCTION("DMAX({{Data!$A$1:$M$1};filter(Data!$A$2:$M1000,Data!$A$2:$A1000=$A4 , Data!$B$2:$B1000 = $B4,Data!$C$2:$C1000 = $C4, Data!$D$2:$D1000 = E$1, Data!$E$2:$E1000 = E$2 )},$K$2  , $Q$22:$Q$23)"),"209038.7674")</f>
        <v>209038.7674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8">
        <v>1000.0</v>
      </c>
      <c r="B5" s="18">
        <v>1.0</v>
      </c>
      <c r="C5" s="18">
        <v>2.0</v>
      </c>
      <c r="D5" s="19" t="str">
        <f>IFERROR(__xludf.DUMMYFUNCTION("DMAX({{Data!$A$1:$M$1};filter(Data!$A$2:$M1000,Data!$A$2:$A1000=$A5 , Data!$B$2:$B1000 = $B5,Data!$C$2:$C1000 = $C5, Data!$D$2:$D1000 = D$1, Data!$E$2:$E1000 = D$2 )},$K$2  , $Q$22:$Q$23)"),"204430.8889")</f>
        <v>204430.8889</v>
      </c>
      <c r="E5" s="19" t="str">
        <f>IFERROR(__xludf.DUMMYFUNCTION("DMAX({{Data!$A$1:$M$1};filter(Data!$A$2:$M1000,Data!$A$2:$A1000=$A5 , Data!$B$2:$B1000 = $B5,Data!$C$2:$C1000 = $C5, Data!$D$2:$D1000 = E$1, Data!$E$2:$E1000 = E$2 )},$K$2  , $Q$22:$Q$23)"),"204998.0706")</f>
        <v>204998.0706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8">
        <v>1000.0</v>
      </c>
      <c r="B6" s="18">
        <v>1.0</v>
      </c>
      <c r="C6" s="18">
        <v>3.0</v>
      </c>
      <c r="D6" s="19" t="str">
        <f>IFERROR(__xludf.DUMMYFUNCTION("DMAX({{Data!$A$1:$M$1};filter(Data!$A$2:$M1000,Data!$A$2:$A1000=$A6 , Data!$B$2:$B1000 = $B6,Data!$C$2:$C1000 = $C6, Data!$D$2:$D1000 = D$1, Data!$E$2:$E1000 = D$2 )},$K$2  , $Q$22:$Q$23)"),"203189.9571")</f>
        <v>203189.9571</v>
      </c>
      <c r="E6" s="19" t="str">
        <f>IFERROR(__xludf.DUMMYFUNCTION("DMAX({{Data!$A$1:$M$1};filter(Data!$A$2:$M1000,Data!$A$2:$A1000=$A6 , Data!$B$2:$B1000 = $B6,Data!$C$2:$C1000 = $C6, Data!$D$2:$D1000 = E$1, Data!$E$2:$E1000 = E$2 )},$K$2  , $Q$22:$Q$23)"),"203484.7474")</f>
        <v>203484.7474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8">
        <v>1000.0</v>
      </c>
      <c r="B7" s="18">
        <v>1.0</v>
      </c>
      <c r="C7" s="18">
        <v>4.0</v>
      </c>
      <c r="D7" s="19" t="str">
        <f>IFERROR(__xludf.DUMMYFUNCTION("DMAX({{Data!$A$1:$M$1};filter(Data!$A$2:$M1000,Data!$A$2:$A1000=$A7 , Data!$B$2:$B1000 = $B7,Data!$C$2:$C1000 = $C7, Data!$D$2:$D1000 = D$1, Data!$E$2:$E1000 = D$2 )},$K$2  , $Q$22:$Q$23)"),"211838.0718")</f>
        <v>211838.0718</v>
      </c>
      <c r="E7" s="19" t="str">
        <f>IFERROR(__xludf.DUMMYFUNCTION("DMAX({{Data!$A$1:$M$1};filter(Data!$A$2:$M1000,Data!$A$2:$A1000=$A7 , Data!$B$2:$B1000 = $B7,Data!$C$2:$C1000 = $C7, Data!$D$2:$D1000 = E$1, Data!$E$2:$E1000 = E$2 )},$K$2  , $Q$22:$Q$23)"),"212167.1059")</f>
        <v>212167.1059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2">
        <v>1000.0</v>
      </c>
      <c r="B8" s="22">
        <v>1.0</v>
      </c>
      <c r="C8" s="22">
        <v>5.0</v>
      </c>
      <c r="D8" s="19" t="str">
        <f>IFERROR(__xludf.DUMMYFUNCTION("DMAX({{Data!$A$1:$M$1};filter(Data!$A$2:$M1000,Data!$A$2:$A1000=$A8 , Data!$B$2:$B1000 = $B8,Data!$C$2:$C1000 = $C8, Data!$D$2:$D1000 = D$1, Data!$E$2:$E1000 = D$2 )},$K$2  , $Q$22:$Q$23)"),"209636.0913")</f>
        <v>209636.0913</v>
      </c>
      <c r="E8" s="19" t="str">
        <f>IFERROR(__xludf.DUMMYFUNCTION("DMAX({{Data!$A$1:$M$1};filter(Data!$A$2:$M1000,Data!$A$2:$A1000=$A8 , Data!$B$2:$B1000 = $B8,Data!$C$2:$C1000 = $C8, Data!$D$2:$D1000 = E$1, Data!$E$2:$E1000 = E$2 )},$K$2  , $Q$22:$Q$23)"),"210336.1429")</f>
        <v>210336.1429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8">
        <v>1000.0</v>
      </c>
      <c r="B9" s="18">
        <v>5.0</v>
      </c>
      <c r="C9" s="18">
        <v>1.0</v>
      </c>
      <c r="D9" s="23" t="str">
        <f>IFERROR(__xludf.DUMMYFUNCTION("DMAX({{Data!$A$1:$M$1};filter(Data!$A$2:$M1000,Data!$A$2:$A1000=$A9 , Data!$B$2:$B1000 = $B9,Data!$C$2:$C1000 = $C9, Data!$D$2:$D1000 = D$1, Data!$E$2:$E1000 = D$2 )},$K$2  , $Q$22:$Q$23)"),"853971.4531")</f>
        <v>853971.4531</v>
      </c>
      <c r="E9" s="23" t="str">
        <f>IFERROR(__xludf.DUMMYFUNCTION("DMAX({{Data!$A$1:$M$1};filter(Data!$A$2:$M1000,Data!$A$2:$A1000=$A9 , Data!$B$2:$B1000 = $B9,Data!$C$2:$C1000 = $C9, Data!$D$2:$D1000 = E$1, Data!$E$2:$E1000 = E$2 )},$K$2  , $Q$22:$Q$23)"),"856004.2059")</f>
        <v>856004.2059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5">
        <v>1000.0</v>
      </c>
      <c r="B10" s="25">
        <v>5.0</v>
      </c>
      <c r="C10" s="25">
        <v>2.0</v>
      </c>
      <c r="D10" s="23" t="str">
        <f>IFERROR(__xludf.DUMMYFUNCTION("DMAX({{Data!$A$1:$M$1};filter(Data!$A$2:$M1000,Data!$A$2:$A1000=$A10 , Data!$B$2:$B1000 = $B10,Data!$C$2:$C1000 = $C10, Data!$D$2:$D1000 = D$1, Data!$E$2:$E1000 = D$2 )},$K$2  , $Q$22:$Q$23)"),"858318.2891")</f>
        <v>858318.2891</v>
      </c>
      <c r="E10" s="23" t="str">
        <f>IFERROR(__xludf.DUMMYFUNCTION("DMAX({{Data!$A$1:$M$1};filter(Data!$A$2:$M1000,Data!$A$2:$A1000=$A10 , Data!$B$2:$B1000 = $B10,Data!$C$2:$C1000 = $C10, Data!$D$2:$D1000 = E$1, Data!$E$2:$E1000 = E$2 )},$K$2  , $Q$22:$Q$23)"),"860183.4324")</f>
        <v>860183.4324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8">
        <v>1000.0</v>
      </c>
      <c r="B11" s="18">
        <v>5.0</v>
      </c>
      <c r="C11" s="18">
        <v>3.0</v>
      </c>
      <c r="D11" s="23" t="str">
        <f>IFERROR(__xludf.DUMMYFUNCTION("DMAX({{Data!$A$1:$M$1};filter(Data!$A$2:$M1000,Data!$A$2:$A1000=$A11 , Data!$B$2:$B1000 = $B11,Data!$C$2:$C1000 = $C11, Data!$D$2:$D1000 = D$1, Data!$E$2:$E1000 = D$2 )},$K$2  , $Q$22:$Q$23)"),"863706.8058")</f>
        <v>863706.8058</v>
      </c>
      <c r="E11" s="23" t="str">
        <f>IFERROR(__xludf.DUMMYFUNCTION("DMAX({{Data!$A$1:$M$1};filter(Data!$A$2:$M1000,Data!$A$2:$A1000=$A11 , Data!$B$2:$B1000 = $B11,Data!$C$2:$C1000 = $C11, Data!$D$2:$D1000 = E$1, Data!$E$2:$E1000 = E$2 )},$K$2  , $Q$22:$Q$23)"),"862240.0556")</f>
        <v>862240.0556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8">
        <v>1000.0</v>
      </c>
      <c r="B12" s="18">
        <v>5.0</v>
      </c>
      <c r="C12" s="18">
        <v>4.0</v>
      </c>
      <c r="D12" s="23" t="str">
        <f>IFERROR(__xludf.DUMMYFUNCTION("DMAX({{Data!$A$1:$M$1};filter(Data!$A$2:$M1000,Data!$A$2:$A1000=$A12 , Data!$B$2:$B1000 = $B12,Data!$C$2:$C1000 = $C12, Data!$D$2:$D1000 = D$1, Data!$E$2:$E1000 = D$2 )},$K$2  , $Q$22:$Q$23)"),"863140.9792")</f>
        <v>863140.9792</v>
      </c>
      <c r="E12" s="23" t="str">
        <f>IFERROR(__xludf.DUMMYFUNCTION("DMAX({{Data!$A$1:$M$1};filter(Data!$A$2:$M1000,Data!$A$2:$A1000=$A12 , Data!$B$2:$B1000 = $B12,Data!$C$2:$C1000 = $C12, Data!$D$2:$D1000 = E$1, Data!$E$2:$E1000 = E$2 )},$K$2  , $Q$22:$Q$23)"),"864908.0882")</f>
        <v>864908.0882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8">
        <v>1000.0</v>
      </c>
      <c r="B13" s="18">
        <v>5.0</v>
      </c>
      <c r="C13" s="18">
        <v>5.0</v>
      </c>
      <c r="D13" s="23" t="str">
        <f>IFERROR(__xludf.DUMMYFUNCTION("DMAX({{Data!$A$1:$M$1};filter(Data!$A$2:$M1000,Data!$A$2:$A1000=$A13 , Data!$B$2:$B1000 = $B13,Data!$C$2:$C1000 = $C13, Data!$D$2:$D1000 = D$1, Data!$E$2:$E1000 = D$2 )},$K$2  , $Q$22:$Q$23)"),"857044.1042")</f>
        <v>857044.1042</v>
      </c>
      <c r="E13" s="23" t="str">
        <f>IFERROR(__xludf.DUMMYFUNCTION("DMAX({{Data!$A$1:$M$1};filter(Data!$A$2:$M1000,Data!$A$2:$A1000=$A13 , Data!$B$2:$B1000 = $B13,Data!$C$2:$C1000 = $C13, Data!$D$2:$D1000 = E$1, Data!$E$2:$E1000 = E$2 )},$K$2  , $Q$22:$Q$23)"),"859228.4872")</f>
        <v>859228.4872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8">
        <v>1000.0</v>
      </c>
      <c r="B14" s="18">
        <v>10.0</v>
      </c>
      <c r="C14" s="18">
        <v>1.0</v>
      </c>
      <c r="D14" s="19" t="str">
        <f>IFERROR(__xludf.DUMMYFUNCTION("DMAX({{Data!$A$1:$M$1};filter(Data!$A$2:$M1000,Data!$A$2:$A1000=$A14 , Data!$B$2:$B1000 = $B14,Data!$C$2:$C1000 = $C14, Data!$D$2:$D1000 = D$1, Data!$E$2:$E1000 = D$2 )},$K$2  , $Q$22:$Q$23)"),"1604205.604")</f>
        <v>1604205.604</v>
      </c>
      <c r="E14" s="19" t="str">
        <f>IFERROR(__xludf.DUMMYFUNCTION("DMAX({{Data!$A$1:$M$1};filter(Data!$A$2:$M1000,Data!$A$2:$A1000=$A14 , Data!$B$2:$B1000 = $B14,Data!$C$2:$C1000 = $C14, Data!$D$2:$D1000 = E$1, Data!$E$2:$E1000 = E$2 )},$K$2  , $Q$22:$Q$23)"),"1606828.625")</f>
        <v>1606828.625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8">
        <v>1000.0</v>
      </c>
      <c r="B15" s="18">
        <v>10.0</v>
      </c>
      <c r="C15" s="18">
        <v>2.0</v>
      </c>
      <c r="D15" s="19" t="str">
        <f>IFERROR(__xludf.DUMMYFUNCTION("DMAX({{Data!$A$1:$M$1};filter(Data!$A$2:$M1000,Data!$A$2:$A1000=$A15 , Data!$B$2:$B1000 = $B15,Data!$C$2:$C1000 = $C15, Data!$D$2:$D1000 = D$1, Data!$E$2:$E1000 = D$2 )},$K$2  , $Q$22:$Q$23)"),"1623773.981")</f>
        <v>1623773.981</v>
      </c>
      <c r="E15" s="19" t="str">
        <f>IFERROR(__xludf.DUMMYFUNCTION("DMAX({{Data!$A$1:$M$1};filter(Data!$A$2:$M1000,Data!$A$2:$A1000=$A15 , Data!$B$2:$B1000 = $B15,Data!$C$2:$C1000 = $C15, Data!$D$2:$D1000 = E$1, Data!$E$2:$E1000 = E$2 )},$K$2  , $Q$22:$Q$23)"),"1626213.286")</f>
        <v>1626213.286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8">
        <v>1000.0</v>
      </c>
      <c r="B16" s="18">
        <v>10.0</v>
      </c>
      <c r="C16" s="18">
        <v>3.0</v>
      </c>
      <c r="D16" s="19" t="str">
        <f>IFERROR(__xludf.DUMMYFUNCTION("DMAX({{Data!$A$1:$M$1};filter(Data!$A$2:$M1000,Data!$A$2:$A1000=$A16 , Data!$B$2:$B1000 = $B16,Data!$C$2:$C1000 = $C16, Data!$D$2:$D1000 = D$1, Data!$E$2:$E1000 = D$2 )},$K$2  , $Q$22:$Q$23)"),"1622341.944")</f>
        <v>1622341.944</v>
      </c>
      <c r="E16" s="19" t="str">
        <f>IFERROR(__xludf.DUMMYFUNCTION("DMAX({{Data!$A$1:$M$1};filter(Data!$A$2:$M1000,Data!$A$2:$A1000=$A16 , Data!$B$2:$B1000 = $B16,Data!$C$2:$C1000 = $C16, Data!$D$2:$D1000 = E$1, Data!$E$2:$E1000 = E$2 )},$K$2  , $Q$22:$Q$23)"),"1625145.267")</f>
        <v>1625145.267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8">
        <v>1000.0</v>
      </c>
      <c r="B17" s="18">
        <v>10.0</v>
      </c>
      <c r="C17" s="18">
        <v>4.0</v>
      </c>
      <c r="D17" s="19" t="str">
        <f>IFERROR(__xludf.DUMMYFUNCTION("DMAX({{Data!$A$1:$M$1};filter(Data!$A$2:$M1000,Data!$A$2:$A1000=$A17 , Data!$B$2:$B1000 = $B17,Data!$C$2:$C1000 = $C17, Data!$D$2:$D1000 = D$1, Data!$E$2:$E1000 = D$2 )},$K$2  , $Q$22:$Q$23)"),"1618495.874")</f>
        <v>1618495.874</v>
      </c>
      <c r="E17" s="19" t="str">
        <f>IFERROR(__xludf.DUMMYFUNCTION("DMAX({{Data!$A$1:$M$1};filter(Data!$A$2:$M1000,Data!$A$2:$A1000=$A17 , Data!$B$2:$B1000 = $B17,Data!$C$2:$C1000 = $C17, Data!$D$2:$D1000 = E$1, Data!$E$2:$E1000 = E$2 )},$K$2  , $Q$22:$Q$23)"),"1620910.444")</f>
        <v>1620910.444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8">
        <v>1000.0</v>
      </c>
      <c r="B18" s="18">
        <v>10.0</v>
      </c>
      <c r="C18" s="18">
        <v>5.0</v>
      </c>
      <c r="D18" s="19" t="str">
        <f>IFERROR(__xludf.DUMMYFUNCTION("DMAX({{Data!$A$1:$M$1};filter(Data!$A$2:$M1000,Data!$A$2:$A1000=$A18 , Data!$B$2:$B1000 = $B18,Data!$C$2:$C1000 = $C18, Data!$D$2:$D1000 = D$1, Data!$E$2:$E1000 = D$2 )},$K$2  , $Q$22:$Q$23)"),"1618254.402")</f>
        <v>1618254.402</v>
      </c>
      <c r="E18" s="19" t="str">
        <f>IFERROR(__xludf.DUMMYFUNCTION("DMAX({{Data!$A$1:$M$1};filter(Data!$A$2:$M1000,Data!$A$2:$A1000=$A18 , Data!$B$2:$B1000 = $B18,Data!$C$2:$C1000 = $C18, Data!$D$2:$D1000 = E$1, Data!$E$2:$E1000 = E$2 )},$K$2  , $Q$22:$Q$23)"),"1619793.56")</f>
        <v>1619793.56</v>
      </c>
      <c r="F18" s="21"/>
      <c r="G18" s="21"/>
      <c r="H18" s="21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">
        <v>1000.0</v>
      </c>
      <c r="B19" s="11">
        <v>50.0</v>
      </c>
      <c r="C19" s="11">
        <v>1.0</v>
      </c>
      <c r="D19" s="23" t="str">
        <f>IFERROR(__xludf.DUMMYFUNCTION("DMAX({{Data!$A$1:$M$1};filter(Data!$A$2:$M1000,Data!$A$2:$A1000=$A19 , Data!$B$2:$B1000 = $B19,Data!$C$2:$C1000 = $C19, Data!$D$2:$D1000 = D$1, Data!$E$2:$E1000 = D$2 )},$K$2  , $Q$22:$Q$23)"),"8069146.728")</f>
        <v>8069146.728</v>
      </c>
      <c r="E19" s="23" t="str">
        <f>IFERROR(__xludf.DUMMYFUNCTION("DMAX({{Data!$A$1:$M$1};filter(Data!$A$2:$M1000,Data!$A$2:$A1000=$A19 , Data!$B$2:$B1000 = $B19,Data!$C$2:$C1000 = $C19, Data!$D$2:$D1000 = E$1, Data!$E$2:$E1000 = E$2 )},$K$2  , $Q$22:$Q$23)"),"8073514")</f>
        <v>8073514</v>
      </c>
      <c r="F19" s="21"/>
      <c r="G19" s="21"/>
      <c r="H19" s="21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6">
        <v>1000.0</v>
      </c>
      <c r="B20" s="26">
        <v>50.0</v>
      </c>
      <c r="C20" s="26">
        <v>2.0</v>
      </c>
      <c r="D20" s="23" t="str">
        <f>IFERROR(__xludf.DUMMYFUNCTION("DMAX({{Data!$A$1:$M$1};filter(Data!$A$2:$M1000,Data!$A$2:$A1000=$A20 , Data!$B$2:$B1000 = $B20,Data!$C$2:$C1000 = $C20, Data!$D$2:$D1000 = D$1, Data!$E$2:$E1000 = D$2 )},$K$2  , $Q$22:$Q$23)"),"8068661.431")</f>
        <v>8068661.431</v>
      </c>
      <c r="E20" s="23" t="str">
        <f>IFERROR(__xludf.DUMMYFUNCTION("DMAX({{Data!$A$1:$M$1};filter(Data!$A$2:$M1000,Data!$A$2:$A1000=$A20 , Data!$B$2:$B1000 = $B20,Data!$C$2:$C1000 = $C20, Data!$D$2:$D1000 = E$1, Data!$E$2:$E1000 = E$2 )},$K$2  , $Q$22:$Q$23)"),"8070467.077")</f>
        <v>8070467.077</v>
      </c>
      <c r="F20" s="21"/>
      <c r="G20" s="21"/>
      <c r="H20" s="21"/>
      <c r="I20" s="2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26">
        <v>1000.0</v>
      </c>
      <c r="B21" s="26">
        <v>50.0</v>
      </c>
      <c r="C21" s="26">
        <v>3.0</v>
      </c>
      <c r="D21" s="23" t="str">
        <f>IFERROR(__xludf.DUMMYFUNCTION("DMAX({{Data!$A$1:$M$1};filter(Data!$A$2:$M1000,Data!$A$2:$A1000=$A21 , Data!$B$2:$B1000 = $B21,Data!$C$2:$C1000 = $C21, Data!$D$2:$D1000 = D$1, Data!$E$2:$E1000 = D$2 )},$K$2  , $Q$22:$Q$23)"),"8064823.14")</f>
        <v>8064823.14</v>
      </c>
      <c r="E21" s="23" t="str">
        <f>IFERROR(__xludf.DUMMYFUNCTION("DMAX({{Data!$A$1:$M$1};filter(Data!$A$2:$M1000,Data!$A$2:$A1000=$A21 , Data!$B$2:$B1000 = $B21,Data!$C$2:$C1000 = $C21, Data!$D$2:$D1000 = E$1, Data!$E$2:$E1000 = E$2 )},$K$2  , $Q$22:$Q$23)"),"8065361.313")</f>
        <v>8065361.313</v>
      </c>
      <c r="F21" s="21"/>
      <c r="G21" s="21"/>
      <c r="H21" s="21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8">
        <v>1000.0</v>
      </c>
      <c r="B22" s="26">
        <v>50.0</v>
      </c>
      <c r="C22" s="26">
        <v>4.0</v>
      </c>
      <c r="D22" s="23" t="str">
        <f>IFERROR(__xludf.DUMMYFUNCTION("DMAX({{Data!$A$1:$M$1};filter(Data!$A$2:$M1000,Data!$A$2:$A1000=$A22 , Data!$B$2:$B1000 = $B22,Data!$C$2:$C1000 = $C22, Data!$D$2:$D1000 = D$1, Data!$E$2:$E1000 = D$2 )},$K$2  , $Q$22:$Q$23)"),"8069949.8")</f>
        <v>8069949.8</v>
      </c>
      <c r="E22" s="23" t="str">
        <f>IFERROR(__xludf.DUMMYFUNCTION("DMAX({{Data!$A$1:$M$1};filter(Data!$A$2:$M1000,Data!$A$2:$A1000=$A22 , Data!$B$2:$B1000 = $B22,Data!$C$2:$C1000 = $C22, Data!$D$2:$D1000 = E$1, Data!$E$2:$E1000 = E$2 )},$K$2  , $Q$22:$Q$23)"),"8070863.308")</f>
        <v>8070863.308</v>
      </c>
      <c r="F22" s="21"/>
      <c r="G22" s="21"/>
      <c r="H22" s="21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6">
        <v>1000.0</v>
      </c>
      <c r="B23" s="26">
        <v>50.0</v>
      </c>
      <c r="C23" s="26">
        <v>5.0</v>
      </c>
      <c r="D23" s="23" t="str">
        <f>IFERROR(__xludf.DUMMYFUNCTION("DMAX({{Data!$A$1:$M$1};filter(Data!$A$2:$M1000,Data!$A$2:$A1000=$A23 , Data!$B$2:$B1000 = $B23,Data!$C$2:$C1000 = $C23, Data!$D$2:$D1000 = D$1, Data!$E$2:$E1000 = D$2 )},$K$2  , $Q$22:$Q$23)"),"8064654.269")</f>
        <v>8064654.269</v>
      </c>
      <c r="E23" s="23" t="str">
        <f>IFERROR(__xludf.DUMMYFUNCTION("DMAX({{Data!$A$1:$M$1};filter(Data!$A$2:$M1000,Data!$A$2:$A1000=$A23 , Data!$B$2:$B1000 = $B23,Data!$C$2:$C1000 = $C23, Data!$D$2:$D1000 = E$1, Data!$E$2:$E1000 = E$2 )},$K$2  , $Q$22:$Q$23)"),"8069707.667")</f>
        <v>8069707.667</v>
      </c>
      <c r="F23" s="21"/>
      <c r="G23" s="21"/>
      <c r="H23" s="21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>
        <v>1000.0</v>
      </c>
      <c r="B24" s="11">
        <v>100.0</v>
      </c>
      <c r="C24" s="11">
        <v>1.0</v>
      </c>
      <c r="D24" s="19" t="str">
        <f>IFERROR(__xludf.DUMMYFUNCTION("DMAX({{Data!$A$1:$M$1};filter(Data!$A$2:$M1000,Data!$A$2:$A1000=$A24 , Data!$B$2:$B1000 = $B24,Data!$C$2:$C1000 = $C24, Data!$D$2:$D1000 = D$1, Data!$E$2:$E1000 = D$2 )},$K$2  , $Q$22:$Q$23)"),"25759933.25")</f>
        <v>25759933.25</v>
      </c>
      <c r="E24" s="19" t="str">
        <f>IFERROR(__xludf.DUMMYFUNCTION("DMAX({{Data!$A$1:$M$1};filter(Data!$A$2:$M1000,Data!$A$2:$A1000=$A24 , Data!$B$2:$B1000 = $B24,Data!$C$2:$C1000 = $C24, Data!$D$2:$D1000 = E$1, Data!$E$2:$E1000 = E$2 )},$K$2  , $Q$22:$Q$23)"),"25761376.8")</f>
        <v>25761376.8</v>
      </c>
      <c r="F24" s="21"/>
      <c r="G24" s="21"/>
      <c r="H24" s="21"/>
      <c r="I24" s="21"/>
      <c r="J24" s="13"/>
      <c r="K24" s="1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8">
        <v>1000.0</v>
      </c>
      <c r="B25" s="27">
        <v>100.0</v>
      </c>
      <c r="C25" s="18">
        <v>2.0</v>
      </c>
      <c r="D25" s="19" t="str">
        <f>IFERROR(__xludf.DUMMYFUNCTION("DMAX({{Data!$A$1:$M$1};filter(Data!$A$2:$M1000,Data!$A$2:$A1000=$A25 , Data!$B$2:$B1000 = $B25,Data!$C$2:$C1000 = $C25, Data!$D$2:$D1000 = D$1, Data!$E$2:$E1000 = D$2 )},$K$2  , $Q$22:$Q$23)"),"25759767.77")</f>
        <v>25759767.77</v>
      </c>
      <c r="E25" s="19" t="str">
        <f>IFERROR(__xludf.DUMMYFUNCTION("DMAX({{Data!$A$1:$M$1};filter(Data!$A$2:$M1000,Data!$A$2:$A1000=$A25 , Data!$B$2:$B1000 = $B25,Data!$C$2:$C1000 = $C25, Data!$D$2:$D1000 = E$1, Data!$E$2:$E1000 = E$2 )},$K$2  , $Q$22:$Q$23)"),"25762219.5")</f>
        <v>25762219.5</v>
      </c>
      <c r="F25" s="21"/>
      <c r="G25" s="21"/>
      <c r="H25" s="21"/>
      <c r="I25" s="21"/>
      <c r="J25" s="28"/>
      <c r="K25" s="2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8">
        <v>1000.0</v>
      </c>
      <c r="B26" s="18">
        <v>100.0</v>
      </c>
      <c r="C26" s="18">
        <v>3.0</v>
      </c>
      <c r="D26" s="19" t="str">
        <f>IFERROR(__xludf.DUMMYFUNCTION("DMAX({{Data!$A$1:$M$1};filter(Data!$A$2:$M1000,Data!$A$2:$A1000=$A26 , Data!$B$2:$B1000 = $B26,Data!$C$2:$C1000 = $C26, Data!$D$2:$D1000 = D$1, Data!$E$2:$E1000 = D$2 )},$K$2  , $Q$22:$Q$23)"),"25795284.2")</f>
        <v>25795284.2</v>
      </c>
      <c r="E26" s="19" t="str">
        <f>IFERROR(__xludf.DUMMYFUNCTION("DMAX({{Data!$A$1:$M$1};filter(Data!$A$2:$M1000,Data!$A$2:$A1000=$A26 , Data!$B$2:$B1000 = $B26,Data!$C$2:$C1000 = $C26, Data!$D$2:$D1000 = E$1, Data!$E$2:$E1000 = E$2 )},$K$2  , $Q$22:$Q$23)"),"25799221.75")</f>
        <v>25799221.75</v>
      </c>
      <c r="F26" s="21"/>
      <c r="G26" s="21"/>
      <c r="H26" s="21"/>
      <c r="I26" s="21"/>
      <c r="J26" s="28"/>
      <c r="K26" s="2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8">
        <v>1000.0</v>
      </c>
      <c r="B27" s="18">
        <v>100.0</v>
      </c>
      <c r="C27" s="18">
        <v>4.0</v>
      </c>
      <c r="D27" s="19" t="str">
        <f>IFERROR(__xludf.DUMMYFUNCTION("DMAX({{Data!$A$1:$M$1};filter(Data!$A$2:$M1000,Data!$A$2:$A1000=$A27 , Data!$B$2:$B1000 = $B27,Data!$C$2:$C1000 = $C27, Data!$D$2:$D1000 = D$1, Data!$E$2:$E1000 = D$2 )},$K$2  , $Q$22:$Q$23)"),"25807574.85")</f>
        <v>25807574.85</v>
      </c>
      <c r="E27" s="19" t="str">
        <f>IFERROR(__xludf.DUMMYFUNCTION("DMAX({{Data!$A$1:$M$1};filter(Data!$A$2:$M1000,Data!$A$2:$A1000=$A27 , Data!$B$2:$B1000 = $B27,Data!$C$2:$C1000 = $C27, Data!$D$2:$D1000 = E$1, Data!$E$2:$E1000 = E$2 )},$K$2  , $Q$22:$Q$23)"),"25807935.88")</f>
        <v>25807935.88</v>
      </c>
      <c r="F27" s="21"/>
      <c r="G27" s="21"/>
      <c r="H27" s="21"/>
      <c r="I27" s="21"/>
      <c r="J27" s="28"/>
      <c r="K27" s="2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8">
        <v>1000.0</v>
      </c>
      <c r="B28" s="18">
        <v>100.0</v>
      </c>
      <c r="C28" s="18">
        <v>5.0</v>
      </c>
      <c r="D28" s="19" t="str">
        <f>IFERROR(__xludf.DUMMYFUNCTION("DMAX({{Data!$A$1:$M$1};filter(Data!$A$2:$M1000,Data!$A$2:$A1000=$A28 , Data!$B$2:$B1000 = $B28,Data!$C$2:$C1000 = $C28, Data!$D$2:$D1000 = D$1, Data!$E$2:$E1000 = D$2 )},$K$2  , $Q$22:$Q$23)"),"25758332.46")</f>
        <v>25758332.46</v>
      </c>
      <c r="E28" s="19" t="str">
        <f>IFERROR(__xludf.DUMMYFUNCTION("DMAX({{Data!$A$1:$M$1};filter(Data!$A$2:$M1000,Data!$A$2:$A1000=$A28 , Data!$B$2:$B1000 = $B28,Data!$C$2:$C1000 = $C28, Data!$D$2:$D1000 = E$1, Data!$E$2:$E1000 = E$2 )},$K$2  , $Q$22:$Q$23)"),"25764935.13")</f>
        <v>25764935.13</v>
      </c>
      <c r="F28" s="21"/>
      <c r="G28" s="21"/>
      <c r="H28" s="21"/>
      <c r="I28" s="21"/>
      <c r="J28" s="28"/>
      <c r="K28" s="2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8"/>
      <c r="B29" s="28"/>
      <c r="C29" s="28"/>
      <c r="D29" s="15"/>
      <c r="E29" s="13"/>
      <c r="F29" s="13"/>
      <c r="G29" s="13"/>
      <c r="H29" s="28"/>
      <c r="I29" s="28"/>
      <c r="J29" s="28"/>
      <c r="K29" s="2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3"/>
      <c r="B32" s="15"/>
      <c r="C32" s="15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9"/>
      <c r="B33" s="29"/>
      <c r="C33" s="29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8.86"/>
    <col hidden="1" min="6" max="10"/>
  </cols>
  <sheetData>
    <row r="1">
      <c r="C1" s="10" t="s">
        <v>19</v>
      </c>
      <c r="D1" s="11" t="str">
        <f>IFERROR(__xludf.DUMMYFUNCTION("TRANSPOSE(UNIQUE(Data!D2:E1000))"),"basic")</f>
        <v>basic</v>
      </c>
      <c r="E1" s="12" t="s">
        <v>17</v>
      </c>
      <c r="F1" s="13"/>
      <c r="G1" s="13"/>
      <c r="H1" s="13"/>
      <c r="I1" s="13"/>
      <c r="J1" s="13"/>
      <c r="K1" s="14" t="s">
        <v>29</v>
      </c>
      <c r="L1" s="13"/>
      <c r="M1" s="13"/>
      <c r="N1" s="13"/>
      <c r="O1" s="13"/>
      <c r="P1" s="13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C2" s="10" t="s">
        <v>20</v>
      </c>
      <c r="D2" s="11" t="s">
        <v>16</v>
      </c>
      <c r="E2" s="12" t="s">
        <v>16</v>
      </c>
      <c r="F2" s="13"/>
      <c r="G2" s="13"/>
      <c r="H2" s="13"/>
      <c r="I2" s="13"/>
      <c r="J2" s="13"/>
      <c r="K2" s="14" t="s">
        <v>8</v>
      </c>
      <c r="L2" s="13"/>
      <c r="M2" s="13"/>
      <c r="N2" s="13"/>
      <c r="O2" s="13"/>
      <c r="P2" s="13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0" t="s">
        <v>0</v>
      </c>
      <c r="B3" s="10" t="s">
        <v>1</v>
      </c>
      <c r="C3" s="10" t="s">
        <v>2</v>
      </c>
      <c r="D3" s="16"/>
      <c r="E3" s="16"/>
      <c r="F3" s="15"/>
      <c r="G3" s="15"/>
      <c r="H3" s="15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8" t="str">
        <f>IFERROR(__xludf.DUMMYFUNCTION("UNIQUE(Data!A2:C1000)"),"1000")</f>
        <v>1000</v>
      </c>
      <c r="B4" s="18">
        <v>1.0</v>
      </c>
      <c r="C4" s="18">
        <v>1.0</v>
      </c>
      <c r="D4" s="30" t="str">
        <f>(MAX('F Mean'!$D4:$H4) - 'F Mean'!D4)/MAX('F Mean'!$D4:$H4)</f>
        <v>0.2618%</v>
      </c>
      <c r="E4" s="30" t="str">
        <f>(MAX('F Mean'!$D4:$H4) - 'F Mean'!E4)/MAX('F Mean'!$D4:$H4)</f>
        <v>0.0000%</v>
      </c>
      <c r="F4" s="31"/>
      <c r="G4" s="31"/>
      <c r="H4" s="31"/>
      <c r="I4" s="21"/>
      <c r="J4" s="21"/>
      <c r="K4" s="21"/>
      <c r="L4" s="21"/>
      <c r="M4" s="21"/>
      <c r="N4" s="21"/>
      <c r="O4" s="2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8">
        <v>1000.0</v>
      </c>
      <c r="B5" s="18">
        <v>1.0</v>
      </c>
      <c r="C5" s="18">
        <v>2.0</v>
      </c>
      <c r="D5" s="30" t="str">
        <f>(MAX('F Mean'!$D5:$H5) - 'F Mean'!D5)/MAX('F Mean'!$D5:$H5)</f>
        <v>0.2767%</v>
      </c>
      <c r="E5" s="30" t="str">
        <f>(MAX('F Mean'!$D5:$H5) - 'F Mean'!E5)/MAX('F Mean'!$D5:$H5)</f>
        <v>0.0000%</v>
      </c>
      <c r="F5" s="31"/>
      <c r="G5" s="31"/>
      <c r="H5" s="31"/>
      <c r="I5" s="21"/>
      <c r="J5" s="21"/>
      <c r="K5" s="21"/>
      <c r="L5" s="21"/>
      <c r="M5" s="21"/>
      <c r="N5" s="21"/>
      <c r="O5" s="2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8">
        <v>1000.0</v>
      </c>
      <c r="B6" s="18">
        <v>1.0</v>
      </c>
      <c r="C6" s="18">
        <v>3.0</v>
      </c>
      <c r="D6" s="30" t="str">
        <f>(MAX('F Mean'!$D6:$H6) - 'F Mean'!D6)/MAX('F Mean'!$D6:$H6)</f>
        <v>0.1449%</v>
      </c>
      <c r="E6" s="30" t="str">
        <f>(MAX('F Mean'!$D6:$H6) - 'F Mean'!E6)/MAX('F Mean'!$D6:$H6)</f>
        <v>0.0000%</v>
      </c>
      <c r="F6" s="31"/>
      <c r="G6" s="31"/>
      <c r="H6" s="31"/>
      <c r="I6" s="21"/>
      <c r="J6" s="21"/>
      <c r="K6" s="21"/>
      <c r="L6" s="21"/>
      <c r="M6" s="21"/>
      <c r="N6" s="21"/>
      <c r="O6" s="2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8">
        <v>1000.0</v>
      </c>
      <c r="B7" s="18">
        <v>1.0</v>
      </c>
      <c r="C7" s="18">
        <v>4.0</v>
      </c>
      <c r="D7" s="30" t="str">
        <f>(MAX('F Mean'!$D7:$H7) - 'F Mean'!D7)/MAX('F Mean'!$D7:$H7)</f>
        <v>0.1551%</v>
      </c>
      <c r="E7" s="30" t="str">
        <f>(MAX('F Mean'!$D7:$H7) - 'F Mean'!E7)/MAX('F Mean'!$D7:$H7)</f>
        <v>0.0000%</v>
      </c>
      <c r="F7" s="31"/>
      <c r="G7" s="31"/>
      <c r="H7" s="31"/>
      <c r="I7" s="21"/>
      <c r="J7" s="21"/>
      <c r="K7" s="21"/>
      <c r="L7" s="21"/>
      <c r="M7" s="21"/>
      <c r="N7" s="21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2">
        <v>1000.0</v>
      </c>
      <c r="B8" s="22">
        <v>1.0</v>
      </c>
      <c r="C8" s="22">
        <v>5.0</v>
      </c>
      <c r="D8" s="30" t="str">
        <f>(MAX('F Mean'!$D8:$H8) - 'F Mean'!D8)/MAX('F Mean'!$D8:$H8)</f>
        <v>0.3328%</v>
      </c>
      <c r="E8" s="30" t="str">
        <f>(MAX('F Mean'!$D8:$H8) - 'F Mean'!E8)/MAX('F Mean'!$D8:$H8)</f>
        <v>0.0000%</v>
      </c>
      <c r="F8" s="31"/>
      <c r="G8" s="31"/>
      <c r="H8" s="31"/>
      <c r="I8" s="21"/>
      <c r="J8" s="21"/>
      <c r="K8" s="21"/>
      <c r="L8" s="21"/>
      <c r="M8" s="21"/>
      <c r="N8" s="21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8">
        <v>1000.0</v>
      </c>
      <c r="B9" s="18">
        <v>5.0</v>
      </c>
      <c r="C9" s="18">
        <v>1.0</v>
      </c>
      <c r="D9" s="32" t="str">
        <f>(MAX('F Mean'!$D9:$H9) - 'F Mean'!D9)/MAX('F Mean'!$D9:$H9)</f>
        <v>0.2375%</v>
      </c>
      <c r="E9" s="32" t="str">
        <f>(MAX('F Mean'!$D9:$H9) - 'F Mean'!E9)/MAX('F Mean'!$D9:$H9)</f>
        <v>0.0000%</v>
      </c>
      <c r="F9" s="31"/>
      <c r="G9" s="31"/>
      <c r="H9" s="31"/>
      <c r="I9" s="21"/>
      <c r="J9" s="21"/>
      <c r="K9" s="21"/>
      <c r="L9" s="21"/>
      <c r="M9" s="21"/>
      <c r="N9" s="21"/>
      <c r="O9" s="2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5">
        <v>1000.0</v>
      </c>
      <c r="B10" s="25">
        <v>5.0</v>
      </c>
      <c r="C10" s="25">
        <v>2.0</v>
      </c>
      <c r="D10" s="32" t="str">
        <f>(MAX('F Mean'!$D10:$H10) - 'F Mean'!D10)/MAX('F Mean'!$D10:$H10)</f>
        <v>0.2168%</v>
      </c>
      <c r="E10" s="32" t="str">
        <f>(MAX('F Mean'!$D10:$H10) - 'F Mean'!E10)/MAX('F Mean'!$D10:$H10)</f>
        <v>0.0000%</v>
      </c>
      <c r="F10" s="31"/>
      <c r="G10" s="31"/>
      <c r="H10" s="31"/>
      <c r="I10" s="21"/>
      <c r="J10" s="21"/>
      <c r="K10" s="21"/>
      <c r="L10" s="21"/>
      <c r="M10" s="21"/>
      <c r="N10" s="21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8">
        <v>1000.0</v>
      </c>
      <c r="B11" s="18">
        <v>5.0</v>
      </c>
      <c r="C11" s="18">
        <v>3.0</v>
      </c>
      <c r="D11" s="32" t="str">
        <f>(MAX('F Mean'!$D11:$H11) - 'F Mean'!D11)/MAX('F Mean'!$D11:$H11)</f>
        <v>0.0000%</v>
      </c>
      <c r="E11" s="32" t="str">
        <f>(MAX('F Mean'!$D11:$H11) - 'F Mean'!E11)/MAX('F Mean'!$D11:$H11)</f>
        <v>0.1698%</v>
      </c>
      <c r="F11" s="31"/>
      <c r="G11" s="31"/>
      <c r="H11" s="31"/>
      <c r="I11" s="21"/>
      <c r="J11" s="21"/>
      <c r="K11" s="21"/>
      <c r="L11" s="21"/>
      <c r="M11" s="21"/>
      <c r="N11" s="21"/>
      <c r="O11" s="2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8">
        <v>1000.0</v>
      </c>
      <c r="B12" s="18">
        <v>5.0</v>
      </c>
      <c r="C12" s="18">
        <v>4.0</v>
      </c>
      <c r="D12" s="32" t="str">
        <f>(MAX('F Mean'!$D12:$H12) - 'F Mean'!D12)/MAX('F Mean'!$D12:$H12)</f>
        <v>0.2043%</v>
      </c>
      <c r="E12" s="32" t="str">
        <f>(MAX('F Mean'!$D12:$H12) - 'F Mean'!E12)/MAX('F Mean'!$D12:$H12)</f>
        <v>0.0000%</v>
      </c>
      <c r="F12" s="31"/>
      <c r="G12" s="31"/>
      <c r="H12" s="31"/>
      <c r="I12" s="21"/>
      <c r="J12" s="21"/>
      <c r="K12" s="21"/>
      <c r="L12" s="21"/>
      <c r="M12" s="21"/>
      <c r="N12" s="21"/>
      <c r="O12" s="2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8">
        <v>1000.0</v>
      </c>
      <c r="B13" s="18">
        <v>5.0</v>
      </c>
      <c r="C13" s="18">
        <v>5.0</v>
      </c>
      <c r="D13" s="32" t="str">
        <f>(MAX('F Mean'!$D13:$H13) - 'F Mean'!D13)/MAX('F Mean'!$D13:$H13)</f>
        <v>0.2542%</v>
      </c>
      <c r="E13" s="32" t="str">
        <f>(MAX('F Mean'!$D13:$H13) - 'F Mean'!E13)/MAX('F Mean'!$D13:$H13)</f>
        <v>0.0000%</v>
      </c>
      <c r="F13" s="31"/>
      <c r="G13" s="31"/>
      <c r="H13" s="31"/>
      <c r="I13" s="21"/>
      <c r="J13" s="21"/>
      <c r="K13" s="21"/>
      <c r="L13" s="21"/>
      <c r="M13" s="21"/>
      <c r="N13" s="21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8">
        <v>1000.0</v>
      </c>
      <c r="B14" s="18">
        <v>10.0</v>
      </c>
      <c r="C14" s="18">
        <v>1.0</v>
      </c>
      <c r="D14" s="30" t="str">
        <f>(MAX('F Mean'!$D14:$H14) - 'F Mean'!D14)/MAX('F Mean'!$D14:$H14)</f>
        <v>0.1632%</v>
      </c>
      <c r="E14" s="30" t="str">
        <f>(MAX('F Mean'!$D14:$H14) - 'F Mean'!E14)/MAX('F Mean'!$D14:$H14)</f>
        <v>0.0000%</v>
      </c>
      <c r="F14" s="31"/>
      <c r="G14" s="31"/>
      <c r="H14" s="31"/>
      <c r="I14" s="21"/>
      <c r="J14" s="21"/>
      <c r="K14" s="21"/>
      <c r="L14" s="21"/>
      <c r="M14" s="21"/>
      <c r="N14" s="21"/>
      <c r="O14" s="2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8">
        <v>1000.0</v>
      </c>
      <c r="B15" s="18">
        <v>10.0</v>
      </c>
      <c r="C15" s="18">
        <v>2.0</v>
      </c>
      <c r="D15" s="30" t="str">
        <f>(MAX('F Mean'!$D15:$H15) - 'F Mean'!D15)/MAX('F Mean'!$D15:$H15)</f>
        <v>0.1500%</v>
      </c>
      <c r="E15" s="30" t="str">
        <f>(MAX('F Mean'!$D15:$H15) - 'F Mean'!E15)/MAX('F Mean'!$D15:$H15)</f>
        <v>0.0000%</v>
      </c>
      <c r="F15" s="31"/>
      <c r="G15" s="31"/>
      <c r="H15" s="31"/>
      <c r="I15" s="21"/>
      <c r="J15" s="21"/>
      <c r="K15" s="21"/>
      <c r="L15" s="21"/>
      <c r="M15" s="21"/>
      <c r="N15" s="21"/>
      <c r="O15" s="2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8">
        <v>1000.0</v>
      </c>
      <c r="B16" s="18">
        <v>10.0</v>
      </c>
      <c r="C16" s="18">
        <v>3.0</v>
      </c>
      <c r="D16" s="30" t="str">
        <f>(MAX('F Mean'!$D16:$H16) - 'F Mean'!D16)/MAX('F Mean'!$D16:$H16)</f>
        <v>0.1725%</v>
      </c>
      <c r="E16" s="30" t="str">
        <f>(MAX('F Mean'!$D16:$H16) - 'F Mean'!E16)/MAX('F Mean'!$D16:$H16)</f>
        <v>0.0000%</v>
      </c>
      <c r="F16" s="31"/>
      <c r="G16" s="31"/>
      <c r="H16" s="31"/>
      <c r="I16" s="21"/>
      <c r="J16" s="21"/>
      <c r="K16" s="21"/>
      <c r="L16" s="21"/>
      <c r="M16" s="21"/>
      <c r="N16" s="21"/>
      <c r="O16" s="2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8">
        <v>1000.0</v>
      </c>
      <c r="B17" s="18">
        <v>10.0</v>
      </c>
      <c r="C17" s="18">
        <v>4.0</v>
      </c>
      <c r="D17" s="30" t="str">
        <f>(MAX('F Mean'!$D17:$H17) - 'F Mean'!D17)/MAX('F Mean'!$D17:$H17)</f>
        <v>0.1490%</v>
      </c>
      <c r="E17" s="30" t="str">
        <f>(MAX('F Mean'!$D17:$H17) - 'F Mean'!E17)/MAX('F Mean'!$D17:$H17)</f>
        <v>0.0000%</v>
      </c>
      <c r="F17" s="31"/>
      <c r="G17" s="31"/>
      <c r="H17" s="31"/>
      <c r="I17" s="21"/>
      <c r="J17" s="21"/>
      <c r="K17" s="21"/>
      <c r="L17" s="21"/>
      <c r="M17" s="21"/>
      <c r="N17" s="21"/>
      <c r="O17" s="2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8">
        <v>1000.0</v>
      </c>
      <c r="B18" s="18">
        <v>10.0</v>
      </c>
      <c r="C18" s="18">
        <v>5.0</v>
      </c>
      <c r="D18" s="30" t="str">
        <f>(MAX('F Mean'!$D18:$H18) - 'F Mean'!D18)/MAX('F Mean'!$D18:$H18)</f>
        <v>0.0950%</v>
      </c>
      <c r="E18" s="30" t="str">
        <f>(MAX('F Mean'!$D18:$H18) - 'F Mean'!E18)/MAX('F Mean'!$D18:$H18)</f>
        <v>0.0000%</v>
      </c>
      <c r="F18" s="31"/>
      <c r="G18" s="31"/>
      <c r="H18" s="31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">
        <v>1000.0</v>
      </c>
      <c r="B19" s="11">
        <v>50.0</v>
      </c>
      <c r="C19" s="11">
        <v>1.0</v>
      </c>
      <c r="D19" s="32" t="str">
        <f>(MAX('F Mean'!$D19:$H19) - 'F Mean'!D19)/MAX('F Mean'!$D19:$H19)</f>
        <v>0.0541%</v>
      </c>
      <c r="E19" s="32" t="str">
        <f>(MAX('F Mean'!$D19:$H19) - 'F Mean'!E19)/MAX('F Mean'!$D19:$H19)</f>
        <v>0.0000%</v>
      </c>
      <c r="F19" s="31"/>
      <c r="G19" s="31"/>
      <c r="H19" s="31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6">
        <v>1000.0</v>
      </c>
      <c r="B20" s="26">
        <v>50.0</v>
      </c>
      <c r="C20" s="26">
        <v>2.0</v>
      </c>
      <c r="D20" s="32" t="str">
        <f>(MAX('F Mean'!$D20:$H20) - 'F Mean'!D20)/MAX('F Mean'!$D20:$H20)</f>
        <v>0.0224%</v>
      </c>
      <c r="E20" s="32" t="str">
        <f>(MAX('F Mean'!$D20:$H20) - 'F Mean'!E20)/MAX('F Mean'!$D20:$H20)</f>
        <v>0.0000%</v>
      </c>
      <c r="F20" s="31"/>
      <c r="G20" s="31"/>
      <c r="H20" s="31"/>
      <c r="I20" s="2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26">
        <v>1000.0</v>
      </c>
      <c r="B21" s="26">
        <v>50.0</v>
      </c>
      <c r="C21" s="26">
        <v>3.0</v>
      </c>
      <c r="D21" s="32" t="str">
        <f>(MAX('F Mean'!$D21:$H21) - 'F Mean'!D21)/MAX('F Mean'!$D21:$H21)</f>
        <v>0.0067%</v>
      </c>
      <c r="E21" s="32" t="str">
        <f>(MAX('F Mean'!$D21:$H21) - 'F Mean'!E21)/MAX('F Mean'!$D21:$H21)</f>
        <v>0.0000%</v>
      </c>
      <c r="F21" s="31"/>
      <c r="G21" s="31"/>
      <c r="H21" s="31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8">
        <v>1000.0</v>
      </c>
      <c r="B22" s="26">
        <v>50.0</v>
      </c>
      <c r="C22" s="26">
        <v>4.0</v>
      </c>
      <c r="D22" s="32" t="str">
        <f>(MAX('F Mean'!$D22:$H22) - 'F Mean'!D22)/MAX('F Mean'!$D22:$H22)</f>
        <v>0.0113%</v>
      </c>
      <c r="E22" s="32" t="str">
        <f>(MAX('F Mean'!$D22:$H22) - 'F Mean'!E22)/MAX('F Mean'!$D22:$H22)</f>
        <v>0.0000%</v>
      </c>
      <c r="F22" s="31"/>
      <c r="G22" s="31"/>
      <c r="H22" s="31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6">
        <v>1000.0</v>
      </c>
      <c r="B23" s="26">
        <v>50.0</v>
      </c>
      <c r="C23" s="26">
        <v>5.0</v>
      </c>
      <c r="D23" s="32" t="str">
        <f>(MAX('F Mean'!$D23:$H23) - 'F Mean'!D23)/MAX('F Mean'!$D23:$H23)</f>
        <v>0.0626%</v>
      </c>
      <c r="E23" s="32" t="str">
        <f>(MAX('F Mean'!$D23:$H23) - 'F Mean'!E23)/MAX('F Mean'!$D23:$H23)</f>
        <v>0.0000%</v>
      </c>
      <c r="F23" s="31"/>
      <c r="G23" s="31"/>
      <c r="H23" s="31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>
        <v>1000.0</v>
      </c>
      <c r="B24" s="11">
        <v>100.0</v>
      </c>
      <c r="C24" s="11">
        <v>1.0</v>
      </c>
      <c r="D24" s="30" t="str">
        <f>(MAX('F Mean'!$D24:$H24) - 'F Mean'!D24)/MAX('F Mean'!$D24:$H24)</f>
        <v>0.0056%</v>
      </c>
      <c r="E24" s="30" t="str">
        <f>(MAX('F Mean'!$D24:$H24) - 'F Mean'!E24)/MAX('F Mean'!$D24:$H24)</f>
        <v>0.0000%</v>
      </c>
      <c r="F24" s="31"/>
      <c r="G24" s="31"/>
      <c r="H24" s="31"/>
      <c r="I24" s="21"/>
      <c r="J24" s="13"/>
      <c r="K24" s="1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8">
        <v>1000.0</v>
      </c>
      <c r="B25" s="27">
        <v>100.0</v>
      </c>
      <c r="C25" s="18">
        <v>2.0</v>
      </c>
      <c r="D25" s="30" t="str">
        <f>(MAX('F Mean'!$D25:$H25) - 'F Mean'!D25)/MAX('F Mean'!$D25:$H25)</f>
        <v>0.0095%</v>
      </c>
      <c r="E25" s="30" t="str">
        <f>(MAX('F Mean'!$D25:$H25) - 'F Mean'!E25)/MAX('F Mean'!$D25:$H25)</f>
        <v>0.0000%</v>
      </c>
      <c r="F25" s="31"/>
      <c r="G25" s="31"/>
      <c r="H25" s="31"/>
      <c r="I25" s="21"/>
      <c r="J25" s="28"/>
      <c r="K25" s="2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8">
        <v>1000.0</v>
      </c>
      <c r="B26" s="18">
        <v>100.0</v>
      </c>
      <c r="C26" s="18">
        <v>3.0</v>
      </c>
      <c r="D26" s="30" t="str">
        <f>(MAX('F Mean'!$D26:$H26) - 'F Mean'!D26)/MAX('F Mean'!$D26:$H26)</f>
        <v>0.0153%</v>
      </c>
      <c r="E26" s="30" t="str">
        <f>(MAX('F Mean'!$D26:$H26) - 'F Mean'!E26)/MAX('F Mean'!$D26:$H26)</f>
        <v>0.0000%</v>
      </c>
      <c r="F26" s="31"/>
      <c r="G26" s="31"/>
      <c r="H26" s="31"/>
      <c r="I26" s="21"/>
      <c r="J26" s="28"/>
      <c r="K26" s="2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8">
        <v>1000.0</v>
      </c>
      <c r="B27" s="18">
        <v>100.0</v>
      </c>
      <c r="C27" s="18">
        <v>4.0</v>
      </c>
      <c r="D27" s="30" t="str">
        <f>(MAX('F Mean'!$D27:$H27) - 'F Mean'!D27)/MAX('F Mean'!$D27:$H27)</f>
        <v>0.0014%</v>
      </c>
      <c r="E27" s="30" t="str">
        <f>(MAX('F Mean'!$D27:$H27) - 'F Mean'!E27)/MAX('F Mean'!$D27:$H27)</f>
        <v>0.0000%</v>
      </c>
      <c r="F27" s="31"/>
      <c r="G27" s="31"/>
      <c r="H27" s="31"/>
      <c r="I27" s="21"/>
      <c r="J27" s="28"/>
      <c r="K27" s="2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8">
        <v>1000.0</v>
      </c>
      <c r="B28" s="18">
        <v>100.0</v>
      </c>
      <c r="C28" s="18">
        <v>5.0</v>
      </c>
      <c r="D28" s="30" t="str">
        <f>(MAX('F Mean'!$D28:$H28) - 'F Mean'!D28)/MAX('F Mean'!$D28:$H28)</f>
        <v>0.0256%</v>
      </c>
      <c r="E28" s="30" t="str">
        <f>(MAX('F Mean'!$D28:$H28) - 'F Mean'!E28)/MAX('F Mean'!$D28:$H28)</f>
        <v>0.0000%</v>
      </c>
      <c r="F28" s="31"/>
      <c r="G28" s="31"/>
      <c r="H28" s="31"/>
      <c r="I28" s="21"/>
      <c r="J28" s="28"/>
      <c r="K28" s="2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8"/>
      <c r="B29" s="28"/>
      <c r="C29" s="28"/>
      <c r="D29" s="15"/>
      <c r="E29" s="13"/>
      <c r="F29" s="13"/>
      <c r="G29" s="13"/>
      <c r="H29" s="28"/>
      <c r="I29" s="28"/>
      <c r="J29" s="28"/>
      <c r="K29" s="2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3"/>
      <c r="B32" s="15"/>
      <c r="C32" s="15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9"/>
      <c r="B33" s="29"/>
      <c r="C33" s="29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33"/>
      <c r="E34" s="3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33"/>
      <c r="E35" s="3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33"/>
      <c r="E36" s="3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33"/>
      <c r="E37" s="3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33"/>
      <c r="E38" s="3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33"/>
      <c r="E39" s="3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33"/>
      <c r="E40" s="3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33"/>
      <c r="E41" s="3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33"/>
      <c r="E42" s="3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33"/>
      <c r="E43" s="3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33"/>
      <c r="E44" s="3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33"/>
      <c r="E45" s="3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33"/>
      <c r="E46" s="3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33"/>
      <c r="E47" s="3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33"/>
      <c r="E48" s="3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33"/>
      <c r="E49" s="3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33"/>
      <c r="E50" s="3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33"/>
      <c r="E51" s="3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33"/>
      <c r="E52" s="3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33"/>
      <c r="E53" s="3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33"/>
      <c r="E54" s="3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33"/>
      <c r="E55" s="3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33"/>
      <c r="E56" s="3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33"/>
      <c r="E57" s="3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33"/>
      <c r="E58" s="3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</sheetData>
  <conditionalFormatting sqref="D4:H28">
    <cfRule type="cellIs" dxfId="0" priority="1" operator="equal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8.86"/>
    <col hidden="1" min="6" max="10"/>
  </cols>
  <sheetData>
    <row r="1">
      <c r="C1" s="34"/>
      <c r="D1" s="34" t="s">
        <v>31</v>
      </c>
      <c r="E1" s="34" t="s">
        <v>31</v>
      </c>
      <c r="F1" s="35"/>
      <c r="G1" s="35"/>
      <c r="H1" s="35"/>
      <c r="I1" s="35"/>
      <c r="J1" s="35"/>
      <c r="K1" s="36" t="s">
        <v>32</v>
      </c>
      <c r="L1" s="36" t="s">
        <v>32</v>
      </c>
      <c r="M1" s="13"/>
      <c r="N1" s="13"/>
      <c r="O1" s="13"/>
      <c r="P1" s="13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</row>
    <row r="2">
      <c r="C2" s="10" t="s">
        <v>19</v>
      </c>
      <c r="D2" s="11" t="s">
        <v>15</v>
      </c>
      <c r="E2" s="12" t="s">
        <v>17</v>
      </c>
      <c r="F2" s="35"/>
      <c r="G2" s="35"/>
      <c r="H2" s="35"/>
      <c r="I2" s="35"/>
      <c r="J2" s="35"/>
      <c r="K2" s="36" t="s">
        <v>15</v>
      </c>
      <c r="L2" s="36" t="s">
        <v>17</v>
      </c>
      <c r="M2" s="13"/>
      <c r="N2" s="13"/>
      <c r="O2" s="13"/>
      <c r="P2" s="13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</row>
    <row r="3">
      <c r="C3" s="10" t="s">
        <v>20</v>
      </c>
      <c r="D3" s="11" t="s">
        <v>16</v>
      </c>
      <c r="E3" s="12" t="s">
        <v>16</v>
      </c>
      <c r="F3" s="35"/>
      <c r="G3" s="35"/>
      <c r="H3" s="35"/>
      <c r="I3" s="35"/>
      <c r="J3" s="35"/>
      <c r="K3" s="36" t="s">
        <v>16</v>
      </c>
      <c r="L3" s="36" t="s">
        <v>16</v>
      </c>
      <c r="M3" s="13"/>
      <c r="N3" s="13"/>
      <c r="O3" s="13"/>
      <c r="P3" s="13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>
      <c r="A4" s="10" t="s">
        <v>0</v>
      </c>
      <c r="B4" s="10" t="s">
        <v>1</v>
      </c>
      <c r="C4" s="10" t="s">
        <v>2</v>
      </c>
      <c r="D4" s="16"/>
      <c r="E4" s="16"/>
      <c r="F4" s="15"/>
      <c r="G4" s="15"/>
      <c r="H4" s="15"/>
      <c r="I4" s="14"/>
      <c r="J4" s="15"/>
      <c r="K4" s="37"/>
      <c r="L4" s="37"/>
      <c r="M4" s="14" t="s">
        <v>33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</row>
    <row r="5">
      <c r="A5" s="18">
        <v>1000.0</v>
      </c>
      <c r="B5" s="18">
        <v>1.0</v>
      </c>
      <c r="C5" s="18">
        <v>1.0</v>
      </c>
      <c r="D5" s="30">
        <v>0.0026175627597489525</v>
      </c>
      <c r="E5" s="30">
        <v>0.0</v>
      </c>
      <c r="F5" s="31"/>
      <c r="G5" s="31"/>
      <c r="H5" s="31"/>
      <c r="I5" s="21"/>
      <c r="J5" s="21"/>
      <c r="K5" s="38">
        <v>0.00256</v>
      </c>
      <c r="L5" s="38">
        <v>0.0</v>
      </c>
      <c r="M5" s="31" t="str">
        <f t="shared" ref="M5:M29" si="1">(D5-K5)/D5</f>
        <v>2.1991%</v>
      </c>
      <c r="N5" s="21"/>
      <c r="O5" s="2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</row>
    <row r="6">
      <c r="A6" s="18">
        <v>1000.0</v>
      </c>
      <c r="B6" s="18">
        <v>1.0</v>
      </c>
      <c r="C6" s="18">
        <v>2.0</v>
      </c>
      <c r="D6" s="30">
        <v>0.002766766035276086</v>
      </c>
      <c r="E6" s="30">
        <v>0.0</v>
      </c>
      <c r="F6" s="31"/>
      <c r="G6" s="31"/>
      <c r="H6" s="31"/>
      <c r="I6" s="21"/>
      <c r="J6" s="21"/>
      <c r="K6" s="38">
        <v>0.001786</v>
      </c>
      <c r="L6" s="38">
        <v>0.0</v>
      </c>
      <c r="M6" s="31" t="str">
        <f t="shared" si="1"/>
        <v>35.4481%</v>
      </c>
      <c r="N6" s="21"/>
      <c r="O6" s="2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>
      <c r="A7" s="18">
        <v>1000.0</v>
      </c>
      <c r="B7" s="18">
        <v>1.0</v>
      </c>
      <c r="C7" s="18">
        <v>3.0</v>
      </c>
      <c r="D7" s="30">
        <v>0.0014487094969672493</v>
      </c>
      <c r="E7" s="30">
        <v>0.0</v>
      </c>
      <c r="F7" s="31"/>
      <c r="G7" s="31"/>
      <c r="H7" s="31"/>
      <c r="I7" s="21"/>
      <c r="J7" s="21"/>
      <c r="K7" s="38">
        <v>0.001865</v>
      </c>
      <c r="L7" s="38">
        <v>0.0</v>
      </c>
      <c r="M7" s="31" t="str">
        <f t="shared" si="1"/>
        <v>-28.7353%</v>
      </c>
      <c r="N7" s="21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>
      <c r="A8" s="18">
        <v>1000.0</v>
      </c>
      <c r="B8" s="18">
        <v>1.0</v>
      </c>
      <c r="C8" s="18">
        <v>4.0</v>
      </c>
      <c r="D8" s="30">
        <v>0.0015508251650611883</v>
      </c>
      <c r="E8" s="30">
        <v>0.0</v>
      </c>
      <c r="F8" s="31"/>
      <c r="G8" s="31"/>
      <c r="H8" s="31"/>
      <c r="I8" s="21"/>
      <c r="J8" s="21"/>
      <c r="K8" s="38">
        <v>8.67E-4</v>
      </c>
      <c r="L8" s="38">
        <v>0.0</v>
      </c>
      <c r="M8" s="31" t="str">
        <f t="shared" si="1"/>
        <v>44.0943%</v>
      </c>
      <c r="N8" s="21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</row>
    <row r="9">
      <c r="A9" s="22">
        <v>1000.0</v>
      </c>
      <c r="B9" s="22">
        <v>1.0</v>
      </c>
      <c r="C9" s="22">
        <v>5.0</v>
      </c>
      <c r="D9" s="30">
        <v>0.0033282513575231694</v>
      </c>
      <c r="E9" s="30">
        <v>0.0</v>
      </c>
      <c r="F9" s="31"/>
      <c r="G9" s="31"/>
      <c r="H9" s="31"/>
      <c r="I9" s="21"/>
      <c r="J9" s="21"/>
      <c r="K9" s="38">
        <v>0.001666</v>
      </c>
      <c r="L9" s="38">
        <v>0.0</v>
      </c>
      <c r="M9" s="31" t="str">
        <f t="shared" si="1"/>
        <v>49.9437%</v>
      </c>
      <c r="N9" s="21"/>
      <c r="O9" s="2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</row>
    <row r="10">
      <c r="A10" s="18">
        <v>1000.0</v>
      </c>
      <c r="B10" s="18">
        <v>5.0</v>
      </c>
      <c r="C10" s="18">
        <v>1.0</v>
      </c>
      <c r="D10" s="32">
        <v>0.002374699496838983</v>
      </c>
      <c r="E10" s="32">
        <v>0.0</v>
      </c>
      <c r="F10" s="31"/>
      <c r="G10" s="31"/>
      <c r="H10" s="31"/>
      <c r="I10" s="21"/>
      <c r="J10" s="21"/>
      <c r="K10" s="38">
        <v>0.00134</v>
      </c>
      <c r="L10" s="38">
        <v>0.0</v>
      </c>
      <c r="M10" s="31" t="str">
        <f t="shared" si="1"/>
        <v>43.5718%</v>
      </c>
      <c r="N10" s="21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</row>
    <row r="11">
      <c r="A11" s="25">
        <v>1000.0</v>
      </c>
      <c r="B11" s="25">
        <v>5.0</v>
      </c>
      <c r="C11" s="25">
        <v>2.0</v>
      </c>
      <c r="D11" s="32">
        <v>0.002168308873058171</v>
      </c>
      <c r="E11" s="32">
        <v>0.0</v>
      </c>
      <c r="F11" s="31"/>
      <c r="G11" s="31"/>
      <c r="H11" s="31"/>
      <c r="I11" s="21"/>
      <c r="J11" s="21"/>
      <c r="K11" s="38">
        <v>0.001663</v>
      </c>
      <c r="L11" s="38">
        <v>0.0</v>
      </c>
      <c r="M11" s="31" t="str">
        <f t="shared" si="1"/>
        <v>23.3043%</v>
      </c>
      <c r="N11" s="21"/>
      <c r="O11" s="2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</row>
    <row r="12">
      <c r="A12" s="18">
        <v>1000.0</v>
      </c>
      <c r="B12" s="18">
        <v>5.0</v>
      </c>
      <c r="C12" s="18">
        <v>3.0</v>
      </c>
      <c r="D12" s="32">
        <v>0.0</v>
      </c>
      <c r="E12" s="32">
        <v>0.0016982038224393266</v>
      </c>
      <c r="F12" s="31"/>
      <c r="G12" s="31"/>
      <c r="H12" s="31"/>
      <c r="I12" s="21"/>
      <c r="J12" s="21"/>
      <c r="K12" s="38">
        <v>0.002068</v>
      </c>
      <c r="L12" s="38">
        <v>0.0</v>
      </c>
      <c r="M12" s="31" t="str">
        <f t="shared" si="1"/>
        <v>#DIV/0!</v>
      </c>
      <c r="N12" s="21"/>
      <c r="O12" s="2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</row>
    <row r="13">
      <c r="A13" s="18">
        <v>1000.0</v>
      </c>
      <c r="B13" s="18">
        <v>5.0</v>
      </c>
      <c r="C13" s="18">
        <v>4.0</v>
      </c>
      <c r="D13" s="32">
        <v>0.0020431177509347767</v>
      </c>
      <c r="E13" s="32">
        <v>0.0</v>
      </c>
      <c r="F13" s="31"/>
      <c r="G13" s="31"/>
      <c r="H13" s="31"/>
      <c r="I13" s="21"/>
      <c r="J13" s="21"/>
      <c r="K13" s="38">
        <v>0.001547</v>
      </c>
      <c r="L13" s="38">
        <v>0.0</v>
      </c>
      <c r="M13" s="31" t="str">
        <f t="shared" si="1"/>
        <v>24.2824%</v>
      </c>
      <c r="N13" s="21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</row>
    <row r="14">
      <c r="A14" s="18">
        <v>1000.0</v>
      </c>
      <c r="B14" s="18">
        <v>5.0</v>
      </c>
      <c r="C14" s="18">
        <v>5.0</v>
      </c>
      <c r="D14" s="32">
        <v>0.002542260928954676</v>
      </c>
      <c r="E14" s="32">
        <v>0.0</v>
      </c>
      <c r="F14" s="31"/>
      <c r="G14" s="31"/>
      <c r="H14" s="31"/>
      <c r="I14" s="21"/>
      <c r="J14" s="21"/>
      <c r="K14" s="38">
        <v>0.002412</v>
      </c>
      <c r="L14" s="38">
        <v>0.0</v>
      </c>
      <c r="M14" s="31" t="str">
        <f t="shared" si="1"/>
        <v>5.1238%</v>
      </c>
      <c r="N14" s="21"/>
      <c r="O14" s="2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</row>
    <row r="15">
      <c r="A15" s="18">
        <v>1000.0</v>
      </c>
      <c r="B15" s="18">
        <v>10.0</v>
      </c>
      <c r="C15" s="18">
        <v>1.0</v>
      </c>
      <c r="D15" s="30">
        <v>0.0016324212708122752</v>
      </c>
      <c r="E15" s="30">
        <v>0.0</v>
      </c>
      <c r="F15" s="31"/>
      <c r="G15" s="31"/>
      <c r="H15" s="31"/>
      <c r="I15" s="21"/>
      <c r="J15" s="21"/>
      <c r="K15" s="38">
        <v>0.001602</v>
      </c>
      <c r="L15" s="38">
        <v>0.0</v>
      </c>
      <c r="M15" s="31" t="str">
        <f t="shared" si="1"/>
        <v>1.8636%</v>
      </c>
      <c r="N15" s="21"/>
      <c r="O15" s="2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</row>
    <row r="16">
      <c r="A16" s="18">
        <v>1000.0</v>
      </c>
      <c r="B16" s="18">
        <v>10.0</v>
      </c>
      <c r="C16" s="18">
        <v>2.0</v>
      </c>
      <c r="D16" s="30">
        <v>0.0014999904547754787</v>
      </c>
      <c r="E16" s="30">
        <v>0.0</v>
      </c>
      <c r="F16" s="31"/>
      <c r="G16" s="31"/>
      <c r="H16" s="31"/>
      <c r="I16" s="21"/>
      <c r="J16" s="21"/>
      <c r="K16" s="38">
        <v>0.001466</v>
      </c>
      <c r="L16" s="38">
        <v>0.0</v>
      </c>
      <c r="M16" s="31" t="str">
        <f t="shared" si="1"/>
        <v>2.2660%</v>
      </c>
      <c r="N16" s="21"/>
      <c r="O16" s="2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</row>
    <row r="17">
      <c r="A17" s="18">
        <v>1000.0</v>
      </c>
      <c r="B17" s="18">
        <v>10.0</v>
      </c>
      <c r="C17" s="18">
        <v>3.0</v>
      </c>
      <c r="D17" s="30">
        <v>0.0017249671647810974</v>
      </c>
      <c r="E17" s="30">
        <v>0.0</v>
      </c>
      <c r="F17" s="31"/>
      <c r="G17" s="31"/>
      <c r="H17" s="31"/>
      <c r="I17" s="21"/>
      <c r="J17" s="21"/>
      <c r="K17" s="38">
        <v>0.0</v>
      </c>
      <c r="L17" s="38">
        <v>0.00517</v>
      </c>
      <c r="M17" s="31" t="str">
        <f t="shared" si="1"/>
        <v>100.0000%</v>
      </c>
      <c r="N17" s="21"/>
      <c r="O17" s="2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</row>
    <row r="18">
      <c r="A18" s="18">
        <v>1000.0</v>
      </c>
      <c r="B18" s="18">
        <v>10.0</v>
      </c>
      <c r="C18" s="18">
        <v>4.0</v>
      </c>
      <c r="D18" s="30">
        <v>0.0014896384795818997</v>
      </c>
      <c r="E18" s="30">
        <v>0.0</v>
      </c>
      <c r="F18" s="31"/>
      <c r="G18" s="31"/>
      <c r="H18" s="31"/>
      <c r="I18" s="21"/>
      <c r="J18" s="21"/>
      <c r="K18" s="38">
        <v>0.001478</v>
      </c>
      <c r="L18" s="38">
        <v>0.0</v>
      </c>
      <c r="M18" s="31" t="str">
        <f t="shared" si="1"/>
        <v>0.7813%</v>
      </c>
      <c r="N18" s="21"/>
      <c r="O18" s="21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</row>
    <row r="19">
      <c r="A19" s="18">
        <v>1000.0</v>
      </c>
      <c r="B19" s="18">
        <v>10.0</v>
      </c>
      <c r="C19" s="18">
        <v>5.0</v>
      </c>
      <c r="D19" s="30">
        <v>9.502185809406771E-4</v>
      </c>
      <c r="E19" s="30">
        <v>0.0</v>
      </c>
      <c r="F19" s="31"/>
      <c r="G19" s="31"/>
      <c r="H19" s="31"/>
      <c r="I19" s="21"/>
      <c r="J19" s="15"/>
      <c r="K19" s="38">
        <v>9.19E-4</v>
      </c>
      <c r="L19" s="38">
        <v>0.0</v>
      </c>
      <c r="M19" s="31" t="str">
        <f t="shared" si="1"/>
        <v>3.2854%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</row>
    <row r="20">
      <c r="A20" s="11">
        <v>1000.0</v>
      </c>
      <c r="B20" s="11">
        <v>50.0</v>
      </c>
      <c r="C20" s="11">
        <v>1.0</v>
      </c>
      <c r="D20" s="32">
        <v>5.409381348691413E-4</v>
      </c>
      <c r="E20" s="32">
        <v>0.0</v>
      </c>
      <c r="F20" s="31"/>
      <c r="G20" s="31"/>
      <c r="H20" s="31"/>
      <c r="I20" s="21"/>
      <c r="J20" s="15"/>
      <c r="K20" s="38">
        <v>6.32E-4</v>
      </c>
      <c r="L20" s="38">
        <v>0.0</v>
      </c>
      <c r="M20" s="31" t="str">
        <f t="shared" si="1"/>
        <v>-16.8341%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</row>
    <row r="21">
      <c r="A21" s="26">
        <v>1000.0</v>
      </c>
      <c r="B21" s="26">
        <v>50.0</v>
      </c>
      <c r="C21" s="26">
        <v>2.0</v>
      </c>
      <c r="D21" s="32">
        <v>2.2373502509695205E-4</v>
      </c>
      <c r="E21" s="32">
        <v>0.0</v>
      </c>
      <c r="F21" s="31"/>
      <c r="G21" s="31"/>
      <c r="H21" s="31"/>
      <c r="I21" s="21"/>
      <c r="J21" s="15"/>
      <c r="K21" s="38">
        <v>0.001566</v>
      </c>
      <c r="L21" s="38">
        <v>0.0</v>
      </c>
      <c r="M21" s="31" t="str">
        <f t="shared" si="1"/>
        <v>-599.9351%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</row>
    <row r="22">
      <c r="A22" s="26">
        <v>1000.0</v>
      </c>
      <c r="B22" s="26">
        <v>50.0</v>
      </c>
      <c r="C22" s="26">
        <v>3.0</v>
      </c>
      <c r="D22" s="32">
        <v>6.672645454411358E-5</v>
      </c>
      <c r="E22" s="32">
        <v>0.0</v>
      </c>
      <c r="F22" s="31"/>
      <c r="G22" s="31"/>
      <c r="H22" s="31"/>
      <c r="I22" s="21"/>
      <c r="J22" s="15"/>
      <c r="K22" s="38">
        <v>5.29E-4</v>
      </c>
      <c r="L22" s="38">
        <v>0.0</v>
      </c>
      <c r="M22" s="31" t="str">
        <f t="shared" si="1"/>
        <v>-692.7890%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</row>
    <row r="23">
      <c r="A23" s="18">
        <v>1000.0</v>
      </c>
      <c r="B23" s="26">
        <v>50.0</v>
      </c>
      <c r="C23" s="26">
        <v>4.0</v>
      </c>
      <c r="D23" s="32">
        <v>1.1318587085092517E-4</v>
      </c>
      <c r="E23" s="32">
        <v>0.0</v>
      </c>
      <c r="F23" s="31"/>
      <c r="G23" s="31"/>
      <c r="H23" s="31"/>
      <c r="I23" s="21"/>
      <c r="J23" s="15"/>
      <c r="K23" s="38">
        <v>2.93E-4</v>
      </c>
      <c r="L23" s="38">
        <v>0.0</v>
      </c>
      <c r="M23" s="31" t="str">
        <f t="shared" si="1"/>
        <v>-158.8662%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</row>
    <row r="24">
      <c r="A24" s="26">
        <v>1000.0</v>
      </c>
      <c r="B24" s="26">
        <v>50.0</v>
      </c>
      <c r="C24" s="26">
        <v>5.0</v>
      </c>
      <c r="D24" s="32">
        <v>6.26218224840327E-4</v>
      </c>
      <c r="E24" s="32">
        <v>0.0</v>
      </c>
      <c r="F24" s="31"/>
      <c r="G24" s="31"/>
      <c r="H24" s="31"/>
      <c r="I24" s="21"/>
      <c r="J24" s="15"/>
      <c r="K24" s="38">
        <v>8.12E-4</v>
      </c>
      <c r="L24" s="38">
        <v>0.0</v>
      </c>
      <c r="M24" s="31" t="str">
        <f t="shared" si="1"/>
        <v>-29.6673%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</row>
    <row r="25">
      <c r="A25" s="11">
        <v>1000.0</v>
      </c>
      <c r="B25" s="11">
        <v>100.0</v>
      </c>
      <c r="C25" s="11">
        <v>1.0</v>
      </c>
      <c r="D25" s="30">
        <v>5.603527226855538E-5</v>
      </c>
      <c r="E25" s="30">
        <v>0.0</v>
      </c>
      <c r="F25" s="31"/>
      <c r="G25" s="31"/>
      <c r="H25" s="31"/>
      <c r="I25" s="21"/>
      <c r="J25" s="13"/>
      <c r="K25" s="38">
        <v>4.4E-5</v>
      </c>
      <c r="L25" s="38">
        <v>0.0</v>
      </c>
      <c r="M25" s="31" t="str">
        <f t="shared" si="1"/>
        <v>21.4780%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</row>
    <row r="26">
      <c r="A26" s="18">
        <v>1000.0</v>
      </c>
      <c r="B26" s="27">
        <v>100.0</v>
      </c>
      <c r="C26" s="18">
        <v>2.0</v>
      </c>
      <c r="D26" s="30">
        <v>9.51675484714561E-5</v>
      </c>
      <c r="E26" s="30">
        <v>0.0</v>
      </c>
      <c r="F26" s="31"/>
      <c r="G26" s="31"/>
      <c r="H26" s="31"/>
      <c r="I26" s="21"/>
      <c r="J26" s="28"/>
      <c r="K26" s="38">
        <v>3.2E-5</v>
      </c>
      <c r="L26" s="38">
        <v>0.0</v>
      </c>
      <c r="M26" s="31" t="str">
        <f t="shared" si="1"/>
        <v>66.3751%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</row>
    <row r="27">
      <c r="A27" s="18">
        <v>1000.0</v>
      </c>
      <c r="B27" s="18">
        <v>100.0</v>
      </c>
      <c r="C27" s="18">
        <v>3.0</v>
      </c>
      <c r="D27" s="30">
        <v>1.5262294797715228E-4</v>
      </c>
      <c r="E27" s="30">
        <v>0.0</v>
      </c>
      <c r="F27" s="31"/>
      <c r="G27" s="31"/>
      <c r="H27" s="31"/>
      <c r="I27" s="21"/>
      <c r="J27" s="28"/>
      <c r="K27" s="39">
        <v>0.0</v>
      </c>
      <c r="L27" s="40">
        <v>1.2E-5</v>
      </c>
      <c r="M27" s="31" t="str">
        <f t="shared" si="1"/>
        <v>100.0000%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</row>
    <row r="28">
      <c r="A28" s="18">
        <v>1000.0</v>
      </c>
      <c r="B28" s="18">
        <v>100.0</v>
      </c>
      <c r="C28" s="18">
        <v>4.0</v>
      </c>
      <c r="D28" s="30">
        <v>1.3988738066757903E-5</v>
      </c>
      <c r="E28" s="30">
        <v>0.0</v>
      </c>
      <c r="F28" s="31"/>
      <c r="G28" s="31"/>
      <c r="H28" s="31"/>
      <c r="I28" s="21"/>
      <c r="J28" s="28"/>
      <c r="K28" s="40">
        <v>0.0</v>
      </c>
      <c r="L28" s="40">
        <v>1.0E-6</v>
      </c>
      <c r="M28" s="31" t="str">
        <f t="shared" si="1"/>
        <v>100.0000%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</row>
    <row r="29">
      <c r="A29" s="18">
        <v>1000.0</v>
      </c>
      <c r="B29" s="18">
        <v>100.0</v>
      </c>
      <c r="C29" s="18">
        <v>5.0</v>
      </c>
      <c r="D29" s="30">
        <v>2.562654244991063E-4</v>
      </c>
      <c r="E29" s="30">
        <v>0.0</v>
      </c>
      <c r="F29" s="31"/>
      <c r="G29" s="31"/>
      <c r="H29" s="31"/>
      <c r="I29" s="21"/>
      <c r="J29" s="28"/>
      <c r="K29" s="40">
        <v>1.72E-4</v>
      </c>
      <c r="L29" s="40">
        <v>0.0</v>
      </c>
      <c r="M29" s="31" t="str">
        <f t="shared" si="1"/>
        <v>32.8821%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</row>
    <row r="30">
      <c r="A30" s="28"/>
      <c r="B30" s="28"/>
      <c r="C30" s="28"/>
      <c r="D30" s="15"/>
      <c r="E30" s="13"/>
      <c r="F30" s="13"/>
      <c r="G30" s="13"/>
      <c r="H30" s="28"/>
      <c r="I30" s="28"/>
      <c r="J30" s="28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</row>
    <row r="31">
      <c r="E31" s="15"/>
      <c r="F31" s="15"/>
      <c r="G31" s="15"/>
      <c r="H31" s="15"/>
      <c r="I31" s="15"/>
      <c r="J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</row>
    <row r="32">
      <c r="E32" s="15"/>
      <c r="F32" s="15"/>
      <c r="G32" s="15"/>
      <c r="H32" s="15"/>
      <c r="I32" s="15"/>
      <c r="J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</row>
    <row r="33">
      <c r="A33" s="3"/>
      <c r="B33" s="15"/>
      <c r="C33" s="15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</row>
    <row r="34">
      <c r="A34" s="29"/>
      <c r="B34" s="29"/>
      <c r="C34" s="29"/>
      <c r="D34" s="14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</row>
    <row r="35">
      <c r="A35" s="15"/>
      <c r="B35" s="15"/>
      <c r="C35" s="15"/>
      <c r="D35" s="33"/>
      <c r="E35" s="3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</row>
    <row r="36">
      <c r="A36" s="15"/>
      <c r="B36" s="15"/>
      <c r="C36" s="15"/>
      <c r="D36" s="33"/>
      <c r="E36" s="3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</row>
    <row r="37">
      <c r="A37" s="15"/>
      <c r="B37" s="15"/>
      <c r="C37" s="15"/>
      <c r="D37" s="33"/>
      <c r="E37" s="3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</row>
    <row r="38">
      <c r="A38" s="15"/>
      <c r="B38" s="15"/>
      <c r="C38" s="15"/>
      <c r="D38" s="33"/>
      <c r="E38" s="3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</row>
    <row r="39">
      <c r="A39" s="15"/>
      <c r="B39" s="15"/>
      <c r="C39" s="15"/>
      <c r="D39" s="33"/>
      <c r="E39" s="3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</row>
    <row r="40">
      <c r="A40" s="15"/>
      <c r="B40" s="15"/>
      <c r="C40" s="15"/>
      <c r="D40" s="33"/>
      <c r="E40" s="3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</row>
    <row r="41">
      <c r="A41" s="15"/>
      <c r="B41" s="15"/>
      <c r="C41" s="15"/>
      <c r="D41" s="33"/>
      <c r="E41" s="3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</row>
    <row r="42">
      <c r="A42" s="15"/>
      <c r="B42" s="15"/>
      <c r="C42" s="15"/>
      <c r="D42" s="33"/>
      <c r="E42" s="3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</row>
    <row r="43">
      <c r="A43" s="15"/>
      <c r="B43" s="15"/>
      <c r="C43" s="15"/>
      <c r="D43" s="33"/>
      <c r="E43" s="3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</row>
    <row r="44">
      <c r="A44" s="15"/>
      <c r="B44" s="15"/>
      <c r="C44" s="15"/>
      <c r="D44" s="33"/>
      <c r="E44" s="3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</row>
    <row r="45">
      <c r="A45" s="15"/>
      <c r="B45" s="15"/>
      <c r="C45" s="15"/>
      <c r="D45" s="33"/>
      <c r="E45" s="3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</row>
    <row r="46">
      <c r="A46" s="15"/>
      <c r="B46" s="15"/>
      <c r="C46" s="15"/>
      <c r="D46" s="33"/>
      <c r="E46" s="3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</row>
    <row r="47">
      <c r="A47" s="15"/>
      <c r="B47" s="15"/>
      <c r="C47" s="15"/>
      <c r="D47" s="33"/>
      <c r="E47" s="3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</row>
    <row r="48">
      <c r="A48" s="15"/>
      <c r="B48" s="15"/>
      <c r="C48" s="15"/>
      <c r="D48" s="33"/>
      <c r="E48" s="3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</row>
    <row r="49">
      <c r="A49" s="15"/>
      <c r="B49" s="15"/>
      <c r="C49" s="15"/>
      <c r="D49" s="33"/>
      <c r="E49" s="3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</row>
    <row r="50">
      <c r="A50" s="15"/>
      <c r="B50" s="15"/>
      <c r="C50" s="15"/>
      <c r="D50" s="33"/>
      <c r="E50" s="3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</row>
    <row r="51">
      <c r="A51" s="15"/>
      <c r="B51" s="15"/>
      <c r="C51" s="15"/>
      <c r="D51" s="33"/>
      <c r="E51" s="3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</row>
    <row r="52">
      <c r="A52" s="15"/>
      <c r="B52" s="15"/>
      <c r="C52" s="15"/>
      <c r="D52" s="33"/>
      <c r="E52" s="3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</row>
    <row r="53">
      <c r="A53" s="15"/>
      <c r="B53" s="15"/>
      <c r="C53" s="15"/>
      <c r="D53" s="33"/>
      <c r="E53" s="3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</row>
    <row r="54">
      <c r="A54" s="15"/>
      <c r="B54" s="15"/>
      <c r="C54" s="15"/>
      <c r="D54" s="33"/>
      <c r="E54" s="3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</row>
    <row r="55">
      <c r="A55" s="15"/>
      <c r="B55" s="15"/>
      <c r="C55" s="15"/>
      <c r="D55" s="33"/>
      <c r="E55" s="3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</row>
    <row r="56">
      <c r="A56" s="15"/>
      <c r="B56" s="15"/>
      <c r="C56" s="15"/>
      <c r="D56" s="33"/>
      <c r="E56" s="3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</row>
    <row r="57">
      <c r="A57" s="15"/>
      <c r="B57" s="15"/>
      <c r="C57" s="15"/>
      <c r="D57" s="33"/>
      <c r="E57" s="3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</row>
    <row r="58">
      <c r="A58" s="15"/>
      <c r="B58" s="15"/>
      <c r="C58" s="15"/>
      <c r="D58" s="33"/>
      <c r="E58" s="3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</row>
    <row r="59">
      <c r="A59" s="15"/>
      <c r="B59" s="15"/>
      <c r="C59" s="15"/>
      <c r="D59" s="33"/>
      <c r="E59" s="3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</row>
  </sheetData>
  <conditionalFormatting sqref="D5:H29">
    <cfRule type="cellIs" dxfId="0" priority="1" operator="equal">
      <formula>0</formula>
    </cfRule>
  </conditionalFormatting>
  <conditionalFormatting sqref="K5:L29">
    <cfRule type="cellIs" dxfId="0" priority="2" operator="equal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8.86"/>
    <col hidden="1" min="6" max="10"/>
    <col customWidth="1" min="11" max="11" width="30.29"/>
  </cols>
  <sheetData>
    <row r="1">
      <c r="C1" s="10" t="s">
        <v>19</v>
      </c>
      <c r="D1" s="11" t="str">
        <f>IFERROR(__xludf.DUMMYFUNCTION("TRANSPOSE(UNIQUE(Data!D2:E1000))"),"basic")</f>
        <v>basic</v>
      </c>
      <c r="E1" s="12" t="s">
        <v>17</v>
      </c>
      <c r="F1" s="13"/>
      <c r="G1" s="13"/>
      <c r="H1" s="13"/>
      <c r="I1" s="13"/>
      <c r="J1" s="13"/>
      <c r="K1" s="14" t="s">
        <v>29</v>
      </c>
      <c r="L1" s="13"/>
      <c r="M1" s="13"/>
      <c r="N1" s="13"/>
      <c r="O1" s="13"/>
      <c r="P1" s="13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C2" s="10" t="s">
        <v>20</v>
      </c>
      <c r="D2" s="11" t="s">
        <v>16</v>
      </c>
      <c r="E2" s="12" t="s">
        <v>16</v>
      </c>
      <c r="F2" s="13"/>
      <c r="G2" s="13"/>
      <c r="H2" s="13"/>
      <c r="I2" s="13"/>
      <c r="J2" s="13"/>
      <c r="K2" s="14" t="s">
        <v>10</v>
      </c>
      <c r="L2" s="13"/>
      <c r="M2" s="13"/>
      <c r="N2" s="13"/>
      <c r="O2" s="13"/>
      <c r="P2" s="13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0" t="s">
        <v>0</v>
      </c>
      <c r="B3" s="10" t="s">
        <v>1</v>
      </c>
      <c r="C3" s="10" t="s">
        <v>2</v>
      </c>
      <c r="D3" s="16"/>
      <c r="E3" s="16"/>
      <c r="F3" s="15"/>
      <c r="G3" s="15"/>
      <c r="H3" s="15"/>
      <c r="I3" s="14"/>
      <c r="J3" s="15"/>
      <c r="K3" s="14" t="s">
        <v>34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8" t="str">
        <f>IFERROR(__xludf.DUMMYFUNCTION("UNIQUE(Data!A2:C1000)"),"1000")</f>
        <v>1000</v>
      </c>
      <c r="B4" s="18">
        <v>1.0</v>
      </c>
      <c r="C4" s="18">
        <v>1.0</v>
      </c>
      <c r="D4" s="19" t="str">
        <f>IFERROR(__xludf.DUMMYFUNCTION("DMAX({{Data!$A$1:$M$1};filter(Data!$A$2:$M1000,Data!$A$2:$A1000=$A4 , Data!$B$2:$B1000 = $B4,Data!$C$2:$C1000 = $C4, Data!$D$2:$D1000 = D$1, Data!$E$2:$E1000 = D$2 )},$K$2  , $Q$22:$Q$23)"),"1058.72093")</f>
        <v>1058.72093</v>
      </c>
      <c r="E4" s="19" t="str">
        <f>IFERROR(__xludf.DUMMYFUNCTION("DMAX({{Data!$A$1:$M$1};filter(Data!$A$2:$M1000,Data!$A$2:$A1000=$A4 , Data!$B$2:$B1000 = $B4,Data!$C$2:$C1000 = $C4, Data!$D$2:$D1000 = E$1, Data!$E$2:$E1000 = E$2 )},$K$2  , $Q$22:$Q$23)"),"1078.162791")</f>
        <v>1078.162791</v>
      </c>
      <c r="F4" s="21"/>
      <c r="G4" s="21"/>
      <c r="H4" s="21"/>
      <c r="I4" s="21"/>
      <c r="J4" s="21"/>
      <c r="K4" s="31" t="str">
        <f t="shared" ref="K4:K28" si="1">(D4 - E4)/E4</f>
        <v>-1.8032%</v>
      </c>
      <c r="L4" s="21"/>
      <c r="M4" s="21"/>
      <c r="N4" s="21"/>
      <c r="O4" s="2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8">
        <v>1000.0</v>
      </c>
      <c r="B5" s="18">
        <v>1.0</v>
      </c>
      <c r="C5" s="18">
        <v>2.0</v>
      </c>
      <c r="D5" s="19" t="str">
        <f>IFERROR(__xludf.DUMMYFUNCTION("DMAX({{Data!$A$1:$M$1};filter(Data!$A$2:$M1000,Data!$A$2:$A1000=$A5 , Data!$B$2:$B1000 = $B5,Data!$C$2:$C1000 = $C5, Data!$D$2:$D1000 = D$1, Data!$E$2:$E1000 = D$2 )},$K$2  , $Q$22:$Q$23)"),"1055.217391")</f>
        <v>1055.217391</v>
      </c>
      <c r="E5" s="19" t="str">
        <f>IFERROR(__xludf.DUMMYFUNCTION("DMAX({{Data!$A$1:$M$1};filter(Data!$A$2:$M1000,Data!$A$2:$A1000=$A5 , Data!$B$2:$B1000 = $B5,Data!$C$2:$C1000 = $C5, Data!$D$2:$D1000 = E$1, Data!$E$2:$E1000 = E$2 )},$K$2  , $Q$22:$Q$23)"),"1076.105882")</f>
        <v>1076.105882</v>
      </c>
      <c r="F5" s="21"/>
      <c r="G5" s="21"/>
      <c r="H5" s="21"/>
      <c r="I5" s="21"/>
      <c r="J5" s="21"/>
      <c r="K5" s="31" t="str">
        <f t="shared" si="1"/>
        <v>-1.9411%</v>
      </c>
      <c r="L5" s="21"/>
      <c r="M5" s="21"/>
      <c r="N5" s="21"/>
      <c r="O5" s="2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8">
        <v>1000.0</v>
      </c>
      <c r="B6" s="18">
        <v>1.0</v>
      </c>
      <c r="C6" s="18">
        <v>3.0</v>
      </c>
      <c r="D6" s="19" t="str">
        <f>IFERROR(__xludf.DUMMYFUNCTION("DMAX({{Data!$A$1:$M$1};filter(Data!$A$2:$M1000,Data!$A$2:$A1000=$A6 , Data!$B$2:$B1000 = $B6,Data!$C$2:$C1000 = $C6, Data!$D$2:$D1000 = D$1, Data!$E$2:$E1000 = D$2 )},$K$2  , $Q$22:$Q$23)"),"1049.562232")</f>
        <v>1049.562232</v>
      </c>
      <c r="E6" s="19" t="str">
        <f>IFERROR(__xludf.DUMMYFUNCTION("DMAX({{Data!$A$1:$M$1};filter(Data!$A$2:$M1000,Data!$A$2:$A1000=$A6 , Data!$B$2:$B1000 = $B6,Data!$C$2:$C1000 = $C6, Data!$D$2:$D1000 = E$1, Data!$E$2:$E1000 = E$2 )},$K$2  , $Q$22:$Q$23)"),"1059.968421")</f>
        <v>1059.968421</v>
      </c>
      <c r="F6" s="21"/>
      <c r="G6" s="21"/>
      <c r="H6" s="21"/>
      <c r="I6" s="21"/>
      <c r="J6" s="21"/>
      <c r="K6" s="31" t="str">
        <f t="shared" si="1"/>
        <v>-0.9817%</v>
      </c>
      <c r="L6" s="21"/>
      <c r="M6" s="21"/>
      <c r="N6" s="21"/>
      <c r="O6" s="2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8">
        <v>1000.0</v>
      </c>
      <c r="B7" s="18">
        <v>1.0</v>
      </c>
      <c r="C7" s="18">
        <v>4.0</v>
      </c>
      <c r="D7" s="19" t="str">
        <f>IFERROR(__xludf.DUMMYFUNCTION("DMAX({{Data!$A$1:$M$1};filter(Data!$A$2:$M1000,Data!$A$2:$A1000=$A7 , Data!$B$2:$B1000 = $B7,Data!$C$2:$C1000 = $C7, Data!$D$2:$D1000 = D$1, Data!$E$2:$E1000 = D$2 )},$K$2  , $Q$22:$Q$23)"),"1071.666667")</f>
        <v>1071.666667</v>
      </c>
      <c r="E7" s="19" t="str">
        <f>IFERROR(__xludf.DUMMYFUNCTION("DMAX({{Data!$A$1:$M$1};filter(Data!$A$2:$M1000,Data!$A$2:$A1000=$A7 , Data!$B$2:$B1000 = $B7,Data!$C$2:$C1000 = $C7, Data!$D$2:$D1000 = E$1, Data!$E$2:$E1000 = E$2 )},$K$2  , $Q$22:$Q$23)"),"1085.541176")</f>
        <v>1085.541176</v>
      </c>
      <c r="F7" s="21"/>
      <c r="G7" s="21"/>
      <c r="H7" s="21"/>
      <c r="I7" s="21"/>
      <c r="J7" s="21"/>
      <c r="K7" s="31" t="str">
        <f t="shared" si="1"/>
        <v>-1.2781%</v>
      </c>
      <c r="L7" s="21"/>
      <c r="M7" s="21"/>
      <c r="N7" s="21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2">
        <v>1000.0</v>
      </c>
      <c r="B8" s="22">
        <v>1.0</v>
      </c>
      <c r="C8" s="22">
        <v>5.0</v>
      </c>
      <c r="D8" s="19" t="str">
        <f>IFERROR(__xludf.DUMMYFUNCTION("DMAX({{Data!$A$1:$M$1};filter(Data!$A$2:$M1000,Data!$A$2:$A1000=$A8 , Data!$B$2:$B1000 = $B8,Data!$C$2:$C1000 = $C8, Data!$D$2:$D1000 = D$1, Data!$E$2:$E1000 = D$2 )},$K$2  , $Q$22:$Q$23)"),"1059.013043")</f>
        <v>1059.013043</v>
      </c>
      <c r="E8" s="19" t="str">
        <f>IFERROR(__xludf.DUMMYFUNCTION("DMAX({{Data!$A$1:$M$1};filter(Data!$A$2:$M1000,Data!$A$2:$A1000=$A8 , Data!$B$2:$B1000 = $B8,Data!$C$2:$C1000 = $C8, Data!$D$2:$D1000 = E$1, Data!$E$2:$E1000 = E$2 )},$K$2  , $Q$22:$Q$23)"),"1078.692308")</f>
        <v>1078.692308</v>
      </c>
      <c r="F8" s="21"/>
      <c r="G8" s="21"/>
      <c r="H8" s="21"/>
      <c r="I8" s="21"/>
      <c r="J8" s="21"/>
      <c r="K8" s="31" t="str">
        <f t="shared" si="1"/>
        <v>-1.8244%</v>
      </c>
      <c r="L8" s="21"/>
      <c r="M8" s="21"/>
      <c r="N8" s="21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8">
        <v>1000.0</v>
      </c>
      <c r="B9" s="18">
        <v>5.0</v>
      </c>
      <c r="C9" s="18">
        <v>1.0</v>
      </c>
      <c r="D9" s="23" t="str">
        <f>IFERROR(__xludf.DUMMYFUNCTION("DMAX({{Data!$A$1:$M$1};filter(Data!$A$2:$M1000,Data!$A$2:$A1000=$A9 , Data!$B$2:$B1000 = $B9,Data!$C$2:$C1000 = $C9, Data!$D$2:$D1000 = D$1, Data!$E$2:$E1000 = D$2 )},$K$2  , $Q$22:$Q$23)"),"1773.75")</f>
        <v>1773.75</v>
      </c>
      <c r="E9" s="23" t="str">
        <f>IFERROR(__xludf.DUMMYFUNCTION("DMAX({{Data!$A$1:$M$1};filter(Data!$A$2:$M1000,Data!$A$2:$A1000=$A9 , Data!$B$2:$B1000 = $B9,Data!$C$2:$C1000 = $C9, Data!$D$2:$D1000 = E$1, Data!$E$2:$E1000 = E$2 )},$K$2  , $Q$22:$Q$23)"),"1840.647059")</f>
        <v>1840.647059</v>
      </c>
      <c r="F9" s="21"/>
      <c r="G9" s="21"/>
      <c r="H9" s="21"/>
      <c r="I9" s="21"/>
      <c r="J9" s="21"/>
      <c r="K9" s="31" t="str">
        <f t="shared" si="1"/>
        <v>-3.6344%</v>
      </c>
      <c r="L9" s="21"/>
      <c r="M9" s="21"/>
      <c r="N9" s="21"/>
      <c r="O9" s="2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5">
        <v>1000.0</v>
      </c>
      <c r="B10" s="25">
        <v>5.0</v>
      </c>
      <c r="C10" s="25">
        <v>2.0</v>
      </c>
      <c r="D10" s="23" t="str">
        <f>IFERROR(__xludf.DUMMYFUNCTION("DMAX({{Data!$A$1:$M$1};filter(Data!$A$2:$M1000,Data!$A$2:$A1000=$A10 , Data!$B$2:$B1000 = $B10,Data!$C$2:$C1000 = $C10, Data!$D$2:$D1000 = D$1, Data!$E$2:$E1000 = D$2 )},$K$2  , $Q$22:$Q$23)"),"1783.835938")</f>
        <v>1783.835938</v>
      </c>
      <c r="E10" s="23" t="str">
        <f>IFERROR(__xludf.DUMMYFUNCTION("DMAX({{Data!$A$1:$M$1};filter(Data!$A$2:$M1000,Data!$A$2:$A1000=$A10 , Data!$B$2:$B1000 = $B10,Data!$C$2:$C1000 = $C10, Data!$D$2:$D1000 = E$1, Data!$E$2:$E1000 = E$2 )},$K$2  , $Q$22:$Q$23)"),"1847.72973")</f>
        <v>1847.72973</v>
      </c>
      <c r="F10" s="21"/>
      <c r="G10" s="21"/>
      <c r="H10" s="21"/>
      <c r="I10" s="21"/>
      <c r="J10" s="21"/>
      <c r="K10" s="31" t="str">
        <f t="shared" si="1"/>
        <v>-3.4580%</v>
      </c>
      <c r="L10" s="21"/>
      <c r="M10" s="21"/>
      <c r="N10" s="21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8">
        <v>1000.0</v>
      </c>
      <c r="B11" s="18">
        <v>5.0</v>
      </c>
      <c r="C11" s="18">
        <v>3.0</v>
      </c>
      <c r="D11" s="23" t="str">
        <f>IFERROR(__xludf.DUMMYFUNCTION("DMAX({{Data!$A$1:$M$1};filter(Data!$A$2:$M1000,Data!$A$2:$A1000=$A11 , Data!$B$2:$B1000 = $B11,Data!$C$2:$C1000 = $C11, Data!$D$2:$D1000 = D$1, Data!$E$2:$E1000 = D$2 )},$K$2  , $Q$22:$Q$23)"),"1774.971223")</f>
        <v>1774.971223</v>
      </c>
      <c r="E11" s="23" t="str">
        <f>IFERROR(__xludf.DUMMYFUNCTION("DMAX({{Data!$A$1:$M$1};filter(Data!$A$2:$M1000,Data!$A$2:$A1000=$A11 , Data!$B$2:$B1000 = $B11,Data!$C$2:$C1000 = $C11, Data!$D$2:$D1000 = E$1, Data!$E$2:$E1000 = E$2 )},$K$2  , $Q$22:$Q$23)"),"1831")</f>
        <v>1831</v>
      </c>
      <c r="F11" s="21"/>
      <c r="G11" s="21"/>
      <c r="H11" s="21"/>
      <c r="I11" s="21"/>
      <c r="J11" s="21"/>
      <c r="K11" s="31" t="str">
        <f t="shared" si="1"/>
        <v>-3.0600%</v>
      </c>
      <c r="L11" s="21"/>
      <c r="M11" s="21"/>
      <c r="N11" s="21"/>
      <c r="O11" s="2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8">
        <v>1000.0</v>
      </c>
      <c r="B12" s="18">
        <v>5.0</v>
      </c>
      <c r="C12" s="18">
        <v>4.0</v>
      </c>
      <c r="D12" s="23" t="str">
        <f>IFERROR(__xludf.DUMMYFUNCTION("DMAX({{Data!$A$1:$M$1};filter(Data!$A$2:$M1000,Data!$A$2:$A1000=$A12 , Data!$B$2:$B1000 = $B12,Data!$C$2:$C1000 = $C12, Data!$D$2:$D1000 = D$1, Data!$E$2:$E1000 = D$2 )},$K$2  , $Q$22:$Q$23)"),"1771.3125")</f>
        <v>1771.3125</v>
      </c>
      <c r="E12" s="23" t="str">
        <f>IFERROR(__xludf.DUMMYFUNCTION("DMAX({{Data!$A$1:$M$1};filter(Data!$A$2:$M1000,Data!$A$2:$A1000=$A12 , Data!$B$2:$B1000 = $B12,Data!$C$2:$C1000 = $C12, Data!$D$2:$D1000 = E$1, Data!$E$2:$E1000 = E$2 )},$K$2  , $Q$22:$Q$23)"),"1833.352941")</f>
        <v>1833.352941</v>
      </c>
      <c r="F12" s="21"/>
      <c r="G12" s="21"/>
      <c r="H12" s="21"/>
      <c r="I12" s="21"/>
      <c r="J12" s="21"/>
      <c r="K12" s="31" t="str">
        <f t="shared" si="1"/>
        <v>-3.3840%</v>
      </c>
      <c r="L12" s="21"/>
      <c r="M12" s="21"/>
      <c r="N12" s="21"/>
      <c r="O12" s="2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8">
        <v>1000.0</v>
      </c>
      <c r="B13" s="18">
        <v>5.0</v>
      </c>
      <c r="C13" s="18">
        <v>5.0</v>
      </c>
      <c r="D13" s="23" t="str">
        <f>IFERROR(__xludf.DUMMYFUNCTION("DMAX({{Data!$A$1:$M$1};filter(Data!$A$2:$M1000,Data!$A$2:$A1000=$A13 , Data!$B$2:$B1000 = $B13,Data!$C$2:$C1000 = $C13, Data!$D$2:$D1000 = D$1, Data!$E$2:$E1000 = D$2 )},$K$2  , $Q$22:$Q$23)"),"1770.493056")</f>
        <v>1770.493056</v>
      </c>
      <c r="E13" s="23" t="str">
        <f>IFERROR(__xludf.DUMMYFUNCTION("DMAX({{Data!$A$1:$M$1};filter(Data!$A$2:$M1000,Data!$A$2:$A1000=$A13 , Data!$B$2:$B1000 = $B13,Data!$C$2:$C1000 = $C13, Data!$D$2:$D1000 = E$1, Data!$E$2:$E1000 = E$2 )},$K$2  , $Q$22:$Q$23)"),"1853.897436")</f>
        <v>1853.897436</v>
      </c>
      <c r="F13" s="21"/>
      <c r="G13" s="21"/>
      <c r="H13" s="21"/>
      <c r="I13" s="21"/>
      <c r="J13" s="21"/>
      <c r="K13" s="31" t="str">
        <f t="shared" si="1"/>
        <v>-4.4989%</v>
      </c>
      <c r="L13" s="21"/>
      <c r="M13" s="21"/>
      <c r="N13" s="21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8">
        <v>1000.0</v>
      </c>
      <c r="B14" s="18">
        <v>10.0</v>
      </c>
      <c r="C14" s="18">
        <v>1.0</v>
      </c>
      <c r="D14" s="19" t="str">
        <f>IFERROR(__xludf.DUMMYFUNCTION("DMAX({{Data!$A$1:$M$1};filter(Data!$A$2:$M1000,Data!$A$2:$A1000=$A14 , Data!$B$2:$B1000 = $B14,Data!$C$2:$C1000 = $C14, Data!$D$2:$D1000 = D$1, Data!$E$2:$E1000 = D$2 )},$K$2  , $Q$22:$Q$23)"),"2116.471698")</f>
        <v>2116.471698</v>
      </c>
      <c r="E14" s="19" t="str">
        <f>IFERROR(__xludf.DUMMYFUNCTION("DMAX({{Data!$A$1:$M$1};filter(Data!$A$2:$M1000,Data!$A$2:$A1000=$A14 , Data!$B$2:$B1000 = $B14,Data!$C$2:$C1000 = $C14, Data!$D$2:$D1000 = E$1, Data!$E$2:$E1000 = E$2 )},$K$2  , $Q$22:$Q$23)"),"2225.75")</f>
        <v>2225.75</v>
      </c>
      <c r="F14" s="21"/>
      <c r="G14" s="21"/>
      <c r="H14" s="21"/>
      <c r="I14" s="21"/>
      <c r="J14" s="21"/>
      <c r="K14" s="31" t="str">
        <f t="shared" si="1"/>
        <v>-4.9097%</v>
      </c>
      <c r="L14" s="21"/>
      <c r="M14" s="21"/>
      <c r="N14" s="21"/>
      <c r="O14" s="2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8">
        <v>1000.0</v>
      </c>
      <c r="B15" s="18">
        <v>10.0</v>
      </c>
      <c r="C15" s="18">
        <v>2.0</v>
      </c>
      <c r="D15" s="19" t="str">
        <f>IFERROR(__xludf.DUMMYFUNCTION("DMAX({{Data!$A$1:$M$1};filter(Data!$A$2:$M1000,Data!$A$2:$A1000=$A15 , Data!$B$2:$B1000 = $B15,Data!$C$2:$C1000 = $C15, Data!$D$2:$D1000 = D$1, Data!$E$2:$E1000 = D$2 )},$K$2  , $Q$22:$Q$23)"),"2132.401869")</f>
        <v>2132.401869</v>
      </c>
      <c r="E15" s="19" t="str">
        <f>IFERROR(__xludf.DUMMYFUNCTION("DMAX({{Data!$A$1:$M$1};filter(Data!$A$2:$M1000,Data!$A$2:$A1000=$A15 , Data!$B$2:$B1000 = $B15,Data!$C$2:$C1000 = $C15, Data!$D$2:$D1000 = E$1, Data!$E$2:$E1000 = E$2 )},$K$2  , $Q$22:$Q$23)"),"2224.178571")</f>
        <v>2224.178571</v>
      </c>
      <c r="F15" s="21"/>
      <c r="G15" s="21"/>
      <c r="H15" s="21"/>
      <c r="I15" s="21"/>
      <c r="J15" s="21"/>
      <c r="K15" s="31" t="str">
        <f t="shared" si="1"/>
        <v>-4.1263%</v>
      </c>
      <c r="L15" s="21"/>
      <c r="M15" s="21"/>
      <c r="N15" s="21"/>
      <c r="O15" s="2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8">
        <v>1000.0</v>
      </c>
      <c r="B16" s="18">
        <v>10.0</v>
      </c>
      <c r="C16" s="18">
        <v>3.0</v>
      </c>
      <c r="D16" s="19" t="str">
        <f>IFERROR(__xludf.DUMMYFUNCTION("DMAX({{Data!$A$1:$M$1};filter(Data!$A$2:$M1000,Data!$A$2:$A1000=$A16 , Data!$B$2:$B1000 = $B16,Data!$C$2:$C1000 = $C16, Data!$D$2:$D1000 = D$1, Data!$E$2:$E1000 = D$2 )},$K$2  , $Q$22:$Q$23)"),"2095.81746")</f>
        <v>2095.81746</v>
      </c>
      <c r="E16" s="19" t="str">
        <f>IFERROR(__xludf.DUMMYFUNCTION("DMAX({{Data!$A$1:$M$1};filter(Data!$A$2:$M1000,Data!$A$2:$A1000=$A16 , Data!$B$2:$B1000 = $B16,Data!$C$2:$C1000 = $C16, Data!$D$2:$D1000 = E$1, Data!$E$2:$E1000 = E$2 )},$K$2  , $Q$22:$Q$23)"),"2201.533333")</f>
        <v>2201.533333</v>
      </c>
      <c r="F16" s="21"/>
      <c r="G16" s="21"/>
      <c r="H16" s="21"/>
      <c r="I16" s="21"/>
      <c r="J16" s="21"/>
      <c r="K16" s="31" t="str">
        <f t="shared" si="1"/>
        <v>-4.8019%</v>
      </c>
      <c r="L16" s="21"/>
      <c r="M16" s="21"/>
      <c r="N16" s="21"/>
      <c r="O16" s="2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8">
        <v>1000.0</v>
      </c>
      <c r="B17" s="18">
        <v>10.0</v>
      </c>
      <c r="C17" s="18">
        <v>4.0</v>
      </c>
      <c r="D17" s="19" t="str">
        <f>IFERROR(__xludf.DUMMYFUNCTION("DMAX({{Data!$A$1:$M$1};filter(Data!$A$2:$M1000,Data!$A$2:$A1000=$A17 , Data!$B$2:$B1000 = $B17,Data!$C$2:$C1000 = $C17, Data!$D$2:$D1000 = D$1, Data!$E$2:$E1000 = D$2 )},$K$2  , $Q$22:$Q$23)"),"2128.72973")</f>
        <v>2128.72973</v>
      </c>
      <c r="E17" s="19" t="str">
        <f>IFERROR(__xludf.DUMMYFUNCTION("DMAX({{Data!$A$1:$M$1};filter(Data!$A$2:$M1000,Data!$A$2:$A1000=$A17 , Data!$B$2:$B1000 = $B17,Data!$C$2:$C1000 = $C17, Data!$D$2:$D1000 = E$1, Data!$E$2:$E1000 = E$2 )},$K$2  , $Q$22:$Q$23)"),"2215.222222")</f>
        <v>2215.222222</v>
      </c>
      <c r="F17" s="21"/>
      <c r="G17" s="21"/>
      <c r="H17" s="21"/>
      <c r="I17" s="21"/>
      <c r="J17" s="21"/>
      <c r="K17" s="31" t="str">
        <f t="shared" si="1"/>
        <v>-3.9045%</v>
      </c>
      <c r="L17" s="21"/>
      <c r="M17" s="21"/>
      <c r="N17" s="21"/>
      <c r="O17" s="2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8">
        <v>1000.0</v>
      </c>
      <c r="B18" s="18">
        <v>10.0</v>
      </c>
      <c r="C18" s="18">
        <v>5.0</v>
      </c>
      <c r="D18" s="19" t="str">
        <f>IFERROR(__xludf.DUMMYFUNCTION("DMAX({{Data!$A$1:$M$1};filter(Data!$A$2:$M1000,Data!$A$2:$A1000=$A18 , Data!$B$2:$B1000 = $B18,Data!$C$2:$C1000 = $C18, Data!$D$2:$D1000 = D$1, Data!$E$2:$E1000 = D$2 )},$K$2  , $Q$22:$Q$23)"),"2129.85567")</f>
        <v>2129.85567</v>
      </c>
      <c r="E18" s="19" t="str">
        <f>IFERROR(__xludf.DUMMYFUNCTION("DMAX({{Data!$A$1:$M$1};filter(Data!$A$2:$M1000,Data!$A$2:$A1000=$A18 , Data!$B$2:$B1000 = $B18,Data!$C$2:$C1000 = $C18, Data!$D$2:$D1000 = E$1, Data!$E$2:$E1000 = E$2 )},$K$2  , $Q$22:$Q$23)"),"2206.68")</f>
        <v>2206.68</v>
      </c>
      <c r="F18" s="21"/>
      <c r="G18" s="21"/>
      <c r="H18" s="21"/>
      <c r="I18" s="21"/>
      <c r="J18" s="15"/>
      <c r="K18" s="31" t="str">
        <f t="shared" si="1"/>
        <v>-3.4814%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">
        <v>1000.0</v>
      </c>
      <c r="B19" s="11">
        <v>50.0</v>
      </c>
      <c r="C19" s="11">
        <v>1.0</v>
      </c>
      <c r="D19" s="23" t="str">
        <f>IFERROR(__xludf.DUMMYFUNCTION("DMAX({{Data!$A$1:$M$1};filter(Data!$A$2:$M1000,Data!$A$2:$A1000=$A19 , Data!$B$2:$B1000 = $B19,Data!$C$2:$C1000 = $C19, Data!$D$2:$D1000 = D$1, Data!$E$2:$E1000 = D$2 )},$K$2  , $Q$22:$Q$23)"),"2984.135802")</f>
        <v>2984.135802</v>
      </c>
      <c r="E19" s="23" t="str">
        <f>IFERROR(__xludf.DUMMYFUNCTION("DMAX({{Data!$A$1:$M$1};filter(Data!$A$2:$M1000,Data!$A$2:$A1000=$A19 , Data!$B$2:$B1000 = $B19,Data!$C$2:$C1000 = $C19, Data!$D$2:$D1000 = E$1, Data!$E$2:$E1000 = E$2 )},$K$2  , $Q$22:$Q$23)"),"3147.538462")</f>
        <v>3147.538462</v>
      </c>
      <c r="F19" s="21"/>
      <c r="G19" s="21"/>
      <c r="H19" s="21"/>
      <c r="I19" s="21"/>
      <c r="J19" s="15"/>
      <c r="K19" s="31" t="str">
        <f t="shared" si="1"/>
        <v>-5.1914%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6">
        <v>1000.0</v>
      </c>
      <c r="B20" s="26">
        <v>50.0</v>
      </c>
      <c r="C20" s="26">
        <v>2.0</v>
      </c>
      <c r="D20" s="23" t="str">
        <f>IFERROR(__xludf.DUMMYFUNCTION("DMAX({{Data!$A$1:$M$1};filter(Data!$A$2:$M1000,Data!$A$2:$A1000=$A20 , Data!$B$2:$B1000 = $B20,Data!$C$2:$C1000 = $C20, Data!$D$2:$D1000 = D$1, Data!$E$2:$E1000 = D$2 )},$K$2  , $Q$22:$Q$23)"),"3029.630769")</f>
        <v>3029.630769</v>
      </c>
      <c r="E20" s="23" t="str">
        <f>IFERROR(__xludf.DUMMYFUNCTION("DMAX({{Data!$A$1:$M$1};filter(Data!$A$2:$M1000,Data!$A$2:$A1000=$A20 , Data!$B$2:$B1000 = $B20,Data!$C$2:$C1000 = $C20, Data!$D$2:$D1000 = E$1, Data!$E$2:$E1000 = E$2 )},$K$2  , $Q$22:$Q$23)"),"3067.153846")</f>
        <v>3067.153846</v>
      </c>
      <c r="F20" s="21"/>
      <c r="G20" s="21"/>
      <c r="H20" s="21"/>
      <c r="I20" s="21"/>
      <c r="J20" s="15"/>
      <c r="K20" s="31" t="str">
        <f t="shared" si="1"/>
        <v>-1.2234%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26">
        <v>1000.0</v>
      </c>
      <c r="B21" s="26">
        <v>50.0</v>
      </c>
      <c r="C21" s="26">
        <v>3.0</v>
      </c>
      <c r="D21" s="23" t="str">
        <f>IFERROR(__xludf.DUMMYFUNCTION("DMAX({{Data!$A$1:$M$1};filter(Data!$A$2:$M1000,Data!$A$2:$A1000=$A21 , Data!$B$2:$B1000 = $B21,Data!$C$2:$C1000 = $C21, Data!$D$2:$D1000 = D$1, Data!$E$2:$E1000 = D$2 )},$K$2  , $Q$22:$Q$23)"),"2989.209302")</f>
        <v>2989.209302</v>
      </c>
      <c r="E21" s="23" t="str">
        <f>IFERROR(__xludf.DUMMYFUNCTION("DMAX({{Data!$A$1:$M$1};filter(Data!$A$2:$M1000,Data!$A$2:$A1000=$A21 , Data!$B$2:$B1000 = $B21,Data!$C$2:$C1000 = $C21, Data!$D$2:$D1000 = E$1, Data!$E$2:$E1000 = E$2 )},$K$2  , $Q$22:$Q$23)"),"3046.1875")</f>
        <v>3046.1875</v>
      </c>
      <c r="F21" s="21"/>
      <c r="G21" s="21"/>
      <c r="H21" s="21"/>
      <c r="I21" s="21"/>
      <c r="J21" s="15"/>
      <c r="K21" s="31" t="str">
        <f t="shared" si="1"/>
        <v>-1.8705%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8">
        <v>1000.0</v>
      </c>
      <c r="B22" s="26">
        <v>50.0</v>
      </c>
      <c r="C22" s="26">
        <v>4.0</v>
      </c>
      <c r="D22" s="23" t="str">
        <f>IFERROR(__xludf.DUMMYFUNCTION("DMAX({{Data!$A$1:$M$1};filter(Data!$A$2:$M1000,Data!$A$2:$A1000=$A22 , Data!$B$2:$B1000 = $B22,Data!$C$2:$C1000 = $C22, Data!$D$2:$D1000 = D$1, Data!$E$2:$E1000 = D$2 )},$K$2  , $Q$22:$Q$23)"),"3045.75")</f>
        <v>3045.75</v>
      </c>
      <c r="E22" s="23" t="str">
        <f>IFERROR(__xludf.DUMMYFUNCTION("DMAX({{Data!$A$1:$M$1};filter(Data!$A$2:$M1000,Data!$A$2:$A1000=$A22 , Data!$B$2:$B1000 = $B22,Data!$C$2:$C1000 = $C22, Data!$D$2:$D1000 = E$1, Data!$E$2:$E1000 = E$2 )},$K$2  , $Q$22:$Q$23)"),"3142.384615")</f>
        <v>3142.384615</v>
      </c>
      <c r="F22" s="21"/>
      <c r="G22" s="21"/>
      <c r="H22" s="21"/>
      <c r="I22" s="21"/>
      <c r="J22" s="15"/>
      <c r="K22" s="31" t="str">
        <f t="shared" si="1"/>
        <v>-3.0752%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6">
        <v>1000.0</v>
      </c>
      <c r="B23" s="26">
        <v>50.0</v>
      </c>
      <c r="C23" s="26">
        <v>5.0</v>
      </c>
      <c r="D23" s="23" t="str">
        <f>IFERROR(__xludf.DUMMYFUNCTION("DMAX({{Data!$A$1:$M$1};filter(Data!$A$2:$M1000,Data!$A$2:$A1000=$A23 , Data!$B$2:$B1000 = $B23,Data!$C$2:$C1000 = $C23, Data!$D$2:$D1000 = D$1, Data!$E$2:$E1000 = D$2 )},$K$2  , $Q$22:$Q$23)"),"2987.283582")</f>
        <v>2987.283582</v>
      </c>
      <c r="E23" s="23" t="str">
        <f>IFERROR(__xludf.DUMMYFUNCTION("DMAX({{Data!$A$1:$M$1};filter(Data!$A$2:$M1000,Data!$A$2:$A1000=$A23 , Data!$B$2:$B1000 = $B23,Data!$C$2:$C1000 = $C23, Data!$D$2:$D1000 = E$1, Data!$E$2:$E1000 = E$2 )},$K$2  , $Q$22:$Q$23)"),"3168.833333")</f>
        <v>3168.833333</v>
      </c>
      <c r="F23" s="21"/>
      <c r="G23" s="21"/>
      <c r="H23" s="21"/>
      <c r="I23" s="21"/>
      <c r="J23" s="15"/>
      <c r="K23" s="31" t="str">
        <f t="shared" si="1"/>
        <v>-5.7292%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>
        <v>1000.0</v>
      </c>
      <c r="B24" s="11">
        <v>100.0</v>
      </c>
      <c r="C24" s="11">
        <v>1.0</v>
      </c>
      <c r="D24" s="19" t="str">
        <f>IFERROR(__xludf.DUMMYFUNCTION("DMAX({{Data!$A$1:$M$1};filter(Data!$A$2:$M1000,Data!$A$2:$A1000=$A24 , Data!$B$2:$B1000 = $B24,Data!$C$2:$C1000 = $C24, Data!$D$2:$D1000 = D$1, Data!$E$2:$E1000 = D$2 )},$K$2  , $Q$22:$Q$23)"),"3379.694915")</f>
        <v>3379.694915</v>
      </c>
      <c r="E24" s="19" t="str">
        <f>IFERROR(__xludf.DUMMYFUNCTION("DMAX({{Data!$A$1:$M$1};filter(Data!$A$2:$M1000,Data!$A$2:$A1000=$A24 , Data!$B$2:$B1000 = $B24,Data!$C$2:$C1000 = $C24, Data!$D$2:$D1000 = E$1, Data!$E$2:$E1000 = E$2 )},$K$2  , $Q$22:$Q$23)"),"3548.1")</f>
        <v>3548.1</v>
      </c>
      <c r="F24" s="21"/>
      <c r="G24" s="21"/>
      <c r="H24" s="21"/>
      <c r="I24" s="21"/>
      <c r="J24" s="13"/>
      <c r="K24" s="31" t="str">
        <f t="shared" si="1"/>
        <v>-4.7463%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8">
        <v>1000.0</v>
      </c>
      <c r="B25" s="27">
        <v>100.0</v>
      </c>
      <c r="C25" s="18">
        <v>2.0</v>
      </c>
      <c r="D25" s="19" t="str">
        <f>IFERROR(__xludf.DUMMYFUNCTION("DMAX({{Data!$A$1:$M$1};filter(Data!$A$2:$M1000,Data!$A$2:$A1000=$A25 , Data!$B$2:$B1000 = $B25,Data!$C$2:$C1000 = $C25, Data!$D$2:$D1000 = D$1, Data!$E$2:$E1000 = D$2 )},$K$2  , $Q$22:$Q$23)"),"3372.893939")</f>
        <v>3372.893939</v>
      </c>
      <c r="E25" s="19" t="str">
        <f>IFERROR(__xludf.DUMMYFUNCTION("DMAX({{Data!$A$1:$M$1};filter(Data!$A$2:$M1000,Data!$A$2:$A1000=$A25 , Data!$B$2:$B1000 = $B25,Data!$C$2:$C1000 = $C25, Data!$D$2:$D1000 = E$1, Data!$E$2:$E1000 = E$2 )},$K$2  , $Q$22:$Q$23)"),"3496.25")</f>
        <v>3496.25</v>
      </c>
      <c r="F25" s="21"/>
      <c r="G25" s="21"/>
      <c r="H25" s="21"/>
      <c r="I25" s="21"/>
      <c r="J25" s="28"/>
      <c r="K25" s="31" t="str">
        <f t="shared" si="1"/>
        <v>-3.5282%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8">
        <v>1000.0</v>
      </c>
      <c r="B26" s="18">
        <v>100.0</v>
      </c>
      <c r="C26" s="18">
        <v>3.0</v>
      </c>
      <c r="D26" s="19" t="str">
        <f>IFERROR(__xludf.DUMMYFUNCTION("DMAX({{Data!$A$1:$M$1};filter(Data!$A$2:$M1000,Data!$A$2:$A1000=$A26 , Data!$B$2:$B1000 = $B26,Data!$C$2:$C1000 = $C26, Data!$D$2:$D1000 = D$1, Data!$E$2:$E1000 = D$2 )},$K$2  , $Q$22:$Q$23)"),"3388.04918")</f>
        <v>3388.04918</v>
      </c>
      <c r="E26" s="19" t="str">
        <f>IFERROR(__xludf.DUMMYFUNCTION("DMAX({{Data!$A$1:$M$1};filter(Data!$A$2:$M1000,Data!$A$2:$A1000=$A26 , Data!$B$2:$B1000 = $B26,Data!$C$2:$C1000 = $C26, Data!$D$2:$D1000 = E$1, Data!$E$2:$E1000 = E$2 )},$K$2  , $Q$22:$Q$23)"),"3534.125")</f>
        <v>3534.125</v>
      </c>
      <c r="F26" s="21"/>
      <c r="G26" s="21"/>
      <c r="H26" s="21"/>
      <c r="I26" s="21"/>
      <c r="J26" s="28"/>
      <c r="K26" s="31" t="str">
        <f t="shared" si="1"/>
        <v>-4.1333%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8">
        <v>1000.0</v>
      </c>
      <c r="B27" s="18">
        <v>100.0</v>
      </c>
      <c r="C27" s="18">
        <v>4.0</v>
      </c>
      <c r="D27" s="19" t="str">
        <f>IFERROR(__xludf.DUMMYFUNCTION("DMAX({{Data!$A$1:$M$1};filter(Data!$A$2:$M1000,Data!$A$2:$A1000=$A27 , Data!$B$2:$B1000 = $B27,Data!$C$2:$C1000 = $C27, Data!$D$2:$D1000 = D$1, Data!$E$2:$E1000 = D$2 )},$K$2  , $Q$22:$Q$23)"),"3411.090909")</f>
        <v>3411.090909</v>
      </c>
      <c r="E27" s="19" t="str">
        <f>IFERROR(__xludf.DUMMYFUNCTION("DMAX({{Data!$A$1:$M$1};filter(Data!$A$2:$M1000,Data!$A$2:$A1000=$A27 , Data!$B$2:$B1000 = $B27,Data!$C$2:$C1000 = $C27, Data!$D$2:$D1000 = E$1, Data!$E$2:$E1000 = E$2 )},$K$2  , $Q$22:$Q$23)"),"3551.75")</f>
        <v>3551.75</v>
      </c>
      <c r="F27" s="21"/>
      <c r="G27" s="21"/>
      <c r="H27" s="21"/>
      <c r="I27" s="21"/>
      <c r="J27" s="28"/>
      <c r="K27" s="31" t="str">
        <f t="shared" si="1"/>
        <v>-3.9603%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8">
        <v>1000.0</v>
      </c>
      <c r="B28" s="18">
        <v>100.0</v>
      </c>
      <c r="C28" s="18">
        <v>5.0</v>
      </c>
      <c r="D28" s="19" t="str">
        <f>IFERROR(__xludf.DUMMYFUNCTION("DMAX({{Data!$A$1:$M$1};filter(Data!$A$2:$M1000,Data!$A$2:$A1000=$A28 , Data!$B$2:$B1000 = $B28,Data!$C$2:$C1000 = $C28, Data!$D$2:$D1000 = D$1, Data!$E$2:$E1000 = D$2 )},$K$2  , $Q$22:$Q$23)"),"3398.037037")</f>
        <v>3398.037037</v>
      </c>
      <c r="E28" s="19" t="str">
        <f>IFERROR(__xludf.DUMMYFUNCTION("DMAX({{Data!$A$1:$M$1};filter(Data!$A$2:$M1000,Data!$A$2:$A1000=$A28 , Data!$B$2:$B1000 = $B28,Data!$C$2:$C1000 = $C28, Data!$D$2:$D1000 = E$1, Data!$E$2:$E1000 = E$2 )},$K$2  , $Q$22:$Q$23)"),"3502.875")</f>
        <v>3502.875</v>
      </c>
      <c r="F28" s="21"/>
      <c r="G28" s="21"/>
      <c r="H28" s="21"/>
      <c r="I28" s="21"/>
      <c r="J28" s="28"/>
      <c r="K28" s="31" t="str">
        <f t="shared" si="1"/>
        <v>-2.9929%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8"/>
      <c r="B29" s="28"/>
      <c r="C29" s="28"/>
      <c r="D29" s="15"/>
      <c r="E29" s="13"/>
      <c r="F29" s="13"/>
      <c r="G29" s="13"/>
      <c r="H29" s="28"/>
      <c r="I29" s="28"/>
      <c r="J29" s="28"/>
      <c r="K29" s="2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3"/>
      <c r="B32" s="15"/>
      <c r="C32" s="15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9"/>
      <c r="B33" s="29"/>
      <c r="C33" s="29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8.86"/>
    <col hidden="1" min="6" max="10"/>
  </cols>
  <sheetData>
    <row r="1">
      <c r="C1" s="10" t="s">
        <v>19</v>
      </c>
      <c r="D1" s="11" t="str">
        <f>IFERROR(__xludf.DUMMYFUNCTION("TRANSPOSE(UNIQUE(Data!D2:E1000))"),"basic")</f>
        <v>basic</v>
      </c>
      <c r="E1" s="12" t="s">
        <v>17</v>
      </c>
      <c r="F1" s="13"/>
      <c r="G1" s="13"/>
      <c r="H1" s="13"/>
      <c r="I1" s="13"/>
      <c r="J1" s="13"/>
      <c r="K1" s="14" t="s">
        <v>29</v>
      </c>
      <c r="L1" s="13"/>
      <c r="M1" s="13"/>
      <c r="N1" s="13"/>
      <c r="O1" s="13"/>
      <c r="P1" s="13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C2" s="10" t="s">
        <v>20</v>
      </c>
      <c r="D2" s="11" t="s">
        <v>16</v>
      </c>
      <c r="E2" s="12" t="s">
        <v>16</v>
      </c>
      <c r="F2" s="13"/>
      <c r="G2" s="13"/>
      <c r="H2" s="13"/>
      <c r="I2" s="13"/>
      <c r="J2" s="13"/>
      <c r="K2" s="14" t="s">
        <v>7</v>
      </c>
      <c r="L2" s="13"/>
      <c r="M2" s="13"/>
      <c r="N2" s="13"/>
      <c r="O2" s="13"/>
      <c r="P2" s="13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0" t="s">
        <v>0</v>
      </c>
      <c r="B3" s="10" t="s">
        <v>1</v>
      </c>
      <c r="C3" s="10" t="s">
        <v>2</v>
      </c>
      <c r="D3" s="16"/>
      <c r="E3" s="16"/>
      <c r="F3" s="14" t="s">
        <v>27</v>
      </c>
      <c r="G3" s="15"/>
      <c r="H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8" t="str">
        <f>IFERROR(__xludf.DUMMYFUNCTION("UNIQUE(Data!A2:C1000)"),"1000")</f>
        <v>1000</v>
      </c>
      <c r="B4" s="18">
        <v>1.0</v>
      </c>
      <c r="C4" s="18">
        <v>1.0</v>
      </c>
      <c r="D4" s="20" t="str">
        <f>IFERROR(__xludf.DUMMYFUNCTION("(DMAX({{Data!$A$1:$M$1};filter(Data!$A$2:$M1000,Data!$A$2:$A1000=$A4 , Data!$B$2:$B1000 = $B4,Data!$C$2:$C1000 = $C4, Data!$D$2:$D1000 = D$1, Data!$E$2:$E1000 = D$2 )},$K$2  , $Q$22:$Q$23))"),"210176")</f>
        <v>210176</v>
      </c>
      <c r="E4" s="41" t="str">
        <f>IFERROR(__xludf.DUMMYFUNCTION("(DMAX({{Data!$A$1:$M$1};filter(Data!$A$2:$M1000,Data!$A$2:$A1000=$A4 , Data!$B$2:$B1000 = $B4,Data!$C$2:$C1000 = $C4, Data!$D$2:$D1000 = E$1, Data!$E$2:$E1000 = E$2 )},$K$2  , $Q$22:$Q$23))"),"210187")</f>
        <v>210187</v>
      </c>
      <c r="F4" s="28" t="str">
        <f t="shared" ref="F4:F28" si="1">MAX(D4:E4)</f>
        <v>210187</v>
      </c>
      <c r="G4" s="28"/>
      <c r="H4" s="28"/>
      <c r="J4" s="21"/>
      <c r="K4" s="21"/>
      <c r="L4" s="21"/>
      <c r="M4" s="21"/>
      <c r="N4" s="21"/>
      <c r="O4" s="2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8">
        <v>1000.0</v>
      </c>
      <c r="B5" s="18">
        <v>1.0</v>
      </c>
      <c r="C5" s="18">
        <v>2.0</v>
      </c>
      <c r="D5" s="20" t="str">
        <f>IFERROR(__xludf.DUMMYFUNCTION("(DMAX({{Data!$A$1:$M$1};filter(Data!$A$2:$M1000,Data!$A$2:$A1000=$A5 , Data!$B$2:$B1000 = $B5,Data!$C$2:$C1000 = $C5, Data!$D$2:$D1000 = D$1, Data!$E$2:$E1000 = D$2 )},$K$2  , $Q$22:$Q$23))"),"206079")</f>
        <v>206079</v>
      </c>
      <c r="E5" s="41" t="str">
        <f>IFERROR(__xludf.DUMMYFUNCTION("(DMAX({{Data!$A$1:$M$1};filter(Data!$A$2:$M1000,Data!$A$2:$A1000=$A5 , Data!$B$2:$B1000 = $B5,Data!$C$2:$C1000 = $C5, Data!$D$2:$D1000 = E$1, Data!$E$2:$E1000 = E$2 )},$K$2  , $Q$22:$Q$23))"),"206514")</f>
        <v>206514</v>
      </c>
      <c r="F5" s="28" t="str">
        <f t="shared" si="1"/>
        <v>206514</v>
      </c>
      <c r="G5" s="28"/>
      <c r="H5" s="28"/>
      <c r="J5" s="21"/>
      <c r="K5" s="21"/>
      <c r="L5" s="21"/>
      <c r="M5" s="21"/>
      <c r="N5" s="21"/>
      <c r="O5" s="2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8">
        <v>1000.0</v>
      </c>
      <c r="B6" s="18">
        <v>1.0</v>
      </c>
      <c r="C6" s="18">
        <v>3.0</v>
      </c>
      <c r="D6" s="20" t="str">
        <f>IFERROR(__xludf.DUMMYFUNCTION("(DMAX({{Data!$A$1:$M$1};filter(Data!$A$2:$M1000,Data!$A$2:$A1000=$A6 , Data!$B$2:$B1000 = $B6,Data!$C$2:$C1000 = $C6, Data!$D$2:$D1000 = D$1, Data!$E$2:$E1000 = D$2 )},$K$2  , $Q$22:$Q$23))"),"204650")</f>
        <v>204650</v>
      </c>
      <c r="E6" s="41" t="str">
        <f>IFERROR(__xludf.DUMMYFUNCTION("(DMAX({{Data!$A$1:$M$1};filter(Data!$A$2:$M1000,Data!$A$2:$A1000=$A6 , Data!$B$2:$B1000 = $B6,Data!$C$2:$C1000 = $C6, Data!$D$2:$D1000 = E$1, Data!$E$2:$E1000 = E$2 )},$K$2  , $Q$22:$Q$23))"),"205006")</f>
        <v>205006</v>
      </c>
      <c r="F6" s="28" t="str">
        <f t="shared" si="1"/>
        <v>205006</v>
      </c>
      <c r="G6" s="28"/>
      <c r="H6" s="28"/>
      <c r="J6" s="21"/>
      <c r="K6" s="21"/>
      <c r="L6" s="21"/>
      <c r="M6" s="21"/>
      <c r="N6" s="21"/>
      <c r="O6" s="2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8">
        <v>1000.0</v>
      </c>
      <c r="B7" s="18">
        <v>1.0</v>
      </c>
      <c r="C7" s="18">
        <v>4.0</v>
      </c>
      <c r="D7" s="20" t="str">
        <f>IFERROR(__xludf.DUMMYFUNCTION("(DMAX({{Data!$A$1:$M$1};filter(Data!$A$2:$M1000,Data!$A$2:$A1000=$A7 , Data!$B$2:$B1000 = $B7,Data!$C$2:$C1000 = $C7, Data!$D$2:$D1000 = D$1, Data!$E$2:$E1000 = D$2 )},$K$2  , $Q$22:$Q$23))"),"213649")</f>
        <v>213649</v>
      </c>
      <c r="E7" s="41" t="str">
        <f>IFERROR(__xludf.DUMMYFUNCTION("(DMAX({{Data!$A$1:$M$1};filter(Data!$A$2:$M1000,Data!$A$2:$A1000=$A7 , Data!$B$2:$B1000 = $B7,Data!$C$2:$C1000 = $C7, Data!$D$2:$D1000 = E$1, Data!$E$2:$E1000 = E$2 )},$K$2  , $Q$22:$Q$23))"),"213473")</f>
        <v>213473</v>
      </c>
      <c r="F7" s="28" t="str">
        <f t="shared" si="1"/>
        <v>213649</v>
      </c>
      <c r="G7" s="28"/>
      <c r="H7" s="28"/>
      <c r="J7" s="21"/>
      <c r="K7" s="21"/>
      <c r="L7" s="21"/>
      <c r="M7" s="21"/>
      <c r="N7" s="21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2">
        <v>1000.0</v>
      </c>
      <c r="B8" s="22">
        <v>1.0</v>
      </c>
      <c r="C8" s="22">
        <v>5.0</v>
      </c>
      <c r="D8" s="20" t="str">
        <f>IFERROR(__xludf.DUMMYFUNCTION("(DMAX({{Data!$A$1:$M$1};filter(Data!$A$2:$M1000,Data!$A$2:$A1000=$A8 , Data!$B$2:$B1000 = $B8,Data!$C$2:$C1000 = $C8, Data!$D$2:$D1000 = D$1, Data!$E$2:$E1000 = D$2 )},$K$2  , $Q$22:$Q$23))"),"211565")</f>
        <v>211565</v>
      </c>
      <c r="E8" s="41" t="str">
        <f>IFERROR(__xludf.DUMMYFUNCTION("(DMAX({{Data!$A$1:$M$1};filter(Data!$A$2:$M1000,Data!$A$2:$A1000=$A8 , Data!$B$2:$B1000 = $B8,Data!$C$2:$C1000 = $C8, Data!$D$2:$D1000 = E$1, Data!$E$2:$E1000 = E$2 )},$K$2  , $Q$22:$Q$23))"),"211464")</f>
        <v>211464</v>
      </c>
      <c r="F8" s="28" t="str">
        <f t="shared" si="1"/>
        <v>211565</v>
      </c>
      <c r="G8" s="28"/>
      <c r="H8" s="28"/>
      <c r="J8" s="21"/>
      <c r="K8" s="21"/>
      <c r="L8" s="21"/>
      <c r="M8" s="21"/>
      <c r="N8" s="21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8">
        <v>1000.0</v>
      </c>
      <c r="B9" s="18">
        <v>5.0</v>
      </c>
      <c r="C9" s="18">
        <v>1.0</v>
      </c>
      <c r="D9" s="20" t="str">
        <f>IFERROR(__xludf.DUMMYFUNCTION("(DMAX({{Data!$A$1:$M$1};filter(Data!$A$2:$M1000,Data!$A$2:$A1000=$A9 , Data!$B$2:$B1000 = $B9,Data!$C$2:$C1000 = $C9, Data!$D$2:$D1000 = D$1, Data!$E$2:$E1000 = D$2 )},$K$2  , $Q$22:$Q$23))"),"858342")</f>
        <v>858342</v>
      </c>
      <c r="E9" s="41" t="str">
        <f>IFERROR(__xludf.DUMMYFUNCTION("(DMAX({{Data!$A$1:$M$1};filter(Data!$A$2:$M1000,Data!$A$2:$A1000=$A9 , Data!$B$2:$B1000 = $B9,Data!$C$2:$C1000 = $C9, Data!$D$2:$D1000 = E$1, Data!$E$2:$E1000 = E$2 )},$K$2  , $Q$22:$Q$23))"),"858115")</f>
        <v>858115</v>
      </c>
      <c r="F9" s="28" t="str">
        <f t="shared" si="1"/>
        <v>858342</v>
      </c>
      <c r="G9" s="28"/>
      <c r="H9" s="28"/>
      <c r="J9" s="21"/>
      <c r="K9" s="21"/>
      <c r="L9" s="21"/>
      <c r="M9" s="21"/>
      <c r="N9" s="21"/>
      <c r="O9" s="2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5">
        <v>1000.0</v>
      </c>
      <c r="B10" s="25">
        <v>5.0</v>
      </c>
      <c r="C10" s="25">
        <v>2.0</v>
      </c>
      <c r="D10" s="20" t="str">
        <f>IFERROR(__xludf.DUMMYFUNCTION("(DMAX({{Data!$A$1:$M$1};filter(Data!$A$2:$M1000,Data!$A$2:$A1000=$A10 , Data!$B$2:$B1000 = $B10,Data!$C$2:$C1000 = $C10, Data!$D$2:$D1000 = D$1, Data!$E$2:$E1000 = D$2 )},$K$2  , $Q$22:$Q$23))"),"861793")</f>
        <v>861793</v>
      </c>
      <c r="E10" s="41" t="str">
        <f>IFERROR(__xludf.DUMMYFUNCTION("(DMAX({{Data!$A$1:$M$1};filter(Data!$A$2:$M1000,Data!$A$2:$A1000=$A10 , Data!$B$2:$B1000 = $B10,Data!$C$2:$C1000 = $C10, Data!$D$2:$D1000 = E$1, Data!$E$2:$E1000 = E$2 )},$K$2  , $Q$22:$Q$23))"),"863748")</f>
        <v>863748</v>
      </c>
      <c r="F10" s="28" t="str">
        <f t="shared" si="1"/>
        <v>863748</v>
      </c>
      <c r="G10" s="28"/>
      <c r="H10" s="28"/>
      <c r="J10" s="21"/>
      <c r="K10" s="21"/>
      <c r="L10" s="21"/>
      <c r="M10" s="21"/>
      <c r="N10" s="21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8">
        <v>1000.0</v>
      </c>
      <c r="B11" s="18">
        <v>5.0</v>
      </c>
      <c r="C11" s="18">
        <v>3.0</v>
      </c>
      <c r="D11" s="20" t="str">
        <f>IFERROR(__xludf.DUMMYFUNCTION("(DMAX({{Data!$A$1:$M$1};filter(Data!$A$2:$M1000,Data!$A$2:$A1000=$A11 , Data!$B$2:$B1000 = $B11,Data!$C$2:$C1000 = $C11, Data!$D$2:$D1000 = D$1, Data!$E$2:$E1000 = D$2 )},$K$2  , $Q$22:$Q$23))"),"866792")</f>
        <v>866792</v>
      </c>
      <c r="E11" s="41" t="str">
        <f>IFERROR(__xludf.DUMMYFUNCTION("(DMAX({{Data!$A$1:$M$1};filter(Data!$A$2:$M1000,Data!$A$2:$A1000=$A11 , Data!$B$2:$B1000 = $B11,Data!$C$2:$C1000 = $C11, Data!$D$2:$D1000 = E$1, Data!$E$2:$E1000 = E$2 )},$K$2  , $Q$22:$Q$23))"),"869682")</f>
        <v>869682</v>
      </c>
      <c r="F11" s="28" t="str">
        <f t="shared" si="1"/>
        <v>869682</v>
      </c>
      <c r="G11" s="28"/>
      <c r="H11" s="28"/>
      <c r="J11" s="21"/>
      <c r="K11" s="21"/>
      <c r="L11" s="21"/>
      <c r="M11" s="21"/>
      <c r="N11" s="21"/>
      <c r="O11" s="2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8">
        <v>1000.0</v>
      </c>
      <c r="B12" s="18">
        <v>5.0</v>
      </c>
      <c r="C12" s="18">
        <v>4.0</v>
      </c>
      <c r="D12" s="20" t="str">
        <f>IFERROR(__xludf.DUMMYFUNCTION("(DMAX({{Data!$A$1:$M$1};filter(Data!$A$2:$M1000,Data!$A$2:$A1000=$A12 , Data!$B$2:$B1000 = $B12,Data!$C$2:$C1000 = $C12, Data!$D$2:$D1000 = D$1, Data!$E$2:$E1000 = D$2 )},$K$2  , $Q$22:$Q$23))"),"866732")</f>
        <v>866732</v>
      </c>
      <c r="E12" s="41" t="str">
        <f>IFERROR(__xludf.DUMMYFUNCTION("(DMAX({{Data!$A$1:$M$1};filter(Data!$A$2:$M1000,Data!$A$2:$A1000=$A12 , Data!$B$2:$B1000 = $B12,Data!$C$2:$C1000 = $C12, Data!$D$2:$D1000 = E$1, Data!$E$2:$E1000 = E$2 )},$K$2  , $Q$22:$Q$23))"),"867754")</f>
        <v>867754</v>
      </c>
      <c r="F12" s="28" t="str">
        <f t="shared" si="1"/>
        <v>867754</v>
      </c>
      <c r="G12" s="28"/>
      <c r="H12" s="28"/>
      <c r="J12" s="21"/>
      <c r="K12" s="21"/>
      <c r="L12" s="21"/>
      <c r="M12" s="21"/>
      <c r="N12" s="21"/>
      <c r="O12" s="2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8">
        <v>1000.0</v>
      </c>
      <c r="B13" s="18">
        <v>5.0</v>
      </c>
      <c r="C13" s="18">
        <v>5.0</v>
      </c>
      <c r="D13" s="20" t="str">
        <f>IFERROR(__xludf.DUMMYFUNCTION("(DMAX({{Data!$A$1:$M$1};filter(Data!$A$2:$M1000,Data!$A$2:$A1000=$A13 , Data!$B$2:$B1000 = $B13,Data!$C$2:$C1000 = $C13, Data!$D$2:$D1000 = D$1, Data!$E$2:$E1000 = D$2 )},$K$2  , $Q$22:$Q$23))"),"860732")</f>
        <v>860732</v>
      </c>
      <c r="E13" s="41" t="str">
        <f>IFERROR(__xludf.DUMMYFUNCTION("(DMAX({{Data!$A$1:$M$1};filter(Data!$A$2:$M1000,Data!$A$2:$A1000=$A13 , Data!$B$2:$B1000 = $B13,Data!$C$2:$C1000 = $C13, Data!$D$2:$D1000 = E$1, Data!$E$2:$E1000 = E$2 )},$K$2  , $Q$22:$Q$23))"),"862624")</f>
        <v>862624</v>
      </c>
      <c r="F13" s="28" t="str">
        <f t="shared" si="1"/>
        <v>862624</v>
      </c>
      <c r="G13" s="28"/>
      <c r="H13" s="28"/>
      <c r="J13" s="21"/>
      <c r="K13" s="21"/>
      <c r="L13" s="21"/>
      <c r="M13" s="21"/>
      <c r="N13" s="21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8">
        <v>1000.0</v>
      </c>
      <c r="B14" s="18">
        <v>10.0</v>
      </c>
      <c r="C14" s="18">
        <v>1.0</v>
      </c>
      <c r="D14" s="20" t="str">
        <f>IFERROR(__xludf.DUMMYFUNCTION("(DMAX({{Data!$A$1:$M$1};filter(Data!$A$2:$M1000,Data!$A$2:$A1000=$A14 , Data!$B$2:$B1000 = $B14,Data!$C$2:$C1000 = $C14, Data!$D$2:$D1000 = D$1, Data!$E$2:$E1000 = D$2 )},$K$2  , $Q$22:$Q$23))"),"1609855")</f>
        <v>1609855</v>
      </c>
      <c r="E14" s="41" t="str">
        <f>IFERROR(__xludf.DUMMYFUNCTION("(DMAX({{Data!$A$1:$M$1};filter(Data!$A$2:$M1000,Data!$A$2:$A1000=$A14 , Data!$B$2:$B1000 = $B14,Data!$C$2:$C1000 = $C14, Data!$D$2:$D1000 = E$1, Data!$E$2:$E1000 = E$2 )},$K$2  , $Q$22:$Q$23))"),"1609312")</f>
        <v>1609312</v>
      </c>
      <c r="F14" s="28" t="str">
        <f t="shared" si="1"/>
        <v>1609855</v>
      </c>
      <c r="G14" s="28"/>
      <c r="H14" s="28"/>
      <c r="J14" s="21"/>
      <c r="K14" s="21"/>
      <c r="L14" s="21"/>
      <c r="M14" s="21"/>
      <c r="N14" s="21"/>
      <c r="O14" s="2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8">
        <v>1000.0</v>
      </c>
      <c r="B15" s="18">
        <v>10.0</v>
      </c>
      <c r="C15" s="18">
        <v>2.0</v>
      </c>
      <c r="D15" s="20" t="str">
        <f>IFERROR(__xludf.DUMMYFUNCTION("(DMAX({{Data!$A$1:$M$1};filter(Data!$A$2:$M1000,Data!$A$2:$A1000=$A15 , Data!$B$2:$B1000 = $B15,Data!$C$2:$C1000 = $C15, Data!$D$2:$D1000 = D$1, Data!$E$2:$E1000 = D$2 )},$K$2  , $Q$22:$Q$23))"),"1628761")</f>
        <v>1628761</v>
      </c>
      <c r="E15" s="41" t="str">
        <f>IFERROR(__xludf.DUMMYFUNCTION("(DMAX({{Data!$A$1:$M$1};filter(Data!$A$2:$M1000,Data!$A$2:$A1000=$A15 , Data!$B$2:$B1000 = $B15,Data!$C$2:$C1000 = $C15, Data!$D$2:$D1000 = E$1, Data!$E$2:$E1000 = E$2 )},$K$2  , $Q$22:$Q$23))"),"1628535")</f>
        <v>1628535</v>
      </c>
      <c r="F15" s="28" t="str">
        <f t="shared" si="1"/>
        <v>1628761</v>
      </c>
      <c r="G15" s="28"/>
      <c r="H15" s="28"/>
      <c r="J15" s="21"/>
      <c r="K15" s="21"/>
      <c r="L15" s="21"/>
      <c r="M15" s="21"/>
      <c r="N15" s="21"/>
      <c r="O15" s="2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8">
        <v>1000.0</v>
      </c>
      <c r="B16" s="18">
        <v>10.0</v>
      </c>
      <c r="C16" s="18">
        <v>3.0</v>
      </c>
      <c r="D16" s="20" t="str">
        <f>IFERROR(__xludf.DUMMYFUNCTION("(DMAX({{Data!$A$1:$M$1};filter(Data!$A$2:$M1000,Data!$A$2:$A1000=$A16 , Data!$B$2:$B1000 = $B16,Data!$C$2:$C1000 = $C16, Data!$D$2:$D1000 = D$1, Data!$E$2:$E1000 = D$2 )},$K$2  , $Q$22:$Q$23))"),"1628480")</f>
        <v>1628480</v>
      </c>
      <c r="E16" s="41" t="str">
        <f>IFERROR(__xludf.DUMMYFUNCTION("(DMAX({{Data!$A$1:$M$1};filter(Data!$A$2:$M1000,Data!$A$2:$A1000=$A16 , Data!$B$2:$B1000 = $B16,Data!$C$2:$C1000 = $C16, Data!$D$2:$D1000 = E$1, Data!$E$2:$E1000 = E$2 )},$K$2  , $Q$22:$Q$23))"),"1630108")</f>
        <v>1630108</v>
      </c>
      <c r="F16" s="28" t="str">
        <f t="shared" si="1"/>
        <v>1630108</v>
      </c>
      <c r="G16" s="28"/>
      <c r="H16" s="28"/>
      <c r="J16" s="21"/>
      <c r="K16" s="21"/>
      <c r="L16" s="21"/>
      <c r="M16" s="21"/>
      <c r="N16" s="21"/>
      <c r="O16" s="2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8">
        <v>1000.0</v>
      </c>
      <c r="B17" s="18">
        <v>10.0</v>
      </c>
      <c r="C17" s="18">
        <v>4.0</v>
      </c>
      <c r="D17" s="20" t="str">
        <f>IFERROR(__xludf.DUMMYFUNCTION("(DMAX({{Data!$A$1:$M$1};filter(Data!$A$2:$M1000,Data!$A$2:$A1000=$A17 , Data!$B$2:$B1000 = $B17,Data!$C$2:$C1000 = $C17, Data!$D$2:$D1000 = D$1, Data!$E$2:$E1000 = D$2 )},$K$2  , $Q$22:$Q$23))"),"1623657")</f>
        <v>1623657</v>
      </c>
      <c r="E17" s="41" t="str">
        <f>IFERROR(__xludf.DUMMYFUNCTION("(DMAX({{Data!$A$1:$M$1};filter(Data!$A$2:$M1000,Data!$A$2:$A1000=$A17 , Data!$B$2:$B1000 = $B17,Data!$C$2:$C1000 = $C17, Data!$D$2:$D1000 = E$1, Data!$E$2:$E1000 = E$2 )},$K$2  , $Q$22:$Q$23))"),"1624521")</f>
        <v>1624521</v>
      </c>
      <c r="F17" s="28" t="str">
        <f t="shared" si="1"/>
        <v>1624521</v>
      </c>
      <c r="G17" s="28"/>
      <c r="H17" s="28"/>
      <c r="J17" s="21"/>
      <c r="K17" s="21"/>
      <c r="L17" s="21"/>
      <c r="M17" s="21"/>
      <c r="N17" s="21"/>
      <c r="O17" s="2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8">
        <v>1000.0</v>
      </c>
      <c r="B18" s="18">
        <v>10.0</v>
      </c>
      <c r="C18" s="18">
        <v>5.0</v>
      </c>
      <c r="D18" s="20" t="str">
        <f>IFERROR(__xludf.DUMMYFUNCTION("(DMAX({{Data!$A$1:$M$1};filter(Data!$A$2:$M1000,Data!$A$2:$A1000=$A18 , Data!$B$2:$B1000 = $B18,Data!$C$2:$C1000 = $C18, Data!$D$2:$D1000 = D$1, Data!$E$2:$E1000 = D$2 )},$K$2  , $Q$22:$Q$23))"),"1622778")</f>
        <v>1622778</v>
      </c>
      <c r="E18" s="41" t="str">
        <f>IFERROR(__xludf.DUMMYFUNCTION("(DMAX({{Data!$A$1:$M$1};filter(Data!$A$2:$M1000,Data!$A$2:$A1000=$A18 , Data!$B$2:$B1000 = $B18,Data!$C$2:$C1000 = $C18, Data!$D$2:$D1000 = E$1, Data!$E$2:$E1000 = E$2 )},$K$2  , $Q$22:$Q$23))"),"1623760")</f>
        <v>1623760</v>
      </c>
      <c r="F18" s="28" t="str">
        <f t="shared" si="1"/>
        <v>1623760</v>
      </c>
      <c r="G18" s="28"/>
      <c r="H18" s="28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">
        <v>1000.0</v>
      </c>
      <c r="B19" s="11">
        <v>50.0</v>
      </c>
      <c r="C19" s="11">
        <v>1.0</v>
      </c>
      <c r="D19" s="20" t="str">
        <f>IFERROR(__xludf.DUMMYFUNCTION("(DMAX({{Data!$A$1:$M$1};filter(Data!$A$2:$M1000,Data!$A$2:$A1000=$A19 , Data!$B$2:$B1000 = $B19,Data!$C$2:$C1000 = $C19, Data!$D$2:$D1000 = D$1, Data!$E$2:$E1000 = D$2 )},$K$2  , $Q$22:$Q$23))"),"8078180")</f>
        <v>8078180</v>
      </c>
      <c r="E19" s="41" t="str">
        <f>IFERROR(__xludf.DUMMYFUNCTION("(DMAX({{Data!$A$1:$M$1};filter(Data!$A$2:$M1000,Data!$A$2:$A1000=$A19 , Data!$B$2:$B1000 = $B19,Data!$C$2:$C1000 = $C19, Data!$D$2:$D1000 = E$1, Data!$E$2:$E1000 = E$2 )},$K$2  , $Q$22:$Q$23))"),"8081307")</f>
        <v>8081307</v>
      </c>
      <c r="F19" s="28" t="str">
        <f t="shared" si="1"/>
        <v>8081307</v>
      </c>
      <c r="G19" s="28"/>
      <c r="H19" s="28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6">
        <v>1000.0</v>
      </c>
      <c r="B20" s="26">
        <v>50.0</v>
      </c>
      <c r="C20" s="26">
        <v>2.0</v>
      </c>
      <c r="D20" s="20" t="str">
        <f>IFERROR(__xludf.DUMMYFUNCTION("(DMAX({{Data!$A$1:$M$1};filter(Data!$A$2:$M1000,Data!$A$2:$A1000=$A20 , Data!$B$2:$B1000 = $B20,Data!$C$2:$C1000 = $C20, Data!$D$2:$D1000 = D$1, Data!$E$2:$E1000 = D$2 )},$K$2  , $Q$22:$Q$23))"),"8075184")</f>
        <v>8075184</v>
      </c>
      <c r="E20" s="41" t="str">
        <f>IFERROR(__xludf.DUMMYFUNCTION("(DMAX({{Data!$A$1:$M$1};filter(Data!$A$2:$M1000,Data!$A$2:$A1000=$A20 , Data!$B$2:$B1000 = $B20,Data!$C$2:$C1000 = $C20, Data!$D$2:$D1000 = E$1, Data!$E$2:$E1000 = E$2 )},$K$2  , $Q$22:$Q$23))"),"8074676")</f>
        <v>8074676</v>
      </c>
      <c r="F20" s="28" t="str">
        <f t="shared" si="1"/>
        <v>8075184</v>
      </c>
      <c r="G20" s="28"/>
      <c r="H20" s="28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26">
        <v>1000.0</v>
      </c>
      <c r="B21" s="26">
        <v>50.0</v>
      </c>
      <c r="C21" s="26">
        <v>3.0</v>
      </c>
      <c r="D21" s="20" t="str">
        <f>IFERROR(__xludf.DUMMYFUNCTION("(DMAX({{Data!$A$1:$M$1};filter(Data!$A$2:$M1000,Data!$A$2:$A1000=$A21 , Data!$B$2:$B1000 = $B21,Data!$C$2:$C1000 = $C21, Data!$D$2:$D1000 = D$1, Data!$E$2:$E1000 = D$2 )},$K$2  , $Q$22:$Q$23))"),"8074928")</f>
        <v>8074928</v>
      </c>
      <c r="E21" s="41" t="str">
        <f>IFERROR(__xludf.DUMMYFUNCTION("(DMAX({{Data!$A$1:$M$1};filter(Data!$A$2:$M1000,Data!$A$2:$A1000=$A21 , Data!$B$2:$B1000 = $B21,Data!$C$2:$C1000 = $C21, Data!$D$2:$D1000 = E$1, Data!$E$2:$E1000 = E$2 )},$K$2  , $Q$22:$Q$23))"),"8074305")</f>
        <v>8074305</v>
      </c>
      <c r="F21" s="28" t="str">
        <f t="shared" si="1"/>
        <v>8074928</v>
      </c>
      <c r="G21" s="28"/>
      <c r="H21" s="28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8">
        <v>1000.0</v>
      </c>
      <c r="B22" s="26">
        <v>50.0</v>
      </c>
      <c r="C22" s="26">
        <v>4.0</v>
      </c>
      <c r="D22" s="20" t="str">
        <f>IFERROR(__xludf.DUMMYFUNCTION("(DMAX({{Data!$A$1:$M$1};filter(Data!$A$2:$M1000,Data!$A$2:$A1000=$A22 , Data!$B$2:$B1000 = $B22,Data!$C$2:$C1000 = $C22, Data!$D$2:$D1000 = D$1, Data!$E$2:$E1000 = D$2 )},$K$2  , $Q$22:$Q$23))"),"8077253")</f>
        <v>8077253</v>
      </c>
      <c r="E22" s="41" t="str">
        <f>IFERROR(__xludf.DUMMYFUNCTION("(DMAX({{Data!$A$1:$M$1};filter(Data!$A$2:$M1000,Data!$A$2:$A1000=$A22 , Data!$B$2:$B1000 = $B22,Data!$C$2:$C1000 = $C22, Data!$D$2:$D1000 = E$1, Data!$E$2:$E1000 = E$2 )},$K$2  , $Q$22:$Q$23))"),"8073911")</f>
        <v>8073911</v>
      </c>
      <c r="F22" s="28" t="str">
        <f t="shared" si="1"/>
        <v>8077253</v>
      </c>
      <c r="G22" s="28"/>
      <c r="H22" s="28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6">
        <v>1000.0</v>
      </c>
      <c r="B23" s="26">
        <v>50.0</v>
      </c>
      <c r="C23" s="26">
        <v>5.0</v>
      </c>
      <c r="D23" s="20" t="str">
        <f>IFERROR(__xludf.DUMMYFUNCTION("(DMAX({{Data!$A$1:$M$1};filter(Data!$A$2:$M1000,Data!$A$2:$A1000=$A23 , Data!$B$2:$B1000 = $B23,Data!$C$2:$C1000 = $C23, Data!$D$2:$D1000 = D$1, Data!$E$2:$E1000 = D$2 )},$K$2  , $Q$22:$Q$23))"),"8075990")</f>
        <v>8075990</v>
      </c>
      <c r="E23" s="41" t="str">
        <f>IFERROR(__xludf.DUMMYFUNCTION("(DMAX({{Data!$A$1:$M$1};filter(Data!$A$2:$M1000,Data!$A$2:$A1000=$A23 , Data!$B$2:$B1000 = $B23,Data!$C$2:$C1000 = $C23, Data!$D$2:$D1000 = E$1, Data!$E$2:$E1000 = E$2 )},$K$2  , $Q$22:$Q$23))"),"8077547")</f>
        <v>8077547</v>
      </c>
      <c r="F23" s="28" t="str">
        <f t="shared" si="1"/>
        <v>8077547</v>
      </c>
      <c r="G23" s="28"/>
      <c r="H23" s="28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>
        <v>1000.0</v>
      </c>
      <c r="B24" s="11">
        <v>100.0</v>
      </c>
      <c r="C24" s="11">
        <v>1.0</v>
      </c>
      <c r="D24" s="20" t="str">
        <f>IFERROR(__xludf.DUMMYFUNCTION("(DMAX({{Data!$A$1:$M$1};filter(Data!$A$2:$M1000,Data!$A$2:$A1000=$A24 , Data!$B$2:$B1000 = $B24,Data!$C$2:$C1000 = $C24, Data!$D$2:$D1000 = D$1, Data!$E$2:$E1000 = D$2 )},$K$2  , $Q$22:$Q$23))"),"25773541")</f>
        <v>25773541</v>
      </c>
      <c r="E24" s="41" t="str">
        <f>IFERROR(__xludf.DUMMYFUNCTION("(DMAX({{Data!$A$1:$M$1};filter(Data!$A$2:$M1000,Data!$A$2:$A1000=$A24 , Data!$B$2:$B1000 = $B24,Data!$C$2:$C1000 = $C24, Data!$D$2:$D1000 = E$1, Data!$E$2:$E1000 = E$2 )},$K$2  , $Q$22:$Q$23))"),"25767637")</f>
        <v>25767637</v>
      </c>
      <c r="F24" s="28" t="str">
        <f t="shared" si="1"/>
        <v>25773541</v>
      </c>
      <c r="G24" s="28"/>
      <c r="H24" s="28"/>
      <c r="J24" s="13"/>
      <c r="K24" s="1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8">
        <v>1000.0</v>
      </c>
      <c r="B25" s="27">
        <v>100.0</v>
      </c>
      <c r="C25" s="18">
        <v>2.0</v>
      </c>
      <c r="D25" s="20" t="str">
        <f>IFERROR(__xludf.DUMMYFUNCTION("(DMAX({{Data!$A$1:$M$1};filter(Data!$A$2:$M1000,Data!$A$2:$A1000=$A25 , Data!$B$2:$B1000 = $B25,Data!$C$2:$C1000 = $C25, Data!$D$2:$D1000 = D$1, Data!$E$2:$E1000 = D$2 )},$K$2  , $Q$22:$Q$23))"),"25773517")</f>
        <v>25773517</v>
      </c>
      <c r="E25" s="41" t="str">
        <f>IFERROR(__xludf.DUMMYFUNCTION("(DMAX({{Data!$A$1:$M$1};filter(Data!$A$2:$M1000,Data!$A$2:$A1000=$A25 , Data!$B$2:$B1000 = $B25,Data!$C$2:$C1000 = $C25, Data!$D$2:$D1000 = E$1, Data!$E$2:$E1000 = E$2 )},$K$2  , $Q$22:$Q$23))"),"25769794")</f>
        <v>25769794</v>
      </c>
      <c r="F25" s="28" t="str">
        <f t="shared" si="1"/>
        <v>25773517</v>
      </c>
      <c r="G25" s="28"/>
      <c r="H25" s="28"/>
      <c r="J25" s="28"/>
      <c r="K25" s="2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8">
        <v>1000.0</v>
      </c>
      <c r="B26" s="18">
        <v>100.0</v>
      </c>
      <c r="C26" s="18">
        <v>3.0</v>
      </c>
      <c r="D26" s="20" t="str">
        <f>IFERROR(__xludf.DUMMYFUNCTION("(DMAX({{Data!$A$1:$M$1};filter(Data!$A$2:$M1000,Data!$A$2:$A1000=$A26 , Data!$B$2:$B1000 = $B26,Data!$C$2:$C1000 = $C26, Data!$D$2:$D1000 = D$1, Data!$E$2:$E1000 = D$2 )},$K$2  , $Q$22:$Q$23))"),"25806177")</f>
        <v>25806177</v>
      </c>
      <c r="E26" s="41" t="str">
        <f>IFERROR(__xludf.DUMMYFUNCTION("(DMAX({{Data!$A$1:$M$1};filter(Data!$A$2:$M1000,Data!$A$2:$A1000=$A26 , Data!$B$2:$B1000 = $B26,Data!$C$2:$C1000 = $C26, Data!$D$2:$D1000 = E$1, Data!$E$2:$E1000 = E$2 )},$K$2  , $Q$22:$Q$23))"),"25807747")</f>
        <v>25807747</v>
      </c>
      <c r="F26" s="28" t="str">
        <f t="shared" si="1"/>
        <v>25807747</v>
      </c>
      <c r="G26" s="28"/>
      <c r="H26" s="28"/>
      <c r="J26" s="28"/>
      <c r="K26" s="2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8">
        <v>1000.0</v>
      </c>
      <c r="B27" s="18">
        <v>100.0</v>
      </c>
      <c r="C27" s="18">
        <v>4.0</v>
      </c>
      <c r="D27" s="20" t="str">
        <f>IFERROR(__xludf.DUMMYFUNCTION("(DMAX({{Data!$A$1:$M$1};filter(Data!$A$2:$M1000,Data!$A$2:$A1000=$A27 , Data!$B$2:$B1000 = $B27,Data!$C$2:$C1000 = $C27, Data!$D$2:$D1000 = D$1, Data!$E$2:$E1000 = D$2 )},$K$2  , $Q$22:$Q$23))"),"25820680")</f>
        <v>25820680</v>
      </c>
      <c r="E27" s="41" t="str">
        <f>IFERROR(__xludf.DUMMYFUNCTION("(DMAX({{Data!$A$1:$M$1};filter(Data!$A$2:$M1000,Data!$A$2:$A1000=$A27 , Data!$B$2:$B1000 = $B27,Data!$C$2:$C1000 = $C27, Data!$D$2:$D1000 = E$1, Data!$E$2:$E1000 = E$2 )},$K$2  , $Q$22:$Q$23))"),"25816153")</f>
        <v>25816153</v>
      </c>
      <c r="F27" s="28" t="str">
        <f t="shared" si="1"/>
        <v>25820680</v>
      </c>
      <c r="G27" s="28"/>
      <c r="H27" s="28"/>
      <c r="J27" s="28"/>
      <c r="K27" s="2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8">
        <v>1000.0</v>
      </c>
      <c r="B28" s="18">
        <v>100.0</v>
      </c>
      <c r="C28" s="18">
        <v>5.0</v>
      </c>
      <c r="D28" s="20" t="str">
        <f>IFERROR(__xludf.DUMMYFUNCTION("(DMAX({{Data!$A$1:$M$1};filter(Data!$A$2:$M1000,Data!$A$2:$A1000=$A28 , Data!$B$2:$B1000 = $B28,Data!$C$2:$C1000 = $C28, Data!$D$2:$D1000 = D$1, Data!$E$2:$E1000 = D$2 )},$K$2  , $Q$22:$Q$23))"),"25779992")</f>
        <v>25779992</v>
      </c>
      <c r="E28" s="41" t="str">
        <f>IFERROR(__xludf.DUMMYFUNCTION("(DMAX({{Data!$A$1:$M$1};filter(Data!$A$2:$M1000,Data!$A$2:$A1000=$A28 , Data!$B$2:$B1000 = $B28,Data!$C$2:$C1000 = $C28, Data!$D$2:$D1000 = E$1, Data!$E$2:$E1000 = E$2 )},$K$2  , $Q$22:$Q$23))"),"25771710")</f>
        <v>25771710</v>
      </c>
      <c r="F28" s="28" t="str">
        <f t="shared" si="1"/>
        <v>25779992</v>
      </c>
      <c r="G28" s="28"/>
      <c r="H28" s="28"/>
      <c r="J28" s="28"/>
      <c r="K28" s="2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8"/>
      <c r="B29" s="28"/>
      <c r="C29" s="28"/>
      <c r="D29" s="15"/>
      <c r="E29" s="13"/>
      <c r="F29" s="13"/>
      <c r="G29" s="13"/>
      <c r="H29" s="28"/>
      <c r="I29" s="28"/>
      <c r="J29" s="28"/>
      <c r="K29" s="2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3"/>
      <c r="B32" s="15"/>
      <c r="C32" s="15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9"/>
      <c r="B33" s="29"/>
      <c r="C33" s="29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13"/>
      <c r="E34" s="1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13"/>
      <c r="E35" s="1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13"/>
      <c r="E36" s="1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13"/>
      <c r="E37" s="1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13"/>
      <c r="E38" s="1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13"/>
      <c r="E39" s="1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13"/>
      <c r="E40" s="1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13"/>
      <c r="E41" s="1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13"/>
      <c r="E42" s="1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13"/>
      <c r="E43" s="1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13"/>
      <c r="E44" s="1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13"/>
      <c r="E45" s="1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13"/>
      <c r="E46" s="1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13"/>
      <c r="E47" s="1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13"/>
      <c r="E48" s="1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13"/>
      <c r="E49" s="1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13"/>
      <c r="E50" s="1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13"/>
      <c r="E51" s="1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13"/>
      <c r="E52" s="1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13"/>
      <c r="E53" s="1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13"/>
      <c r="E54" s="1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13"/>
      <c r="E55" s="1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13"/>
      <c r="E56" s="1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13"/>
      <c r="E57" s="1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13"/>
      <c r="E58" s="1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</sheetData>
  <conditionalFormatting sqref="D4:E28 G4:H28">
    <cfRule type="cellIs" dxfId="0" priority="1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.29"/>
    <col customWidth="1" min="3" max="3" width="8.86"/>
    <col hidden="1" min="6" max="10"/>
  </cols>
  <sheetData>
    <row r="1">
      <c r="C1" s="10" t="s">
        <v>19</v>
      </c>
      <c r="D1" s="11" t="str">
        <f>IFERROR(__xludf.DUMMYFUNCTION("TRANSPOSE(UNIQUE(Data!D2:E1000))"),"basic")</f>
        <v>basic</v>
      </c>
      <c r="E1" s="12" t="s">
        <v>17</v>
      </c>
      <c r="F1" s="13"/>
      <c r="G1" s="13"/>
      <c r="H1" s="13"/>
      <c r="I1" s="13"/>
      <c r="J1" s="13"/>
      <c r="K1" s="14" t="s">
        <v>29</v>
      </c>
      <c r="L1" s="13"/>
      <c r="M1" s="13"/>
      <c r="N1" s="13"/>
      <c r="O1" s="13"/>
      <c r="P1" s="13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C2" s="10" t="s">
        <v>20</v>
      </c>
      <c r="D2" s="11" t="s">
        <v>16</v>
      </c>
      <c r="E2" s="12" t="s">
        <v>16</v>
      </c>
      <c r="F2" s="13"/>
      <c r="G2" s="13"/>
      <c r="H2" s="13"/>
      <c r="I2" s="13"/>
      <c r="J2" s="13"/>
      <c r="K2" s="14" t="s">
        <v>7</v>
      </c>
      <c r="L2" s="13"/>
      <c r="M2" s="13"/>
      <c r="N2" s="13"/>
      <c r="O2" s="13"/>
      <c r="P2" s="13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0" t="s">
        <v>0</v>
      </c>
      <c r="B3" s="10" t="s">
        <v>1</v>
      </c>
      <c r="C3" s="10" t="s">
        <v>2</v>
      </c>
      <c r="D3" s="16"/>
      <c r="E3" s="16"/>
      <c r="F3" s="15"/>
      <c r="G3" s="15"/>
      <c r="H3" s="15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8" t="str">
        <f>IFERROR(__xludf.DUMMYFUNCTION("UNIQUE(Data!A2:C1000)"),"1000")</f>
        <v>1000</v>
      </c>
      <c r="B4" s="18">
        <v>1.0</v>
      </c>
      <c r="C4" s="18">
        <v>1.0</v>
      </c>
      <c r="D4" s="30" t="str">
        <f>('F Max'!$F4 - 'F Max'!D4)/'F Max'!$F4</f>
        <v>0.0052%</v>
      </c>
      <c r="E4" s="42" t="str">
        <f>('F Max'!$F4 - 'F Max'!E4)/'F Max'!$F4</f>
        <v>0.0000%</v>
      </c>
      <c r="F4" s="31"/>
      <c r="G4" s="31"/>
      <c r="H4" s="31"/>
      <c r="I4" s="21"/>
      <c r="J4" s="21"/>
      <c r="K4" s="21"/>
      <c r="L4" s="21"/>
      <c r="M4" s="21"/>
      <c r="N4" s="21"/>
      <c r="O4" s="2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8">
        <v>1000.0</v>
      </c>
      <c r="B5" s="18">
        <v>1.0</v>
      </c>
      <c r="C5" s="18">
        <v>2.0</v>
      </c>
      <c r="D5" s="30" t="str">
        <f>('F Max'!$F5 - 'F Max'!D5)/'F Max'!$F5</f>
        <v>0.2106%</v>
      </c>
      <c r="E5" s="42" t="str">
        <f>('F Max'!$F5 - 'F Max'!E5)/'F Max'!$F5</f>
        <v>0.0000%</v>
      </c>
      <c r="F5" s="31"/>
      <c r="G5" s="31"/>
      <c r="H5" s="31"/>
      <c r="I5" s="21"/>
      <c r="J5" s="21"/>
      <c r="K5" s="21"/>
      <c r="L5" s="21"/>
      <c r="M5" s="21"/>
      <c r="N5" s="21"/>
      <c r="O5" s="2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8">
        <v>1000.0</v>
      </c>
      <c r="B6" s="18">
        <v>1.0</v>
      </c>
      <c r="C6" s="18">
        <v>3.0</v>
      </c>
      <c r="D6" s="30" t="str">
        <f>('F Max'!$F6 - 'F Max'!D6)/'F Max'!$F6</f>
        <v>0.1737%</v>
      </c>
      <c r="E6" s="42" t="str">
        <f>('F Max'!$F6 - 'F Max'!E6)/'F Max'!$F6</f>
        <v>0.0000%</v>
      </c>
      <c r="F6" s="31"/>
      <c r="G6" s="31"/>
      <c r="H6" s="31"/>
      <c r="I6" s="21"/>
      <c r="J6" s="21"/>
      <c r="K6" s="21"/>
      <c r="L6" s="21"/>
      <c r="M6" s="21"/>
      <c r="N6" s="21"/>
      <c r="O6" s="2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8">
        <v>1000.0</v>
      </c>
      <c r="B7" s="18">
        <v>1.0</v>
      </c>
      <c r="C7" s="18">
        <v>4.0</v>
      </c>
      <c r="D7" s="30" t="str">
        <f>('F Max'!$F7 - 'F Max'!D7)/'F Max'!$F7</f>
        <v>0.0000%</v>
      </c>
      <c r="E7" s="42" t="str">
        <f>('F Max'!$F7 - 'F Max'!E7)/'F Max'!$F7</f>
        <v>0.0824%</v>
      </c>
      <c r="F7" s="31"/>
      <c r="G7" s="31"/>
      <c r="H7" s="31"/>
      <c r="I7" s="21"/>
      <c r="J7" s="21"/>
      <c r="K7" s="21"/>
      <c r="L7" s="21"/>
      <c r="M7" s="21"/>
      <c r="N7" s="21"/>
      <c r="O7" s="2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2">
        <v>1000.0</v>
      </c>
      <c r="B8" s="22">
        <v>1.0</v>
      </c>
      <c r="C8" s="22">
        <v>5.0</v>
      </c>
      <c r="D8" s="30" t="str">
        <f>('F Max'!$F8 - 'F Max'!D8)/'F Max'!$F8</f>
        <v>0.0000%</v>
      </c>
      <c r="E8" s="42" t="str">
        <f>('F Max'!$F8 - 'F Max'!E8)/'F Max'!$F8</f>
        <v>0.0477%</v>
      </c>
      <c r="F8" s="31"/>
      <c r="G8" s="31"/>
      <c r="H8" s="31"/>
      <c r="I8" s="21"/>
      <c r="J8" s="21"/>
      <c r="K8" s="21"/>
      <c r="L8" s="21"/>
      <c r="M8" s="21"/>
      <c r="N8" s="21"/>
      <c r="O8" s="2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8">
        <v>1000.0</v>
      </c>
      <c r="B9" s="18">
        <v>5.0</v>
      </c>
      <c r="C9" s="18">
        <v>1.0</v>
      </c>
      <c r="D9" s="30" t="str">
        <f>('F Max'!$F9 - 'F Max'!D9)/'F Max'!$F9</f>
        <v>0.0000%</v>
      </c>
      <c r="E9" s="42" t="str">
        <f>('F Max'!$F9 - 'F Max'!E9)/'F Max'!$F9</f>
        <v>0.0264%</v>
      </c>
      <c r="F9" s="31"/>
      <c r="G9" s="31"/>
      <c r="H9" s="31"/>
      <c r="I9" s="21"/>
      <c r="J9" s="21"/>
      <c r="K9" s="21"/>
      <c r="L9" s="21"/>
      <c r="M9" s="21"/>
      <c r="N9" s="21"/>
      <c r="O9" s="2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25">
        <v>1000.0</v>
      </c>
      <c r="B10" s="25">
        <v>5.0</v>
      </c>
      <c r="C10" s="25">
        <v>2.0</v>
      </c>
      <c r="D10" s="30" t="str">
        <f>('F Max'!$F10 - 'F Max'!D10)/'F Max'!$F10</f>
        <v>0.2263%</v>
      </c>
      <c r="E10" s="42" t="str">
        <f>('F Max'!$F10 - 'F Max'!E10)/'F Max'!$F10</f>
        <v>0.0000%</v>
      </c>
      <c r="F10" s="31"/>
      <c r="G10" s="31"/>
      <c r="H10" s="31"/>
      <c r="I10" s="21"/>
      <c r="J10" s="21"/>
      <c r="K10" s="21"/>
      <c r="L10" s="21"/>
      <c r="M10" s="21"/>
      <c r="N10" s="21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8">
        <v>1000.0</v>
      </c>
      <c r="B11" s="18">
        <v>5.0</v>
      </c>
      <c r="C11" s="18">
        <v>3.0</v>
      </c>
      <c r="D11" s="30" t="str">
        <f>('F Max'!$F11 - 'F Max'!D11)/'F Max'!$F11</f>
        <v>0.3323%</v>
      </c>
      <c r="E11" s="42" t="str">
        <f>('F Max'!$F11 - 'F Max'!E11)/'F Max'!$F11</f>
        <v>0.0000%</v>
      </c>
      <c r="F11" s="31"/>
      <c r="G11" s="31"/>
      <c r="H11" s="31"/>
      <c r="I11" s="21"/>
      <c r="J11" s="21"/>
      <c r="K11" s="21"/>
      <c r="L11" s="21"/>
      <c r="M11" s="21"/>
      <c r="N11" s="21"/>
      <c r="O11" s="2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8">
        <v>1000.0</v>
      </c>
      <c r="B12" s="18">
        <v>5.0</v>
      </c>
      <c r="C12" s="18">
        <v>4.0</v>
      </c>
      <c r="D12" s="30" t="str">
        <f>('F Max'!$F12 - 'F Max'!D12)/'F Max'!$F12</f>
        <v>0.1178%</v>
      </c>
      <c r="E12" s="42" t="str">
        <f>('F Max'!$F12 - 'F Max'!E12)/'F Max'!$F12</f>
        <v>0.0000%</v>
      </c>
      <c r="F12" s="31"/>
      <c r="G12" s="31"/>
      <c r="H12" s="31"/>
      <c r="I12" s="21"/>
      <c r="J12" s="21"/>
      <c r="K12" s="21"/>
      <c r="L12" s="21"/>
      <c r="M12" s="21"/>
      <c r="N12" s="21"/>
      <c r="O12" s="2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8">
        <v>1000.0</v>
      </c>
      <c r="B13" s="18">
        <v>5.0</v>
      </c>
      <c r="C13" s="18">
        <v>5.0</v>
      </c>
      <c r="D13" s="30" t="str">
        <f>('F Max'!$F13 - 'F Max'!D13)/'F Max'!$F13</f>
        <v>0.2193%</v>
      </c>
      <c r="E13" s="42" t="str">
        <f>('F Max'!$F13 - 'F Max'!E13)/'F Max'!$F13</f>
        <v>0.0000%</v>
      </c>
      <c r="F13" s="31"/>
      <c r="G13" s="31"/>
      <c r="H13" s="31"/>
      <c r="I13" s="21"/>
      <c r="J13" s="21"/>
      <c r="K13" s="21"/>
      <c r="L13" s="21"/>
      <c r="M13" s="21"/>
      <c r="N13" s="21"/>
      <c r="O13" s="2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8">
        <v>1000.0</v>
      </c>
      <c r="B14" s="18">
        <v>10.0</v>
      </c>
      <c r="C14" s="18">
        <v>1.0</v>
      </c>
      <c r="D14" s="30" t="str">
        <f>('F Max'!$F14 - 'F Max'!D14)/'F Max'!$F14</f>
        <v>0.0000%</v>
      </c>
      <c r="E14" s="42" t="str">
        <f>('F Max'!$F14 - 'F Max'!E14)/'F Max'!$F14</f>
        <v>0.0337%</v>
      </c>
      <c r="F14" s="31"/>
      <c r="G14" s="31"/>
      <c r="H14" s="31"/>
      <c r="I14" s="21"/>
      <c r="J14" s="21"/>
      <c r="K14" s="21"/>
      <c r="L14" s="21"/>
      <c r="M14" s="21"/>
      <c r="N14" s="21"/>
      <c r="O14" s="2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8">
        <v>1000.0</v>
      </c>
      <c r="B15" s="18">
        <v>10.0</v>
      </c>
      <c r="C15" s="18">
        <v>2.0</v>
      </c>
      <c r="D15" s="30" t="str">
        <f>('F Max'!$F15 - 'F Max'!D15)/'F Max'!$F15</f>
        <v>0.0000%</v>
      </c>
      <c r="E15" s="42" t="str">
        <f>('F Max'!$F15 - 'F Max'!E15)/'F Max'!$F15</f>
        <v>0.0139%</v>
      </c>
      <c r="F15" s="31"/>
      <c r="G15" s="31"/>
      <c r="H15" s="31"/>
      <c r="I15" s="21"/>
      <c r="J15" s="21"/>
      <c r="K15" s="21"/>
      <c r="L15" s="21"/>
      <c r="M15" s="21"/>
      <c r="N15" s="21"/>
      <c r="O15" s="2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8">
        <v>1000.0</v>
      </c>
      <c r="B16" s="18">
        <v>10.0</v>
      </c>
      <c r="C16" s="18">
        <v>3.0</v>
      </c>
      <c r="D16" s="30" t="str">
        <f>('F Max'!$F16 - 'F Max'!D16)/'F Max'!$F16</f>
        <v>0.0999%</v>
      </c>
      <c r="E16" s="42" t="str">
        <f>('F Max'!$F16 - 'F Max'!E16)/'F Max'!$F16</f>
        <v>0.0000%</v>
      </c>
      <c r="F16" s="31"/>
      <c r="G16" s="31"/>
      <c r="H16" s="31"/>
      <c r="I16" s="21"/>
      <c r="J16" s="21"/>
      <c r="K16" s="21"/>
      <c r="L16" s="21"/>
      <c r="M16" s="21"/>
      <c r="N16" s="21"/>
      <c r="O16" s="2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8">
        <v>1000.0</v>
      </c>
      <c r="B17" s="18">
        <v>10.0</v>
      </c>
      <c r="C17" s="18">
        <v>4.0</v>
      </c>
      <c r="D17" s="30" t="str">
        <f>('F Max'!$F17 - 'F Max'!D17)/'F Max'!$F17</f>
        <v>0.0532%</v>
      </c>
      <c r="E17" s="42" t="str">
        <f>('F Max'!$F17 - 'F Max'!E17)/'F Max'!$F17</f>
        <v>0.0000%</v>
      </c>
      <c r="F17" s="31"/>
      <c r="G17" s="31"/>
      <c r="H17" s="31"/>
      <c r="I17" s="21"/>
      <c r="J17" s="21"/>
      <c r="K17" s="21"/>
      <c r="L17" s="21"/>
      <c r="M17" s="21"/>
      <c r="N17" s="21"/>
      <c r="O17" s="2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8">
        <v>1000.0</v>
      </c>
      <c r="B18" s="18">
        <v>10.0</v>
      </c>
      <c r="C18" s="18">
        <v>5.0</v>
      </c>
      <c r="D18" s="30" t="str">
        <f>('F Max'!$F18 - 'F Max'!D18)/'F Max'!$F18</f>
        <v>0.0605%</v>
      </c>
      <c r="E18" s="42" t="str">
        <f>('F Max'!$F18 - 'F Max'!E18)/'F Max'!$F18</f>
        <v>0.0000%</v>
      </c>
      <c r="F18" s="31"/>
      <c r="G18" s="31"/>
      <c r="H18" s="31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">
        <v>1000.0</v>
      </c>
      <c r="B19" s="11">
        <v>50.0</v>
      </c>
      <c r="C19" s="11">
        <v>1.0</v>
      </c>
      <c r="D19" s="30" t="str">
        <f>('F Max'!$F19 - 'F Max'!D19)/'F Max'!$F19</f>
        <v>0.0387%</v>
      </c>
      <c r="E19" s="42" t="str">
        <f>('F Max'!$F19 - 'F Max'!E19)/'F Max'!$F19</f>
        <v>0.0000%</v>
      </c>
      <c r="F19" s="31"/>
      <c r="G19" s="31"/>
      <c r="H19" s="31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6">
        <v>1000.0</v>
      </c>
      <c r="B20" s="26">
        <v>50.0</v>
      </c>
      <c r="C20" s="26">
        <v>2.0</v>
      </c>
      <c r="D20" s="30" t="str">
        <f>('F Max'!$F20 - 'F Max'!D20)/'F Max'!$F20</f>
        <v>0.0000%</v>
      </c>
      <c r="E20" s="42" t="str">
        <f>('F Max'!$F20 - 'F Max'!E20)/'F Max'!$F20</f>
        <v>0.0063%</v>
      </c>
      <c r="F20" s="31"/>
      <c r="G20" s="31"/>
      <c r="H20" s="31"/>
      <c r="I20" s="2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26">
        <v>1000.0</v>
      </c>
      <c r="B21" s="26">
        <v>50.0</v>
      </c>
      <c r="C21" s="26">
        <v>3.0</v>
      </c>
      <c r="D21" s="30" t="str">
        <f>('F Max'!$F21 - 'F Max'!D21)/'F Max'!$F21</f>
        <v>0.0000%</v>
      </c>
      <c r="E21" s="42" t="str">
        <f>('F Max'!$F21 - 'F Max'!E21)/'F Max'!$F21</f>
        <v>0.0077%</v>
      </c>
      <c r="F21" s="31"/>
      <c r="G21" s="31"/>
      <c r="H21" s="31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8">
        <v>1000.0</v>
      </c>
      <c r="B22" s="26">
        <v>50.0</v>
      </c>
      <c r="C22" s="26">
        <v>4.0</v>
      </c>
      <c r="D22" s="30" t="str">
        <f>('F Max'!$F22 - 'F Max'!D22)/'F Max'!$F22</f>
        <v>0.0000%</v>
      </c>
      <c r="E22" s="42" t="str">
        <f>('F Max'!$F22 - 'F Max'!E22)/'F Max'!$F22</f>
        <v>0.0414%</v>
      </c>
      <c r="F22" s="31"/>
      <c r="G22" s="31"/>
      <c r="H22" s="31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6">
        <v>1000.0</v>
      </c>
      <c r="B23" s="26">
        <v>50.0</v>
      </c>
      <c r="C23" s="26">
        <v>5.0</v>
      </c>
      <c r="D23" s="30" t="str">
        <f>('F Max'!$F23 - 'F Max'!D23)/'F Max'!$F23</f>
        <v>0.0193%</v>
      </c>
      <c r="E23" s="42" t="str">
        <f>('F Max'!$F23 - 'F Max'!E23)/'F Max'!$F23</f>
        <v>0.0000%</v>
      </c>
      <c r="F23" s="31"/>
      <c r="G23" s="31"/>
      <c r="H23" s="31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>
        <v>1000.0</v>
      </c>
      <c r="B24" s="11">
        <v>100.0</v>
      </c>
      <c r="C24" s="11">
        <v>1.0</v>
      </c>
      <c r="D24" s="30" t="str">
        <f>('F Max'!$F24 - 'F Max'!D24)/'F Max'!$F24</f>
        <v>0.0000%</v>
      </c>
      <c r="E24" s="42" t="str">
        <f>('F Max'!$F24 - 'F Max'!E24)/'F Max'!$F24</f>
        <v>0.0229%</v>
      </c>
      <c r="F24" s="31"/>
      <c r="G24" s="31"/>
      <c r="H24" s="31"/>
      <c r="I24" s="21"/>
      <c r="J24" s="13"/>
      <c r="K24" s="1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8">
        <v>1000.0</v>
      </c>
      <c r="B25" s="27">
        <v>100.0</v>
      </c>
      <c r="C25" s="18">
        <v>2.0</v>
      </c>
      <c r="D25" s="30" t="str">
        <f>('F Max'!$F25 - 'F Max'!D25)/'F Max'!$F25</f>
        <v>0.0000%</v>
      </c>
      <c r="E25" s="42" t="str">
        <f>('F Max'!$F25 - 'F Max'!E25)/'F Max'!$F25</f>
        <v>0.0144%</v>
      </c>
      <c r="F25" s="31"/>
      <c r="G25" s="31"/>
      <c r="H25" s="31"/>
      <c r="I25" s="21"/>
      <c r="J25" s="28"/>
      <c r="K25" s="2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8">
        <v>1000.0</v>
      </c>
      <c r="B26" s="18">
        <v>100.0</v>
      </c>
      <c r="C26" s="18">
        <v>3.0</v>
      </c>
      <c r="D26" s="30" t="str">
        <f>('F Max'!$F26 - 'F Max'!D26)/'F Max'!$F26</f>
        <v>0.0061%</v>
      </c>
      <c r="E26" s="42" t="str">
        <f>('F Max'!$F26 - 'F Max'!E26)/'F Max'!$F26</f>
        <v>0.0000%</v>
      </c>
      <c r="F26" s="31"/>
      <c r="G26" s="31"/>
      <c r="H26" s="31"/>
      <c r="I26" s="21"/>
      <c r="J26" s="28"/>
      <c r="K26" s="2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8">
        <v>1000.0</v>
      </c>
      <c r="B27" s="18">
        <v>100.0</v>
      </c>
      <c r="C27" s="18">
        <v>4.0</v>
      </c>
      <c r="D27" s="30" t="str">
        <f>('F Max'!$F27 - 'F Max'!D27)/'F Max'!$F27</f>
        <v>0.0000%</v>
      </c>
      <c r="E27" s="42" t="str">
        <f>('F Max'!$F27 - 'F Max'!E27)/'F Max'!$F27</f>
        <v>0.0175%</v>
      </c>
      <c r="F27" s="31"/>
      <c r="G27" s="31"/>
      <c r="H27" s="31"/>
      <c r="I27" s="21"/>
      <c r="J27" s="28"/>
      <c r="K27" s="2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8">
        <v>1000.0</v>
      </c>
      <c r="B28" s="18">
        <v>100.0</v>
      </c>
      <c r="C28" s="18">
        <v>5.0</v>
      </c>
      <c r="D28" s="30" t="str">
        <f>('F Max'!$F28 - 'F Max'!D28)/'F Max'!$F28</f>
        <v>0.0000%</v>
      </c>
      <c r="E28" s="42" t="str">
        <f>('F Max'!$F28 - 'F Max'!E28)/'F Max'!$F28</f>
        <v>0.0321%</v>
      </c>
      <c r="F28" s="31"/>
      <c r="G28" s="31"/>
      <c r="H28" s="31"/>
      <c r="I28" s="21"/>
      <c r="J28" s="28"/>
      <c r="K28" s="2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8"/>
      <c r="B29" s="28"/>
      <c r="C29" s="28"/>
      <c r="D29" s="15"/>
      <c r="E29" s="13"/>
      <c r="F29" s="13"/>
      <c r="G29" s="13"/>
      <c r="H29" s="28"/>
      <c r="I29" s="28"/>
      <c r="J29" s="28"/>
      <c r="K29" s="2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3"/>
      <c r="B32" s="15"/>
      <c r="C32" s="15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9"/>
      <c r="B33" s="29"/>
      <c r="C33" s="29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33"/>
      <c r="E34" s="3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33"/>
      <c r="E35" s="3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33"/>
      <c r="E36" s="3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33"/>
      <c r="E37" s="3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33"/>
      <c r="E38" s="3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33"/>
      <c r="E39" s="3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33"/>
      <c r="E40" s="3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33"/>
      <c r="E41" s="3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33"/>
      <c r="E42" s="3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33"/>
      <c r="E43" s="3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33"/>
      <c r="E44" s="3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33"/>
      <c r="E45" s="3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33"/>
      <c r="E46" s="3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33"/>
      <c r="E47" s="3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33"/>
      <c r="E48" s="3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33"/>
      <c r="E49" s="3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33"/>
      <c r="E50" s="3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33"/>
      <c r="E51" s="3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33"/>
      <c r="E52" s="3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33"/>
      <c r="E53" s="3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33"/>
      <c r="E54" s="3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33"/>
      <c r="E55" s="3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33"/>
      <c r="E56" s="3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33"/>
      <c r="E57" s="3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33"/>
      <c r="E58" s="3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</sheetData>
  <conditionalFormatting sqref="D4:H28">
    <cfRule type="cellIs" dxfId="0" priority="1" operator="equal">
      <formula>0</formula>
    </cfRule>
  </conditionalFormatting>
  <drawing r:id="rId1"/>
</worksheet>
</file>