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Best Solution" sheetId="2" r:id="rId4"/>
    <sheet state="visible" name="Best Mean" sheetId="3" r:id="rId5"/>
    <sheet state="visible" name="Number of Runs" sheetId="4" r:id="rId6"/>
    <sheet state="visible" name="F Mean" sheetId="5" r:id="rId7"/>
    <sheet state="visible" name="F Mean Relative" sheetId="6" r:id="rId8"/>
    <sheet state="visible" name="Mean Number of Moves" sheetId="7" r:id="rId9"/>
    <sheet state="visible" name="F Max" sheetId="8" r:id="rId10"/>
    <sheet state="visible" name="F Relative Max" sheetId="9" r:id="rId11"/>
  </sheets>
  <definedNames>
    <definedName name="AllData">Data!$A$1:$M$126</definedName>
    <definedName name="Header">Data!$A$1:$M$1</definedName>
    <definedName name="drange">Data!$A$2:$M$126</definedName>
  </definedNames>
  <calcPr/>
</workbook>
</file>

<file path=xl/sharedStrings.xml><?xml version="1.0" encoding="utf-8"?>
<sst xmlns="http://schemas.openxmlformats.org/spreadsheetml/2006/main" count="520" uniqueCount="37">
  <si>
    <t>N</t>
  </si>
  <si>
    <t>Density</t>
  </si>
  <si>
    <t>Index</t>
  </si>
  <si>
    <t>ls_name</t>
  </si>
  <si>
    <t>move_strg</t>
  </si>
  <si>
    <t>rmr_duration</t>
  </si>
  <si>
    <t>number_of_runs</t>
  </si>
  <si>
    <t>fo_max</t>
  </si>
  <si>
    <t>fo_mean</t>
  </si>
  <si>
    <t>fo_sd</t>
  </si>
  <si>
    <t>n_moves_mean</t>
  </si>
  <si>
    <t>n_moves_sd</t>
  </si>
  <si>
    <t>mean2_round_time</t>
  </si>
  <si>
    <t>relative fo dif</t>
  </si>
  <si>
    <t>bs_array</t>
  </si>
  <si>
    <t>best_move</t>
  </si>
  <si>
    <t>first_move</t>
  </si>
  <si>
    <t>tree</t>
  </si>
  <si>
    <t>basic</t>
  </si>
  <si>
    <t>Best F</t>
  </si>
  <si>
    <t>Algorithm</t>
  </si>
  <si>
    <t>Strategy</t>
  </si>
  <si>
    <t># Runs</t>
  </si>
  <si>
    <t>F Mean</t>
  </si>
  <si>
    <t>F SD</t>
  </si>
  <si>
    <t>SD Distance Factor</t>
  </si>
  <si>
    <t>Field</t>
  </si>
  <si>
    <t>Best F Mean</t>
  </si>
  <si>
    <t>F Max</t>
  </si>
  <si>
    <t>% Distance from Best F</t>
  </si>
  <si>
    <t>Property</t>
  </si>
  <si>
    <t>#Runs First/# Runs Best</t>
  </si>
  <si>
    <t>bs_array factor</t>
  </si>
  <si>
    <t>tree factor</t>
  </si>
  <si>
    <t>#First Strategy Value / Best Strategy Value</t>
  </si>
  <si>
    <t>First #Moves Mean / Best #Moves Mean</t>
  </si>
  <si>
    <t>Max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</si>
</sst>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4">
    <font>
      <sz val="10.0"/>
      <color rgb="FF000000"/>
      <name val="Arial"/>
    </font>
    <font/>
    <font>
      <sz val="11.0"/>
      <color rgb="FF000000"/>
      <name val="Inconsolata"/>
    </font>
    <font>
      <name val="Arial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3" fontId="1" numFmtId="0" xfId="0" applyFont="1"/>
    <xf borderId="0" fillId="3" fontId="1" numFmtId="0" xfId="0" applyFont="1"/>
    <xf borderId="0" fillId="4" fontId="2" numFmtId="0" xfId="0" applyAlignment="1" applyFill="1" applyFont="1">
      <alignment/>
    </xf>
    <xf borderId="0" fillId="3" fontId="1" numFmtId="10" xfId="0" applyAlignment="1" applyFont="1" applyNumberFormat="1">
      <alignment/>
    </xf>
    <xf borderId="0" fillId="0" fontId="1" numFmtId="10" xfId="0" applyAlignment="1" applyFont="1" applyNumberFormat="1">
      <alignment/>
    </xf>
    <xf borderId="1" fillId="5" fontId="3" numFmtId="0" xfId="0" applyAlignment="1" applyBorder="1" applyFill="1" applyFont="1">
      <alignment/>
    </xf>
    <xf borderId="1" fillId="5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2" fillId="0" fontId="3" numFmtId="0" xfId="0" applyAlignment="1" applyBorder="1" applyFont="1">
      <alignment/>
    </xf>
    <xf borderId="1" fillId="5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 horizontal="right"/>
    </xf>
    <xf borderId="3" fillId="5" fontId="3" numFmtId="0" xfId="0" applyAlignment="1" applyBorder="1" applyFont="1">
      <alignment horizontal="right"/>
    </xf>
    <xf borderId="3" fillId="0" fontId="3" numFmtId="0" xfId="0" applyAlignment="1" applyBorder="1" applyFont="1">
      <alignment horizontal="right"/>
    </xf>
    <xf borderId="1" fillId="3" fontId="3" numFmtId="0" xfId="0" applyAlignment="1" applyBorder="1" applyFont="1">
      <alignment horizontal="right"/>
    </xf>
    <xf borderId="4" fillId="5" fontId="3" numFmtId="0" xfId="0" applyAlignment="1" applyBorder="1" applyFont="1">
      <alignment horizontal="right"/>
    </xf>
    <xf borderId="5" fillId="3" fontId="3" numFmtId="0" xfId="0" applyAlignment="1" applyBorder="1" applyFont="1">
      <alignment horizontal="right"/>
    </xf>
    <xf borderId="6" fillId="3" fontId="3" numFmtId="0" xfId="0" applyAlignment="1" applyBorder="1" applyFont="1">
      <alignment horizontal="right"/>
    </xf>
    <xf borderId="6" fillId="0" fontId="3" numFmtId="0" xfId="0" applyAlignment="1" applyBorder="1" applyFont="1">
      <alignment horizontal="right"/>
    </xf>
    <xf borderId="1" fillId="5" fontId="3" numFmtId="0" xfId="0" applyAlignment="1" applyBorder="1" applyFont="1">
      <alignment/>
    </xf>
    <xf borderId="1" fillId="5" fontId="1" numFmtId="0" xfId="0" applyBorder="1" applyFont="1"/>
    <xf borderId="0" fillId="0" fontId="3" numFmtId="0" xfId="0" applyAlignment="1" applyFont="1">
      <alignment horizontal="right"/>
    </xf>
    <xf borderId="1" fillId="5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3" numFmtId="164" xfId="0" applyAlignment="1" applyBorder="1" applyFont="1" applyNumberFormat="1">
      <alignment horizontal="right"/>
    </xf>
    <xf borderId="1" fillId="3" fontId="3" numFmtId="164" xfId="0" applyAlignment="1" applyBorder="1" applyFont="1" applyNumberFormat="1">
      <alignment horizontal="right"/>
    </xf>
    <xf borderId="1" fillId="0" fontId="3" numFmtId="4" xfId="0" applyAlignment="1" applyBorder="1" applyFont="1" applyNumberFormat="1">
      <alignment/>
    </xf>
    <xf borderId="1" fillId="0" fontId="3" numFmtId="0" xfId="0" applyAlignment="1" applyBorder="1" applyFon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5.57"/>
    <col customWidth="1" min="4" max="4" width="8.14"/>
    <col customWidth="1" min="5" max="5" width="10.14"/>
    <col customWidth="1" min="6" max="6" width="11.29"/>
    <col customWidth="1" min="7" max="7" width="14.29"/>
    <col customWidth="1" min="8" max="8" width="9.0"/>
    <col customWidth="1" min="9" max="10" width="11.57"/>
    <col customWidth="1" min="11" max="11" width="14.14"/>
    <col customWidth="1" min="12" max="12" width="11.57"/>
    <col customWidth="1" min="13" max="13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1000.0</v>
      </c>
      <c r="B2" s="3">
        <v>1.0</v>
      </c>
      <c r="C2" s="3">
        <v>1.0</v>
      </c>
      <c r="D2" s="3" t="s">
        <v>14</v>
      </c>
      <c r="E2" s="3" t="s">
        <v>15</v>
      </c>
      <c r="F2" s="3">
        <v>85.047</v>
      </c>
      <c r="G2" s="3">
        <v>703.0</v>
      </c>
      <c r="H2" s="3">
        <v>210545.0</v>
      </c>
      <c r="I2" s="3">
        <v>208278.485064</v>
      </c>
      <c r="J2" s="3">
        <v>639.586851</v>
      </c>
      <c r="K2" s="3">
        <v>758.736842</v>
      </c>
      <c r="L2" s="3">
        <v>20.219785</v>
      </c>
      <c r="M2" s="3">
        <v>0.0</v>
      </c>
    </row>
    <row r="3">
      <c r="A3" s="3">
        <v>1000.0</v>
      </c>
      <c r="B3" s="3">
        <v>1.0</v>
      </c>
      <c r="C3" s="3">
        <v>1.0</v>
      </c>
      <c r="D3" s="3" t="s">
        <v>14</v>
      </c>
      <c r="E3" s="3" t="s">
        <v>16</v>
      </c>
      <c r="F3" s="3">
        <v>85.002</v>
      </c>
      <c r="G3" s="3">
        <v>22653.0</v>
      </c>
      <c r="H3" s="3">
        <v>211080.0</v>
      </c>
      <c r="I3" s="3">
        <v>208550.838697</v>
      </c>
      <c r="J3" s="3">
        <v>620.0062</v>
      </c>
      <c r="K3" s="3">
        <v>1061.800335</v>
      </c>
      <c r="L3" s="3">
        <v>28.972743</v>
      </c>
      <c r="M3" s="3">
        <v>0.0</v>
      </c>
    </row>
    <row r="4">
      <c r="A4" s="3">
        <v>1000.0</v>
      </c>
      <c r="B4" s="3">
        <v>1.0</v>
      </c>
      <c r="C4" s="3">
        <v>1.0</v>
      </c>
      <c r="D4" s="3" t="s">
        <v>17</v>
      </c>
      <c r="E4" s="3" t="s">
        <v>15</v>
      </c>
      <c r="F4" s="3">
        <v>85.016</v>
      </c>
      <c r="G4" s="3">
        <v>3992.0</v>
      </c>
      <c r="H4" s="3">
        <v>210727.0</v>
      </c>
      <c r="I4" s="3">
        <v>208254.248246</v>
      </c>
      <c r="J4" s="3">
        <v>620.908037</v>
      </c>
      <c r="K4" s="3">
        <v>758.313627</v>
      </c>
      <c r="L4" s="3">
        <v>20.498065</v>
      </c>
      <c r="M4" s="3">
        <v>0.0</v>
      </c>
    </row>
    <row r="5">
      <c r="A5" s="3">
        <v>1000.0</v>
      </c>
      <c r="B5" s="3">
        <v>1.0</v>
      </c>
      <c r="C5" s="3">
        <v>1.0</v>
      </c>
      <c r="D5" s="3" t="s">
        <v>17</v>
      </c>
      <c r="E5" s="3" t="s">
        <v>16</v>
      </c>
      <c r="F5" s="3">
        <v>85.004</v>
      </c>
      <c r="G5" s="3">
        <v>7463.0</v>
      </c>
      <c r="H5" s="3">
        <v>210735.0</v>
      </c>
      <c r="I5" s="3">
        <v>208549.738711</v>
      </c>
      <c r="J5" s="3">
        <v>618.28804</v>
      </c>
      <c r="K5" s="3">
        <v>1061.872035</v>
      </c>
      <c r="L5" s="3">
        <v>28.485923</v>
      </c>
      <c r="M5" s="3">
        <v>0.0</v>
      </c>
    </row>
    <row r="6">
      <c r="A6" s="3">
        <v>1000.0</v>
      </c>
      <c r="B6" s="3">
        <v>1.0</v>
      </c>
      <c r="C6" s="3">
        <v>1.0</v>
      </c>
      <c r="D6" s="3" t="s">
        <v>18</v>
      </c>
      <c r="E6" s="3" t="s">
        <v>16</v>
      </c>
      <c r="F6" s="3">
        <v>85.122</v>
      </c>
      <c r="G6" s="3">
        <v>939.0</v>
      </c>
      <c r="H6" s="3">
        <v>210446.0</v>
      </c>
      <c r="I6" s="3">
        <v>208562.123536</v>
      </c>
      <c r="J6" s="3">
        <v>632.559604</v>
      </c>
      <c r="K6" s="3">
        <v>1061.365282</v>
      </c>
      <c r="L6" s="3">
        <v>28.307638</v>
      </c>
      <c r="M6" s="3">
        <v>0.0</v>
      </c>
    </row>
    <row r="7">
      <c r="A7" s="3">
        <v>1000.0</v>
      </c>
      <c r="B7" s="3">
        <v>1.0</v>
      </c>
      <c r="C7" s="3">
        <v>2.0</v>
      </c>
      <c r="D7" s="3" t="s">
        <v>14</v>
      </c>
      <c r="E7" s="3" t="s">
        <v>15</v>
      </c>
      <c r="F7" s="3">
        <v>85.065</v>
      </c>
      <c r="G7" s="3">
        <v>719.0</v>
      </c>
      <c r="H7" s="3">
        <v>206405.0</v>
      </c>
      <c r="I7" s="3">
        <v>204409.944367</v>
      </c>
      <c r="J7" s="3">
        <v>628.475998</v>
      </c>
      <c r="K7" s="3">
        <v>754.598053</v>
      </c>
      <c r="L7" s="3">
        <v>20.235087</v>
      </c>
      <c r="M7" s="3">
        <v>0.0</v>
      </c>
    </row>
    <row r="8">
      <c r="A8" s="3">
        <v>1000.0</v>
      </c>
      <c r="B8" s="3">
        <v>1.0</v>
      </c>
      <c r="C8" s="3">
        <v>2.0</v>
      </c>
      <c r="D8" s="3" t="s">
        <v>14</v>
      </c>
      <c r="E8" s="3" t="s">
        <v>16</v>
      </c>
      <c r="F8" s="3">
        <v>85.001</v>
      </c>
      <c r="G8" s="3">
        <v>22908.0</v>
      </c>
      <c r="H8" s="3">
        <v>206906.0</v>
      </c>
      <c r="I8" s="3">
        <v>204636.545443</v>
      </c>
      <c r="J8" s="3">
        <v>599.910409</v>
      </c>
      <c r="K8" s="3">
        <v>1060.168413</v>
      </c>
      <c r="L8" s="3">
        <v>28.84487</v>
      </c>
      <c r="M8" s="3">
        <v>0.0</v>
      </c>
    </row>
    <row r="9">
      <c r="A9" s="3">
        <v>1000.0</v>
      </c>
      <c r="B9" s="3">
        <v>1.0</v>
      </c>
      <c r="C9" s="3">
        <v>2.0</v>
      </c>
      <c r="D9" s="3" t="s">
        <v>17</v>
      </c>
      <c r="E9" s="3" t="s">
        <v>15</v>
      </c>
      <c r="F9" s="3">
        <v>85.013</v>
      </c>
      <c r="G9" s="3">
        <v>4084.0</v>
      </c>
      <c r="H9" s="3">
        <v>206749.0</v>
      </c>
      <c r="I9" s="3">
        <v>204419.269344</v>
      </c>
      <c r="J9" s="3">
        <v>618.415698</v>
      </c>
      <c r="K9" s="3">
        <v>753.833986</v>
      </c>
      <c r="L9" s="3">
        <v>20.079088</v>
      </c>
      <c r="M9" s="3">
        <v>0.0</v>
      </c>
    </row>
    <row r="10">
      <c r="A10" s="3">
        <v>1000.0</v>
      </c>
      <c r="B10" s="3">
        <v>1.0</v>
      </c>
      <c r="C10" s="3">
        <v>2.0</v>
      </c>
      <c r="D10" s="3" t="s">
        <v>17</v>
      </c>
      <c r="E10" s="3" t="s">
        <v>16</v>
      </c>
      <c r="F10" s="3">
        <v>85.005</v>
      </c>
      <c r="G10" s="3">
        <v>7877.0</v>
      </c>
      <c r="H10" s="3">
        <v>206691.0</v>
      </c>
      <c r="I10" s="3">
        <v>204642.423385</v>
      </c>
      <c r="J10" s="3">
        <v>600.618433</v>
      </c>
      <c r="K10" s="3">
        <v>1060.355846</v>
      </c>
      <c r="L10" s="3">
        <v>28.786973</v>
      </c>
      <c r="M10" s="3">
        <v>0.0</v>
      </c>
    </row>
    <row r="11">
      <c r="A11" s="3">
        <v>1000.0</v>
      </c>
      <c r="B11" s="3">
        <v>1.0</v>
      </c>
      <c r="C11" s="3">
        <v>2.0</v>
      </c>
      <c r="D11" s="3" t="s">
        <v>18</v>
      </c>
      <c r="E11" s="3" t="s">
        <v>16</v>
      </c>
      <c r="F11" s="3">
        <v>85.007</v>
      </c>
      <c r="G11" s="3">
        <v>932.0</v>
      </c>
      <c r="H11" s="3">
        <v>206189.0</v>
      </c>
      <c r="I11" s="3">
        <v>204634.733906</v>
      </c>
      <c r="J11" s="3">
        <v>590.259334</v>
      </c>
      <c r="K11" s="3">
        <v>1060.458155</v>
      </c>
      <c r="L11" s="3">
        <v>28.625324</v>
      </c>
      <c r="M11" s="3">
        <v>0.0</v>
      </c>
    </row>
    <row r="12">
      <c r="A12" s="3">
        <v>1000.0</v>
      </c>
      <c r="B12" s="3">
        <v>1.0</v>
      </c>
      <c r="C12" s="3">
        <v>3.0</v>
      </c>
      <c r="D12" s="3" t="s">
        <v>14</v>
      </c>
      <c r="E12" s="3" t="s">
        <v>15</v>
      </c>
      <c r="F12" s="3">
        <v>85.056</v>
      </c>
      <c r="G12" s="3">
        <v>736.0</v>
      </c>
      <c r="H12" s="3">
        <v>204475.0</v>
      </c>
      <c r="I12" s="3">
        <v>203048.824728</v>
      </c>
      <c r="J12" s="3">
        <v>569.370236</v>
      </c>
      <c r="K12" s="3">
        <v>748.305707</v>
      </c>
      <c r="L12" s="3">
        <v>19.871127</v>
      </c>
      <c r="M12" s="3">
        <v>0.0</v>
      </c>
    </row>
    <row r="13">
      <c r="A13" s="3">
        <v>1000.0</v>
      </c>
      <c r="B13" s="3">
        <v>1.0</v>
      </c>
      <c r="C13" s="3">
        <v>3.0</v>
      </c>
      <c r="D13" s="3" t="s">
        <v>14</v>
      </c>
      <c r="E13" s="3" t="s">
        <v>16</v>
      </c>
      <c r="F13" s="3">
        <v>85.001</v>
      </c>
      <c r="G13" s="3">
        <v>23542.0</v>
      </c>
      <c r="H13" s="3">
        <v>205556.0</v>
      </c>
      <c r="I13" s="3">
        <v>203258.935689</v>
      </c>
      <c r="J13" s="3">
        <v>573.829224</v>
      </c>
      <c r="K13" s="3">
        <v>1051.541373</v>
      </c>
      <c r="L13" s="3">
        <v>28.372548</v>
      </c>
      <c r="M13" s="3">
        <v>0.0</v>
      </c>
    </row>
    <row r="14">
      <c r="A14" s="3">
        <v>1000.0</v>
      </c>
      <c r="B14" s="3">
        <v>1.0</v>
      </c>
      <c r="C14" s="3">
        <v>3.0</v>
      </c>
      <c r="D14" s="3" t="s">
        <v>17</v>
      </c>
      <c r="E14" s="3" t="s">
        <v>15</v>
      </c>
      <c r="F14" s="3">
        <v>85.011</v>
      </c>
      <c r="G14" s="3">
        <v>4213.0</v>
      </c>
      <c r="H14" s="3">
        <v>205110.0</v>
      </c>
      <c r="I14" s="3">
        <v>203033.954901</v>
      </c>
      <c r="J14" s="3">
        <v>571.950375</v>
      </c>
      <c r="K14" s="3">
        <v>748.602421</v>
      </c>
      <c r="L14" s="3">
        <v>19.610636</v>
      </c>
      <c r="M14" s="3">
        <v>0.0</v>
      </c>
    </row>
    <row r="15">
      <c r="A15" s="3">
        <v>1000.0</v>
      </c>
      <c r="B15" s="3">
        <v>1.0</v>
      </c>
      <c r="C15" s="3">
        <v>3.0</v>
      </c>
      <c r="D15" s="3" t="s">
        <v>17</v>
      </c>
      <c r="E15" s="3" t="s">
        <v>16</v>
      </c>
      <c r="F15" s="3">
        <v>85.013</v>
      </c>
      <c r="G15" s="3">
        <v>8341.0</v>
      </c>
      <c r="H15" s="3">
        <v>205672.0</v>
      </c>
      <c r="I15" s="3">
        <v>203257.006594</v>
      </c>
      <c r="J15" s="3">
        <v>579.498959</v>
      </c>
      <c r="K15" s="3">
        <v>1051.93442</v>
      </c>
      <c r="L15" s="3">
        <v>28.450073</v>
      </c>
      <c r="M15" s="3">
        <v>0.0</v>
      </c>
    </row>
    <row r="16">
      <c r="A16" s="3">
        <v>1000.0</v>
      </c>
      <c r="B16" s="3">
        <v>1.0</v>
      </c>
      <c r="C16" s="3">
        <v>3.0</v>
      </c>
      <c r="D16" s="3" t="s">
        <v>18</v>
      </c>
      <c r="E16" s="3" t="s">
        <v>16</v>
      </c>
      <c r="F16" s="3">
        <v>85.03</v>
      </c>
      <c r="G16" s="3">
        <v>964.0</v>
      </c>
      <c r="H16" s="3">
        <v>205138.0</v>
      </c>
      <c r="I16" s="3">
        <v>203247.940871</v>
      </c>
      <c r="J16" s="3">
        <v>577.865345</v>
      </c>
      <c r="K16" s="3">
        <v>1051.789419</v>
      </c>
      <c r="L16" s="3">
        <v>28.480033</v>
      </c>
      <c r="M16" s="3">
        <v>0.0</v>
      </c>
    </row>
    <row r="17">
      <c r="A17" s="3">
        <v>1000.0</v>
      </c>
      <c r="B17" s="3">
        <v>1.0</v>
      </c>
      <c r="C17" s="3">
        <v>4.0</v>
      </c>
      <c r="D17" s="3" t="s">
        <v>14</v>
      </c>
      <c r="E17" s="3" t="s">
        <v>15</v>
      </c>
      <c r="F17" s="3">
        <v>85.114</v>
      </c>
      <c r="G17" s="3">
        <v>717.0</v>
      </c>
      <c r="H17" s="3">
        <v>213386.0</v>
      </c>
      <c r="I17" s="3">
        <v>211538.451883</v>
      </c>
      <c r="J17" s="3">
        <v>609.465685</v>
      </c>
      <c r="K17" s="3">
        <v>759.317992</v>
      </c>
      <c r="L17" s="3">
        <v>20.284088</v>
      </c>
      <c r="M17" s="3">
        <v>0.0</v>
      </c>
    </row>
    <row r="18">
      <c r="A18" s="3">
        <v>1000.0</v>
      </c>
      <c r="B18" s="3">
        <v>1.0</v>
      </c>
      <c r="C18" s="3">
        <v>4.0</v>
      </c>
      <c r="D18" s="3" t="s">
        <v>14</v>
      </c>
      <c r="E18" s="3" t="s">
        <v>16</v>
      </c>
      <c r="F18" s="3">
        <v>85.004</v>
      </c>
      <c r="G18" s="3">
        <v>22726.0</v>
      </c>
      <c r="H18" s="3">
        <v>213986.0</v>
      </c>
      <c r="I18" s="3">
        <v>211773.777744</v>
      </c>
      <c r="J18" s="3">
        <v>604.537102</v>
      </c>
      <c r="K18" s="3">
        <v>1069.36214</v>
      </c>
      <c r="L18" s="3">
        <v>28.630343</v>
      </c>
      <c r="M18" s="3">
        <v>0.0</v>
      </c>
    </row>
    <row r="19">
      <c r="A19" s="3">
        <v>1000.0</v>
      </c>
      <c r="B19" s="3">
        <v>1.0</v>
      </c>
      <c r="C19" s="3">
        <v>4.0</v>
      </c>
      <c r="D19" s="3" t="s">
        <v>17</v>
      </c>
      <c r="E19" s="3" t="s">
        <v>15</v>
      </c>
      <c r="F19" s="3">
        <v>85.018</v>
      </c>
      <c r="G19" s="3">
        <v>4055.0</v>
      </c>
      <c r="H19" s="3">
        <v>213541.0</v>
      </c>
      <c r="I19" s="3">
        <v>211511.388409</v>
      </c>
      <c r="J19" s="3">
        <v>589.583559</v>
      </c>
      <c r="K19" s="3">
        <v>759.516646</v>
      </c>
      <c r="L19" s="3">
        <v>19.531508</v>
      </c>
      <c r="M19" s="3">
        <v>0.0</v>
      </c>
    </row>
    <row r="20">
      <c r="A20" s="3">
        <v>1000.0</v>
      </c>
      <c r="B20" s="3">
        <v>1.0</v>
      </c>
      <c r="C20" s="3">
        <v>4.0</v>
      </c>
      <c r="D20" s="3" t="s">
        <v>17</v>
      </c>
      <c r="E20" s="3" t="s">
        <v>16</v>
      </c>
      <c r="F20" s="3">
        <v>85.001</v>
      </c>
      <c r="G20" s="3">
        <v>7798.0</v>
      </c>
      <c r="H20" s="3">
        <v>213766.0</v>
      </c>
      <c r="I20" s="3">
        <v>211781.007694</v>
      </c>
      <c r="J20" s="3">
        <v>591.01381</v>
      </c>
      <c r="K20" s="3">
        <v>1069.637086</v>
      </c>
      <c r="L20" s="3">
        <v>28.885991</v>
      </c>
      <c r="M20" s="3">
        <v>0.0</v>
      </c>
    </row>
    <row r="21">
      <c r="A21" s="3">
        <v>1000.0</v>
      </c>
      <c r="B21" s="3">
        <v>1.0</v>
      </c>
      <c r="C21" s="3">
        <v>4.0</v>
      </c>
      <c r="D21" s="3" t="s">
        <v>18</v>
      </c>
      <c r="E21" s="3" t="s">
        <v>16</v>
      </c>
      <c r="F21" s="3">
        <v>85.019</v>
      </c>
      <c r="G21" s="3">
        <v>889.0</v>
      </c>
      <c r="H21" s="3">
        <v>214087.0</v>
      </c>
      <c r="I21" s="3">
        <v>211807.473566</v>
      </c>
      <c r="J21" s="3">
        <v>613.75806</v>
      </c>
      <c r="K21" s="3">
        <v>1069.872891</v>
      </c>
      <c r="L21" s="3">
        <v>29.756126</v>
      </c>
      <c r="M21" s="3">
        <v>0.0</v>
      </c>
    </row>
    <row r="22">
      <c r="A22" s="3">
        <v>1000.0</v>
      </c>
      <c r="B22" s="3">
        <v>1.0</v>
      </c>
      <c r="C22" s="3">
        <v>5.0</v>
      </c>
      <c r="D22" s="3" t="s">
        <v>14</v>
      </c>
      <c r="E22" s="3" t="s">
        <v>15</v>
      </c>
      <c r="F22" s="3">
        <v>85.077</v>
      </c>
      <c r="G22" s="3">
        <v>719.0</v>
      </c>
      <c r="H22" s="3">
        <v>211427.0</v>
      </c>
      <c r="I22" s="3">
        <v>209819.663421</v>
      </c>
      <c r="J22" s="3">
        <v>619.425393</v>
      </c>
      <c r="K22" s="3">
        <v>758.16968</v>
      </c>
      <c r="L22" s="3">
        <v>21.253857</v>
      </c>
      <c r="M22" s="3">
        <v>0.0</v>
      </c>
    </row>
    <row r="23">
      <c r="A23" s="3">
        <v>1000.0</v>
      </c>
      <c r="B23" s="3">
        <v>1.0</v>
      </c>
      <c r="C23" s="3">
        <v>5.0</v>
      </c>
      <c r="D23" s="3" t="s">
        <v>14</v>
      </c>
      <c r="E23" s="3" t="s">
        <v>16</v>
      </c>
      <c r="F23" s="3">
        <v>85.001</v>
      </c>
      <c r="G23" s="3">
        <v>22523.0</v>
      </c>
      <c r="H23" s="3">
        <v>212510.0</v>
      </c>
      <c r="I23" s="3">
        <v>210013.550326</v>
      </c>
      <c r="J23" s="3">
        <v>614.505376</v>
      </c>
      <c r="K23" s="3">
        <v>1063.658704</v>
      </c>
      <c r="L23" s="3">
        <v>28.871376</v>
      </c>
      <c r="M23" s="3">
        <v>0.0</v>
      </c>
    </row>
    <row r="24">
      <c r="A24" s="3">
        <v>1000.0</v>
      </c>
      <c r="B24" s="3">
        <v>1.0</v>
      </c>
      <c r="C24" s="3">
        <v>5.0</v>
      </c>
      <c r="D24" s="3" t="s">
        <v>17</v>
      </c>
      <c r="E24" s="3" t="s">
        <v>15</v>
      </c>
      <c r="F24" s="3">
        <v>85.014</v>
      </c>
      <c r="G24" s="3">
        <v>4010.0</v>
      </c>
      <c r="H24" s="3">
        <v>212074.0</v>
      </c>
      <c r="I24" s="3">
        <v>209851.054863</v>
      </c>
      <c r="J24" s="3">
        <v>610.674155</v>
      </c>
      <c r="K24" s="3">
        <v>756.900499</v>
      </c>
      <c r="L24" s="3">
        <v>20.06709</v>
      </c>
      <c r="M24" s="3">
        <v>0.0</v>
      </c>
    </row>
    <row r="25">
      <c r="A25" s="3">
        <v>1000.0</v>
      </c>
      <c r="B25" s="3">
        <v>1.0</v>
      </c>
      <c r="C25" s="3">
        <v>5.0</v>
      </c>
      <c r="D25" s="3" t="s">
        <v>17</v>
      </c>
      <c r="E25" s="3" t="s">
        <v>16</v>
      </c>
      <c r="F25" s="3">
        <v>85.003</v>
      </c>
      <c r="G25" s="3">
        <v>7490.0</v>
      </c>
      <c r="H25" s="3">
        <v>212248.0</v>
      </c>
      <c r="I25" s="3">
        <v>210030.622697</v>
      </c>
      <c r="J25" s="3">
        <v>619.86509</v>
      </c>
      <c r="K25" s="3">
        <v>1063.824566</v>
      </c>
      <c r="L25" s="3">
        <v>28.555816</v>
      </c>
      <c r="M25" s="3">
        <v>0.0</v>
      </c>
    </row>
    <row r="26">
      <c r="A26" s="3">
        <v>1000.0</v>
      </c>
      <c r="B26" s="3">
        <v>1.0</v>
      </c>
      <c r="C26" s="3">
        <v>5.0</v>
      </c>
      <c r="D26" s="3" t="s">
        <v>18</v>
      </c>
      <c r="E26" s="3" t="s">
        <v>16</v>
      </c>
      <c r="F26" s="3">
        <v>85.063</v>
      </c>
      <c r="G26" s="3">
        <v>930.0</v>
      </c>
      <c r="H26" s="3">
        <v>211674.0</v>
      </c>
      <c r="I26" s="3">
        <v>210002.103226</v>
      </c>
      <c r="J26" s="3">
        <v>624.48721</v>
      </c>
      <c r="K26" s="3">
        <v>1064.921505</v>
      </c>
      <c r="L26" s="3">
        <v>27.52495</v>
      </c>
      <c r="M26" s="3">
        <v>0.0</v>
      </c>
    </row>
    <row r="27">
      <c r="A27" s="3">
        <v>1000.0</v>
      </c>
      <c r="B27" s="3">
        <v>5.0</v>
      </c>
      <c r="C27" s="3">
        <v>1.0</v>
      </c>
      <c r="D27" s="3" t="s">
        <v>14</v>
      </c>
      <c r="E27" s="3" t="s">
        <v>15</v>
      </c>
      <c r="F27" s="3">
        <v>85.132</v>
      </c>
      <c r="G27" s="3">
        <v>223.0</v>
      </c>
      <c r="H27" s="3">
        <v>856865.0</v>
      </c>
      <c r="I27" s="3">
        <v>853135.533632</v>
      </c>
      <c r="J27" s="3">
        <v>1523.106045</v>
      </c>
      <c r="K27" s="3">
        <v>1151.591928</v>
      </c>
      <c r="L27" s="3">
        <v>40.492476</v>
      </c>
      <c r="M27" s="3">
        <v>0.0</v>
      </c>
    </row>
    <row r="28">
      <c r="A28" s="3">
        <v>1000.0</v>
      </c>
      <c r="B28" s="3">
        <v>5.0</v>
      </c>
      <c r="C28" s="3">
        <v>1.0</v>
      </c>
      <c r="D28" s="3" t="s">
        <v>14</v>
      </c>
      <c r="E28" s="3" t="s">
        <v>16</v>
      </c>
      <c r="F28" s="3">
        <v>85.015</v>
      </c>
      <c r="G28" s="3">
        <v>3763.0</v>
      </c>
      <c r="H28" s="3">
        <v>858973.0</v>
      </c>
      <c r="I28" s="3">
        <v>854168.461334</v>
      </c>
      <c r="J28" s="3">
        <v>1439.37091</v>
      </c>
      <c r="K28" s="3">
        <v>1775.59341</v>
      </c>
      <c r="L28" s="3">
        <v>52.821597</v>
      </c>
      <c r="M28" s="3">
        <v>0.0</v>
      </c>
    </row>
    <row r="29">
      <c r="A29" s="3">
        <v>1000.0</v>
      </c>
      <c r="B29" s="3">
        <v>5.0</v>
      </c>
      <c r="C29" s="3">
        <v>1.0</v>
      </c>
      <c r="D29" s="3" t="s">
        <v>17</v>
      </c>
      <c r="E29" s="3" t="s">
        <v>15</v>
      </c>
      <c r="F29" s="3">
        <v>85.081</v>
      </c>
      <c r="G29" s="3">
        <v>777.0</v>
      </c>
      <c r="H29" s="3">
        <v>858218.0</v>
      </c>
      <c r="I29" s="3">
        <v>853190.727156</v>
      </c>
      <c r="J29" s="3">
        <v>1547.35243</v>
      </c>
      <c r="K29" s="3">
        <v>1149.595882</v>
      </c>
      <c r="L29" s="3">
        <v>40.871288</v>
      </c>
      <c r="M29" s="3">
        <v>0.0</v>
      </c>
    </row>
    <row r="30">
      <c r="A30" s="3">
        <v>1000.0</v>
      </c>
      <c r="B30" s="3">
        <v>5.0</v>
      </c>
      <c r="C30" s="3">
        <v>1.0</v>
      </c>
      <c r="D30" s="3" t="s">
        <v>17</v>
      </c>
      <c r="E30" s="3" t="s">
        <v>16</v>
      </c>
      <c r="F30" s="3">
        <v>85.046</v>
      </c>
      <c r="G30" s="3">
        <v>684.0</v>
      </c>
      <c r="H30" s="3">
        <v>858450.0</v>
      </c>
      <c r="I30" s="3">
        <v>854292.70614</v>
      </c>
      <c r="J30" s="3">
        <v>1434.103977</v>
      </c>
      <c r="K30" s="3">
        <v>1779.913743</v>
      </c>
      <c r="L30" s="3">
        <v>52.319837</v>
      </c>
      <c r="M30" s="3">
        <v>0.0</v>
      </c>
    </row>
    <row r="31">
      <c r="A31" s="3">
        <v>1000.0</v>
      </c>
      <c r="B31" s="3">
        <v>5.0</v>
      </c>
      <c r="C31" s="3">
        <v>1.0</v>
      </c>
      <c r="D31" s="3" t="s">
        <v>18</v>
      </c>
      <c r="E31" s="3" t="s">
        <v>16</v>
      </c>
      <c r="F31" s="3">
        <v>85.138</v>
      </c>
      <c r="G31" s="3">
        <v>566.0</v>
      </c>
      <c r="H31" s="3">
        <v>858905.0</v>
      </c>
      <c r="I31" s="3">
        <v>854135.524735</v>
      </c>
      <c r="J31" s="3">
        <v>1452.151482</v>
      </c>
      <c r="K31" s="3">
        <v>1776.883392</v>
      </c>
      <c r="L31" s="3">
        <v>51.228621</v>
      </c>
      <c r="M31" s="3">
        <v>0.0</v>
      </c>
    </row>
    <row r="32">
      <c r="A32" s="3">
        <v>1000.0</v>
      </c>
      <c r="B32" s="3">
        <v>5.0</v>
      </c>
      <c r="C32" s="3">
        <v>2.0</v>
      </c>
      <c r="D32" s="3" t="s">
        <v>14</v>
      </c>
      <c r="E32" s="3" t="s">
        <v>15</v>
      </c>
      <c r="F32" s="3">
        <v>85.058</v>
      </c>
      <c r="G32" s="3">
        <v>222.0</v>
      </c>
      <c r="H32" s="3">
        <v>862031.0</v>
      </c>
      <c r="I32" s="3">
        <v>857685.373874</v>
      </c>
      <c r="J32" s="3">
        <v>1521.969235</v>
      </c>
      <c r="K32" s="3">
        <v>1156.509009</v>
      </c>
      <c r="L32" s="3">
        <v>39.426833</v>
      </c>
      <c r="M32" s="3">
        <v>0.0</v>
      </c>
    </row>
    <row r="33">
      <c r="A33" s="3">
        <v>1000.0</v>
      </c>
      <c r="B33" s="3">
        <v>5.0</v>
      </c>
      <c r="C33" s="3">
        <v>2.0</v>
      </c>
      <c r="D33" s="3" t="s">
        <v>14</v>
      </c>
      <c r="E33" s="3" t="s">
        <v>16</v>
      </c>
      <c r="F33" s="3">
        <v>85.012</v>
      </c>
      <c r="G33" s="3">
        <v>3722.0</v>
      </c>
      <c r="H33" s="3">
        <v>864274.0</v>
      </c>
      <c r="I33" s="3">
        <v>858683.357603</v>
      </c>
      <c r="J33" s="3">
        <v>1499.664692</v>
      </c>
      <c r="K33" s="3">
        <v>1783.432563</v>
      </c>
      <c r="L33" s="3">
        <v>54.379519</v>
      </c>
      <c r="M33" s="3">
        <v>0.0</v>
      </c>
    </row>
    <row r="34">
      <c r="A34" s="3">
        <v>1000.0</v>
      </c>
      <c r="B34" s="3">
        <v>5.0</v>
      </c>
      <c r="C34" s="3">
        <v>2.0</v>
      </c>
      <c r="D34" s="3" t="s">
        <v>17</v>
      </c>
      <c r="E34" s="3" t="s">
        <v>15</v>
      </c>
      <c r="F34" s="3">
        <v>85.055</v>
      </c>
      <c r="G34" s="3">
        <v>769.0</v>
      </c>
      <c r="H34" s="3">
        <v>863482.0</v>
      </c>
      <c r="I34" s="3">
        <v>857658.685306</v>
      </c>
      <c r="J34" s="3">
        <v>1552.519405</v>
      </c>
      <c r="K34" s="3">
        <v>1152.721717</v>
      </c>
      <c r="L34" s="3">
        <v>41.273304</v>
      </c>
      <c r="M34" s="3">
        <v>0.0</v>
      </c>
    </row>
    <row r="35">
      <c r="A35" s="3">
        <v>1000.0</v>
      </c>
      <c r="B35" s="3">
        <v>5.0</v>
      </c>
      <c r="C35" s="3">
        <v>2.0</v>
      </c>
      <c r="D35" s="3" t="s">
        <v>17</v>
      </c>
      <c r="E35" s="3" t="s">
        <v>16</v>
      </c>
      <c r="F35" s="3">
        <v>85.102</v>
      </c>
      <c r="G35" s="3">
        <v>676.0</v>
      </c>
      <c r="H35" s="3">
        <v>863695.0</v>
      </c>
      <c r="I35" s="3">
        <v>858589.278107</v>
      </c>
      <c r="J35" s="3">
        <v>1572.527322</v>
      </c>
      <c r="K35" s="3">
        <v>1782.315089</v>
      </c>
      <c r="L35" s="3">
        <v>52.953059</v>
      </c>
      <c r="M35" s="3">
        <v>0.0</v>
      </c>
    </row>
    <row r="36">
      <c r="A36" s="3">
        <v>1000.0</v>
      </c>
      <c r="B36" s="3">
        <v>5.0</v>
      </c>
      <c r="C36" s="3">
        <v>2.0</v>
      </c>
      <c r="D36" s="3" t="s">
        <v>18</v>
      </c>
      <c r="E36" s="3" t="s">
        <v>16</v>
      </c>
      <c r="F36" s="3">
        <v>85.089</v>
      </c>
      <c r="G36" s="3">
        <v>579.0</v>
      </c>
      <c r="H36" s="3">
        <v>862888.0</v>
      </c>
      <c r="I36" s="3">
        <v>858640.66494</v>
      </c>
      <c r="J36" s="3">
        <v>1548.192452</v>
      </c>
      <c r="K36" s="3">
        <v>1785.697755</v>
      </c>
      <c r="L36" s="3">
        <v>53.470604</v>
      </c>
      <c r="M36" s="3">
        <v>0.0</v>
      </c>
    </row>
    <row r="37">
      <c r="A37" s="3">
        <v>1000.0</v>
      </c>
      <c r="B37" s="3">
        <v>5.0</v>
      </c>
      <c r="C37" s="3">
        <v>3.0</v>
      </c>
      <c r="D37" s="3" t="s">
        <v>14</v>
      </c>
      <c r="E37" s="3" t="s">
        <v>15</v>
      </c>
      <c r="F37" s="3">
        <v>85.289</v>
      </c>
      <c r="G37" s="3">
        <v>224.0</v>
      </c>
      <c r="H37" s="3">
        <v>865835.0</v>
      </c>
      <c r="I37" s="3">
        <v>862810.857143</v>
      </c>
      <c r="J37" s="3">
        <v>1404.016374</v>
      </c>
      <c r="K37" s="3">
        <v>1149.334821</v>
      </c>
      <c r="L37" s="3">
        <v>42.632561</v>
      </c>
      <c r="M37" s="3">
        <v>0.0</v>
      </c>
    </row>
    <row r="38">
      <c r="A38" s="3">
        <v>1000.0</v>
      </c>
      <c r="B38" s="3">
        <v>5.0</v>
      </c>
      <c r="C38" s="3">
        <v>3.0</v>
      </c>
      <c r="D38" s="3" t="s">
        <v>14</v>
      </c>
      <c r="E38" s="3" t="s">
        <v>16</v>
      </c>
      <c r="F38" s="3">
        <v>85.01</v>
      </c>
      <c r="G38" s="3">
        <v>3748.0</v>
      </c>
      <c r="H38" s="3">
        <v>869131.0</v>
      </c>
      <c r="I38" s="3">
        <v>863893.345518</v>
      </c>
      <c r="J38" s="3">
        <v>1443.006856</v>
      </c>
      <c r="K38" s="3">
        <v>1781.233725</v>
      </c>
      <c r="L38" s="3">
        <v>52.945183</v>
      </c>
      <c r="M38" s="3">
        <v>0.0</v>
      </c>
    </row>
    <row r="39">
      <c r="A39" s="3">
        <v>1000.0</v>
      </c>
      <c r="B39" s="3">
        <v>5.0</v>
      </c>
      <c r="C39" s="3">
        <v>3.0</v>
      </c>
      <c r="D39" s="3" t="s">
        <v>17</v>
      </c>
      <c r="E39" s="3" t="s">
        <v>15</v>
      </c>
      <c r="F39" s="3">
        <v>85.026</v>
      </c>
      <c r="G39" s="3">
        <v>770.0</v>
      </c>
      <c r="H39" s="3">
        <v>867295.0</v>
      </c>
      <c r="I39" s="3">
        <v>862875.353247</v>
      </c>
      <c r="J39" s="3">
        <v>1546.83542</v>
      </c>
      <c r="K39" s="3">
        <v>1150.51039</v>
      </c>
      <c r="L39" s="3">
        <v>40.458997</v>
      </c>
      <c r="M39" s="3">
        <v>0.0</v>
      </c>
    </row>
    <row r="40">
      <c r="A40" s="3">
        <v>1000.0</v>
      </c>
      <c r="B40" s="3">
        <v>5.0</v>
      </c>
      <c r="C40" s="3">
        <v>3.0</v>
      </c>
      <c r="D40" s="3" t="s">
        <v>17</v>
      </c>
      <c r="E40" s="3" t="s">
        <v>16</v>
      </c>
      <c r="F40" s="3">
        <v>85.036</v>
      </c>
      <c r="G40" s="3">
        <v>680.0</v>
      </c>
      <c r="H40" s="3">
        <v>868187.0</v>
      </c>
      <c r="I40" s="3">
        <v>863847.939706</v>
      </c>
      <c r="J40" s="3">
        <v>1516.285681</v>
      </c>
      <c r="K40" s="3">
        <v>1781.727941</v>
      </c>
      <c r="L40" s="3">
        <v>55.13455</v>
      </c>
      <c r="M40" s="3">
        <v>0.0</v>
      </c>
    </row>
    <row r="41">
      <c r="A41" s="3">
        <v>1000.0</v>
      </c>
      <c r="B41" s="3">
        <v>5.0</v>
      </c>
      <c r="C41" s="3">
        <v>3.0</v>
      </c>
      <c r="D41" s="3" t="s">
        <v>18</v>
      </c>
      <c r="E41" s="3" t="s">
        <v>16</v>
      </c>
      <c r="F41" s="3">
        <v>85.039</v>
      </c>
      <c r="G41" s="3">
        <v>616.0</v>
      </c>
      <c r="H41" s="3">
        <v>867989.0</v>
      </c>
      <c r="I41" s="3">
        <v>863836.37987</v>
      </c>
      <c r="J41" s="3">
        <v>1369.434898</v>
      </c>
      <c r="K41" s="3">
        <v>1777.301948</v>
      </c>
      <c r="L41" s="3">
        <v>54.144975</v>
      </c>
      <c r="M41" s="3">
        <v>0.0</v>
      </c>
    </row>
    <row r="42">
      <c r="A42" s="3">
        <v>1000.0</v>
      </c>
      <c r="B42" s="3">
        <v>5.0</v>
      </c>
      <c r="C42" s="3">
        <v>4.0</v>
      </c>
      <c r="D42" s="3" t="s">
        <v>14</v>
      </c>
      <c r="E42" s="3" t="s">
        <v>15</v>
      </c>
      <c r="F42" s="3">
        <v>85.156</v>
      </c>
      <c r="G42" s="3">
        <v>224.0</v>
      </c>
      <c r="H42" s="3">
        <v>866398.0</v>
      </c>
      <c r="I42" s="3">
        <v>862037.598214</v>
      </c>
      <c r="J42" s="3">
        <v>1625.872474</v>
      </c>
      <c r="K42" s="3">
        <v>1147.683036</v>
      </c>
      <c r="L42" s="3">
        <v>41.098558</v>
      </c>
      <c r="M42" s="3">
        <v>0.0</v>
      </c>
    </row>
    <row r="43">
      <c r="A43" s="3">
        <v>1000.0</v>
      </c>
      <c r="B43" s="3">
        <v>5.0</v>
      </c>
      <c r="C43" s="3">
        <v>4.0</v>
      </c>
      <c r="D43" s="3" t="s">
        <v>14</v>
      </c>
      <c r="E43" s="3" t="s">
        <v>16</v>
      </c>
      <c r="F43" s="3">
        <v>85.004</v>
      </c>
      <c r="G43" s="3">
        <v>3768.0</v>
      </c>
      <c r="H43" s="3">
        <v>868482.0</v>
      </c>
      <c r="I43" s="3">
        <v>863135.889066</v>
      </c>
      <c r="J43" s="3">
        <v>1445.451881</v>
      </c>
      <c r="K43" s="3">
        <v>1775.844214</v>
      </c>
      <c r="L43" s="3">
        <v>53.078637</v>
      </c>
      <c r="M43" s="3">
        <v>0.0</v>
      </c>
    </row>
    <row r="44">
      <c r="A44" s="3">
        <v>1000.0</v>
      </c>
      <c r="B44" s="3">
        <v>5.0</v>
      </c>
      <c r="C44" s="3">
        <v>4.0</v>
      </c>
      <c r="D44" s="3" t="s">
        <v>17</v>
      </c>
      <c r="E44" s="3" t="s">
        <v>15</v>
      </c>
      <c r="F44" s="3">
        <v>85.083</v>
      </c>
      <c r="G44" s="3">
        <v>780.0</v>
      </c>
      <c r="H44" s="3">
        <v>866386.0</v>
      </c>
      <c r="I44" s="3">
        <v>862038.748718</v>
      </c>
      <c r="J44" s="3">
        <v>1492.586491</v>
      </c>
      <c r="K44" s="3">
        <v>1147.073077</v>
      </c>
      <c r="L44" s="3">
        <v>40.207711</v>
      </c>
      <c r="M44" s="3">
        <v>0.0</v>
      </c>
    </row>
    <row r="45">
      <c r="A45" s="3">
        <v>1000.0</v>
      </c>
      <c r="B45" s="3">
        <v>5.0</v>
      </c>
      <c r="C45" s="3">
        <v>4.0</v>
      </c>
      <c r="D45" s="3" t="s">
        <v>17</v>
      </c>
      <c r="E45" s="3" t="s">
        <v>16</v>
      </c>
      <c r="F45" s="3">
        <v>85.125</v>
      </c>
      <c r="G45" s="3">
        <v>686.0</v>
      </c>
      <c r="H45" s="3">
        <v>867134.0</v>
      </c>
      <c r="I45" s="3">
        <v>863149.701166</v>
      </c>
      <c r="J45" s="3">
        <v>1531.631435</v>
      </c>
      <c r="K45" s="3">
        <v>1772.900875</v>
      </c>
      <c r="L45" s="3">
        <v>55.606217</v>
      </c>
      <c r="M45" s="3">
        <v>0.0</v>
      </c>
    </row>
    <row r="46">
      <c r="A46" s="3">
        <v>1000.0</v>
      </c>
      <c r="B46" s="3">
        <v>5.0</v>
      </c>
      <c r="C46" s="3">
        <v>4.0</v>
      </c>
      <c r="D46" s="3" t="s">
        <v>18</v>
      </c>
      <c r="E46" s="3" t="s">
        <v>16</v>
      </c>
      <c r="F46" s="3">
        <v>85.049</v>
      </c>
      <c r="G46" s="3">
        <v>591.0</v>
      </c>
      <c r="H46" s="3">
        <v>867489.0</v>
      </c>
      <c r="I46" s="3">
        <v>863044.453469</v>
      </c>
      <c r="J46" s="3">
        <v>1484.854198</v>
      </c>
      <c r="K46" s="3">
        <v>1774.725888</v>
      </c>
      <c r="L46" s="3">
        <v>54.481056</v>
      </c>
      <c r="M46" s="3">
        <v>0.0</v>
      </c>
    </row>
    <row r="47">
      <c r="A47" s="3">
        <v>1000.0</v>
      </c>
      <c r="B47" s="3">
        <v>5.0</v>
      </c>
      <c r="C47" s="3">
        <v>5.0</v>
      </c>
      <c r="D47" s="3" t="s">
        <v>14</v>
      </c>
      <c r="E47" s="3" t="s">
        <v>15</v>
      </c>
      <c r="F47" s="3">
        <v>85.201</v>
      </c>
      <c r="G47" s="3">
        <v>224.0</v>
      </c>
      <c r="H47" s="3">
        <v>860558.0</v>
      </c>
      <c r="I47" s="3">
        <v>856673.642857</v>
      </c>
      <c r="J47" s="3">
        <v>1522.923034</v>
      </c>
      <c r="K47" s="3">
        <v>1150.473214</v>
      </c>
      <c r="L47" s="3">
        <v>42.647948</v>
      </c>
      <c r="M47" s="3">
        <v>0.0</v>
      </c>
    </row>
    <row r="48">
      <c r="A48" s="3">
        <v>1000.0</v>
      </c>
      <c r="B48" s="3">
        <v>5.0</v>
      </c>
      <c r="C48" s="3">
        <v>5.0</v>
      </c>
      <c r="D48" s="3" t="s">
        <v>14</v>
      </c>
      <c r="E48" s="3" t="s">
        <v>16</v>
      </c>
      <c r="F48" s="3">
        <v>85.007</v>
      </c>
      <c r="G48" s="3">
        <v>3757.0</v>
      </c>
      <c r="H48" s="3">
        <v>862678.0</v>
      </c>
      <c r="I48" s="3">
        <v>857720.985094</v>
      </c>
      <c r="J48" s="3">
        <v>1510.449618</v>
      </c>
      <c r="K48" s="3">
        <v>1784.066542</v>
      </c>
      <c r="L48" s="3">
        <v>53.618998</v>
      </c>
      <c r="M48" s="3">
        <v>0.0</v>
      </c>
    </row>
    <row r="49">
      <c r="A49" s="3">
        <v>1000.0</v>
      </c>
      <c r="B49" s="3">
        <v>5.0</v>
      </c>
      <c r="C49" s="3">
        <v>5.0</v>
      </c>
      <c r="D49" s="3" t="s">
        <v>17</v>
      </c>
      <c r="E49" s="3" t="s">
        <v>15</v>
      </c>
      <c r="F49" s="3">
        <v>85.093</v>
      </c>
      <c r="G49" s="3">
        <v>756.0</v>
      </c>
      <c r="H49" s="3">
        <v>861589.0</v>
      </c>
      <c r="I49" s="3">
        <v>856634.920635</v>
      </c>
      <c r="J49" s="3">
        <v>1604.612663</v>
      </c>
      <c r="K49" s="3">
        <v>1149.194444</v>
      </c>
      <c r="L49" s="3">
        <v>40.741806</v>
      </c>
      <c r="M49" s="3">
        <v>0.0</v>
      </c>
    </row>
    <row r="50">
      <c r="A50" s="3">
        <v>1000.0</v>
      </c>
      <c r="B50" s="3">
        <v>5.0</v>
      </c>
      <c r="C50" s="3">
        <v>5.0</v>
      </c>
      <c r="D50" s="3" t="s">
        <v>17</v>
      </c>
      <c r="E50" s="3" t="s">
        <v>16</v>
      </c>
      <c r="F50" s="3">
        <v>85.078</v>
      </c>
      <c r="G50" s="3">
        <v>673.0</v>
      </c>
      <c r="H50" s="3">
        <v>863317.0</v>
      </c>
      <c r="I50" s="3">
        <v>857753.472511</v>
      </c>
      <c r="J50" s="3">
        <v>1540.68626</v>
      </c>
      <c r="K50" s="3">
        <v>1782.092125</v>
      </c>
      <c r="L50" s="3">
        <v>53.450152</v>
      </c>
      <c r="M50" s="3">
        <v>0.0</v>
      </c>
    </row>
    <row r="51">
      <c r="A51" s="3">
        <v>1000.0</v>
      </c>
      <c r="B51" s="3">
        <v>5.0</v>
      </c>
      <c r="C51" s="3">
        <v>5.0</v>
      </c>
      <c r="D51" s="3" t="s">
        <v>18</v>
      </c>
      <c r="E51" s="3" t="s">
        <v>16</v>
      </c>
      <c r="F51" s="3">
        <v>85.075</v>
      </c>
      <c r="G51" s="3">
        <v>570.0</v>
      </c>
      <c r="H51" s="3">
        <v>861876.0</v>
      </c>
      <c r="I51" s="3">
        <v>857650.291228</v>
      </c>
      <c r="J51" s="3">
        <v>1504.835434</v>
      </c>
      <c r="K51" s="3">
        <v>1783.422807</v>
      </c>
      <c r="L51" s="3">
        <v>54.294859</v>
      </c>
      <c r="M51" s="3">
        <v>0.0</v>
      </c>
    </row>
    <row r="52">
      <c r="A52" s="3">
        <v>1000.0</v>
      </c>
      <c r="B52" s="3">
        <v>10.0</v>
      </c>
      <c r="C52" s="3">
        <v>1.0</v>
      </c>
      <c r="D52" s="3" t="s">
        <v>14</v>
      </c>
      <c r="E52" s="3" t="s">
        <v>15</v>
      </c>
      <c r="F52" s="3">
        <v>85.597</v>
      </c>
      <c r="G52" s="3">
        <v>126.0</v>
      </c>
      <c r="H52" s="3">
        <v>1606672.0</v>
      </c>
      <c r="I52" s="3">
        <v>1602408.896825</v>
      </c>
      <c r="J52" s="3">
        <v>1876.648244</v>
      </c>
      <c r="K52" s="3">
        <v>1308.634921</v>
      </c>
      <c r="L52" s="3">
        <v>48.802908</v>
      </c>
      <c r="M52" s="3">
        <v>0.0</v>
      </c>
    </row>
    <row r="53">
      <c r="A53" s="3">
        <v>1000.0</v>
      </c>
      <c r="B53" s="3">
        <v>10.0</v>
      </c>
      <c r="C53" s="3">
        <v>1.0</v>
      </c>
      <c r="D53" s="3" t="s">
        <v>14</v>
      </c>
      <c r="E53" s="3" t="s">
        <v>16</v>
      </c>
      <c r="F53" s="3">
        <v>85.017</v>
      </c>
      <c r="G53" s="3">
        <v>1364.0</v>
      </c>
      <c r="H53" s="3">
        <v>1610644.0</v>
      </c>
      <c r="I53" s="3">
        <v>1604014.451613</v>
      </c>
      <c r="J53" s="3">
        <v>2132.975296</v>
      </c>
      <c r="K53" s="3">
        <v>2122.829179</v>
      </c>
      <c r="L53" s="3">
        <v>69.020829</v>
      </c>
      <c r="M53" s="3">
        <v>0.0</v>
      </c>
    </row>
    <row r="54">
      <c r="A54" s="3">
        <v>1000.0</v>
      </c>
      <c r="B54" s="3">
        <v>10.0</v>
      </c>
      <c r="C54" s="3">
        <v>1.0</v>
      </c>
      <c r="D54" s="3" t="s">
        <v>17</v>
      </c>
      <c r="E54" s="3" t="s">
        <v>15</v>
      </c>
      <c r="F54" s="3">
        <v>85.092</v>
      </c>
      <c r="G54" s="3">
        <v>297.0</v>
      </c>
      <c r="H54" s="3">
        <v>1608684.0</v>
      </c>
      <c r="I54" s="3">
        <v>1602743.606061</v>
      </c>
      <c r="J54" s="3">
        <v>2321.841933</v>
      </c>
      <c r="K54" s="3">
        <v>1316.6633</v>
      </c>
      <c r="L54" s="3">
        <v>52.677864</v>
      </c>
      <c r="M54" s="3">
        <v>0.0</v>
      </c>
    </row>
    <row r="55">
      <c r="A55" s="3">
        <v>1000.0</v>
      </c>
      <c r="B55" s="3">
        <v>10.0</v>
      </c>
      <c r="C55" s="3">
        <v>1.0</v>
      </c>
      <c r="D55" s="3" t="s">
        <v>17</v>
      </c>
      <c r="E55" s="3" t="s">
        <v>16</v>
      </c>
      <c r="F55" s="3">
        <v>85.001</v>
      </c>
      <c r="G55" s="3">
        <v>217.0</v>
      </c>
      <c r="H55" s="3">
        <v>1609352.0</v>
      </c>
      <c r="I55" s="3">
        <v>1603995.35023</v>
      </c>
      <c r="J55" s="3">
        <v>2244.783031</v>
      </c>
      <c r="K55" s="3">
        <v>2118.211982</v>
      </c>
      <c r="L55" s="3">
        <v>73.199313</v>
      </c>
      <c r="M55" s="3">
        <v>0.0</v>
      </c>
    </row>
    <row r="56">
      <c r="A56" s="3">
        <v>1000.0</v>
      </c>
      <c r="B56" s="3">
        <v>10.0</v>
      </c>
      <c r="C56" s="3">
        <v>1.0</v>
      </c>
      <c r="D56" s="3" t="s">
        <v>18</v>
      </c>
      <c r="E56" s="3" t="s">
        <v>16</v>
      </c>
      <c r="F56" s="3">
        <v>85.144</v>
      </c>
      <c r="G56" s="3">
        <v>449.0</v>
      </c>
      <c r="H56" s="3">
        <v>1609903.0</v>
      </c>
      <c r="I56" s="3">
        <v>1604021.89755</v>
      </c>
      <c r="J56" s="3">
        <v>2065.552889</v>
      </c>
      <c r="K56" s="3">
        <v>2121.895323</v>
      </c>
      <c r="L56" s="3">
        <v>68.762236</v>
      </c>
      <c r="M56" s="3">
        <v>0.0</v>
      </c>
    </row>
    <row r="57">
      <c r="A57" s="3">
        <v>1000.0</v>
      </c>
      <c r="B57" s="3">
        <v>10.0</v>
      </c>
      <c r="C57" s="3">
        <v>2.0</v>
      </c>
      <c r="D57" s="3" t="s">
        <v>14</v>
      </c>
      <c r="E57" s="3" t="s">
        <v>15</v>
      </c>
      <c r="F57" s="3">
        <v>85.383</v>
      </c>
      <c r="G57" s="3">
        <v>124.0</v>
      </c>
      <c r="H57" s="3">
        <v>1627199.0</v>
      </c>
      <c r="I57" s="3">
        <v>1622055.951613</v>
      </c>
      <c r="J57" s="3">
        <v>2259.879385</v>
      </c>
      <c r="K57" s="3">
        <v>1320.330645</v>
      </c>
      <c r="L57" s="3">
        <v>48.07466</v>
      </c>
      <c r="M57" s="3">
        <v>0.0</v>
      </c>
    </row>
    <row r="58">
      <c r="A58" s="3">
        <v>1000.0</v>
      </c>
      <c r="B58" s="3">
        <v>10.0</v>
      </c>
      <c r="C58" s="3">
        <v>2.0</v>
      </c>
      <c r="D58" s="3" t="s">
        <v>14</v>
      </c>
      <c r="E58" s="3" t="s">
        <v>16</v>
      </c>
      <c r="F58" s="3">
        <v>85.055</v>
      </c>
      <c r="G58" s="3">
        <v>1356.0</v>
      </c>
      <c r="H58" s="3">
        <v>1631673.0</v>
      </c>
      <c r="I58" s="3">
        <v>1623566.898968</v>
      </c>
      <c r="J58" s="3">
        <v>2155.858106</v>
      </c>
      <c r="K58" s="3">
        <v>2123.360619</v>
      </c>
      <c r="L58" s="3">
        <v>69.705071</v>
      </c>
      <c r="M58" s="3">
        <v>0.0</v>
      </c>
    </row>
    <row r="59">
      <c r="A59" s="3">
        <v>1000.0</v>
      </c>
      <c r="B59" s="3">
        <v>10.0</v>
      </c>
      <c r="C59" s="3">
        <v>2.0</v>
      </c>
      <c r="D59" s="3" t="s">
        <v>17</v>
      </c>
      <c r="E59" s="3" t="s">
        <v>15</v>
      </c>
      <c r="F59" s="3">
        <v>85.006</v>
      </c>
      <c r="G59" s="3">
        <v>293.0</v>
      </c>
      <c r="H59" s="3">
        <v>1629761.0</v>
      </c>
      <c r="I59" s="3">
        <v>1621965.962457</v>
      </c>
      <c r="J59" s="3">
        <v>2285.738504</v>
      </c>
      <c r="K59" s="3">
        <v>1317.215017</v>
      </c>
      <c r="L59" s="3">
        <v>53.708716</v>
      </c>
      <c r="M59" s="3">
        <v>0.0</v>
      </c>
    </row>
    <row r="60">
      <c r="A60" s="3">
        <v>1000.0</v>
      </c>
      <c r="B60" s="3">
        <v>10.0</v>
      </c>
      <c r="C60" s="3">
        <v>2.0</v>
      </c>
      <c r="D60" s="3" t="s">
        <v>17</v>
      </c>
      <c r="E60" s="3" t="s">
        <v>16</v>
      </c>
      <c r="F60" s="3">
        <v>85.143</v>
      </c>
      <c r="G60" s="3">
        <v>216.0</v>
      </c>
      <c r="H60" s="3">
        <v>1629731.0</v>
      </c>
      <c r="I60" s="3">
        <v>1623771.185185</v>
      </c>
      <c r="J60" s="3">
        <v>2180.647757</v>
      </c>
      <c r="K60" s="3">
        <v>2125.328704</v>
      </c>
      <c r="L60" s="3">
        <v>70.07191</v>
      </c>
      <c r="M60" s="3">
        <v>0.0</v>
      </c>
    </row>
    <row r="61">
      <c r="A61" s="3">
        <v>1000.0</v>
      </c>
      <c r="B61" s="3">
        <v>10.0</v>
      </c>
      <c r="C61" s="3">
        <v>2.0</v>
      </c>
      <c r="D61" s="3" t="s">
        <v>18</v>
      </c>
      <c r="E61" s="3" t="s">
        <v>16</v>
      </c>
      <c r="F61" s="3">
        <v>85.213</v>
      </c>
      <c r="G61" s="3">
        <v>470.0</v>
      </c>
      <c r="H61" s="3">
        <v>1629224.0</v>
      </c>
      <c r="I61" s="3">
        <v>1623669.138298</v>
      </c>
      <c r="J61" s="3">
        <v>2196.208378</v>
      </c>
      <c r="K61" s="3">
        <v>2124.657447</v>
      </c>
      <c r="L61" s="3">
        <v>69.609455</v>
      </c>
      <c r="M61" s="3">
        <v>0.0</v>
      </c>
    </row>
    <row r="62">
      <c r="A62" s="3">
        <v>1000.0</v>
      </c>
      <c r="B62" s="3">
        <v>10.0</v>
      </c>
      <c r="C62" s="3">
        <v>3.0</v>
      </c>
      <c r="D62" s="3" t="s">
        <v>14</v>
      </c>
      <c r="E62" s="3" t="s">
        <v>15</v>
      </c>
      <c r="F62" s="3">
        <v>85.232</v>
      </c>
      <c r="G62" s="3">
        <v>124.0</v>
      </c>
      <c r="H62" s="3">
        <v>1626905.0</v>
      </c>
      <c r="I62" s="3">
        <v>1621497.040323</v>
      </c>
      <c r="J62" s="3">
        <v>2141.301791</v>
      </c>
      <c r="K62" s="3">
        <v>1319.959677</v>
      </c>
      <c r="L62" s="3">
        <v>57.826966</v>
      </c>
      <c r="M62" s="3">
        <v>0.0</v>
      </c>
    </row>
    <row r="63">
      <c r="A63" s="3">
        <v>1000.0</v>
      </c>
      <c r="B63" s="3">
        <v>10.0</v>
      </c>
      <c r="C63" s="3">
        <v>3.0</v>
      </c>
      <c r="D63" s="3" t="s">
        <v>14</v>
      </c>
      <c r="E63" s="3" t="s">
        <v>16</v>
      </c>
      <c r="F63" s="3">
        <v>85.006</v>
      </c>
      <c r="G63" s="3">
        <v>1361.0</v>
      </c>
      <c r="H63" s="3">
        <v>1630446.0</v>
      </c>
      <c r="I63" s="3">
        <v>1623184.133725</v>
      </c>
      <c r="J63" s="3">
        <v>2093.327798</v>
      </c>
      <c r="K63" s="3">
        <v>2123.286554</v>
      </c>
      <c r="L63" s="3">
        <v>70.83245</v>
      </c>
      <c r="M63" s="3">
        <v>0.0</v>
      </c>
    </row>
    <row r="64">
      <c r="A64" s="3">
        <v>1000.0</v>
      </c>
      <c r="B64" s="3">
        <v>10.0</v>
      </c>
      <c r="C64" s="3">
        <v>3.0</v>
      </c>
      <c r="D64" s="3" t="s">
        <v>17</v>
      </c>
      <c r="E64" s="3" t="s">
        <v>15</v>
      </c>
      <c r="F64" s="3">
        <v>85.074</v>
      </c>
      <c r="G64" s="3">
        <v>300.0</v>
      </c>
      <c r="H64" s="3">
        <v>1628102.0</v>
      </c>
      <c r="I64" s="3">
        <v>1621699.836667</v>
      </c>
      <c r="J64" s="3">
        <v>2363.858445</v>
      </c>
      <c r="K64" s="3">
        <v>1321.3</v>
      </c>
      <c r="L64" s="3">
        <v>51.598934</v>
      </c>
      <c r="M64" s="3">
        <v>0.0</v>
      </c>
    </row>
    <row r="65">
      <c r="A65" s="3">
        <v>1000.0</v>
      </c>
      <c r="B65" s="3">
        <v>10.0</v>
      </c>
      <c r="C65" s="3">
        <v>3.0</v>
      </c>
      <c r="D65" s="3" t="s">
        <v>17</v>
      </c>
      <c r="E65" s="3" t="s">
        <v>16</v>
      </c>
      <c r="F65" s="3">
        <v>85.035</v>
      </c>
      <c r="G65" s="3">
        <v>223.0</v>
      </c>
      <c r="H65" s="3">
        <v>1629588.0</v>
      </c>
      <c r="I65" s="3">
        <v>1623102.439462</v>
      </c>
      <c r="J65" s="3">
        <v>2127.488663</v>
      </c>
      <c r="K65" s="3">
        <v>2118.147982</v>
      </c>
      <c r="L65" s="3">
        <v>70.348527</v>
      </c>
      <c r="M65" s="3">
        <v>0.0</v>
      </c>
    </row>
    <row r="66">
      <c r="A66" s="3">
        <v>1000.0</v>
      </c>
      <c r="B66" s="3">
        <v>10.0</v>
      </c>
      <c r="C66" s="3">
        <v>3.0</v>
      </c>
      <c r="D66" s="3" t="s">
        <v>18</v>
      </c>
      <c r="E66" s="3" t="s">
        <v>16</v>
      </c>
      <c r="F66" s="3">
        <v>85.139</v>
      </c>
      <c r="G66" s="3">
        <v>477.0</v>
      </c>
      <c r="H66" s="3">
        <v>1630317.0</v>
      </c>
      <c r="I66" s="3">
        <v>1623086.612159</v>
      </c>
      <c r="J66" s="3">
        <v>2128.815777</v>
      </c>
      <c r="K66" s="3">
        <v>2123.366876</v>
      </c>
      <c r="L66" s="3">
        <v>66.247468</v>
      </c>
      <c r="M66" s="3">
        <v>0.0</v>
      </c>
    </row>
    <row r="67">
      <c r="A67" s="3">
        <v>1000.0</v>
      </c>
      <c r="B67" s="3">
        <v>10.0</v>
      </c>
      <c r="C67" s="3">
        <v>4.0</v>
      </c>
      <c r="D67" s="3" t="s">
        <v>14</v>
      </c>
      <c r="E67" s="3" t="s">
        <v>15</v>
      </c>
      <c r="F67" s="3">
        <v>85.365</v>
      </c>
      <c r="G67" s="3">
        <v>124.0</v>
      </c>
      <c r="H67" s="3">
        <v>1624034.0</v>
      </c>
      <c r="I67" s="3">
        <v>1617200.379032</v>
      </c>
      <c r="J67" s="3">
        <v>2076.946932</v>
      </c>
      <c r="K67" s="3">
        <v>1323.629032</v>
      </c>
      <c r="L67" s="3">
        <v>51.238448</v>
      </c>
      <c r="M67" s="3">
        <v>0.0</v>
      </c>
    </row>
    <row r="68">
      <c r="A68" s="3">
        <v>1000.0</v>
      </c>
      <c r="B68" s="3">
        <v>10.0</v>
      </c>
      <c r="C68" s="3">
        <v>4.0</v>
      </c>
      <c r="D68" s="3" t="s">
        <v>14</v>
      </c>
      <c r="E68" s="3" t="s">
        <v>16</v>
      </c>
      <c r="F68" s="3">
        <v>85.003</v>
      </c>
      <c r="G68" s="3">
        <v>1362.0</v>
      </c>
      <c r="H68" s="3">
        <v>1625210.0</v>
      </c>
      <c r="I68" s="3">
        <v>1618525.617474</v>
      </c>
      <c r="J68" s="3">
        <v>1976.186822</v>
      </c>
      <c r="K68" s="3">
        <v>2122.0837</v>
      </c>
      <c r="L68" s="3">
        <v>68.39826</v>
      </c>
      <c r="M68" s="3">
        <v>0.0</v>
      </c>
    </row>
    <row r="69">
      <c r="A69" s="3">
        <v>1000.0</v>
      </c>
      <c r="B69" s="3">
        <v>10.0</v>
      </c>
      <c r="C69" s="3">
        <v>4.0</v>
      </c>
      <c r="D69" s="3" t="s">
        <v>17</v>
      </c>
      <c r="E69" s="3" t="s">
        <v>15</v>
      </c>
      <c r="F69" s="3">
        <v>85.008</v>
      </c>
      <c r="G69" s="3">
        <v>302.0</v>
      </c>
      <c r="H69" s="3">
        <v>1623216.0</v>
      </c>
      <c r="I69" s="3">
        <v>1617144.754967</v>
      </c>
      <c r="J69" s="3">
        <v>2171.547801</v>
      </c>
      <c r="K69" s="3">
        <v>1315.31457</v>
      </c>
      <c r="L69" s="3">
        <v>55.290357</v>
      </c>
      <c r="M69" s="3">
        <v>0.0</v>
      </c>
    </row>
    <row r="70">
      <c r="A70" s="3">
        <v>1000.0</v>
      </c>
      <c r="B70" s="3">
        <v>10.0</v>
      </c>
      <c r="C70" s="3">
        <v>4.0</v>
      </c>
      <c r="D70" s="3" t="s">
        <v>17</v>
      </c>
      <c r="E70" s="3" t="s">
        <v>16</v>
      </c>
      <c r="F70" s="3">
        <v>85.223</v>
      </c>
      <c r="G70" s="3">
        <v>223.0</v>
      </c>
      <c r="H70" s="3">
        <v>1624517.0</v>
      </c>
      <c r="I70" s="3">
        <v>1618444.780269</v>
      </c>
      <c r="J70" s="3">
        <v>2134.059346</v>
      </c>
      <c r="K70" s="3">
        <v>2119.452915</v>
      </c>
      <c r="L70" s="3">
        <v>72.531894</v>
      </c>
      <c r="M70" s="3">
        <v>0.0</v>
      </c>
    </row>
    <row r="71">
      <c r="A71" s="3">
        <v>1000.0</v>
      </c>
      <c r="B71" s="3">
        <v>10.0</v>
      </c>
      <c r="C71" s="3">
        <v>4.0</v>
      </c>
      <c r="D71" s="3" t="s">
        <v>18</v>
      </c>
      <c r="E71" s="3" t="s">
        <v>16</v>
      </c>
      <c r="F71" s="3">
        <v>85.168</v>
      </c>
      <c r="G71" s="3">
        <v>422.0</v>
      </c>
      <c r="H71" s="3">
        <v>1624457.0</v>
      </c>
      <c r="I71" s="3">
        <v>1618628.462085</v>
      </c>
      <c r="J71" s="3">
        <v>2060.781202</v>
      </c>
      <c r="K71" s="3">
        <v>2123.490521</v>
      </c>
      <c r="L71" s="3">
        <v>69.85787</v>
      </c>
      <c r="M71" s="3">
        <v>0.0</v>
      </c>
    </row>
    <row r="72">
      <c r="A72" s="3">
        <v>1000.0</v>
      </c>
      <c r="B72" s="3">
        <v>10.0</v>
      </c>
      <c r="C72" s="3">
        <v>5.0</v>
      </c>
      <c r="D72" s="3" t="s">
        <v>14</v>
      </c>
      <c r="E72" s="3" t="s">
        <v>15</v>
      </c>
      <c r="F72" s="3">
        <v>85.198</v>
      </c>
      <c r="G72" s="3">
        <v>124.0</v>
      </c>
      <c r="H72" s="3">
        <v>1622785.0</v>
      </c>
      <c r="I72" s="3">
        <v>1616346.451613</v>
      </c>
      <c r="J72" s="3">
        <v>2278.653395</v>
      </c>
      <c r="K72" s="3">
        <v>1318.556452</v>
      </c>
      <c r="L72" s="3">
        <v>57.520866</v>
      </c>
      <c r="M72" s="3">
        <v>0.0</v>
      </c>
    </row>
    <row r="73">
      <c r="A73" s="3">
        <v>1000.0</v>
      </c>
      <c r="B73" s="3">
        <v>10.0</v>
      </c>
      <c r="C73" s="3">
        <v>5.0</v>
      </c>
      <c r="D73" s="3" t="s">
        <v>14</v>
      </c>
      <c r="E73" s="3" t="s">
        <v>16</v>
      </c>
      <c r="F73" s="3">
        <v>85.057</v>
      </c>
      <c r="G73" s="3">
        <v>1354.0</v>
      </c>
      <c r="H73" s="3">
        <v>1624266.0</v>
      </c>
      <c r="I73" s="3">
        <v>1617787.242245</v>
      </c>
      <c r="J73" s="3">
        <v>2051.112074</v>
      </c>
      <c r="K73" s="3">
        <v>2120.902511</v>
      </c>
      <c r="L73" s="3">
        <v>66.780042</v>
      </c>
      <c r="M73" s="3">
        <v>0.0</v>
      </c>
    </row>
    <row r="74">
      <c r="A74" s="3">
        <v>1000.0</v>
      </c>
      <c r="B74" s="3">
        <v>10.0</v>
      </c>
      <c r="C74" s="3">
        <v>5.0</v>
      </c>
      <c r="D74" s="3" t="s">
        <v>17</v>
      </c>
      <c r="E74" s="3" t="s">
        <v>15</v>
      </c>
      <c r="F74" s="3">
        <v>85.155</v>
      </c>
      <c r="G74" s="3">
        <v>295.0</v>
      </c>
      <c r="H74" s="3">
        <v>1622811.0</v>
      </c>
      <c r="I74" s="3">
        <v>1616565.722034</v>
      </c>
      <c r="J74" s="3">
        <v>2311.035588</v>
      </c>
      <c r="K74" s="3">
        <v>1318.922034</v>
      </c>
      <c r="L74" s="3">
        <v>56.486363</v>
      </c>
      <c r="M74" s="3">
        <v>0.0</v>
      </c>
    </row>
    <row r="75">
      <c r="A75" s="3">
        <v>1000.0</v>
      </c>
      <c r="B75" s="3">
        <v>10.0</v>
      </c>
      <c r="C75" s="3">
        <v>5.0</v>
      </c>
      <c r="D75" s="3" t="s">
        <v>17</v>
      </c>
      <c r="E75" s="3" t="s">
        <v>16</v>
      </c>
      <c r="F75" s="3">
        <v>85.162</v>
      </c>
      <c r="G75" s="3">
        <v>219.0</v>
      </c>
      <c r="H75" s="3">
        <v>1622992.0</v>
      </c>
      <c r="I75" s="3">
        <v>1617588.461187</v>
      </c>
      <c r="J75" s="3">
        <v>2002.308627</v>
      </c>
      <c r="K75" s="3">
        <v>2120.607306</v>
      </c>
      <c r="L75" s="3">
        <v>66.683955</v>
      </c>
      <c r="M75" s="3">
        <v>0.0</v>
      </c>
    </row>
    <row r="76">
      <c r="A76" s="3">
        <v>1000.0</v>
      </c>
      <c r="B76" s="3">
        <v>10.0</v>
      </c>
      <c r="C76" s="3">
        <v>5.0</v>
      </c>
      <c r="D76" s="3" t="s">
        <v>18</v>
      </c>
      <c r="E76" s="3" t="s">
        <v>16</v>
      </c>
      <c r="F76" s="3">
        <v>85.107</v>
      </c>
      <c r="G76" s="3">
        <v>454.0</v>
      </c>
      <c r="H76" s="3">
        <v>1624151.0</v>
      </c>
      <c r="I76" s="3">
        <v>1617933.207048</v>
      </c>
      <c r="J76" s="3">
        <v>2004.776909</v>
      </c>
      <c r="K76" s="3">
        <v>2118.788546</v>
      </c>
      <c r="L76" s="3">
        <v>71.361426</v>
      </c>
      <c r="M76" s="3">
        <v>0.0</v>
      </c>
    </row>
    <row r="77">
      <c r="A77" s="3">
        <v>1000.0</v>
      </c>
      <c r="B77" s="3">
        <v>50.0</v>
      </c>
      <c r="C77" s="3">
        <v>1.0</v>
      </c>
      <c r="D77" s="3" t="s">
        <v>14</v>
      </c>
      <c r="E77" s="3" t="s">
        <v>15</v>
      </c>
      <c r="F77" s="3">
        <v>88.646</v>
      </c>
      <c r="G77" s="3">
        <v>21.0</v>
      </c>
      <c r="H77" s="3">
        <v>8080185.0</v>
      </c>
      <c r="I77" s="3">
        <v>8067982.47619</v>
      </c>
      <c r="J77" s="3">
        <v>5939.568676</v>
      </c>
      <c r="K77" s="3">
        <v>1676.952381</v>
      </c>
      <c r="L77" s="3">
        <v>85.248922</v>
      </c>
      <c r="M77" s="3">
        <v>2.0</v>
      </c>
    </row>
    <row r="78">
      <c r="A78" s="3">
        <v>1000.0</v>
      </c>
      <c r="B78" s="3">
        <v>50.0</v>
      </c>
      <c r="C78" s="3">
        <v>1.0</v>
      </c>
      <c r="D78" s="3" t="s">
        <v>14</v>
      </c>
      <c r="E78" s="3" t="s">
        <v>16</v>
      </c>
      <c r="F78" s="3">
        <v>85.14</v>
      </c>
      <c r="G78" s="3">
        <v>82.0</v>
      </c>
      <c r="H78" s="3">
        <v>8081427.0</v>
      </c>
      <c r="I78" s="3">
        <v>8070350.585366</v>
      </c>
      <c r="J78" s="3">
        <v>4021.066302</v>
      </c>
      <c r="K78" s="3">
        <v>3027.304878</v>
      </c>
      <c r="L78" s="3">
        <v>129.277796</v>
      </c>
      <c r="M78" s="3">
        <v>0.0</v>
      </c>
    </row>
    <row r="79">
      <c r="A79" s="3">
        <v>1000.0</v>
      </c>
      <c r="B79" s="3">
        <v>50.0</v>
      </c>
      <c r="C79" s="3">
        <v>1.0</v>
      </c>
      <c r="D79" s="3" t="s">
        <v>17</v>
      </c>
      <c r="E79" s="3" t="s">
        <v>15</v>
      </c>
      <c r="F79" s="3">
        <v>85.486</v>
      </c>
      <c r="G79" s="3">
        <v>27.0</v>
      </c>
      <c r="H79" s="3">
        <v>8074227.0</v>
      </c>
      <c r="I79" s="3">
        <v>8068952.962963</v>
      </c>
      <c r="J79" s="3">
        <v>4168.306589</v>
      </c>
      <c r="K79" s="3">
        <v>1708.592593</v>
      </c>
      <c r="L79" s="3">
        <v>90.293455</v>
      </c>
      <c r="M79" s="3">
        <v>1.0</v>
      </c>
    </row>
    <row r="80">
      <c r="A80" s="3">
        <v>1000.0</v>
      </c>
      <c r="B80" s="3">
        <v>50.0</v>
      </c>
      <c r="C80" s="3">
        <v>1.0</v>
      </c>
      <c r="D80" s="3" t="s">
        <v>17</v>
      </c>
      <c r="E80" s="3" t="s">
        <v>16</v>
      </c>
      <c r="F80" s="3">
        <v>88.048</v>
      </c>
      <c r="G80" s="3">
        <v>17.0</v>
      </c>
      <c r="H80" s="3">
        <v>8079901.0</v>
      </c>
      <c r="I80" s="3">
        <v>8071299.705882</v>
      </c>
      <c r="J80" s="3">
        <v>5054.175988</v>
      </c>
      <c r="K80" s="3">
        <v>2976.294118</v>
      </c>
      <c r="L80" s="3">
        <v>137.439084</v>
      </c>
      <c r="M80" s="3">
        <v>1.0</v>
      </c>
    </row>
    <row r="81">
      <c r="A81" s="3">
        <v>1000.0</v>
      </c>
      <c r="B81" s="3">
        <v>50.0</v>
      </c>
      <c r="C81" s="3">
        <v>1.0</v>
      </c>
      <c r="D81" s="3" t="s">
        <v>18</v>
      </c>
      <c r="E81" s="3" t="s">
        <v>16</v>
      </c>
      <c r="F81" s="3">
        <v>85.329</v>
      </c>
      <c r="G81" s="3">
        <v>276.0</v>
      </c>
      <c r="H81" s="3">
        <v>8085394.0</v>
      </c>
      <c r="I81" s="3">
        <v>8069962.478261</v>
      </c>
      <c r="J81" s="3">
        <v>4517.991532</v>
      </c>
      <c r="K81" s="3">
        <v>3011.485507</v>
      </c>
      <c r="L81" s="3">
        <v>122.163245</v>
      </c>
      <c r="M81" s="3">
        <v>0.0</v>
      </c>
    </row>
    <row r="82">
      <c r="A82" s="3">
        <v>1000.0</v>
      </c>
      <c r="B82" s="3">
        <v>50.0</v>
      </c>
      <c r="C82" s="3">
        <v>2.0</v>
      </c>
      <c r="D82" s="3" t="s">
        <v>14</v>
      </c>
      <c r="E82" s="3" t="s">
        <v>15</v>
      </c>
      <c r="F82" s="3">
        <v>85.612</v>
      </c>
      <c r="G82" s="3">
        <v>20.0</v>
      </c>
      <c r="H82" s="3">
        <v>8072885.0</v>
      </c>
      <c r="I82" s="3">
        <v>8065315.4</v>
      </c>
      <c r="J82" s="3">
        <v>4726.077595</v>
      </c>
      <c r="K82" s="3">
        <v>1691.1</v>
      </c>
      <c r="L82" s="3">
        <v>84.666345</v>
      </c>
      <c r="M82" s="3">
        <v>2.0</v>
      </c>
    </row>
    <row r="83">
      <c r="A83" s="3">
        <v>1000.0</v>
      </c>
      <c r="B83" s="3">
        <v>50.0</v>
      </c>
      <c r="C83" s="3">
        <v>2.0</v>
      </c>
      <c r="D83" s="3" t="s">
        <v>14</v>
      </c>
      <c r="E83" s="3" t="s">
        <v>16</v>
      </c>
      <c r="F83" s="3">
        <v>85.531</v>
      </c>
      <c r="G83" s="3">
        <v>83.0</v>
      </c>
      <c r="H83" s="3">
        <v>8079490.0</v>
      </c>
      <c r="I83" s="3">
        <v>8068253.807229</v>
      </c>
      <c r="J83" s="3">
        <v>4559.770591</v>
      </c>
      <c r="K83" s="3">
        <v>2997.13253</v>
      </c>
      <c r="L83" s="3">
        <v>122.755489</v>
      </c>
      <c r="M83" s="3">
        <v>0.0</v>
      </c>
    </row>
    <row r="84">
      <c r="A84" s="3">
        <v>1000.0</v>
      </c>
      <c r="B84" s="3">
        <v>50.0</v>
      </c>
      <c r="C84" s="3">
        <v>2.0</v>
      </c>
      <c r="D84" s="3" t="s">
        <v>17</v>
      </c>
      <c r="E84" s="3" t="s">
        <v>15</v>
      </c>
      <c r="F84" s="3">
        <v>85.285</v>
      </c>
      <c r="G84" s="3">
        <v>27.0</v>
      </c>
      <c r="H84" s="3">
        <v>8074375.0</v>
      </c>
      <c r="I84" s="3">
        <v>8066658.814815</v>
      </c>
      <c r="J84" s="3">
        <v>4714.985166</v>
      </c>
      <c r="K84" s="3">
        <v>1687.925926</v>
      </c>
      <c r="L84" s="3">
        <v>92.90773</v>
      </c>
      <c r="M84" s="3">
        <v>1.0</v>
      </c>
    </row>
    <row r="85">
      <c r="A85" s="3">
        <v>1000.0</v>
      </c>
      <c r="B85" s="3">
        <v>50.0</v>
      </c>
      <c r="C85" s="3">
        <v>2.0</v>
      </c>
      <c r="D85" s="3" t="s">
        <v>17</v>
      </c>
      <c r="E85" s="3" t="s">
        <v>16</v>
      </c>
      <c r="F85" s="3">
        <v>89.805</v>
      </c>
      <c r="G85" s="3">
        <v>17.0</v>
      </c>
      <c r="H85" s="3">
        <v>8075718.0</v>
      </c>
      <c r="I85" s="3">
        <v>8068871.117647</v>
      </c>
      <c r="J85" s="3">
        <v>3232.878154</v>
      </c>
      <c r="K85" s="3">
        <v>3011.411765</v>
      </c>
      <c r="L85" s="3">
        <v>110.136311</v>
      </c>
      <c r="M85" s="3">
        <v>1.0</v>
      </c>
    </row>
    <row r="86">
      <c r="A86" s="3">
        <v>1000.0</v>
      </c>
      <c r="B86" s="3">
        <v>50.0</v>
      </c>
      <c r="C86" s="3">
        <v>2.0</v>
      </c>
      <c r="D86" s="3" t="s">
        <v>18</v>
      </c>
      <c r="E86" s="3" t="s">
        <v>16</v>
      </c>
      <c r="F86" s="3">
        <v>85.247</v>
      </c>
      <c r="G86" s="3">
        <v>268.0</v>
      </c>
      <c r="H86" s="3">
        <v>8080107.0</v>
      </c>
      <c r="I86" s="3">
        <v>8068980.604478</v>
      </c>
      <c r="J86" s="3">
        <v>4858.192436</v>
      </c>
      <c r="K86" s="3">
        <v>3030.175373</v>
      </c>
      <c r="L86" s="3">
        <v>130.152763</v>
      </c>
      <c r="M86" s="3">
        <v>0.0</v>
      </c>
    </row>
    <row r="87">
      <c r="A87" s="3">
        <v>1000.0</v>
      </c>
      <c r="B87" s="3">
        <v>50.0</v>
      </c>
      <c r="C87" s="3">
        <v>3.0</v>
      </c>
      <c r="D87" s="3" t="s">
        <v>14</v>
      </c>
      <c r="E87" s="3" t="s">
        <v>15</v>
      </c>
      <c r="F87" s="3">
        <v>86.42</v>
      </c>
      <c r="G87" s="3">
        <v>20.0</v>
      </c>
      <c r="H87" s="3">
        <v>8072887.0</v>
      </c>
      <c r="I87" s="3">
        <v>8065403.3</v>
      </c>
      <c r="J87" s="3">
        <v>3855.799828</v>
      </c>
      <c r="K87" s="3">
        <v>1715.8</v>
      </c>
      <c r="L87" s="3">
        <v>93.827821</v>
      </c>
      <c r="M87" s="3">
        <v>2.0</v>
      </c>
    </row>
    <row r="88">
      <c r="A88" s="3">
        <v>1000.0</v>
      </c>
      <c r="B88" s="3">
        <v>50.0</v>
      </c>
      <c r="C88" s="3">
        <v>3.0</v>
      </c>
      <c r="D88" s="3" t="s">
        <v>14</v>
      </c>
      <c r="E88" s="3" t="s">
        <v>16</v>
      </c>
      <c r="F88" s="3">
        <v>85.04</v>
      </c>
      <c r="G88" s="3">
        <v>82.0</v>
      </c>
      <c r="H88" s="3">
        <v>8079116.0</v>
      </c>
      <c r="I88" s="3">
        <v>8066876.5</v>
      </c>
      <c r="J88" s="3">
        <v>4501.650411</v>
      </c>
      <c r="K88" s="3">
        <v>3024.817073</v>
      </c>
      <c r="L88" s="3">
        <v>128.718271</v>
      </c>
      <c r="M88" s="3">
        <v>0.0</v>
      </c>
    </row>
    <row r="89">
      <c r="A89" s="3">
        <v>1000.0</v>
      </c>
      <c r="B89" s="3">
        <v>50.0</v>
      </c>
      <c r="C89" s="3">
        <v>3.0</v>
      </c>
      <c r="D89" s="3" t="s">
        <v>17</v>
      </c>
      <c r="E89" s="3" t="s">
        <v>15</v>
      </c>
      <c r="F89" s="3">
        <v>86.442</v>
      </c>
      <c r="G89" s="3">
        <v>27.0</v>
      </c>
      <c r="H89" s="3">
        <v>8076225.0</v>
      </c>
      <c r="I89" s="3">
        <v>8065988.37037</v>
      </c>
      <c r="J89" s="3">
        <v>5470.261448</v>
      </c>
      <c r="K89" s="3">
        <v>1716.814815</v>
      </c>
      <c r="L89" s="3">
        <v>101.816479</v>
      </c>
      <c r="M89" s="3">
        <v>1.0</v>
      </c>
    </row>
    <row r="90">
      <c r="A90" s="3">
        <v>1000.0</v>
      </c>
      <c r="B90" s="3">
        <v>50.0</v>
      </c>
      <c r="C90" s="3">
        <v>3.0</v>
      </c>
      <c r="D90" s="3" t="s">
        <v>17</v>
      </c>
      <c r="E90" s="3" t="s">
        <v>16</v>
      </c>
      <c r="F90" s="3">
        <v>87.68</v>
      </c>
      <c r="G90" s="3">
        <v>17.0</v>
      </c>
      <c r="H90" s="3">
        <v>8070236.0</v>
      </c>
      <c r="I90" s="3">
        <v>8064555.294118</v>
      </c>
      <c r="J90" s="3">
        <v>4146.130312</v>
      </c>
      <c r="K90" s="3">
        <v>2947.294118</v>
      </c>
      <c r="L90" s="3">
        <v>105.558885</v>
      </c>
      <c r="M90" s="3">
        <v>1.0</v>
      </c>
    </row>
    <row r="91">
      <c r="A91" s="3">
        <v>1000.0</v>
      </c>
      <c r="B91" s="3">
        <v>50.0</v>
      </c>
      <c r="C91" s="3">
        <v>3.0</v>
      </c>
      <c r="D91" s="3" t="s">
        <v>18</v>
      </c>
      <c r="E91" s="3" t="s">
        <v>16</v>
      </c>
      <c r="F91" s="3">
        <v>85.158</v>
      </c>
      <c r="G91" s="3">
        <v>300.0</v>
      </c>
      <c r="H91" s="3">
        <v>8081323.0</v>
      </c>
      <c r="I91" s="3">
        <v>8066265.546667</v>
      </c>
      <c r="J91" s="3">
        <v>4573.034345</v>
      </c>
      <c r="K91" s="3">
        <v>3011.48</v>
      </c>
      <c r="L91" s="3">
        <v>132.3296</v>
      </c>
      <c r="M91" s="3">
        <v>0.0</v>
      </c>
    </row>
    <row r="92">
      <c r="A92" s="3">
        <v>1000.0</v>
      </c>
      <c r="B92" s="3">
        <v>50.0</v>
      </c>
      <c r="C92" s="3">
        <v>4.0</v>
      </c>
      <c r="D92" s="3" t="s">
        <v>14</v>
      </c>
      <c r="E92" s="3" t="s">
        <v>15</v>
      </c>
      <c r="F92" s="3">
        <v>88.983</v>
      </c>
      <c r="G92" s="3">
        <v>21.0</v>
      </c>
      <c r="H92" s="3">
        <v>8075375.0</v>
      </c>
      <c r="I92" s="3">
        <v>8065309.380952</v>
      </c>
      <c r="J92" s="3">
        <v>5239.024432</v>
      </c>
      <c r="K92" s="3">
        <v>1679.190476</v>
      </c>
      <c r="L92" s="3">
        <v>78.177831</v>
      </c>
      <c r="M92" s="3">
        <v>2.0</v>
      </c>
    </row>
    <row r="93">
      <c r="A93" s="3">
        <v>1000.0</v>
      </c>
      <c r="B93" s="3">
        <v>50.0</v>
      </c>
      <c r="C93" s="3">
        <v>4.0</v>
      </c>
      <c r="D93" s="3" t="s">
        <v>14</v>
      </c>
      <c r="E93" s="3" t="s">
        <v>16</v>
      </c>
      <c r="F93" s="3">
        <v>85.036</v>
      </c>
      <c r="G93" s="3">
        <v>83.0</v>
      </c>
      <c r="H93" s="3">
        <v>8081254.0</v>
      </c>
      <c r="I93" s="3">
        <v>8068816.686747</v>
      </c>
      <c r="J93" s="3">
        <v>4984.401617</v>
      </c>
      <c r="K93" s="3">
        <v>2988.337349</v>
      </c>
      <c r="L93" s="3">
        <v>141.084891</v>
      </c>
      <c r="M93" s="3">
        <v>0.0</v>
      </c>
    </row>
    <row r="94">
      <c r="A94" s="3">
        <v>1000.0</v>
      </c>
      <c r="B94" s="3">
        <v>50.0</v>
      </c>
      <c r="C94" s="3">
        <v>4.0</v>
      </c>
      <c r="D94" s="3" t="s">
        <v>17</v>
      </c>
      <c r="E94" s="3" t="s">
        <v>15</v>
      </c>
      <c r="F94" s="3">
        <v>87.203</v>
      </c>
      <c r="G94" s="3">
        <v>28.0</v>
      </c>
      <c r="H94" s="3">
        <v>8077876.0</v>
      </c>
      <c r="I94" s="3">
        <v>8066819.392857</v>
      </c>
      <c r="J94" s="3">
        <v>4619.598579</v>
      </c>
      <c r="K94" s="3">
        <v>1664.5</v>
      </c>
      <c r="L94" s="3">
        <v>84.018918</v>
      </c>
      <c r="M94" s="3">
        <v>1.0</v>
      </c>
    </row>
    <row r="95">
      <c r="A95" s="3">
        <v>1000.0</v>
      </c>
      <c r="B95" s="3">
        <v>50.0</v>
      </c>
      <c r="C95" s="3">
        <v>4.0</v>
      </c>
      <c r="D95" s="3" t="s">
        <v>17</v>
      </c>
      <c r="E95" s="3" t="s">
        <v>16</v>
      </c>
      <c r="F95" s="3">
        <v>89.113</v>
      </c>
      <c r="G95" s="3">
        <v>17.0</v>
      </c>
      <c r="H95" s="3">
        <v>8077041.0</v>
      </c>
      <c r="I95" s="3">
        <v>8068566.470588</v>
      </c>
      <c r="J95" s="3">
        <v>4945.121674</v>
      </c>
      <c r="K95" s="3">
        <v>3011.352941</v>
      </c>
      <c r="L95" s="3">
        <v>120.68137</v>
      </c>
      <c r="M95" s="3">
        <v>1.0</v>
      </c>
    </row>
    <row r="96">
      <c r="A96" s="3">
        <v>1000.0</v>
      </c>
      <c r="B96" s="3">
        <v>50.0</v>
      </c>
      <c r="C96" s="3">
        <v>4.0</v>
      </c>
      <c r="D96" s="3" t="s">
        <v>18</v>
      </c>
      <c r="E96" s="3" t="s">
        <v>16</v>
      </c>
      <c r="F96" s="3">
        <v>85.147</v>
      </c>
      <c r="G96" s="3">
        <v>276.0</v>
      </c>
      <c r="H96" s="3">
        <v>8084693.0</v>
      </c>
      <c r="I96" s="3">
        <v>8069413.532609</v>
      </c>
      <c r="J96" s="3">
        <v>4675.692701</v>
      </c>
      <c r="K96" s="3">
        <v>3023.119565</v>
      </c>
      <c r="L96" s="3">
        <v>131.839701</v>
      </c>
      <c r="M96" s="3">
        <v>0.0</v>
      </c>
    </row>
    <row r="97">
      <c r="A97" s="3">
        <v>1000.0</v>
      </c>
      <c r="B97" s="3">
        <v>50.0</v>
      </c>
      <c r="C97" s="3">
        <v>5.0</v>
      </c>
      <c r="D97" s="3" t="s">
        <v>14</v>
      </c>
      <c r="E97" s="3" t="s">
        <v>15</v>
      </c>
      <c r="F97" s="3">
        <v>85.18</v>
      </c>
      <c r="G97" s="3">
        <v>20.0</v>
      </c>
      <c r="H97" s="3">
        <v>8075873.0</v>
      </c>
      <c r="I97" s="3">
        <v>8063906.65</v>
      </c>
      <c r="J97" s="3">
        <v>4538.863594</v>
      </c>
      <c r="K97" s="3">
        <v>1687.65</v>
      </c>
      <c r="L97" s="3">
        <v>88.973746</v>
      </c>
      <c r="M97" s="3">
        <v>2.0</v>
      </c>
    </row>
    <row r="98">
      <c r="A98" s="3">
        <v>1000.0</v>
      </c>
      <c r="B98" s="3">
        <v>50.0</v>
      </c>
      <c r="C98" s="3">
        <v>5.0</v>
      </c>
      <c r="D98" s="3" t="s">
        <v>14</v>
      </c>
      <c r="E98" s="3" t="s">
        <v>16</v>
      </c>
      <c r="F98" s="3">
        <v>85.029</v>
      </c>
      <c r="G98" s="3">
        <v>82.0</v>
      </c>
      <c r="H98" s="3">
        <v>8074835.0</v>
      </c>
      <c r="I98" s="3">
        <v>8065799.52439</v>
      </c>
      <c r="J98" s="3">
        <v>4822.504018</v>
      </c>
      <c r="K98" s="3">
        <v>3019.817073</v>
      </c>
      <c r="L98" s="3">
        <v>128.837876</v>
      </c>
      <c r="M98" s="3">
        <v>0.0</v>
      </c>
    </row>
    <row r="99">
      <c r="A99" s="3">
        <v>1000.0</v>
      </c>
      <c r="B99" s="3">
        <v>50.0</v>
      </c>
      <c r="C99" s="3">
        <v>5.0</v>
      </c>
      <c r="D99" s="3" t="s">
        <v>17</v>
      </c>
      <c r="E99" s="3" t="s">
        <v>15</v>
      </c>
      <c r="F99" s="3">
        <v>85.685</v>
      </c>
      <c r="G99" s="3">
        <v>27.0</v>
      </c>
      <c r="H99" s="3">
        <v>8071794.0</v>
      </c>
      <c r="I99" s="3">
        <v>8064356.703704</v>
      </c>
      <c r="J99" s="3">
        <v>4899.495106</v>
      </c>
      <c r="K99" s="3">
        <v>1694.037037</v>
      </c>
      <c r="L99" s="3">
        <v>84.017847</v>
      </c>
      <c r="M99" s="3">
        <v>1.0</v>
      </c>
    </row>
    <row r="100">
      <c r="A100" s="3">
        <v>1000.0</v>
      </c>
      <c r="B100" s="3">
        <v>50.0</v>
      </c>
      <c r="C100" s="3">
        <v>5.0</v>
      </c>
      <c r="D100" s="3" t="s">
        <v>17</v>
      </c>
      <c r="E100" s="3" t="s">
        <v>16</v>
      </c>
      <c r="F100" s="3">
        <v>89.481</v>
      </c>
      <c r="G100" s="3">
        <v>17.0</v>
      </c>
      <c r="H100" s="3">
        <v>8071560.0</v>
      </c>
      <c r="I100" s="3">
        <v>8065072.0</v>
      </c>
      <c r="J100" s="3">
        <v>3476.780813</v>
      </c>
      <c r="K100" s="3">
        <v>3006.705882</v>
      </c>
      <c r="L100" s="3">
        <v>117.217126</v>
      </c>
      <c r="M100" s="3">
        <v>1.0</v>
      </c>
    </row>
    <row r="101">
      <c r="A101" s="3">
        <v>1000.0</v>
      </c>
      <c r="B101" s="3">
        <v>50.0</v>
      </c>
      <c r="C101" s="3">
        <v>5.0</v>
      </c>
      <c r="D101" s="3" t="s">
        <v>18</v>
      </c>
      <c r="E101" s="3" t="s">
        <v>16</v>
      </c>
      <c r="F101" s="3">
        <v>85.221</v>
      </c>
      <c r="G101" s="3">
        <v>296.0</v>
      </c>
      <c r="H101" s="3">
        <v>8077997.0</v>
      </c>
      <c r="I101" s="3">
        <v>8065083.871622</v>
      </c>
      <c r="J101" s="3">
        <v>4507.61536</v>
      </c>
      <c r="K101" s="3">
        <v>3007.047297</v>
      </c>
      <c r="L101" s="3">
        <v>119.462582</v>
      </c>
      <c r="M101" s="3">
        <v>0.0</v>
      </c>
    </row>
    <row r="102">
      <c r="A102" s="3">
        <v>1000.0</v>
      </c>
      <c r="B102" s="3">
        <v>100.0</v>
      </c>
      <c r="C102" s="3">
        <v>1.0</v>
      </c>
      <c r="D102" s="3" t="s">
        <v>14</v>
      </c>
      <c r="E102" s="3" t="s">
        <v>15</v>
      </c>
      <c r="F102" s="3">
        <v>88.051</v>
      </c>
      <c r="G102" s="3">
        <v>9.0</v>
      </c>
      <c r="H102" s="3">
        <v>2.5758623E7</v>
      </c>
      <c r="I102" s="3">
        <v>2.5754329111111E7</v>
      </c>
      <c r="J102" s="3">
        <v>2620.703007</v>
      </c>
      <c r="K102" s="3">
        <v>1801.777778</v>
      </c>
      <c r="L102" s="3">
        <v>85.823822</v>
      </c>
      <c r="M102" s="3">
        <v>4.222222</v>
      </c>
    </row>
    <row r="103">
      <c r="A103" s="3">
        <v>1000.0</v>
      </c>
      <c r="B103" s="3">
        <v>100.0</v>
      </c>
      <c r="C103" s="3">
        <v>1.0</v>
      </c>
      <c r="D103" s="3" t="s">
        <v>14</v>
      </c>
      <c r="E103" s="3" t="s">
        <v>16</v>
      </c>
      <c r="F103" s="3">
        <v>87.01</v>
      </c>
      <c r="G103" s="3">
        <v>24.0</v>
      </c>
      <c r="H103" s="3">
        <v>2.5768638E7</v>
      </c>
      <c r="I103" s="3">
        <v>2.576086225E7</v>
      </c>
      <c r="J103" s="3">
        <v>4361.534822</v>
      </c>
      <c r="K103" s="3">
        <v>3396.166667</v>
      </c>
      <c r="L103" s="3">
        <v>146.13255</v>
      </c>
      <c r="M103" s="3">
        <v>0.0</v>
      </c>
    </row>
    <row r="104">
      <c r="A104" s="3">
        <v>1000.0</v>
      </c>
      <c r="B104" s="3">
        <v>100.0</v>
      </c>
      <c r="C104" s="3">
        <v>1.0</v>
      </c>
      <c r="D104" s="3" t="s">
        <v>17</v>
      </c>
      <c r="E104" s="3" t="s">
        <v>15</v>
      </c>
      <c r="F104" s="3">
        <v>87.449</v>
      </c>
      <c r="G104" s="3">
        <v>11.0</v>
      </c>
      <c r="H104" s="3">
        <v>2.5763139E7</v>
      </c>
      <c r="I104" s="3">
        <v>2.5757796545455E7</v>
      </c>
      <c r="J104" s="3">
        <v>2687.45072</v>
      </c>
      <c r="K104" s="3">
        <v>1825.909091</v>
      </c>
      <c r="L104" s="3">
        <v>65.67614</v>
      </c>
      <c r="M104" s="3">
        <v>3.0</v>
      </c>
    </row>
    <row r="105">
      <c r="A105" s="3">
        <v>1000.0</v>
      </c>
      <c r="B105" s="3">
        <v>100.0</v>
      </c>
      <c r="C105" s="3">
        <v>1.0</v>
      </c>
      <c r="D105" s="3" t="s">
        <v>17</v>
      </c>
      <c r="E105" s="3" t="s">
        <v>16</v>
      </c>
      <c r="F105" s="3">
        <v>97.752</v>
      </c>
      <c r="G105" s="3">
        <v>7.0</v>
      </c>
      <c r="H105" s="3">
        <v>2.5767298E7</v>
      </c>
      <c r="I105" s="3">
        <v>2.5760514142857E7</v>
      </c>
      <c r="J105" s="3">
        <v>4042.368458</v>
      </c>
      <c r="K105" s="3">
        <v>3374.0</v>
      </c>
      <c r="L105" s="3">
        <v>117.293283</v>
      </c>
      <c r="M105" s="3">
        <v>3.0</v>
      </c>
    </row>
    <row r="106">
      <c r="A106" s="3">
        <v>1000.0</v>
      </c>
      <c r="B106" s="3">
        <v>100.0</v>
      </c>
      <c r="C106" s="3">
        <v>1.0</v>
      </c>
      <c r="D106" s="3" t="s">
        <v>18</v>
      </c>
      <c r="E106" s="3" t="s">
        <v>16</v>
      </c>
      <c r="F106" s="3">
        <v>85.155</v>
      </c>
      <c r="G106" s="3">
        <v>226.0</v>
      </c>
      <c r="H106" s="3">
        <v>2.5771063E7</v>
      </c>
      <c r="I106" s="3">
        <v>2.5759466035398E7</v>
      </c>
      <c r="J106" s="3">
        <v>4987.222098</v>
      </c>
      <c r="K106" s="3">
        <v>3398.929204</v>
      </c>
      <c r="L106" s="3">
        <v>141.893748</v>
      </c>
      <c r="M106" s="3">
        <v>0.0</v>
      </c>
    </row>
    <row r="107">
      <c r="A107" s="3">
        <v>1000.0</v>
      </c>
      <c r="B107" s="3">
        <v>100.0</v>
      </c>
      <c r="C107" s="3">
        <v>2.0</v>
      </c>
      <c r="D107" s="3" t="s">
        <v>14</v>
      </c>
      <c r="E107" s="3" t="s">
        <v>15</v>
      </c>
      <c r="F107" s="3">
        <v>92.317</v>
      </c>
      <c r="G107" s="3">
        <v>9.0</v>
      </c>
      <c r="H107" s="3">
        <v>2.5766506E7</v>
      </c>
      <c r="I107" s="3">
        <v>2.5760953666667E7</v>
      </c>
      <c r="J107" s="3">
        <v>3594.392195</v>
      </c>
      <c r="K107" s="3">
        <v>1893.333333</v>
      </c>
      <c r="L107" s="3">
        <v>110.804131</v>
      </c>
      <c r="M107" s="3">
        <v>4.222222</v>
      </c>
    </row>
    <row r="108">
      <c r="A108" s="3">
        <v>1000.0</v>
      </c>
      <c r="B108" s="3">
        <v>100.0</v>
      </c>
      <c r="C108" s="3">
        <v>2.0</v>
      </c>
      <c r="D108" s="3" t="s">
        <v>14</v>
      </c>
      <c r="E108" s="3" t="s">
        <v>16</v>
      </c>
      <c r="F108" s="3">
        <v>88.414</v>
      </c>
      <c r="G108" s="3">
        <v>24.0</v>
      </c>
      <c r="H108" s="3">
        <v>2.5772933E7</v>
      </c>
      <c r="I108" s="3">
        <v>2.5762421458333E7</v>
      </c>
      <c r="J108" s="3">
        <v>4248.108785</v>
      </c>
      <c r="K108" s="3">
        <v>3449.333333</v>
      </c>
      <c r="L108" s="3">
        <v>177.837629</v>
      </c>
      <c r="M108" s="3">
        <v>0.0</v>
      </c>
    </row>
    <row r="109">
      <c r="A109" s="3">
        <v>1000.0</v>
      </c>
      <c r="B109" s="3">
        <v>100.0</v>
      </c>
      <c r="C109" s="3">
        <v>2.0</v>
      </c>
      <c r="D109" s="3" t="s">
        <v>17</v>
      </c>
      <c r="E109" s="3" t="s">
        <v>15</v>
      </c>
      <c r="F109" s="3">
        <v>88.496</v>
      </c>
      <c r="G109" s="3">
        <v>11.0</v>
      </c>
      <c r="H109" s="3">
        <v>2.5769772E7</v>
      </c>
      <c r="I109" s="3">
        <v>2.5760414090909E7</v>
      </c>
      <c r="J109" s="3">
        <v>4668.023029</v>
      </c>
      <c r="K109" s="3">
        <v>1823.454545</v>
      </c>
      <c r="L109" s="3">
        <v>106.91999</v>
      </c>
      <c r="M109" s="3">
        <v>3.0</v>
      </c>
    </row>
    <row r="110">
      <c r="A110" s="3">
        <v>1000.0</v>
      </c>
      <c r="B110" s="3">
        <v>100.0</v>
      </c>
      <c r="C110" s="3">
        <v>2.0</v>
      </c>
      <c r="D110" s="3" t="s">
        <v>17</v>
      </c>
      <c r="E110" s="3" t="s">
        <v>16</v>
      </c>
      <c r="F110" s="3">
        <v>99.083</v>
      </c>
      <c r="G110" s="3">
        <v>7.0</v>
      </c>
      <c r="H110" s="3">
        <v>2.5766915E7</v>
      </c>
      <c r="I110" s="3">
        <v>2.5760454714286E7</v>
      </c>
      <c r="J110" s="3">
        <v>4742.23257</v>
      </c>
      <c r="K110" s="3">
        <v>3407.0</v>
      </c>
      <c r="L110" s="3">
        <v>111.502723</v>
      </c>
      <c r="M110" s="3">
        <v>3.0</v>
      </c>
    </row>
    <row r="111">
      <c r="A111" s="3">
        <v>1000.0</v>
      </c>
      <c r="B111" s="3">
        <v>100.0</v>
      </c>
      <c r="C111" s="3">
        <v>2.0</v>
      </c>
      <c r="D111" s="3" t="s">
        <v>18</v>
      </c>
      <c r="E111" s="3" t="s">
        <v>16</v>
      </c>
      <c r="F111" s="3">
        <v>85.016</v>
      </c>
      <c r="G111" s="3">
        <v>228.0</v>
      </c>
      <c r="H111" s="3">
        <v>2.5773238E7</v>
      </c>
      <c r="I111" s="3">
        <v>2.5760603785088E7</v>
      </c>
      <c r="J111" s="3">
        <v>4998.156898</v>
      </c>
      <c r="K111" s="3">
        <v>3408.72807</v>
      </c>
      <c r="L111" s="3">
        <v>165.446858</v>
      </c>
      <c r="M111" s="3">
        <v>0.0</v>
      </c>
    </row>
    <row r="112">
      <c r="A112" s="3">
        <v>1000.0</v>
      </c>
      <c r="B112" s="3">
        <v>100.0</v>
      </c>
      <c r="C112" s="3">
        <v>3.0</v>
      </c>
      <c r="D112" s="3" t="s">
        <v>14</v>
      </c>
      <c r="E112" s="3" t="s">
        <v>15</v>
      </c>
      <c r="F112" s="3">
        <v>90.03</v>
      </c>
      <c r="G112" s="3">
        <v>9.0</v>
      </c>
      <c r="H112" s="3">
        <v>2.5797609E7</v>
      </c>
      <c r="I112" s="3">
        <v>2.5792954111111E7</v>
      </c>
      <c r="J112" s="3">
        <v>3120.818482</v>
      </c>
      <c r="K112" s="3">
        <v>1841.666667</v>
      </c>
      <c r="L112" s="3">
        <v>69.447022</v>
      </c>
      <c r="M112" s="3">
        <v>4.111111</v>
      </c>
    </row>
    <row r="113">
      <c r="A113" s="3">
        <v>1000.0</v>
      </c>
      <c r="B113" s="3">
        <v>100.0</v>
      </c>
      <c r="C113" s="3">
        <v>3.0</v>
      </c>
      <c r="D113" s="3" t="s">
        <v>14</v>
      </c>
      <c r="E113" s="3" t="s">
        <v>16</v>
      </c>
      <c r="F113" s="3">
        <v>86.865</v>
      </c>
      <c r="G113" s="3">
        <v>24.0</v>
      </c>
      <c r="H113" s="3">
        <v>2.5802493E7</v>
      </c>
      <c r="I113" s="3">
        <v>2.5794452583333E7</v>
      </c>
      <c r="J113" s="3">
        <v>3971.720188</v>
      </c>
      <c r="K113" s="3">
        <v>3365.75</v>
      </c>
      <c r="L113" s="3">
        <v>146.070545</v>
      </c>
      <c r="M113" s="3">
        <v>0.0</v>
      </c>
    </row>
    <row r="114">
      <c r="A114" s="3">
        <v>1000.0</v>
      </c>
      <c r="B114" s="3">
        <v>100.0</v>
      </c>
      <c r="C114" s="3">
        <v>3.0</v>
      </c>
      <c r="D114" s="3" t="s">
        <v>17</v>
      </c>
      <c r="E114" s="3" t="s">
        <v>15</v>
      </c>
      <c r="F114" s="3">
        <v>85.31</v>
      </c>
      <c r="G114" s="3">
        <v>11.0</v>
      </c>
      <c r="H114" s="3">
        <v>2.5799506E7</v>
      </c>
      <c r="I114" s="3">
        <v>2.5793105909091E7</v>
      </c>
      <c r="J114" s="3">
        <v>4269.859848</v>
      </c>
      <c r="K114" s="3">
        <v>1769.0</v>
      </c>
      <c r="L114" s="3">
        <v>59.022338</v>
      </c>
      <c r="M114" s="3">
        <v>3.0</v>
      </c>
    </row>
    <row r="115">
      <c r="A115" s="3">
        <v>1000.0</v>
      </c>
      <c r="B115" s="3">
        <v>100.0</v>
      </c>
      <c r="C115" s="3">
        <v>3.0</v>
      </c>
      <c r="D115" s="3" t="s">
        <v>17</v>
      </c>
      <c r="E115" s="3" t="s">
        <v>16</v>
      </c>
      <c r="F115" s="3">
        <v>97.136</v>
      </c>
      <c r="G115" s="3">
        <v>7.0</v>
      </c>
      <c r="H115" s="3">
        <v>2.5798621E7</v>
      </c>
      <c r="I115" s="3">
        <v>2.5794662714286E7</v>
      </c>
      <c r="J115" s="3">
        <v>4136.556947</v>
      </c>
      <c r="K115" s="3">
        <v>3340.0</v>
      </c>
      <c r="L115" s="3">
        <v>104.683196</v>
      </c>
      <c r="M115" s="3">
        <v>3.0</v>
      </c>
    </row>
    <row r="116">
      <c r="A116" s="3">
        <v>1000.0</v>
      </c>
      <c r="B116" s="3">
        <v>100.0</v>
      </c>
      <c r="C116" s="3">
        <v>3.0</v>
      </c>
      <c r="D116" s="3" t="s">
        <v>18</v>
      </c>
      <c r="E116" s="3" t="s">
        <v>16</v>
      </c>
      <c r="F116" s="3">
        <v>85.191</v>
      </c>
      <c r="G116" s="3">
        <v>224.0</v>
      </c>
      <c r="H116" s="3">
        <v>2.5808006E7</v>
      </c>
      <c r="I116" s="3">
        <v>2.5795078879464E7</v>
      </c>
      <c r="J116" s="3">
        <v>5017.94587</v>
      </c>
      <c r="K116" s="3">
        <v>3391.450893</v>
      </c>
      <c r="L116" s="3">
        <v>165.742343</v>
      </c>
      <c r="M116" s="3">
        <v>0.0</v>
      </c>
    </row>
    <row r="117">
      <c r="A117" s="3">
        <v>1000.0</v>
      </c>
      <c r="B117" s="3">
        <v>100.0</v>
      </c>
      <c r="C117" s="3">
        <v>4.0</v>
      </c>
      <c r="D117" s="3" t="s">
        <v>14</v>
      </c>
      <c r="E117" s="3" t="s">
        <v>15</v>
      </c>
      <c r="F117" s="3">
        <v>88.893</v>
      </c>
      <c r="G117" s="3">
        <v>9.0</v>
      </c>
      <c r="H117" s="3">
        <v>2.5819158E7</v>
      </c>
      <c r="I117" s="3">
        <v>2.5809034111111E7</v>
      </c>
      <c r="J117" s="3">
        <v>5423.539573</v>
      </c>
      <c r="K117" s="3">
        <v>1813.111111</v>
      </c>
      <c r="L117" s="3">
        <v>108.388647</v>
      </c>
      <c r="M117" s="3">
        <v>4.444444</v>
      </c>
    </row>
    <row r="118">
      <c r="A118" s="3">
        <v>1000.0</v>
      </c>
      <c r="B118" s="3">
        <v>100.0</v>
      </c>
      <c r="C118" s="3">
        <v>4.0</v>
      </c>
      <c r="D118" s="3" t="s">
        <v>14</v>
      </c>
      <c r="E118" s="3" t="s">
        <v>16</v>
      </c>
      <c r="F118" s="3">
        <v>87.247</v>
      </c>
      <c r="G118" s="3">
        <v>24.0</v>
      </c>
      <c r="H118" s="3">
        <v>2.581587E7</v>
      </c>
      <c r="I118" s="3">
        <v>2.5807152583333E7</v>
      </c>
      <c r="J118" s="3">
        <v>5685.150581</v>
      </c>
      <c r="K118" s="3">
        <v>3393.791667</v>
      </c>
      <c r="L118" s="3">
        <v>128.972213</v>
      </c>
      <c r="M118" s="3">
        <v>0.0</v>
      </c>
    </row>
    <row r="119">
      <c r="A119" s="3">
        <v>1000.0</v>
      </c>
      <c r="B119" s="3">
        <v>100.0</v>
      </c>
      <c r="C119" s="3">
        <v>4.0</v>
      </c>
      <c r="D119" s="3" t="s">
        <v>17</v>
      </c>
      <c r="E119" s="3" t="s">
        <v>15</v>
      </c>
      <c r="F119" s="3">
        <v>88.533</v>
      </c>
      <c r="G119" s="3">
        <v>11.0</v>
      </c>
      <c r="H119" s="3">
        <v>2.5816777E7</v>
      </c>
      <c r="I119" s="3">
        <v>2.5805756272727E7</v>
      </c>
      <c r="J119" s="3">
        <v>5121.034271</v>
      </c>
      <c r="K119" s="3">
        <v>1834.636364</v>
      </c>
      <c r="L119" s="3">
        <v>127.322263</v>
      </c>
      <c r="M119" s="3">
        <v>3.0</v>
      </c>
    </row>
    <row r="120">
      <c r="A120" s="3">
        <v>1000.0</v>
      </c>
      <c r="B120" s="3">
        <v>100.0</v>
      </c>
      <c r="C120" s="3">
        <v>4.0</v>
      </c>
      <c r="D120" s="3" t="s">
        <v>17</v>
      </c>
      <c r="E120" s="3" t="s">
        <v>16</v>
      </c>
      <c r="F120" s="3">
        <v>97.025</v>
      </c>
      <c r="G120" s="3">
        <v>7.0</v>
      </c>
      <c r="H120" s="3">
        <v>2.5816751E7</v>
      </c>
      <c r="I120" s="3">
        <v>2.5807096E7</v>
      </c>
      <c r="J120" s="3">
        <v>7265.982616</v>
      </c>
      <c r="K120" s="3">
        <v>3336.142857</v>
      </c>
      <c r="L120" s="3">
        <v>231.223719</v>
      </c>
      <c r="M120" s="3">
        <v>3.0</v>
      </c>
    </row>
    <row r="121">
      <c r="A121" s="3">
        <v>1000.0</v>
      </c>
      <c r="B121" s="3">
        <v>100.0</v>
      </c>
      <c r="C121" s="3">
        <v>4.0</v>
      </c>
      <c r="D121" s="3" t="s">
        <v>18</v>
      </c>
      <c r="E121" s="3" t="s">
        <v>16</v>
      </c>
      <c r="F121" s="3">
        <v>85.04</v>
      </c>
      <c r="G121" s="3">
        <v>229.0</v>
      </c>
      <c r="H121" s="3">
        <v>2.5821345E7</v>
      </c>
      <c r="I121" s="3">
        <v>2.5807450624454E7</v>
      </c>
      <c r="J121" s="3">
        <v>5624.060344</v>
      </c>
      <c r="K121" s="3">
        <v>3424.812227</v>
      </c>
      <c r="L121" s="3">
        <v>170.124985</v>
      </c>
      <c r="M121" s="3">
        <v>0.0</v>
      </c>
    </row>
    <row r="122">
      <c r="A122" s="3">
        <v>1000.0</v>
      </c>
      <c r="B122" s="3">
        <v>100.0</v>
      </c>
      <c r="C122" s="3">
        <v>5.0</v>
      </c>
      <c r="D122" s="3" t="s">
        <v>14</v>
      </c>
      <c r="E122" s="3" t="s">
        <v>15</v>
      </c>
      <c r="F122" s="3">
        <v>88.092</v>
      </c>
      <c r="G122" s="3">
        <v>9.0</v>
      </c>
      <c r="H122" s="3">
        <v>2.576728E7</v>
      </c>
      <c r="I122" s="3">
        <v>2.5760529555556E7</v>
      </c>
      <c r="J122" s="3">
        <v>4343.237675</v>
      </c>
      <c r="K122" s="3">
        <v>1796.888889</v>
      </c>
      <c r="L122" s="3">
        <v>86.815826</v>
      </c>
      <c r="M122" s="3">
        <v>4.111111</v>
      </c>
    </row>
    <row r="123">
      <c r="A123" s="3">
        <v>1000.0</v>
      </c>
      <c r="B123" s="3">
        <v>100.0</v>
      </c>
      <c r="C123" s="3">
        <v>5.0</v>
      </c>
      <c r="D123" s="3" t="s">
        <v>14</v>
      </c>
      <c r="E123" s="3" t="s">
        <v>16</v>
      </c>
      <c r="F123" s="3">
        <v>85.305</v>
      </c>
      <c r="G123" s="3">
        <v>23.0</v>
      </c>
      <c r="H123" s="3">
        <v>2.5774796E7</v>
      </c>
      <c r="I123" s="3">
        <v>2.576572226087E7</v>
      </c>
      <c r="J123" s="3">
        <v>4513.996885</v>
      </c>
      <c r="K123" s="3">
        <v>3495.26087</v>
      </c>
      <c r="L123" s="3">
        <v>150.857611</v>
      </c>
      <c r="M123" s="3">
        <v>0.0</v>
      </c>
    </row>
    <row r="124">
      <c r="A124" s="3">
        <v>1000.0</v>
      </c>
      <c r="B124" s="3">
        <v>100.0</v>
      </c>
      <c r="C124" s="3">
        <v>5.0</v>
      </c>
      <c r="D124" s="3" t="s">
        <v>17</v>
      </c>
      <c r="E124" s="3" t="s">
        <v>15</v>
      </c>
      <c r="F124" s="3">
        <v>86.834</v>
      </c>
      <c r="G124" s="3">
        <v>11.0</v>
      </c>
      <c r="H124" s="3">
        <v>2.5769906E7</v>
      </c>
      <c r="I124" s="3">
        <v>2.5762560909091E7</v>
      </c>
      <c r="J124" s="3">
        <v>4332.329382</v>
      </c>
      <c r="K124" s="3">
        <v>1802.363636</v>
      </c>
      <c r="L124" s="3">
        <v>76.522454</v>
      </c>
      <c r="M124" s="3">
        <v>3.0</v>
      </c>
    </row>
    <row r="125">
      <c r="A125" s="3">
        <v>1000.0</v>
      </c>
      <c r="B125" s="3">
        <v>100.0</v>
      </c>
      <c r="C125" s="3">
        <v>5.0</v>
      </c>
      <c r="D125" s="3" t="s">
        <v>17</v>
      </c>
      <c r="E125" s="3" t="s">
        <v>16</v>
      </c>
      <c r="F125" s="3">
        <v>85.741</v>
      </c>
      <c r="G125" s="3">
        <v>6.0</v>
      </c>
      <c r="H125" s="3">
        <v>2.5770259E7</v>
      </c>
      <c r="I125" s="3">
        <v>2.5763422166667E7</v>
      </c>
      <c r="J125" s="3">
        <v>4139.614007</v>
      </c>
      <c r="K125" s="3">
        <v>3447.666667</v>
      </c>
      <c r="L125" s="3">
        <v>135.989787</v>
      </c>
      <c r="M125" s="3">
        <v>3.0</v>
      </c>
    </row>
    <row r="126">
      <c r="A126" s="3">
        <v>1000.0</v>
      </c>
      <c r="B126" s="3">
        <v>100.0</v>
      </c>
      <c r="C126" s="3">
        <v>5.0</v>
      </c>
      <c r="D126" s="3" t="s">
        <v>18</v>
      </c>
      <c r="E126" s="3" t="s">
        <v>16</v>
      </c>
      <c r="F126" s="3">
        <v>85.401</v>
      </c>
      <c r="G126" s="3">
        <v>226.0</v>
      </c>
      <c r="H126" s="3">
        <v>2.5776481E7</v>
      </c>
      <c r="I126" s="3">
        <v>2.5763414132743E7</v>
      </c>
      <c r="J126" s="3">
        <v>4821.694295</v>
      </c>
      <c r="K126" s="3">
        <v>3419.783186</v>
      </c>
      <c r="L126" s="3">
        <v>156.37283</v>
      </c>
      <c r="M126" s="3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5.57"/>
    <col customWidth="1" min="4" max="4" width="10.57"/>
    <col customWidth="1" hidden="1" min="5" max="5" width="5.0"/>
    <col customWidth="1" hidden="1" min="6" max="6" width="4.0"/>
    <col customWidth="1" hidden="1" min="7" max="7" width="14.29"/>
    <col customWidth="1" min="8" max="8" width="10.14"/>
    <col customWidth="1" min="9" max="9" width="9.71"/>
    <col customWidth="1" hidden="1" min="10" max="10" width="6.57"/>
    <col customWidth="1" min="11" max="11" width="7.0"/>
    <col customWidth="1" hidden="1" min="12" max="12" width="9.0"/>
    <col customWidth="1" min="13" max="14" width="11.57"/>
    <col customWidth="1" min="15" max="15" width="23.57"/>
  </cols>
  <sheetData>
    <row r="1">
      <c r="A1" s="1" t="str">
        <f>IFERROR(__xludf.DUMMYFUNCTION("UNIQUE(Data!A:C)"),"N")</f>
        <v>N</v>
      </c>
      <c r="B1" s="1" t="s">
        <v>1</v>
      </c>
      <c r="C1" s="1" t="s">
        <v>2</v>
      </c>
      <c r="D1" s="1" t="s">
        <v>19</v>
      </c>
      <c r="E1" s="1"/>
      <c r="F1" s="1"/>
      <c r="G1" s="1"/>
      <c r="H1" s="1" t="s">
        <v>20</v>
      </c>
      <c r="I1" s="1" t="s">
        <v>21</v>
      </c>
      <c r="J1" s="1"/>
      <c r="K1" s="1" t="s">
        <v>22</v>
      </c>
      <c r="L1" s="1"/>
      <c r="M1" s="1" t="s">
        <v>23</v>
      </c>
      <c r="N1" s="1" t="s">
        <v>24</v>
      </c>
      <c r="O1" s="1" t="s">
        <v>25</v>
      </c>
      <c r="P1" s="1" t="s">
        <v>26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1000.0</v>
      </c>
      <c r="B2" s="4">
        <v>1.0</v>
      </c>
      <c r="C2" s="4">
        <v>1.0</v>
      </c>
      <c r="D2" s="4" t="str">
        <f>IFERROR(__xludf.DUMMYFUNCTION("DMAX({{Data!$A$1:$J$1};filter(Data!$A$2:$J1000,Data!$A$2:$A1000=$A2 , Data!$B$2:$B1000 = $B2, Data!$C$2:$C1000 = $C2)},$P$2, $P$22:$P$23)"),"211080")</f>
        <v>211080</v>
      </c>
      <c r="E2" s="4" t="str">
        <f>IFERROR(__xludf.DUMMYFUNCTION("filter(Data!$A$2:$J1000,Data!$A$2:$A1000=$A2 , Data!$B$2:$B1000 = $B2, Data!$C$2:$C1000 = $C2, Data!$H$2:$H1000 =$D2)"),"1000")</f>
        <v>1000</v>
      </c>
      <c r="F2" s="4">
        <v>1.0</v>
      </c>
      <c r="G2" s="4">
        <v>1.0</v>
      </c>
      <c r="H2" s="4" t="s">
        <v>14</v>
      </c>
      <c r="I2" s="4" t="s">
        <v>16</v>
      </c>
      <c r="J2" s="4">
        <v>85.002</v>
      </c>
      <c r="K2" s="4">
        <v>22653.0</v>
      </c>
      <c r="L2" s="4">
        <v>211080.0</v>
      </c>
      <c r="M2" s="4">
        <v>208550.838697</v>
      </c>
      <c r="N2" s="5">
        <v>620.0062</v>
      </c>
      <c r="O2" s="6" t="str">
        <f t="shared" ref="O2:O26" si="1">(D2-M2)/N2</f>
        <v>4.079251632</v>
      </c>
      <c r="P2" s="3" t="s">
        <v>7</v>
      </c>
    </row>
    <row r="3">
      <c r="A3" s="4">
        <v>1000.0</v>
      </c>
      <c r="B3" s="4">
        <v>1.0</v>
      </c>
      <c r="C3" s="4">
        <v>2.0</v>
      </c>
      <c r="D3" s="4" t="str">
        <f>IFERROR(__xludf.DUMMYFUNCTION("DMAX({{Data!$A$1:$J$1};filter(Data!$A$2:$J1000,Data!$A$2:$A1000=$A3 , Data!$B$2:$B1000 = $B3, Data!$C$2:$C1000 = $C3)},$P$2, $P$22:$P$23)"),"206906")</f>
        <v>206906</v>
      </c>
      <c r="E3" s="4" t="str">
        <f>IFERROR(__xludf.DUMMYFUNCTION("filter(Data!$A$2:$J1000,Data!$A$2:$A1000=$A3 , Data!$B$2:$B1000 = $B3, Data!$C$2:$C1000 = $C3, Data!$H$2:$H1000 =$D3)"),"1000")</f>
        <v>1000</v>
      </c>
      <c r="F3" s="4">
        <v>1.0</v>
      </c>
      <c r="G3" s="4">
        <v>2.0</v>
      </c>
      <c r="H3" s="4" t="s">
        <v>14</v>
      </c>
      <c r="I3" s="4" t="s">
        <v>16</v>
      </c>
      <c r="J3" s="4">
        <v>85.001</v>
      </c>
      <c r="K3" s="4">
        <v>22908.0</v>
      </c>
      <c r="L3" s="4">
        <v>206906.0</v>
      </c>
      <c r="M3" s="4">
        <v>204636.545443</v>
      </c>
      <c r="N3" s="5">
        <v>599.910409</v>
      </c>
      <c r="O3" s="6" t="str">
        <f t="shared" si="1"/>
        <v>3.782989131</v>
      </c>
    </row>
    <row r="4">
      <c r="A4" s="4">
        <v>1000.0</v>
      </c>
      <c r="B4" s="4">
        <v>1.0</v>
      </c>
      <c r="C4" s="4">
        <v>3.0</v>
      </c>
      <c r="D4" s="4" t="str">
        <f>IFERROR(__xludf.DUMMYFUNCTION("DMAX({{Data!$A$1:$J$1};filter(Data!$A$2:$J1000,Data!$A$2:$A1000=$A4 , Data!$B$2:$B1000 = $B4, Data!$C$2:$C1000 = $C4)},$P$2, $P$22:$P$23)"),"205672")</f>
        <v>205672</v>
      </c>
      <c r="E4" s="4" t="str">
        <f>IFERROR(__xludf.DUMMYFUNCTION("filter(Data!$A$2:$J1000,Data!$A$2:$A1000=$A4 , Data!$B$2:$B1000 = $B4, Data!$C$2:$C1000 = $C4, Data!$H$2:$H1000 =$D4)"),"1000")</f>
        <v>1000</v>
      </c>
      <c r="F4" s="4">
        <v>1.0</v>
      </c>
      <c r="G4" s="4">
        <v>3.0</v>
      </c>
      <c r="H4" s="4" t="s">
        <v>17</v>
      </c>
      <c r="I4" s="4" t="s">
        <v>16</v>
      </c>
      <c r="J4" s="4">
        <v>85.013</v>
      </c>
      <c r="K4" s="4">
        <v>8341.0</v>
      </c>
      <c r="L4" s="4">
        <v>205672.0</v>
      </c>
      <c r="M4" s="4">
        <v>203257.006594</v>
      </c>
      <c r="N4" s="5">
        <v>579.498959</v>
      </c>
      <c r="O4" s="6" t="str">
        <f t="shared" si="1"/>
        <v>4.167381785</v>
      </c>
    </row>
    <row r="5">
      <c r="A5" s="4">
        <v>1000.0</v>
      </c>
      <c r="B5" s="4">
        <v>1.0</v>
      </c>
      <c r="C5" s="4">
        <v>4.0</v>
      </c>
      <c r="D5" s="4" t="str">
        <f>IFERROR(__xludf.DUMMYFUNCTION("DMAX({{Data!$A$1:$J$1};filter(Data!$A$2:$J1000,Data!$A$2:$A1000=$A5 , Data!$B$2:$B1000 = $B5, Data!$C$2:$C1000 = $C5)},$P$2, $P$22:$P$23)"),"214087")</f>
        <v>214087</v>
      </c>
      <c r="E5" s="4" t="str">
        <f>IFERROR(__xludf.DUMMYFUNCTION("filter(Data!$A$2:$J1000,Data!$A$2:$A1000=$A5 , Data!$B$2:$B1000 = $B5, Data!$C$2:$C1000 = $C5, Data!$H$2:$H1000 =$D5)"),"1000")</f>
        <v>1000</v>
      </c>
      <c r="F5" s="4">
        <v>1.0</v>
      </c>
      <c r="G5" s="4">
        <v>4.0</v>
      </c>
      <c r="H5" s="4" t="s">
        <v>18</v>
      </c>
      <c r="I5" s="4" t="s">
        <v>16</v>
      </c>
      <c r="J5" s="4">
        <v>85.019</v>
      </c>
      <c r="K5" s="4">
        <v>889.0</v>
      </c>
      <c r="L5" s="4">
        <v>214087.0</v>
      </c>
      <c r="M5" s="4">
        <v>211807.473566</v>
      </c>
      <c r="N5" s="5">
        <v>613.75806</v>
      </c>
      <c r="O5" s="6" t="str">
        <f t="shared" si="1"/>
        <v>3.714047249</v>
      </c>
    </row>
    <row r="6">
      <c r="A6" s="4">
        <v>1000.0</v>
      </c>
      <c r="B6" s="4">
        <v>1.0</v>
      </c>
      <c r="C6" s="4">
        <v>5.0</v>
      </c>
      <c r="D6" s="4" t="str">
        <f>IFERROR(__xludf.DUMMYFUNCTION("DMAX({{Data!$A$1:$J$1};filter(Data!$A$2:$J1000,Data!$A$2:$A1000=$A6 , Data!$B$2:$B1000 = $B6, Data!$C$2:$C1000 = $C6)},$P$2, $P$22:$P$23)"),"212510")</f>
        <v>212510</v>
      </c>
      <c r="E6" s="4" t="str">
        <f>IFERROR(__xludf.DUMMYFUNCTION("filter(Data!$A$2:$J1000,Data!$A$2:$A1000=$A6 , Data!$B$2:$B1000 = $B6, Data!$C$2:$C1000 = $C6, Data!$H$2:$H1000 =$D6)"),"1000")</f>
        <v>1000</v>
      </c>
      <c r="F6" s="4">
        <v>1.0</v>
      </c>
      <c r="G6" s="4">
        <v>5.0</v>
      </c>
      <c r="H6" s="4" t="s">
        <v>14</v>
      </c>
      <c r="I6" s="4" t="s">
        <v>16</v>
      </c>
      <c r="J6" s="4">
        <v>85.001</v>
      </c>
      <c r="K6" s="4">
        <v>22523.0</v>
      </c>
      <c r="L6" s="4">
        <v>212510.0</v>
      </c>
      <c r="M6" s="4">
        <v>210013.550326</v>
      </c>
      <c r="N6" s="5">
        <v>614.505376</v>
      </c>
      <c r="O6" s="6" t="str">
        <f t="shared" si="1"/>
        <v>4.062535124</v>
      </c>
    </row>
    <row r="7">
      <c r="A7" s="3">
        <v>1000.0</v>
      </c>
      <c r="B7" s="3">
        <v>5.0</v>
      </c>
      <c r="C7" s="3">
        <v>1.0</v>
      </c>
      <c r="D7" s="3" t="str">
        <f>IFERROR(__xludf.DUMMYFUNCTION("DMAX({{Data!$A$1:$J$1};filter(Data!$A$2:$J1000,Data!$A$2:$A1000=$A7 , Data!$B$2:$B1000 = $B7, Data!$C$2:$C1000 = $C7)},$P$2, $P$22:$P$23)"),"858973")</f>
        <v>858973</v>
      </c>
      <c r="E7" s="3" t="str">
        <f>IFERROR(__xludf.DUMMYFUNCTION("filter(Data!$A$2:$J1000,Data!$A$2:$A1000=$A7 , Data!$B$2:$B1000 = $B7, Data!$C$2:$C1000 = $C7, Data!$H$2:$H1000 =$D7)"),"1000")</f>
        <v>1000</v>
      </c>
      <c r="F7" s="3">
        <v>5.0</v>
      </c>
      <c r="G7" s="3">
        <v>1.0</v>
      </c>
      <c r="H7" s="3" t="s">
        <v>14</v>
      </c>
      <c r="I7" s="3" t="s">
        <v>16</v>
      </c>
      <c r="J7" s="3">
        <v>85.015</v>
      </c>
      <c r="K7" s="3">
        <v>3763.0</v>
      </c>
      <c r="L7" s="3">
        <v>858973.0</v>
      </c>
      <c r="M7" s="3">
        <v>854168.461334</v>
      </c>
      <c r="N7">
        <v>1439.37091</v>
      </c>
      <c r="O7" t="str">
        <f t="shared" si="1"/>
        <v>3.337943426</v>
      </c>
    </row>
    <row r="8">
      <c r="A8" s="3">
        <v>1000.0</v>
      </c>
      <c r="B8" s="3">
        <v>5.0</v>
      </c>
      <c r="C8" s="3">
        <v>2.0</v>
      </c>
      <c r="D8" s="3" t="str">
        <f>IFERROR(__xludf.DUMMYFUNCTION("DMAX({{Data!$A$1:$J$1};filter(Data!$A$2:$J1000,Data!$A$2:$A1000=$A8 , Data!$B$2:$B1000 = $B8, Data!$C$2:$C1000 = $C8)},$P$2, $P$22:$P$23)"),"864274")</f>
        <v>864274</v>
      </c>
      <c r="E8" s="3" t="str">
        <f>IFERROR(__xludf.DUMMYFUNCTION("filter(Data!$A$2:$J1000,Data!$A$2:$A1000=$A8 , Data!$B$2:$B1000 = $B8, Data!$C$2:$C1000 = $C8, Data!$H$2:$H1000 =$D8)"),"1000")</f>
        <v>1000</v>
      </c>
      <c r="F8" s="3">
        <v>5.0</v>
      </c>
      <c r="G8" s="3">
        <v>2.0</v>
      </c>
      <c r="H8" s="3" t="s">
        <v>14</v>
      </c>
      <c r="I8" s="3" t="s">
        <v>16</v>
      </c>
      <c r="J8" s="3">
        <v>85.012</v>
      </c>
      <c r="K8" s="3">
        <v>3722.0</v>
      </c>
      <c r="L8" s="3">
        <v>864274.0</v>
      </c>
      <c r="M8" s="3">
        <v>858683.357603</v>
      </c>
      <c r="N8">
        <v>1499.664692</v>
      </c>
      <c r="O8" t="str">
        <f t="shared" si="1"/>
        <v>3.727928267</v>
      </c>
    </row>
    <row r="9">
      <c r="A9" s="3">
        <v>1000.0</v>
      </c>
      <c r="B9" s="3">
        <v>5.0</v>
      </c>
      <c r="C9" s="3">
        <v>3.0</v>
      </c>
      <c r="D9" s="3" t="str">
        <f>IFERROR(__xludf.DUMMYFUNCTION("DMAX({{Data!$A$1:$J$1};filter(Data!$A$2:$J1000,Data!$A$2:$A1000=$A9 , Data!$B$2:$B1000 = $B9, Data!$C$2:$C1000 = $C9)},$P$2, $P$22:$P$23)"),"869131")</f>
        <v>869131</v>
      </c>
      <c r="E9" s="3" t="str">
        <f>IFERROR(__xludf.DUMMYFUNCTION("filter(Data!$A$2:$J1000,Data!$A$2:$A1000=$A9 , Data!$B$2:$B1000 = $B9, Data!$C$2:$C1000 = $C9, Data!$H$2:$H1000 =$D9)"),"1000")</f>
        <v>1000</v>
      </c>
      <c r="F9" s="3">
        <v>5.0</v>
      </c>
      <c r="G9" s="3">
        <v>3.0</v>
      </c>
      <c r="H9" s="3" t="s">
        <v>14</v>
      </c>
      <c r="I9" s="3" t="s">
        <v>16</v>
      </c>
      <c r="J9" s="3">
        <v>85.01</v>
      </c>
      <c r="K9" s="3">
        <v>3748.0</v>
      </c>
      <c r="L9" s="3">
        <v>869131.0</v>
      </c>
      <c r="M9" s="3">
        <v>863893.345518</v>
      </c>
      <c r="N9">
        <v>1443.006856</v>
      </c>
      <c r="O9" t="str">
        <f t="shared" si="1"/>
        <v>3.62968094</v>
      </c>
    </row>
    <row r="10">
      <c r="A10" s="3">
        <v>1000.0</v>
      </c>
      <c r="B10" s="3">
        <v>5.0</v>
      </c>
      <c r="C10" s="3">
        <v>4.0</v>
      </c>
      <c r="D10" s="3" t="str">
        <f>IFERROR(__xludf.DUMMYFUNCTION("DMAX({{Data!$A$1:$J$1};filter(Data!$A$2:$J1000,Data!$A$2:$A1000=$A10 , Data!$B$2:$B1000 = $B10, Data!$C$2:$C1000 = $C10)},$P$2, $P$22:$P$23)"),"868482")</f>
        <v>868482</v>
      </c>
      <c r="E10" s="3" t="str">
        <f>IFERROR(__xludf.DUMMYFUNCTION("filter(Data!$A$2:$J1000,Data!$A$2:$A1000=$A10 , Data!$B$2:$B1000 = $B10, Data!$C$2:$C1000 = $C10, Data!$H$2:$H1000 =$D10)"),"1000")</f>
        <v>1000</v>
      </c>
      <c r="F10" s="3">
        <v>5.0</v>
      </c>
      <c r="G10" s="3">
        <v>4.0</v>
      </c>
      <c r="H10" s="3" t="s">
        <v>14</v>
      </c>
      <c r="I10" s="3" t="s">
        <v>16</v>
      </c>
      <c r="J10" s="3">
        <v>85.004</v>
      </c>
      <c r="K10" s="3">
        <v>3768.0</v>
      </c>
      <c r="L10" s="3">
        <v>868482.0</v>
      </c>
      <c r="M10" s="3">
        <v>863135.889066</v>
      </c>
      <c r="N10">
        <v>1445.451881</v>
      </c>
      <c r="O10" t="str">
        <f t="shared" si="1"/>
        <v>3.698574131</v>
      </c>
    </row>
    <row r="11">
      <c r="A11" s="3">
        <v>1000.0</v>
      </c>
      <c r="B11" s="3">
        <v>5.0</v>
      </c>
      <c r="C11" s="3">
        <v>5.0</v>
      </c>
      <c r="D11" s="3" t="str">
        <f>IFERROR(__xludf.DUMMYFUNCTION("DMAX({{Data!$A$1:$J$1};filter(Data!$A$2:$J1000,Data!$A$2:$A1000=$A11 , Data!$B$2:$B1000 = $B11, Data!$C$2:$C1000 = $C11)},$P$2, $P$22:$P$23)"),"863317")</f>
        <v>863317</v>
      </c>
      <c r="E11" s="3" t="str">
        <f>IFERROR(__xludf.DUMMYFUNCTION("filter(Data!$A$2:$J1000,Data!$A$2:$A1000=$A11 , Data!$B$2:$B1000 = $B11, Data!$C$2:$C1000 = $C11, Data!$H$2:$H1000 =$D11)"),"1000")</f>
        <v>1000</v>
      </c>
      <c r="F11" s="3">
        <v>5.0</v>
      </c>
      <c r="G11" s="3">
        <v>5.0</v>
      </c>
      <c r="H11" s="3" t="s">
        <v>17</v>
      </c>
      <c r="I11" s="3" t="s">
        <v>16</v>
      </c>
      <c r="J11" s="3">
        <v>85.078</v>
      </c>
      <c r="K11" s="3">
        <v>673.0</v>
      </c>
      <c r="L11" s="3">
        <v>863317.0</v>
      </c>
      <c r="M11" s="3">
        <v>857753.472511</v>
      </c>
      <c r="N11">
        <v>1540.68626</v>
      </c>
      <c r="O11" t="str">
        <f t="shared" si="1"/>
        <v>3.61107101</v>
      </c>
    </row>
    <row r="12">
      <c r="A12" s="4">
        <v>1000.0</v>
      </c>
      <c r="B12" s="4">
        <v>10.0</v>
      </c>
      <c r="C12" s="4">
        <v>1.0</v>
      </c>
      <c r="D12" s="4" t="str">
        <f>IFERROR(__xludf.DUMMYFUNCTION("DMAX({{Data!$A$1:$J$1};filter(Data!$A$2:$J1000,Data!$A$2:$A1000=$A12 , Data!$B$2:$B1000 = $B12, Data!$C$2:$C1000 = $C12)},$P$2, $P$22:$P$23)"),"1610644")</f>
        <v>1610644</v>
      </c>
      <c r="E12" s="4" t="str">
        <f>IFERROR(__xludf.DUMMYFUNCTION("filter(Data!$A$2:$J1000,Data!$A$2:$A1000=$A12 , Data!$B$2:$B1000 = $B12, Data!$C$2:$C1000 = $C12, Data!$H$2:$H1000 =$D12)"),"1000")</f>
        <v>1000</v>
      </c>
      <c r="F12" s="4">
        <v>10.0</v>
      </c>
      <c r="G12" s="4">
        <v>1.0</v>
      </c>
      <c r="H12" s="4" t="s">
        <v>14</v>
      </c>
      <c r="I12" s="4" t="s">
        <v>16</v>
      </c>
      <c r="J12" s="4">
        <v>85.017</v>
      </c>
      <c r="K12" s="4">
        <v>1364.0</v>
      </c>
      <c r="L12" s="4">
        <v>1610644.0</v>
      </c>
      <c r="M12" s="4">
        <v>1604014.451613</v>
      </c>
      <c r="N12" s="5">
        <v>2132.975296</v>
      </c>
      <c r="O12" s="6" t="str">
        <f t="shared" si="1"/>
        <v>3.108122443</v>
      </c>
    </row>
    <row r="13">
      <c r="A13" s="4">
        <v>1000.0</v>
      </c>
      <c r="B13" s="4">
        <v>10.0</v>
      </c>
      <c r="C13" s="4">
        <v>2.0</v>
      </c>
      <c r="D13" s="4" t="str">
        <f>IFERROR(__xludf.DUMMYFUNCTION("DMAX({{Data!$A$1:$J$1};filter(Data!$A$2:$J1000,Data!$A$2:$A1000=$A13 , Data!$B$2:$B1000 = $B13, Data!$C$2:$C1000 = $C13)},$P$2, $P$22:$P$23)"),"1631673")</f>
        <v>1631673</v>
      </c>
      <c r="E13" s="4" t="str">
        <f>IFERROR(__xludf.DUMMYFUNCTION("filter(Data!$A$2:$J1000,Data!$A$2:$A1000=$A13 , Data!$B$2:$B1000 = $B13, Data!$C$2:$C1000 = $C13, Data!$H$2:$H1000 =$D13)"),"1000")</f>
        <v>1000</v>
      </c>
      <c r="F13" s="4">
        <v>10.0</v>
      </c>
      <c r="G13" s="4">
        <v>2.0</v>
      </c>
      <c r="H13" s="4" t="s">
        <v>14</v>
      </c>
      <c r="I13" s="4" t="s">
        <v>16</v>
      </c>
      <c r="J13" s="4">
        <v>85.055</v>
      </c>
      <c r="K13" s="4">
        <v>1356.0</v>
      </c>
      <c r="L13" s="4">
        <v>1631673.0</v>
      </c>
      <c r="M13" s="4">
        <v>1623566.898968</v>
      </c>
      <c r="N13" s="5">
        <v>2155.858106</v>
      </c>
      <c r="O13" s="6" t="str">
        <f t="shared" si="1"/>
        <v>3.760034582</v>
      </c>
    </row>
    <row r="14">
      <c r="A14" s="4">
        <v>1000.0</v>
      </c>
      <c r="B14" s="4">
        <v>10.0</v>
      </c>
      <c r="C14" s="4">
        <v>3.0</v>
      </c>
      <c r="D14" s="4" t="str">
        <f>IFERROR(__xludf.DUMMYFUNCTION("DMAX({{Data!$A$1:$J$1};filter(Data!$A$2:$J1000,Data!$A$2:$A1000=$A14 , Data!$B$2:$B1000 = $B14, Data!$C$2:$C1000 = $C14)},$P$2, $P$22:$P$23)"),"1630446")</f>
        <v>1630446</v>
      </c>
      <c r="E14" s="4" t="str">
        <f>IFERROR(__xludf.DUMMYFUNCTION("filter(Data!$A$2:$J1000,Data!$A$2:$A1000=$A14 , Data!$B$2:$B1000 = $B14, Data!$C$2:$C1000 = $C14, Data!$H$2:$H1000 =$D14)"),"1000")</f>
        <v>1000</v>
      </c>
      <c r="F14" s="4">
        <v>10.0</v>
      </c>
      <c r="G14" s="4">
        <v>3.0</v>
      </c>
      <c r="H14" s="4" t="s">
        <v>14</v>
      </c>
      <c r="I14" s="4" t="s">
        <v>16</v>
      </c>
      <c r="J14" s="4">
        <v>85.006</v>
      </c>
      <c r="K14" s="4">
        <v>1361.0</v>
      </c>
      <c r="L14" s="4">
        <v>1630446.0</v>
      </c>
      <c r="M14" s="4">
        <v>1623184.133725</v>
      </c>
      <c r="N14" s="5">
        <v>2093.327798</v>
      </c>
      <c r="O14" s="6" t="str">
        <f t="shared" si="1"/>
        <v>3.469053572</v>
      </c>
    </row>
    <row r="15">
      <c r="A15" s="4">
        <v>1000.0</v>
      </c>
      <c r="B15" s="4">
        <v>10.0</v>
      </c>
      <c r="C15" s="4">
        <v>4.0</v>
      </c>
      <c r="D15" s="4" t="str">
        <f>IFERROR(__xludf.DUMMYFUNCTION("DMAX({{Data!$A$1:$J$1};filter(Data!$A$2:$J1000,Data!$A$2:$A1000=$A15 , Data!$B$2:$B1000 = $B15, Data!$C$2:$C1000 = $C15)},$P$2, $P$22:$P$23)"),"1625210")</f>
        <v>1625210</v>
      </c>
      <c r="E15" s="4" t="str">
        <f>IFERROR(__xludf.DUMMYFUNCTION("filter(Data!$A$2:$J1000,Data!$A$2:$A1000=$A15 , Data!$B$2:$B1000 = $B15, Data!$C$2:$C1000 = $C15, Data!$H$2:$H1000 =$D15)"),"1000")</f>
        <v>1000</v>
      </c>
      <c r="F15" s="4">
        <v>10.0</v>
      </c>
      <c r="G15" s="4">
        <v>4.0</v>
      </c>
      <c r="H15" s="4" t="s">
        <v>14</v>
      </c>
      <c r="I15" s="4" t="s">
        <v>16</v>
      </c>
      <c r="J15" s="4">
        <v>85.003</v>
      </c>
      <c r="K15" s="4">
        <v>1362.0</v>
      </c>
      <c r="L15" s="4">
        <v>1625210.0</v>
      </c>
      <c r="M15" s="4">
        <v>1618525.617474</v>
      </c>
      <c r="N15" s="5">
        <v>1976.186822</v>
      </c>
      <c r="O15" s="6" t="str">
        <f t="shared" si="1"/>
        <v>3.382464882</v>
      </c>
    </row>
    <row r="16">
      <c r="A16" s="4">
        <v>1000.0</v>
      </c>
      <c r="B16" s="4">
        <v>10.0</v>
      </c>
      <c r="C16" s="4">
        <v>5.0</v>
      </c>
      <c r="D16" s="4" t="str">
        <f>IFERROR(__xludf.DUMMYFUNCTION("DMAX({{Data!$A$1:$J$1};filter(Data!$A$2:$J1000,Data!$A$2:$A1000=$A16 , Data!$B$2:$B1000 = $B16, Data!$C$2:$C1000 = $C16)},$P$2, $P$22:$P$23)"),"1624266")</f>
        <v>1624266</v>
      </c>
      <c r="E16" s="4" t="str">
        <f>IFERROR(__xludf.DUMMYFUNCTION("filter(Data!$A$2:$J1000,Data!$A$2:$A1000=$A16 , Data!$B$2:$B1000 = $B16, Data!$C$2:$C1000 = $C16, Data!$H$2:$H1000 =$D16)"),"1000")</f>
        <v>1000</v>
      </c>
      <c r="F16" s="4">
        <v>10.0</v>
      </c>
      <c r="G16" s="4">
        <v>5.0</v>
      </c>
      <c r="H16" s="4" t="s">
        <v>14</v>
      </c>
      <c r="I16" s="4" t="s">
        <v>16</v>
      </c>
      <c r="J16" s="4">
        <v>85.057</v>
      </c>
      <c r="K16" s="4">
        <v>1354.0</v>
      </c>
      <c r="L16" s="4">
        <v>1624266.0</v>
      </c>
      <c r="M16" s="4">
        <v>1617787.242245</v>
      </c>
      <c r="N16" s="5">
        <v>2051.112074</v>
      </c>
      <c r="O16" s="6" t="str">
        <f t="shared" si="1"/>
        <v>3.158656144</v>
      </c>
    </row>
    <row r="17">
      <c r="A17" s="3">
        <v>1000.0</v>
      </c>
      <c r="B17" s="3">
        <v>50.0</v>
      </c>
      <c r="C17" s="3">
        <v>1.0</v>
      </c>
      <c r="D17" s="3" t="str">
        <f>IFERROR(__xludf.DUMMYFUNCTION("DMAX({{Data!$A$1:$J$1};filter(Data!$A$2:$J1000,Data!$A$2:$A1000=$A17 , Data!$B$2:$B1000 = $B17, Data!$C$2:$C1000 = $C17)},$P$2, $P$22:$P$23)"),"8085394")</f>
        <v>8085394</v>
      </c>
      <c r="E17" s="3" t="str">
        <f>IFERROR(__xludf.DUMMYFUNCTION("filter(Data!$A$2:$J1000,Data!$A$2:$A1000=$A17 , Data!$B$2:$B1000 = $B17, Data!$C$2:$C1000 = $C17, Data!$H$2:$H1000 =$D17)"),"1000")</f>
        <v>1000</v>
      </c>
      <c r="F17" s="3">
        <v>50.0</v>
      </c>
      <c r="G17" s="3">
        <v>1.0</v>
      </c>
      <c r="H17" s="3" t="s">
        <v>18</v>
      </c>
      <c r="I17" s="3" t="s">
        <v>16</v>
      </c>
      <c r="J17" s="3">
        <v>85.329</v>
      </c>
      <c r="K17" s="3">
        <v>276.0</v>
      </c>
      <c r="L17" s="3">
        <v>8085394.0</v>
      </c>
      <c r="M17" s="3">
        <v>8069962.478261</v>
      </c>
      <c r="N17">
        <v>4517.991532</v>
      </c>
      <c r="O17" t="str">
        <f t="shared" si="1"/>
        <v>3.415571196</v>
      </c>
    </row>
    <row r="18">
      <c r="A18" s="3">
        <v>1000.0</v>
      </c>
      <c r="B18" s="3">
        <v>50.0</v>
      </c>
      <c r="C18" s="3">
        <v>2.0</v>
      </c>
      <c r="D18" s="3" t="str">
        <f>IFERROR(__xludf.DUMMYFUNCTION("DMAX({{Data!$A$1:$J$1};filter(Data!$A$2:$J1000,Data!$A$2:$A1000=$A18 , Data!$B$2:$B1000 = $B18, Data!$C$2:$C1000 = $C18)},$P$2, $P$22:$P$23)"),"8080107")</f>
        <v>8080107</v>
      </c>
      <c r="E18" s="3" t="str">
        <f>IFERROR(__xludf.DUMMYFUNCTION("filter(Data!$A$2:$J1000,Data!$A$2:$A1000=$A18 , Data!$B$2:$B1000 = $B18, Data!$C$2:$C1000 = $C18, Data!$H$2:$H1000 =$D18)"),"1000")</f>
        <v>1000</v>
      </c>
      <c r="F18" s="3">
        <v>50.0</v>
      </c>
      <c r="G18" s="3">
        <v>2.0</v>
      </c>
      <c r="H18" s="3" t="s">
        <v>18</v>
      </c>
      <c r="I18" s="3" t="s">
        <v>16</v>
      </c>
      <c r="J18" s="3">
        <v>85.247</v>
      </c>
      <c r="K18" s="3">
        <v>268.0</v>
      </c>
      <c r="L18" s="3">
        <v>8080107.0</v>
      </c>
      <c r="M18" s="3">
        <v>8068980.604478</v>
      </c>
      <c r="N18">
        <v>4858.192436</v>
      </c>
      <c r="O18" t="str">
        <f t="shared" si="1"/>
        <v>2.290233594</v>
      </c>
    </row>
    <row r="19">
      <c r="A19" s="3">
        <v>1000.0</v>
      </c>
      <c r="B19" s="3">
        <v>50.0</v>
      </c>
      <c r="C19" s="3">
        <v>3.0</v>
      </c>
      <c r="D19" s="3" t="str">
        <f>IFERROR(__xludf.DUMMYFUNCTION("DMAX({{Data!$A$1:$J$1};filter(Data!$A$2:$J1000,Data!$A$2:$A1000=$A19 , Data!$B$2:$B1000 = $B19, Data!$C$2:$C1000 = $C19)},$P$2, $P$22:$P$23)"),"8081323")</f>
        <v>8081323</v>
      </c>
      <c r="E19" s="3" t="str">
        <f>IFERROR(__xludf.DUMMYFUNCTION("filter(Data!$A$2:$J1000,Data!$A$2:$A1000=$A19 , Data!$B$2:$B1000 = $B19, Data!$C$2:$C1000 = $C19, Data!$H$2:$H1000 =$D19)"),"1000")</f>
        <v>1000</v>
      </c>
      <c r="F19" s="3">
        <v>50.0</v>
      </c>
      <c r="G19" s="3">
        <v>3.0</v>
      </c>
      <c r="H19" s="3" t="s">
        <v>18</v>
      </c>
      <c r="I19" s="3" t="s">
        <v>16</v>
      </c>
      <c r="J19" s="3">
        <v>85.158</v>
      </c>
      <c r="K19" s="3">
        <v>300.0</v>
      </c>
      <c r="L19" s="3">
        <v>8081323.0</v>
      </c>
      <c r="M19" s="3">
        <v>8066265.546667</v>
      </c>
      <c r="N19">
        <v>4573.034345</v>
      </c>
      <c r="O19" t="str">
        <f t="shared" si="1"/>
        <v>3.292661327</v>
      </c>
    </row>
    <row r="20">
      <c r="A20" s="3">
        <v>1000.0</v>
      </c>
      <c r="B20" s="3">
        <v>50.0</v>
      </c>
      <c r="C20" s="3">
        <v>4.0</v>
      </c>
      <c r="D20" s="3" t="str">
        <f>IFERROR(__xludf.DUMMYFUNCTION("DMAX({{Data!$A$1:$J$1};filter(Data!$A$2:$J1000,Data!$A$2:$A1000=$A20 , Data!$B$2:$B1000 = $B20, Data!$C$2:$C1000 = $C20)},$P$2, $P$22:$P$23)"),"8084693")</f>
        <v>8084693</v>
      </c>
      <c r="E20" s="3" t="str">
        <f>IFERROR(__xludf.DUMMYFUNCTION("filter(Data!$A$2:$J1000,Data!$A$2:$A1000=$A20 , Data!$B$2:$B1000 = $B20, Data!$C$2:$C1000 = $C20, Data!$H$2:$H1000 =$D20)"),"1000")</f>
        <v>1000</v>
      </c>
      <c r="F20" s="3">
        <v>50.0</v>
      </c>
      <c r="G20" s="3">
        <v>4.0</v>
      </c>
      <c r="H20" s="3" t="s">
        <v>18</v>
      </c>
      <c r="I20" s="3" t="s">
        <v>16</v>
      </c>
      <c r="J20" s="3">
        <v>85.147</v>
      </c>
      <c r="K20" s="3">
        <v>276.0</v>
      </c>
      <c r="L20" s="3">
        <v>8084693.0</v>
      </c>
      <c r="M20" s="3">
        <v>8069413.532609</v>
      </c>
      <c r="N20">
        <v>4675.692701</v>
      </c>
      <c r="O20" t="str">
        <f t="shared" si="1"/>
        <v>3.267851069</v>
      </c>
    </row>
    <row r="21">
      <c r="A21" s="3">
        <v>1000.0</v>
      </c>
      <c r="B21" s="3">
        <v>50.0</v>
      </c>
      <c r="C21" s="3">
        <v>5.0</v>
      </c>
      <c r="D21" s="3" t="str">
        <f>IFERROR(__xludf.DUMMYFUNCTION("DMAX({{Data!$A$1:$J$1};filter(Data!$A$2:$J1000,Data!$A$2:$A1000=$A21 , Data!$B$2:$B1000 = $B21, Data!$C$2:$C1000 = $C21)},$P$2, $P$22:$P$23)"),"8077997")</f>
        <v>8077997</v>
      </c>
      <c r="E21" s="3" t="str">
        <f>IFERROR(__xludf.DUMMYFUNCTION("filter(Data!$A$2:$J1000,Data!$A$2:$A1000=$A21 , Data!$B$2:$B1000 = $B21, Data!$C$2:$C1000 = $C21, Data!$H$2:$H1000 =$D21)"),"1000")</f>
        <v>1000</v>
      </c>
      <c r="F21" s="3">
        <v>50.0</v>
      </c>
      <c r="G21" s="3">
        <v>5.0</v>
      </c>
      <c r="H21" s="3" t="s">
        <v>18</v>
      </c>
      <c r="I21" s="3" t="s">
        <v>16</v>
      </c>
      <c r="J21" s="3">
        <v>85.221</v>
      </c>
      <c r="K21" s="3">
        <v>296.0</v>
      </c>
      <c r="L21" s="3">
        <v>8077997.0</v>
      </c>
      <c r="M21" s="3">
        <v>8065083.871622</v>
      </c>
      <c r="N21">
        <v>4507.61536</v>
      </c>
      <c r="O21" t="str">
        <f t="shared" si="1"/>
        <v>2.864736085</v>
      </c>
    </row>
    <row r="22">
      <c r="A22" s="4">
        <v>1000.0</v>
      </c>
      <c r="B22" s="4">
        <v>100.0</v>
      </c>
      <c r="C22" s="4">
        <v>1.0</v>
      </c>
      <c r="D22" s="4" t="str">
        <f>IFERROR(__xludf.DUMMYFUNCTION("DMAX({{Data!$A$1:$J$1};filter(Data!$A$2:$J1000,Data!$A$2:$A1000=$A22 , Data!$B$2:$B1000 = $B22, Data!$C$2:$C1000 = $C22)},$P$2, $P$22:$P$23)"),"25771063")</f>
        <v>25771063</v>
      </c>
      <c r="E22" s="4" t="str">
        <f>IFERROR(__xludf.DUMMYFUNCTION("filter(Data!$A$2:$J1000,Data!$A$2:$A1000=$A22 , Data!$B$2:$B1000 = $B22, Data!$C$2:$C1000 = $C22, Data!$H$2:$H1000 =$D22)"),"1000")</f>
        <v>1000</v>
      </c>
      <c r="F22" s="4">
        <v>100.0</v>
      </c>
      <c r="G22" s="4">
        <v>1.0</v>
      </c>
      <c r="H22" s="4" t="s">
        <v>18</v>
      </c>
      <c r="I22" s="4" t="s">
        <v>16</v>
      </c>
      <c r="J22" s="4">
        <v>85.155</v>
      </c>
      <c r="K22" s="4">
        <v>226.0</v>
      </c>
      <c r="L22" s="4">
        <v>2.5771063E7</v>
      </c>
      <c r="M22" s="4">
        <v>2.5759466035398E7</v>
      </c>
      <c r="N22" s="5">
        <v>4987.222098</v>
      </c>
      <c r="O22" s="6" t="str">
        <f t="shared" si="1"/>
        <v>2.325335502</v>
      </c>
    </row>
    <row r="23">
      <c r="A23" s="4">
        <v>1000.0</v>
      </c>
      <c r="B23" s="4">
        <v>100.0</v>
      </c>
      <c r="C23" s="4">
        <v>2.0</v>
      </c>
      <c r="D23" s="4" t="str">
        <f>IFERROR(__xludf.DUMMYFUNCTION("DMAX({{Data!$A$1:$J$1};filter(Data!$A$2:$J1000,Data!$A$2:$A1000=$A23 , Data!$B$2:$B1000 = $B23, Data!$C$2:$C1000 = $C23)},$P$2, $P$22:$P$23)"),"25773238")</f>
        <v>25773238</v>
      </c>
      <c r="E23" s="4" t="str">
        <f>IFERROR(__xludf.DUMMYFUNCTION("filter(Data!$A$2:$J1000,Data!$A$2:$A1000=$A23 , Data!$B$2:$B1000 = $B23, Data!$C$2:$C1000 = $C23, Data!$H$2:$H1000 =$D23)"),"1000")</f>
        <v>1000</v>
      </c>
      <c r="F23" s="4">
        <v>100.0</v>
      </c>
      <c r="G23" s="4">
        <v>2.0</v>
      </c>
      <c r="H23" s="4" t="s">
        <v>18</v>
      </c>
      <c r="I23" s="4" t="s">
        <v>16</v>
      </c>
      <c r="J23" s="4">
        <v>85.016</v>
      </c>
      <c r="K23" s="4">
        <v>228.0</v>
      </c>
      <c r="L23" s="4">
        <v>2.5773238E7</v>
      </c>
      <c r="M23" s="4">
        <v>2.5760603785088E7</v>
      </c>
      <c r="N23" s="5">
        <v>4998.156898</v>
      </c>
      <c r="O23" s="6" t="str">
        <f t="shared" si="1"/>
        <v>2.527774772</v>
      </c>
    </row>
    <row r="24">
      <c r="A24" s="4">
        <v>1000.0</v>
      </c>
      <c r="B24" s="4">
        <v>100.0</v>
      </c>
      <c r="C24" s="4">
        <v>3.0</v>
      </c>
      <c r="D24" s="4" t="str">
        <f>IFERROR(__xludf.DUMMYFUNCTION("DMAX({{Data!$A$1:$J$1};filter(Data!$A$2:$J1000,Data!$A$2:$A1000=$A24 , Data!$B$2:$B1000 = $B24, Data!$C$2:$C1000 = $C24)},$P$2, $P$22:$P$23)"),"25808006")</f>
        <v>25808006</v>
      </c>
      <c r="E24" s="4" t="str">
        <f>IFERROR(__xludf.DUMMYFUNCTION("filter(Data!$A$2:$J1000,Data!$A$2:$A1000=$A24 , Data!$B$2:$B1000 = $B24, Data!$C$2:$C1000 = $C24, Data!$H$2:$H1000 =$D24)"),"1000")</f>
        <v>1000</v>
      </c>
      <c r="F24" s="4">
        <v>100.0</v>
      </c>
      <c r="G24" s="4">
        <v>3.0</v>
      </c>
      <c r="H24" s="4" t="s">
        <v>18</v>
      </c>
      <c r="I24" s="4" t="s">
        <v>16</v>
      </c>
      <c r="J24" s="4">
        <v>85.191</v>
      </c>
      <c r="K24" s="4">
        <v>224.0</v>
      </c>
      <c r="L24" s="4">
        <v>2.5808006E7</v>
      </c>
      <c r="M24" s="4">
        <v>2.5795078879464E7</v>
      </c>
      <c r="N24" s="5">
        <v>5017.94587</v>
      </c>
      <c r="O24" s="6" t="str">
        <f t="shared" si="1"/>
        <v>2.576177757</v>
      </c>
    </row>
    <row r="25">
      <c r="A25" s="4">
        <v>1000.0</v>
      </c>
      <c r="B25" s="4">
        <v>100.0</v>
      </c>
      <c r="C25" s="4">
        <v>4.0</v>
      </c>
      <c r="D25" s="4" t="str">
        <f>IFERROR(__xludf.DUMMYFUNCTION("DMAX({{Data!$A$1:$J$1};filter(Data!$A$2:$J1000,Data!$A$2:$A1000=$A25 , Data!$B$2:$B1000 = $B25, Data!$C$2:$C1000 = $C25)},$P$2, $P$22:$P$23)"),"25821345")</f>
        <v>25821345</v>
      </c>
      <c r="E25" s="4" t="str">
        <f>IFERROR(__xludf.DUMMYFUNCTION("filter(Data!$A$2:$J1000,Data!$A$2:$A1000=$A25 , Data!$B$2:$B1000 = $B25, Data!$C$2:$C1000 = $C25, Data!$H$2:$H1000 =$D25)"),"1000")</f>
        <v>1000</v>
      </c>
      <c r="F25" s="4">
        <v>100.0</v>
      </c>
      <c r="G25" s="4">
        <v>4.0</v>
      </c>
      <c r="H25" s="4" t="s">
        <v>18</v>
      </c>
      <c r="I25" s="4" t="s">
        <v>16</v>
      </c>
      <c r="J25" s="4">
        <v>85.04</v>
      </c>
      <c r="K25" s="4">
        <v>229.0</v>
      </c>
      <c r="L25" s="4">
        <v>2.5821345E7</v>
      </c>
      <c r="M25" s="4">
        <v>2.5807450624454E7</v>
      </c>
      <c r="N25" s="5">
        <v>5624.060344</v>
      </c>
      <c r="O25" s="6" t="str">
        <f t="shared" si="1"/>
        <v>2.470523909</v>
      </c>
    </row>
    <row r="26">
      <c r="A26" s="4">
        <v>1000.0</v>
      </c>
      <c r="B26" s="4">
        <v>100.0</v>
      </c>
      <c r="C26" s="4">
        <v>5.0</v>
      </c>
      <c r="D26" s="4" t="str">
        <f>IFERROR(__xludf.DUMMYFUNCTION("DMAX({{Data!$A$1:$J$1};filter(Data!$A$2:$J1000,Data!$A$2:$A1000=$A26 , Data!$B$2:$B1000 = $B26, Data!$C$2:$C1000 = $C26)},$P$2, $P$22:$P$23)"),"25776481")</f>
        <v>25776481</v>
      </c>
      <c r="E26" s="4" t="str">
        <f>IFERROR(__xludf.DUMMYFUNCTION("filter(Data!$A$2:$J1000,Data!$A$2:$A1000=$A26 , Data!$B$2:$B1000 = $B26, Data!$C$2:$C1000 = $C26, Data!$H$2:$H1000 =$D26)"),"1000")</f>
        <v>1000</v>
      </c>
      <c r="F26" s="4">
        <v>100.0</v>
      </c>
      <c r="G26" s="4">
        <v>5.0</v>
      </c>
      <c r="H26" s="4" t="s">
        <v>18</v>
      </c>
      <c r="I26" s="4" t="s">
        <v>16</v>
      </c>
      <c r="J26" s="4">
        <v>85.401</v>
      </c>
      <c r="K26" s="4">
        <v>226.0</v>
      </c>
      <c r="L26" s="4">
        <v>2.5776481E7</v>
      </c>
      <c r="M26" s="4">
        <v>2.5763414132743E7</v>
      </c>
      <c r="N26" s="5">
        <v>4821.694295</v>
      </c>
      <c r="O26" s="6" t="str">
        <f t="shared" si="1"/>
        <v>2.710015704</v>
      </c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>
      <c r="A32" s="3"/>
      <c r="B32" s="3"/>
      <c r="C32" s="3"/>
      <c r="D32" s="3"/>
      <c r="E32" s="7"/>
      <c r="F32" s="3"/>
      <c r="G32" s="3"/>
      <c r="H32" s="3"/>
      <c r="I32" s="3"/>
      <c r="J32" s="3"/>
      <c r="K32" s="3"/>
      <c r="L32" s="3"/>
      <c r="M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5.57"/>
    <col customWidth="1" min="4" max="4" width="11.86"/>
    <col customWidth="1" hidden="1" min="5" max="5" width="5.0"/>
    <col customWidth="1" hidden="1" min="6" max="6" width="4.0"/>
    <col customWidth="1" hidden="1" min="7" max="7" width="14.86"/>
    <col customWidth="1" min="8" max="8" width="10.14"/>
    <col customWidth="1" min="9" max="9" width="9.71"/>
    <col customWidth="1" hidden="1" min="10" max="10" width="6.57"/>
    <col customWidth="1" min="11" max="11" width="7.0"/>
    <col customWidth="1" min="12" max="12" width="9.0"/>
    <col customWidth="1" hidden="1" min="13" max="13" width="11.57"/>
    <col customWidth="1" min="14" max="14" width="11.57"/>
    <col customWidth="1" min="15" max="15" width="21.0"/>
  </cols>
  <sheetData>
    <row r="1">
      <c r="A1" s="1" t="str">
        <f>IFERROR(__xludf.DUMMYFUNCTION("UNIQUE(Data!A:C)"),"N")</f>
        <v>N</v>
      </c>
      <c r="B1" s="1" t="s">
        <v>1</v>
      </c>
      <c r="C1" s="1" t="s">
        <v>2</v>
      </c>
      <c r="D1" s="1" t="s">
        <v>27</v>
      </c>
      <c r="E1" s="1"/>
      <c r="F1" s="1"/>
      <c r="G1" s="1"/>
      <c r="H1" s="1" t="s">
        <v>20</v>
      </c>
      <c r="I1" s="1" t="s">
        <v>21</v>
      </c>
      <c r="J1" s="1"/>
      <c r="K1" s="1" t="s">
        <v>22</v>
      </c>
      <c r="L1" s="1" t="s">
        <v>28</v>
      </c>
      <c r="M1" s="1" t="s">
        <v>23</v>
      </c>
      <c r="N1" s="1" t="s">
        <v>24</v>
      </c>
      <c r="O1" s="1" t="s">
        <v>29</v>
      </c>
      <c r="P1" s="1" t="s">
        <v>26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1000.0</v>
      </c>
      <c r="B2" s="4">
        <v>1.0</v>
      </c>
      <c r="C2" s="4">
        <v>1.0</v>
      </c>
      <c r="D2" s="4" t="str">
        <f>IFERROR(__xludf.DUMMYFUNCTION("DMAX({{Data!$A$1:$J$1};filter(Data!$A$2:$J1000,Data!$A$2:$A1000=$A2 , Data!$B$2:$B1000 = $B2, Data!$C$2:$C1000 = $C2)},$P$2, $P$22:$P$23)"),"208562.1235")</f>
        <v>208562.1235</v>
      </c>
      <c r="E2" s="4" t="str">
        <f>IFERROR(__xludf.DUMMYFUNCTION("filter(Data!$A$2:$J1000,Data!$A$2:$A1000=$A2 , Data!$B$2:$B1000 = $B2, Data!$C$2:$C1000 = $C2, Data!$I$2:$I1000 =$D2)"),"1000")</f>
        <v>1000</v>
      </c>
      <c r="F2" s="4">
        <v>1.0</v>
      </c>
      <c r="G2" s="4">
        <v>1.0</v>
      </c>
      <c r="H2" s="4" t="s">
        <v>18</v>
      </c>
      <c r="I2" s="4" t="s">
        <v>16</v>
      </c>
      <c r="J2" s="4">
        <v>85.122</v>
      </c>
      <c r="K2" s="4">
        <v>939.0</v>
      </c>
      <c r="L2" s="4">
        <v>210446.0</v>
      </c>
      <c r="M2" s="4">
        <v>208562.123536</v>
      </c>
      <c r="N2" s="5">
        <v>632.559604</v>
      </c>
      <c r="O2" s="8" t="str">
        <f>('Best Solution'!D2 - D2)/'Best Solution'!D2</f>
        <v>1.19%</v>
      </c>
      <c r="P2" s="3" t="s">
        <v>8</v>
      </c>
    </row>
    <row r="3">
      <c r="A3" s="4">
        <v>1000.0</v>
      </c>
      <c r="B3" s="4">
        <v>1.0</v>
      </c>
      <c r="C3" s="4">
        <v>2.0</v>
      </c>
      <c r="D3" s="4" t="str">
        <f>IFERROR(__xludf.DUMMYFUNCTION("DMAX({{Data!$A$1:$J$1};filter(Data!$A$2:$J1000,Data!$A$2:$A1000=$A3 , Data!$B$2:$B1000 = $B3, Data!$C$2:$C1000 = $C3)},$P$2, $P$22:$P$23)"),"204642.4234")</f>
        <v>204642.4234</v>
      </c>
      <c r="E3" s="4" t="str">
        <f>IFERROR(__xludf.DUMMYFUNCTION("filter(Data!$A$2:$J1000,Data!$A$2:$A1000=$A3 , Data!$B$2:$B1000 = $B3, Data!$C$2:$C1000 = $C3, Data!$I$2:$I1000 =$D3)"),"1000")</f>
        <v>1000</v>
      </c>
      <c r="F3" s="4">
        <v>1.0</v>
      </c>
      <c r="G3" s="4">
        <v>2.0</v>
      </c>
      <c r="H3" s="4" t="s">
        <v>17</v>
      </c>
      <c r="I3" s="4" t="s">
        <v>16</v>
      </c>
      <c r="J3" s="4">
        <v>85.005</v>
      </c>
      <c r="K3" s="4">
        <v>7877.0</v>
      </c>
      <c r="L3" s="4">
        <v>206691.0</v>
      </c>
      <c r="M3" s="4">
        <v>204642.423385</v>
      </c>
      <c r="N3" s="5">
        <v>600.618433</v>
      </c>
      <c r="O3" s="8" t="str">
        <f>('Best Solution'!D3 - D3)/'Best Solution'!D3</f>
        <v>1.09%</v>
      </c>
    </row>
    <row r="4">
      <c r="A4" s="4">
        <v>1000.0</v>
      </c>
      <c r="B4" s="4">
        <v>1.0</v>
      </c>
      <c r="C4" s="4">
        <v>3.0</v>
      </c>
      <c r="D4" s="4" t="str">
        <f>IFERROR(__xludf.DUMMYFUNCTION("DMAX({{Data!$A$1:$J$1};filter(Data!$A$2:$J1000,Data!$A$2:$A1000=$A4 , Data!$B$2:$B1000 = $B4, Data!$C$2:$C1000 = $C4)},$P$2, $P$22:$P$23)"),"203258.9357")</f>
        <v>203258.9357</v>
      </c>
      <c r="E4" s="4" t="str">
        <f>IFERROR(__xludf.DUMMYFUNCTION("filter(Data!$A$2:$J1000,Data!$A$2:$A1000=$A4 , Data!$B$2:$B1000 = $B4, Data!$C$2:$C1000 = $C4, Data!$I$2:$I1000 =$D4)"),"1000")</f>
        <v>1000</v>
      </c>
      <c r="F4" s="4">
        <v>1.0</v>
      </c>
      <c r="G4" s="4">
        <v>3.0</v>
      </c>
      <c r="H4" s="4" t="s">
        <v>14</v>
      </c>
      <c r="I4" s="4" t="s">
        <v>16</v>
      </c>
      <c r="J4" s="4">
        <v>85.001</v>
      </c>
      <c r="K4" s="4">
        <v>23542.0</v>
      </c>
      <c r="L4" s="4">
        <v>205556.0</v>
      </c>
      <c r="M4" s="4">
        <v>203258.935689</v>
      </c>
      <c r="N4" s="5">
        <v>573.829224</v>
      </c>
      <c r="O4" s="8" t="str">
        <f>('Best Solution'!D4 - D4)/'Best Solution'!D4</f>
        <v>1.17%</v>
      </c>
    </row>
    <row r="5">
      <c r="A5" s="4">
        <v>1000.0</v>
      </c>
      <c r="B5" s="4">
        <v>1.0</v>
      </c>
      <c r="C5" s="4">
        <v>4.0</v>
      </c>
      <c r="D5" s="4" t="str">
        <f>IFERROR(__xludf.DUMMYFUNCTION("DMAX({{Data!$A$1:$J$1};filter(Data!$A$2:$J1000,Data!$A$2:$A1000=$A5 , Data!$B$2:$B1000 = $B5, Data!$C$2:$C1000 = $C5)},$P$2, $P$22:$P$23)"),"211807.4736")</f>
        <v>211807.4736</v>
      </c>
      <c r="E5" s="4" t="str">
        <f>IFERROR(__xludf.DUMMYFUNCTION("filter(Data!$A$2:$J1000,Data!$A$2:$A1000=$A5 , Data!$B$2:$B1000 = $B5, Data!$C$2:$C1000 = $C5, Data!$I$2:$I1000 =$D5)"),"1000")</f>
        <v>1000</v>
      </c>
      <c r="F5" s="4">
        <v>1.0</v>
      </c>
      <c r="G5" s="4">
        <v>4.0</v>
      </c>
      <c r="H5" s="4" t="s">
        <v>18</v>
      </c>
      <c r="I5" s="4" t="s">
        <v>16</v>
      </c>
      <c r="J5" s="4">
        <v>85.019</v>
      </c>
      <c r="K5" s="4">
        <v>889.0</v>
      </c>
      <c r="L5" s="4">
        <v>214087.0</v>
      </c>
      <c r="M5" s="4">
        <v>211807.473566</v>
      </c>
      <c r="N5" s="5">
        <v>613.75806</v>
      </c>
      <c r="O5" s="8" t="str">
        <f>('Best Solution'!D5 - D5)/'Best Solution'!D5</f>
        <v>1.06%</v>
      </c>
    </row>
    <row r="6">
      <c r="A6" s="4">
        <v>1000.0</v>
      </c>
      <c r="B6" s="4">
        <v>1.0</v>
      </c>
      <c r="C6" s="4">
        <v>5.0</v>
      </c>
      <c r="D6" s="4" t="str">
        <f>IFERROR(__xludf.DUMMYFUNCTION("DMAX({{Data!$A$1:$J$1};filter(Data!$A$2:$J1000,Data!$A$2:$A1000=$A6 , Data!$B$2:$B1000 = $B6, Data!$C$2:$C1000 = $C6)},$P$2, $P$22:$P$23)"),"210030.6227")</f>
        <v>210030.6227</v>
      </c>
      <c r="E6" s="4" t="str">
        <f>IFERROR(__xludf.DUMMYFUNCTION("filter(Data!$A$2:$J1000,Data!$A$2:$A1000=$A6 , Data!$B$2:$B1000 = $B6, Data!$C$2:$C1000 = $C6, Data!$I$2:$I1000 =$D6)"),"1000")</f>
        <v>1000</v>
      </c>
      <c r="F6" s="4">
        <v>1.0</v>
      </c>
      <c r="G6" s="4">
        <v>5.0</v>
      </c>
      <c r="H6" s="4" t="s">
        <v>17</v>
      </c>
      <c r="I6" s="4" t="s">
        <v>16</v>
      </c>
      <c r="J6" s="4">
        <v>85.003</v>
      </c>
      <c r="K6" s="4">
        <v>7490.0</v>
      </c>
      <c r="L6" s="4">
        <v>212248.0</v>
      </c>
      <c r="M6" s="4">
        <v>210030.622697</v>
      </c>
      <c r="N6" s="5">
        <v>619.86509</v>
      </c>
      <c r="O6" s="8" t="str">
        <f>('Best Solution'!D6 - D6)/'Best Solution'!D6</f>
        <v>1.17%</v>
      </c>
    </row>
    <row r="7">
      <c r="A7" s="3">
        <v>1000.0</v>
      </c>
      <c r="B7" s="3">
        <v>5.0</v>
      </c>
      <c r="C7" s="3">
        <v>1.0</v>
      </c>
      <c r="D7" s="3" t="str">
        <f>IFERROR(__xludf.DUMMYFUNCTION("DMAX({{Data!$A$1:$J$1};filter(Data!$A$2:$J1000,Data!$A$2:$A1000=$A7 , Data!$B$2:$B1000 = $B7, Data!$C$2:$C1000 = $C7)},$P$2, $P$22:$P$23)"),"854292.7061")</f>
        <v>854292.7061</v>
      </c>
      <c r="E7" s="3" t="str">
        <f>IFERROR(__xludf.DUMMYFUNCTION("filter(Data!$A$2:$J1000,Data!$A$2:$A1000=$A7 , Data!$B$2:$B1000 = $B7, Data!$C$2:$C1000 = $C7, Data!$I$2:$I1000 =$D7)"),"1000")</f>
        <v>1000</v>
      </c>
      <c r="F7" s="3">
        <v>5.0</v>
      </c>
      <c r="G7" s="3">
        <v>1.0</v>
      </c>
      <c r="H7" s="3" t="s">
        <v>17</v>
      </c>
      <c r="I7" s="3" t="s">
        <v>16</v>
      </c>
      <c r="J7" s="3">
        <v>85.046</v>
      </c>
      <c r="K7" s="3">
        <v>684.0</v>
      </c>
      <c r="L7" s="3">
        <v>858450.0</v>
      </c>
      <c r="M7" s="3">
        <v>854292.70614</v>
      </c>
      <c r="N7">
        <v>1434.103977</v>
      </c>
      <c r="O7" s="9" t="str">
        <f>('Best Solution'!D7 - D7)/'Best Solution'!D7</f>
        <v>0.54%</v>
      </c>
    </row>
    <row r="8">
      <c r="A8" s="3">
        <v>1000.0</v>
      </c>
      <c r="B8" s="3">
        <v>5.0</v>
      </c>
      <c r="C8" s="3">
        <v>2.0</v>
      </c>
      <c r="D8" s="3" t="str">
        <f>IFERROR(__xludf.DUMMYFUNCTION("DMAX({{Data!$A$1:$J$1};filter(Data!$A$2:$J1000,Data!$A$2:$A1000=$A8 , Data!$B$2:$B1000 = $B8, Data!$C$2:$C1000 = $C8)},$P$2, $P$22:$P$23)"),"858683.3576")</f>
        <v>858683.3576</v>
      </c>
      <c r="E8" s="3" t="str">
        <f>IFERROR(__xludf.DUMMYFUNCTION("filter(Data!$A$2:$J1000,Data!$A$2:$A1000=$A8 , Data!$B$2:$B1000 = $B8, Data!$C$2:$C1000 = $C8, Data!$I$2:$I1000 =$D8)"),"1000")</f>
        <v>1000</v>
      </c>
      <c r="F8" s="3">
        <v>5.0</v>
      </c>
      <c r="G8" s="3">
        <v>2.0</v>
      </c>
      <c r="H8" s="3" t="s">
        <v>14</v>
      </c>
      <c r="I8" s="3" t="s">
        <v>16</v>
      </c>
      <c r="J8" s="3">
        <v>85.012</v>
      </c>
      <c r="K8" s="3">
        <v>3722.0</v>
      </c>
      <c r="L8" s="3">
        <v>864274.0</v>
      </c>
      <c r="M8" s="3">
        <v>858683.357603</v>
      </c>
      <c r="N8">
        <v>1499.664692</v>
      </c>
      <c r="O8" s="9" t="str">
        <f>('Best Solution'!D8 - D8)/'Best Solution'!D8</f>
        <v>0.65%</v>
      </c>
    </row>
    <row r="9">
      <c r="A9" s="3">
        <v>1000.0</v>
      </c>
      <c r="B9" s="3">
        <v>5.0</v>
      </c>
      <c r="C9" s="3">
        <v>3.0</v>
      </c>
      <c r="D9" s="3" t="str">
        <f>IFERROR(__xludf.DUMMYFUNCTION("DMAX({{Data!$A$1:$J$1};filter(Data!$A$2:$J1000,Data!$A$2:$A1000=$A9 , Data!$B$2:$B1000 = $B9, Data!$C$2:$C1000 = $C9)},$P$2, $P$22:$P$23)"),"863893.3455")</f>
        <v>863893.3455</v>
      </c>
      <c r="E9" s="3" t="str">
        <f>IFERROR(__xludf.DUMMYFUNCTION("filter(Data!$A$2:$J1000,Data!$A$2:$A1000=$A9 , Data!$B$2:$B1000 = $B9, Data!$C$2:$C1000 = $C9, Data!$I$2:$I1000 =$D9)"),"1000")</f>
        <v>1000</v>
      </c>
      <c r="F9" s="3">
        <v>5.0</v>
      </c>
      <c r="G9" s="3">
        <v>3.0</v>
      </c>
      <c r="H9" s="3" t="s">
        <v>14</v>
      </c>
      <c r="I9" s="3" t="s">
        <v>16</v>
      </c>
      <c r="J9" s="3">
        <v>85.01</v>
      </c>
      <c r="K9" s="3">
        <v>3748.0</v>
      </c>
      <c r="L9" s="3">
        <v>869131.0</v>
      </c>
      <c r="M9" s="3">
        <v>863893.345518</v>
      </c>
      <c r="N9">
        <v>1443.006856</v>
      </c>
      <c r="O9" s="9" t="str">
        <f>('Best Solution'!D9 - D9)/'Best Solution'!D9</f>
        <v>0.60%</v>
      </c>
    </row>
    <row r="10">
      <c r="A10" s="3">
        <v>1000.0</v>
      </c>
      <c r="B10" s="3">
        <v>5.0</v>
      </c>
      <c r="C10" s="3">
        <v>4.0</v>
      </c>
      <c r="D10" s="3" t="str">
        <f>IFERROR(__xludf.DUMMYFUNCTION("DMAX({{Data!$A$1:$J$1};filter(Data!$A$2:$J1000,Data!$A$2:$A1000=$A10 , Data!$B$2:$B1000 = $B10, Data!$C$2:$C1000 = $C10)},$P$2, $P$22:$P$23)"),"863149.7012")</f>
        <v>863149.7012</v>
      </c>
      <c r="E10" s="3" t="str">
        <f>IFERROR(__xludf.DUMMYFUNCTION("filter(Data!$A$2:$J1000,Data!$A$2:$A1000=$A10 , Data!$B$2:$B1000 = $B10, Data!$C$2:$C1000 = $C10, Data!$I$2:$I1000 =$D10)"),"1000")</f>
        <v>1000</v>
      </c>
      <c r="F10" s="3">
        <v>5.0</v>
      </c>
      <c r="G10" s="3">
        <v>4.0</v>
      </c>
      <c r="H10" s="3" t="s">
        <v>17</v>
      </c>
      <c r="I10" s="3" t="s">
        <v>16</v>
      </c>
      <c r="J10" s="3">
        <v>85.125</v>
      </c>
      <c r="K10" s="3">
        <v>686.0</v>
      </c>
      <c r="L10" s="3">
        <v>867134.0</v>
      </c>
      <c r="M10" s="3">
        <v>863149.701166</v>
      </c>
      <c r="N10">
        <v>1531.631435</v>
      </c>
      <c r="O10" s="9" t="str">
        <f>('Best Solution'!D10 - D10)/'Best Solution'!D10</f>
        <v>0.61%</v>
      </c>
    </row>
    <row r="11">
      <c r="A11" s="3">
        <v>1000.0</v>
      </c>
      <c r="B11" s="3">
        <v>5.0</v>
      </c>
      <c r="C11" s="3">
        <v>5.0</v>
      </c>
      <c r="D11" s="3" t="str">
        <f>IFERROR(__xludf.DUMMYFUNCTION("DMAX({{Data!$A$1:$J$1};filter(Data!$A$2:$J1000,Data!$A$2:$A1000=$A11 , Data!$B$2:$B1000 = $B11, Data!$C$2:$C1000 = $C11)},$P$2, $P$22:$P$23)"),"857753.4725")</f>
        <v>857753.4725</v>
      </c>
      <c r="E11" s="3" t="str">
        <f>IFERROR(__xludf.DUMMYFUNCTION("filter(Data!$A$2:$J1000,Data!$A$2:$A1000=$A11 , Data!$B$2:$B1000 = $B11, Data!$C$2:$C1000 = $C11, Data!$I$2:$I1000 =$D11)"),"1000")</f>
        <v>1000</v>
      </c>
      <c r="F11" s="3">
        <v>5.0</v>
      </c>
      <c r="G11" s="3">
        <v>5.0</v>
      </c>
      <c r="H11" s="3" t="s">
        <v>17</v>
      </c>
      <c r="I11" s="3" t="s">
        <v>16</v>
      </c>
      <c r="J11" s="3">
        <v>85.078</v>
      </c>
      <c r="K11" s="3">
        <v>673.0</v>
      </c>
      <c r="L11" s="3">
        <v>863317.0</v>
      </c>
      <c r="M11" s="3">
        <v>857753.472511</v>
      </c>
      <c r="N11">
        <v>1540.68626</v>
      </c>
      <c r="O11" s="9" t="str">
        <f>('Best Solution'!D11 - D11)/'Best Solution'!D11</f>
        <v>0.64%</v>
      </c>
    </row>
    <row r="12">
      <c r="A12" s="4">
        <v>1000.0</v>
      </c>
      <c r="B12" s="4">
        <v>10.0</v>
      </c>
      <c r="C12" s="4">
        <v>1.0</v>
      </c>
      <c r="D12" s="4" t="str">
        <f>IFERROR(__xludf.DUMMYFUNCTION("DMAX({{Data!$A$1:$J$1};filter(Data!$A$2:$J1000,Data!$A$2:$A1000=$A12 , Data!$B$2:$B1000 = $B12, Data!$C$2:$C1000 = $C12)},$P$2, $P$22:$P$23)"),"1604021.898")</f>
        <v>1604021.898</v>
      </c>
      <c r="E12" s="4" t="str">
        <f>IFERROR(__xludf.DUMMYFUNCTION("filter(Data!$A$2:$J1000,Data!$A$2:$A1000=$A12 , Data!$B$2:$B1000 = $B12, Data!$C$2:$C1000 = $C12, Data!$I$2:$I1000 =$D12)"),"1000")</f>
        <v>1000</v>
      </c>
      <c r="F12" s="4">
        <v>10.0</v>
      </c>
      <c r="G12" s="4">
        <v>1.0</v>
      </c>
      <c r="H12" s="4" t="s">
        <v>18</v>
      </c>
      <c r="I12" s="4" t="s">
        <v>16</v>
      </c>
      <c r="J12" s="4">
        <v>85.144</v>
      </c>
      <c r="K12" s="4">
        <v>449.0</v>
      </c>
      <c r="L12" s="4">
        <v>1609903.0</v>
      </c>
      <c r="M12" s="4">
        <v>1604021.89755</v>
      </c>
      <c r="N12" s="5">
        <v>2065.552889</v>
      </c>
      <c r="O12" s="8" t="str">
        <f>('Best Solution'!D12 - D12)/'Best Solution'!D12</f>
        <v>0.41%</v>
      </c>
    </row>
    <row r="13">
      <c r="A13" s="4">
        <v>1000.0</v>
      </c>
      <c r="B13" s="4">
        <v>10.0</v>
      </c>
      <c r="C13" s="4">
        <v>2.0</v>
      </c>
      <c r="D13" s="4" t="str">
        <f>IFERROR(__xludf.DUMMYFUNCTION("DMAX({{Data!$A$1:$J$1};filter(Data!$A$2:$J1000,Data!$A$2:$A1000=$A13 , Data!$B$2:$B1000 = $B13, Data!$C$2:$C1000 = $C13)},$P$2, $P$22:$P$23)"),"1623771.185")</f>
        <v>1623771.185</v>
      </c>
      <c r="E13" s="4" t="str">
        <f>IFERROR(__xludf.DUMMYFUNCTION("filter(Data!$A$2:$J1000,Data!$A$2:$A1000=$A13 , Data!$B$2:$B1000 = $B13, Data!$C$2:$C1000 = $C13, Data!$I$2:$I1000 =$D13)"),"1000")</f>
        <v>1000</v>
      </c>
      <c r="F13" s="4">
        <v>10.0</v>
      </c>
      <c r="G13" s="4">
        <v>2.0</v>
      </c>
      <c r="H13" s="4" t="s">
        <v>17</v>
      </c>
      <c r="I13" s="4" t="s">
        <v>16</v>
      </c>
      <c r="J13" s="4">
        <v>85.143</v>
      </c>
      <c r="K13" s="4">
        <v>216.0</v>
      </c>
      <c r="L13" s="4">
        <v>1629731.0</v>
      </c>
      <c r="M13" s="4">
        <v>1623771.185185</v>
      </c>
      <c r="N13" s="5">
        <v>2180.647757</v>
      </c>
      <c r="O13" s="8" t="str">
        <f>('Best Solution'!D13 - D13)/'Best Solution'!D13</f>
        <v>0.48%</v>
      </c>
    </row>
    <row r="14">
      <c r="A14" s="4">
        <v>1000.0</v>
      </c>
      <c r="B14" s="4">
        <v>10.0</v>
      </c>
      <c r="C14" s="4">
        <v>3.0</v>
      </c>
      <c r="D14" s="4" t="str">
        <f>IFERROR(__xludf.DUMMYFUNCTION("DMAX({{Data!$A$1:$J$1};filter(Data!$A$2:$J1000,Data!$A$2:$A1000=$A14 , Data!$B$2:$B1000 = $B14, Data!$C$2:$C1000 = $C14)},$P$2, $P$22:$P$23)"),"1623184.134")</f>
        <v>1623184.134</v>
      </c>
      <c r="E14" s="4" t="str">
        <f>IFERROR(__xludf.DUMMYFUNCTION("filter(Data!$A$2:$J1000,Data!$A$2:$A1000=$A14 , Data!$B$2:$B1000 = $B14, Data!$C$2:$C1000 = $C14, Data!$I$2:$I1000 =$D14)"),"1000")</f>
        <v>1000</v>
      </c>
      <c r="F14" s="4">
        <v>10.0</v>
      </c>
      <c r="G14" s="4">
        <v>3.0</v>
      </c>
      <c r="H14" s="4" t="s">
        <v>14</v>
      </c>
      <c r="I14" s="4" t="s">
        <v>16</v>
      </c>
      <c r="J14" s="4">
        <v>85.006</v>
      </c>
      <c r="K14" s="4">
        <v>1361.0</v>
      </c>
      <c r="L14" s="4">
        <v>1630446.0</v>
      </c>
      <c r="M14" s="4">
        <v>1623184.133725</v>
      </c>
      <c r="N14" s="5">
        <v>2093.327798</v>
      </c>
      <c r="O14" s="8" t="str">
        <f>('Best Solution'!D14 - D14)/'Best Solution'!D14</f>
        <v>0.45%</v>
      </c>
    </row>
    <row r="15">
      <c r="A15" s="4">
        <v>1000.0</v>
      </c>
      <c r="B15" s="4">
        <v>10.0</v>
      </c>
      <c r="C15" s="4">
        <v>4.0</v>
      </c>
      <c r="D15" s="4" t="str">
        <f>IFERROR(__xludf.DUMMYFUNCTION("DMAX({{Data!$A$1:$J$1};filter(Data!$A$2:$J1000,Data!$A$2:$A1000=$A15 , Data!$B$2:$B1000 = $B15, Data!$C$2:$C1000 = $C15)},$P$2, $P$22:$P$23)"),"1618628.462")</f>
        <v>1618628.462</v>
      </c>
      <c r="E15" s="4" t="str">
        <f>IFERROR(__xludf.DUMMYFUNCTION("filter(Data!$A$2:$J1000,Data!$A$2:$A1000=$A15 , Data!$B$2:$B1000 = $B15, Data!$C$2:$C1000 = $C15, Data!$I$2:$I1000 =$D15)"),"1000")</f>
        <v>1000</v>
      </c>
      <c r="F15" s="4">
        <v>10.0</v>
      </c>
      <c r="G15" s="4">
        <v>4.0</v>
      </c>
      <c r="H15" s="4" t="s">
        <v>18</v>
      </c>
      <c r="I15" s="4" t="s">
        <v>16</v>
      </c>
      <c r="J15" s="4">
        <v>85.168</v>
      </c>
      <c r="K15" s="4">
        <v>422.0</v>
      </c>
      <c r="L15" s="4">
        <v>1624457.0</v>
      </c>
      <c r="M15" s="4">
        <v>1618628.462085</v>
      </c>
      <c r="N15" s="5">
        <v>2060.781202</v>
      </c>
      <c r="O15" s="8" t="str">
        <f>('Best Solution'!D15 - D15)/'Best Solution'!D15</f>
        <v>0.40%</v>
      </c>
    </row>
    <row r="16">
      <c r="A16" s="4">
        <v>1000.0</v>
      </c>
      <c r="B16" s="4">
        <v>10.0</v>
      </c>
      <c r="C16" s="4">
        <v>5.0</v>
      </c>
      <c r="D16" s="4" t="str">
        <f>IFERROR(__xludf.DUMMYFUNCTION("DMAX({{Data!$A$1:$J$1};filter(Data!$A$2:$J1000,Data!$A$2:$A1000=$A16 , Data!$B$2:$B1000 = $B16, Data!$C$2:$C1000 = $C16)},$P$2, $P$22:$P$23)"),"1617933.207")</f>
        <v>1617933.207</v>
      </c>
      <c r="E16" s="4" t="str">
        <f>IFERROR(__xludf.DUMMYFUNCTION("filter(Data!$A$2:$J1000,Data!$A$2:$A1000=$A16 , Data!$B$2:$B1000 = $B16, Data!$C$2:$C1000 = $C16, Data!$I$2:$I1000 =$D16)"),"1000")</f>
        <v>1000</v>
      </c>
      <c r="F16" s="4">
        <v>10.0</v>
      </c>
      <c r="G16" s="4">
        <v>5.0</v>
      </c>
      <c r="H16" s="4" t="s">
        <v>18</v>
      </c>
      <c r="I16" s="4" t="s">
        <v>16</v>
      </c>
      <c r="J16" s="4">
        <v>85.107</v>
      </c>
      <c r="K16" s="4">
        <v>454.0</v>
      </c>
      <c r="L16" s="4">
        <v>1624151.0</v>
      </c>
      <c r="M16" s="4">
        <v>1617933.207048</v>
      </c>
      <c r="N16" s="5">
        <v>2004.776909</v>
      </c>
      <c r="O16" s="8" t="str">
        <f>('Best Solution'!D16 - D16)/'Best Solution'!D16</f>
        <v>0.39%</v>
      </c>
    </row>
    <row r="17">
      <c r="A17" s="3">
        <v>1000.0</v>
      </c>
      <c r="B17" s="3">
        <v>50.0</v>
      </c>
      <c r="C17" s="3">
        <v>1.0</v>
      </c>
      <c r="D17" s="3" t="str">
        <f>IFERROR(__xludf.DUMMYFUNCTION("DMAX({{Data!$A$1:$J$1};filter(Data!$A$2:$J1000,Data!$A$2:$A1000=$A17 , Data!$B$2:$B1000 = $B17, Data!$C$2:$C1000 = $C17)},$P$2, $P$22:$P$23)"),"8071299.706")</f>
        <v>8071299.706</v>
      </c>
      <c r="E17" s="3" t="str">
        <f>IFERROR(__xludf.DUMMYFUNCTION("filter(Data!$A$2:$J1000,Data!$A$2:$A1000=$A17 , Data!$B$2:$B1000 = $B17, Data!$C$2:$C1000 = $C17, Data!$I$2:$I1000 =$D17)"),"1000")</f>
        <v>1000</v>
      </c>
      <c r="F17" s="3">
        <v>50.0</v>
      </c>
      <c r="G17" s="3">
        <v>1.0</v>
      </c>
      <c r="H17" s="3" t="s">
        <v>17</v>
      </c>
      <c r="I17" s="3" t="s">
        <v>16</v>
      </c>
      <c r="J17" s="3">
        <v>88.048</v>
      </c>
      <c r="K17" s="3">
        <v>17.0</v>
      </c>
      <c r="L17" s="3">
        <v>8079901.0</v>
      </c>
      <c r="M17" s="3">
        <v>8071299.705882</v>
      </c>
      <c r="N17">
        <v>5054.175988</v>
      </c>
      <c r="O17" s="9" t="str">
        <f>('Best Solution'!D17 - D17)/'Best Solution'!D17</f>
        <v>0.17%</v>
      </c>
    </row>
    <row r="18">
      <c r="A18" s="3">
        <v>1000.0</v>
      </c>
      <c r="B18" s="3">
        <v>50.0</v>
      </c>
      <c r="C18" s="3">
        <v>2.0</v>
      </c>
      <c r="D18" s="3" t="str">
        <f>IFERROR(__xludf.DUMMYFUNCTION("DMAX({{Data!$A$1:$J$1};filter(Data!$A$2:$J1000,Data!$A$2:$A1000=$A18 , Data!$B$2:$B1000 = $B18, Data!$C$2:$C1000 = $C18)},$P$2, $P$22:$P$23)"),"8068980.604")</f>
        <v>8068980.604</v>
      </c>
      <c r="E18" s="3" t="str">
        <f>IFERROR(__xludf.DUMMYFUNCTION("filter(Data!$A$2:$J1000,Data!$A$2:$A1000=$A18 , Data!$B$2:$B1000 = $B18, Data!$C$2:$C1000 = $C18, Data!$I$2:$I1000 =$D18)"),"1000")</f>
        <v>1000</v>
      </c>
      <c r="F18" s="3">
        <v>50.0</v>
      </c>
      <c r="G18" s="3">
        <v>2.0</v>
      </c>
      <c r="H18" s="3" t="s">
        <v>18</v>
      </c>
      <c r="I18" s="3" t="s">
        <v>16</v>
      </c>
      <c r="J18" s="3">
        <v>85.247</v>
      </c>
      <c r="K18" s="3">
        <v>268.0</v>
      </c>
      <c r="L18" s="3">
        <v>8080107.0</v>
      </c>
      <c r="M18" s="3">
        <v>8068980.604478</v>
      </c>
      <c r="N18">
        <v>4858.192436</v>
      </c>
      <c r="O18" s="9" t="str">
        <f>('Best Solution'!D18 - D18)/'Best Solution'!D18</f>
        <v>0.14%</v>
      </c>
    </row>
    <row r="19">
      <c r="A19" s="3">
        <v>1000.0</v>
      </c>
      <c r="B19" s="3">
        <v>50.0</v>
      </c>
      <c r="C19" s="3">
        <v>3.0</v>
      </c>
      <c r="D19" s="3" t="str">
        <f>IFERROR(__xludf.DUMMYFUNCTION("DMAX({{Data!$A$1:$J$1};filter(Data!$A$2:$J1000,Data!$A$2:$A1000=$A19 , Data!$B$2:$B1000 = $B19, Data!$C$2:$C1000 = $C19)},$P$2, $P$22:$P$23)"),"8066876.5")</f>
        <v>8066876.5</v>
      </c>
      <c r="E19" s="3" t="str">
        <f>IFERROR(__xludf.DUMMYFUNCTION("filter(Data!$A$2:$J1000,Data!$A$2:$A1000=$A19 , Data!$B$2:$B1000 = $B19, Data!$C$2:$C1000 = $C19, Data!$I$2:$I1000 =$D19)"),"1000")</f>
        <v>1000</v>
      </c>
      <c r="F19" s="3">
        <v>50.0</v>
      </c>
      <c r="G19" s="3">
        <v>3.0</v>
      </c>
      <c r="H19" s="3" t="s">
        <v>14</v>
      </c>
      <c r="I19" s="3" t="s">
        <v>16</v>
      </c>
      <c r="J19" s="3">
        <v>85.04</v>
      </c>
      <c r="K19" s="3">
        <v>82.0</v>
      </c>
      <c r="L19" s="3">
        <v>8079116.0</v>
      </c>
      <c r="M19" s="3">
        <v>8066876.5</v>
      </c>
      <c r="N19">
        <v>4501.650411</v>
      </c>
      <c r="O19" s="9" t="str">
        <f>('Best Solution'!D19 - D19)/'Best Solution'!D19</f>
        <v>0.18%</v>
      </c>
    </row>
    <row r="20">
      <c r="A20" s="3">
        <v>1000.0</v>
      </c>
      <c r="B20" s="3">
        <v>50.0</v>
      </c>
      <c r="C20" s="3">
        <v>4.0</v>
      </c>
      <c r="D20" s="3" t="str">
        <f>IFERROR(__xludf.DUMMYFUNCTION("DMAX({{Data!$A$1:$J$1};filter(Data!$A$2:$J1000,Data!$A$2:$A1000=$A20 , Data!$B$2:$B1000 = $B20, Data!$C$2:$C1000 = $C20)},$P$2, $P$22:$P$23)"),"8069413.533")</f>
        <v>8069413.533</v>
      </c>
      <c r="E20" s="3" t="str">
        <f>IFERROR(__xludf.DUMMYFUNCTION("filter(Data!$A$2:$J1000,Data!$A$2:$A1000=$A20 , Data!$B$2:$B1000 = $B20, Data!$C$2:$C1000 = $C20, Data!$I$2:$I1000 =$D20)"),"1000")</f>
        <v>1000</v>
      </c>
      <c r="F20" s="3">
        <v>50.0</v>
      </c>
      <c r="G20" s="3">
        <v>4.0</v>
      </c>
      <c r="H20" s="3" t="s">
        <v>18</v>
      </c>
      <c r="I20" s="3" t="s">
        <v>16</v>
      </c>
      <c r="J20" s="3">
        <v>85.147</v>
      </c>
      <c r="K20" s="3">
        <v>276.0</v>
      </c>
      <c r="L20" s="3">
        <v>8084693.0</v>
      </c>
      <c r="M20" s="3">
        <v>8069413.532609</v>
      </c>
      <c r="N20">
        <v>4675.692701</v>
      </c>
      <c r="O20" s="9" t="str">
        <f>('Best Solution'!D20 - D20)/'Best Solution'!D20</f>
        <v>0.19%</v>
      </c>
    </row>
    <row r="21">
      <c r="A21" s="3">
        <v>1000.0</v>
      </c>
      <c r="B21" s="3">
        <v>50.0</v>
      </c>
      <c r="C21" s="3">
        <v>5.0</v>
      </c>
      <c r="D21" s="3" t="str">
        <f>IFERROR(__xludf.DUMMYFUNCTION("DMAX({{Data!$A$1:$J$1};filter(Data!$A$2:$J1000,Data!$A$2:$A1000=$A21 , Data!$B$2:$B1000 = $B21, Data!$C$2:$C1000 = $C21)},$P$2, $P$22:$P$23)"),"8065799.524")</f>
        <v>8065799.524</v>
      </c>
      <c r="E21" s="3" t="str">
        <f>IFERROR(__xludf.DUMMYFUNCTION("filter(Data!$A$2:$J1000,Data!$A$2:$A1000=$A21 , Data!$B$2:$B1000 = $B21, Data!$C$2:$C1000 = $C21, Data!$I$2:$I1000 =$D21)"),"1000")</f>
        <v>1000</v>
      </c>
      <c r="F21" s="3">
        <v>50.0</v>
      </c>
      <c r="G21" s="3">
        <v>5.0</v>
      </c>
      <c r="H21" s="3" t="s">
        <v>14</v>
      </c>
      <c r="I21" s="3" t="s">
        <v>16</v>
      </c>
      <c r="J21" s="3">
        <v>85.029</v>
      </c>
      <c r="K21" s="3">
        <v>82.0</v>
      </c>
      <c r="L21" s="3">
        <v>8074835.0</v>
      </c>
      <c r="M21" s="3">
        <v>8065799.52439</v>
      </c>
      <c r="N21">
        <v>4822.504018</v>
      </c>
      <c r="O21" s="9" t="str">
        <f>('Best Solution'!D21 - D21)/'Best Solution'!D21</f>
        <v>0.15%</v>
      </c>
    </row>
    <row r="22">
      <c r="A22" s="4">
        <v>1000.0</v>
      </c>
      <c r="B22" s="4">
        <v>100.0</v>
      </c>
      <c r="C22" s="4">
        <v>1.0</v>
      </c>
      <c r="D22" s="4" t="str">
        <f>IFERROR(__xludf.DUMMYFUNCTION("DMAX({{Data!$A$1:$J$1};filter(Data!$A$2:$J1000,Data!$A$2:$A1000=$A22 , Data!$B$2:$B1000 = $B22, Data!$C$2:$C1000 = $C22)},$P$2, $P$22:$P$23)"),"25760862.25")</f>
        <v>25760862.25</v>
      </c>
      <c r="E22" s="4" t="str">
        <f>IFERROR(__xludf.DUMMYFUNCTION("filter(Data!$A$2:$J1000,Data!$A$2:$A1000=$A22 , Data!$B$2:$B1000 = $B22, Data!$C$2:$C1000 = $C22, Data!$I$2:$I1000 =$D22)"),"1000")</f>
        <v>1000</v>
      </c>
      <c r="F22" s="4">
        <v>100.0</v>
      </c>
      <c r="G22" s="4">
        <v>1.0</v>
      </c>
      <c r="H22" s="4" t="s">
        <v>14</v>
      </c>
      <c r="I22" s="4" t="s">
        <v>16</v>
      </c>
      <c r="J22" s="4">
        <v>87.01</v>
      </c>
      <c r="K22" s="4">
        <v>24.0</v>
      </c>
      <c r="L22" s="4">
        <v>2.5768638E7</v>
      </c>
      <c r="M22" s="4">
        <v>2.576086225E7</v>
      </c>
      <c r="N22" s="5">
        <v>4361.534822</v>
      </c>
      <c r="O22" s="8" t="str">
        <f>('Best Solution'!D22 - D22)/'Best Solution'!D22</f>
        <v>0.04%</v>
      </c>
    </row>
    <row r="23">
      <c r="A23" s="4">
        <v>1000.0</v>
      </c>
      <c r="B23" s="4">
        <v>100.0</v>
      </c>
      <c r="C23" s="4">
        <v>2.0</v>
      </c>
      <c r="D23" s="4" t="str">
        <f>IFERROR(__xludf.DUMMYFUNCTION("DMAX({{Data!$A$1:$J$1};filter(Data!$A$2:$J1000,Data!$A$2:$A1000=$A23 , Data!$B$2:$B1000 = $B23, Data!$C$2:$C1000 = $C23)},$P$2, $P$22:$P$23)"),"25762421.46")</f>
        <v>25762421.46</v>
      </c>
      <c r="E23" s="4" t="str">
        <f>IFERROR(__xludf.DUMMYFUNCTION("filter(Data!$A$2:$J1000,Data!$A$2:$A1000=$A23 , Data!$B$2:$B1000 = $B23, Data!$C$2:$C1000 = $C23, Data!$I$2:$I1000 =$D23)"),"1000")</f>
        <v>1000</v>
      </c>
      <c r="F23" s="4">
        <v>100.0</v>
      </c>
      <c r="G23" s="4">
        <v>2.0</v>
      </c>
      <c r="H23" s="4" t="s">
        <v>14</v>
      </c>
      <c r="I23" s="4" t="s">
        <v>16</v>
      </c>
      <c r="J23" s="4">
        <v>88.414</v>
      </c>
      <c r="K23" s="4">
        <v>24.0</v>
      </c>
      <c r="L23" s="4">
        <v>2.5772933E7</v>
      </c>
      <c r="M23" s="4">
        <v>2.5762421458333E7</v>
      </c>
      <c r="N23" s="5">
        <v>4248.108785</v>
      </c>
      <c r="O23" s="8" t="str">
        <f>('Best Solution'!D23 - D23)/'Best Solution'!D23</f>
        <v>0.04%</v>
      </c>
    </row>
    <row r="24">
      <c r="A24" s="4">
        <v>1000.0</v>
      </c>
      <c r="B24" s="4">
        <v>100.0</v>
      </c>
      <c r="C24" s="4">
        <v>3.0</v>
      </c>
      <c r="D24" s="4" t="str">
        <f>IFERROR(__xludf.DUMMYFUNCTION("DMAX({{Data!$A$1:$J$1};filter(Data!$A$2:$J1000,Data!$A$2:$A1000=$A24 , Data!$B$2:$B1000 = $B24, Data!$C$2:$C1000 = $C24)},$P$2, $P$22:$P$23)"),"25795078.88")</f>
        <v>25795078.88</v>
      </c>
      <c r="E24" s="4" t="str">
        <f>IFERROR(__xludf.DUMMYFUNCTION("filter(Data!$A$2:$J1000,Data!$A$2:$A1000=$A24 , Data!$B$2:$B1000 = $B24, Data!$C$2:$C1000 = $C24, Data!$I$2:$I1000 =$D24)"),"1000")</f>
        <v>1000</v>
      </c>
      <c r="F24" s="4">
        <v>100.0</v>
      </c>
      <c r="G24" s="4">
        <v>3.0</v>
      </c>
      <c r="H24" s="4" t="s">
        <v>18</v>
      </c>
      <c r="I24" s="4" t="s">
        <v>16</v>
      </c>
      <c r="J24" s="4">
        <v>85.191</v>
      </c>
      <c r="K24" s="4">
        <v>224.0</v>
      </c>
      <c r="L24" s="4">
        <v>2.5808006E7</v>
      </c>
      <c r="M24" s="4">
        <v>2.5795078879464E7</v>
      </c>
      <c r="N24" s="5">
        <v>5017.94587</v>
      </c>
      <c r="O24" s="8" t="str">
        <f>('Best Solution'!D24 - D24)/'Best Solution'!D24</f>
        <v>0.05%</v>
      </c>
    </row>
    <row r="25">
      <c r="A25" s="4">
        <v>1000.0</v>
      </c>
      <c r="B25" s="4">
        <v>100.0</v>
      </c>
      <c r="C25" s="4">
        <v>4.0</v>
      </c>
      <c r="D25" s="4" t="str">
        <f>IFERROR(__xludf.DUMMYFUNCTION("DMAX({{Data!$A$1:$J$1};filter(Data!$A$2:$J1000,Data!$A$2:$A1000=$A25 , Data!$B$2:$B1000 = $B25, Data!$C$2:$C1000 = $C25)},$P$2, $P$22:$P$23)"),"25809034.11")</f>
        <v>25809034.11</v>
      </c>
      <c r="E25" s="4" t="str">
        <f>IFERROR(__xludf.DUMMYFUNCTION("filter(Data!$A$2:$J1000,Data!$A$2:$A1000=$A25 , Data!$B$2:$B1000 = $B25, Data!$C$2:$C1000 = $C25, Data!$I$2:$I1000 =$D25)"),"1000")</f>
        <v>1000</v>
      </c>
      <c r="F25" s="4">
        <v>100.0</v>
      </c>
      <c r="G25" s="4">
        <v>4.0</v>
      </c>
      <c r="H25" s="4" t="s">
        <v>14</v>
      </c>
      <c r="I25" s="4" t="s">
        <v>15</v>
      </c>
      <c r="J25" s="4">
        <v>88.893</v>
      </c>
      <c r="K25" s="4">
        <v>9.0</v>
      </c>
      <c r="L25" s="4">
        <v>2.5819158E7</v>
      </c>
      <c r="M25" s="4">
        <v>2.5809034111111E7</v>
      </c>
      <c r="N25" s="5">
        <v>5423.539573</v>
      </c>
      <c r="O25" s="8" t="str">
        <f>('Best Solution'!D25 - D25)/'Best Solution'!D25</f>
        <v>0.05%</v>
      </c>
    </row>
    <row r="26">
      <c r="A26" s="4">
        <v>1000.0</v>
      </c>
      <c r="B26" s="4">
        <v>100.0</v>
      </c>
      <c r="C26" s="4">
        <v>5.0</v>
      </c>
      <c r="D26" s="4" t="str">
        <f>IFERROR(__xludf.DUMMYFUNCTION("DMAX({{Data!$A$1:$J$1};filter(Data!$A$2:$J1000,Data!$A$2:$A1000=$A26 , Data!$B$2:$B1000 = $B26, Data!$C$2:$C1000 = $C26)},$P$2, $P$22:$P$23)"),"25765722.26")</f>
        <v>25765722.26</v>
      </c>
      <c r="E26" s="4" t="str">
        <f>IFERROR(__xludf.DUMMYFUNCTION("filter(Data!$A$2:$J1000,Data!$A$2:$A1000=$A26 , Data!$B$2:$B1000 = $B26, Data!$C$2:$C1000 = $C26, Data!$I$2:$I1000 =$D26)"),"1000")</f>
        <v>1000</v>
      </c>
      <c r="F26" s="4">
        <v>100.0</v>
      </c>
      <c r="G26" s="4">
        <v>5.0</v>
      </c>
      <c r="H26" s="4" t="s">
        <v>14</v>
      </c>
      <c r="I26" s="4" t="s">
        <v>16</v>
      </c>
      <c r="J26" s="4">
        <v>85.305</v>
      </c>
      <c r="K26" s="4">
        <v>23.0</v>
      </c>
      <c r="L26" s="4">
        <v>2.5774796E7</v>
      </c>
      <c r="M26" s="4">
        <v>2.576572226087E7</v>
      </c>
      <c r="N26" s="5">
        <v>4513.996885</v>
      </c>
      <c r="O26" s="8" t="str">
        <f>('Best Solution'!D26 - D26)/'Best Solution'!D26</f>
        <v>0.04%</v>
      </c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>
      <c r="A32" s="3"/>
      <c r="B32" s="3"/>
      <c r="C32" s="3"/>
      <c r="D32" s="3"/>
      <c r="E32" s="7"/>
      <c r="F32" s="3"/>
      <c r="G32" s="3"/>
      <c r="H32" s="3"/>
      <c r="I32" s="3"/>
      <c r="J32" s="3"/>
      <c r="K32" s="3"/>
      <c r="L32" s="3"/>
      <c r="M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</cols>
  <sheetData>
    <row r="1">
      <c r="C1" s="10" t="s">
        <v>20</v>
      </c>
      <c r="D1" s="11" t="str">
        <f>IFERROR(__xludf.DUMMYFUNCTION("TRANSPOSE(UNIQUE(Data!D2:E999))"),"bs_array")</f>
        <v>bs_array</v>
      </c>
      <c r="E1" s="11" t="s">
        <v>14</v>
      </c>
      <c r="F1" s="11" t="s">
        <v>17</v>
      </c>
      <c r="G1" s="11" t="s">
        <v>17</v>
      </c>
      <c r="H1" s="11" t="s">
        <v>18</v>
      </c>
      <c r="I1" s="12"/>
      <c r="J1" s="12"/>
      <c r="K1" s="13" t="s">
        <v>30</v>
      </c>
      <c r="L1" s="12"/>
      <c r="M1" s="12"/>
      <c r="N1" s="12"/>
      <c r="O1" s="12"/>
      <c r="P1" s="12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C2" s="10" t="s">
        <v>21</v>
      </c>
      <c r="D2" s="11" t="s">
        <v>15</v>
      </c>
      <c r="E2" s="11" t="s">
        <v>16</v>
      </c>
      <c r="F2" s="11" t="s">
        <v>15</v>
      </c>
      <c r="G2" s="11" t="s">
        <v>16</v>
      </c>
      <c r="H2" s="11" t="s">
        <v>16</v>
      </c>
      <c r="I2" s="12"/>
      <c r="J2" s="12"/>
      <c r="K2" s="13" t="s">
        <v>6</v>
      </c>
      <c r="L2" s="12"/>
      <c r="M2" s="12"/>
      <c r="N2" s="12"/>
      <c r="O2" s="12"/>
      <c r="P2" s="12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0" t="s">
        <v>0</v>
      </c>
      <c r="B3" s="10" t="s">
        <v>1</v>
      </c>
      <c r="C3" s="10" t="s">
        <v>2</v>
      </c>
      <c r="D3" s="15"/>
      <c r="E3" s="15"/>
      <c r="F3" s="15"/>
      <c r="G3" s="15"/>
      <c r="H3" s="15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6" t="str">
        <f>IFERROR(__xludf.DUMMYFUNCTION("UNIQUE(Data!A2:C999)"),"1000")</f>
        <v>1000</v>
      </c>
      <c r="B4" s="16">
        <v>1.0</v>
      </c>
      <c r="C4" s="16">
        <v>1.0</v>
      </c>
      <c r="D4" s="17" t="str">
        <f>IFERROR(__xludf.DUMMYFUNCTION("DMAX({{Data!$A$1:$M$1};filter(Data!$A$2:$M999,Data!$A$2:$A999=$A4 , Data!$B$2:$B999 = $B4,Data!$C$2:$C999 = $C4, Data!$D$2:$D999 = D$1, Data!$E$2:$E999 = D$2 )},$K$2  , $Q$22:$Q$23)"),"703")</f>
        <v>703</v>
      </c>
      <c r="E4" s="17" t="str">
        <f>IFERROR(__xludf.DUMMYFUNCTION("DMAX({{Data!$A$1:$M$1};filter(Data!$A$2:$M999,Data!$A$2:$A999=$A4 , Data!$B$2:$B999 = $B4,Data!$C$2:$C999 = $C4, Data!$D$2:$D999 = E$1, Data!$E$2:$E999 = E$2 )},$K$2  , $Q$22:$Q$23)"),"22653")</f>
        <v>22653</v>
      </c>
      <c r="F4" s="17" t="str">
        <f>IFERROR(__xludf.DUMMYFUNCTION("DMAX({{Data!$A$1:$M$1};filter(Data!$A$2:$M999,Data!$A$2:$A999=$A4 , Data!$B$2:$B999 = $B4,Data!$C$2:$C999 = $C4, Data!$D$2:$D999 = F$1, Data!$E$2:$E999 = F$2 )},$K$2  , $Q$22:$Q$23)"),"3992")</f>
        <v>3992</v>
      </c>
      <c r="G4" s="17" t="str">
        <f>IFERROR(__xludf.DUMMYFUNCTION("DMAX({{Data!$A$1:$M$1};filter(Data!$A$2:$M999,Data!$A$2:$A999=$A4 , Data!$B$2:$B999 = $B4,Data!$C$2:$C999 = $C4, Data!$D$2:$D999 = G$1, Data!$E$2:$E999 = G$2 )},$K$2  , $Q$22:$Q$23)"),"7463")</f>
        <v>7463</v>
      </c>
      <c r="H4" s="17" t="str">
        <f>IFERROR(__xludf.DUMMYFUNCTION("DMAX({{Data!$A$1:$M$1};filter(Data!$A$2:$M999,Data!$A$2:$A999=$A4 , Data!$B$2:$B999 = $B4,Data!$C$2:$C999 = $C4, Data!$D$2:$D999 = H$1, Data!$E$2:$E999 = H$2 )},$K$2  , $Q$22:$Q$23)"),"939")</f>
        <v>939</v>
      </c>
      <c r="I4" s="18"/>
      <c r="J4" s="18"/>
      <c r="K4" s="18"/>
      <c r="L4" s="18"/>
      <c r="M4" s="18"/>
      <c r="N4" s="18"/>
      <c r="O4" s="18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6">
        <v>1000.0</v>
      </c>
      <c r="B5" s="16">
        <v>1.0</v>
      </c>
      <c r="C5" s="16">
        <v>2.0</v>
      </c>
      <c r="D5" s="17" t="str">
        <f>IFERROR(__xludf.DUMMYFUNCTION("DMAX({{Data!$A$1:$M$1};filter(Data!$A$2:$M999,Data!$A$2:$A999=$A5 , Data!$B$2:$B999 = $B5,Data!$C$2:$C999 = $C5, Data!$D$2:$D999 = D$1, Data!$E$2:$E999 = D$2 )},$K$2  , $Q$22:$Q$23)"),"719")</f>
        <v>719</v>
      </c>
      <c r="E5" s="17" t="str">
        <f>IFERROR(__xludf.DUMMYFUNCTION("DMAX({{Data!$A$1:$M$1};filter(Data!$A$2:$M999,Data!$A$2:$A999=$A5 , Data!$B$2:$B999 = $B5,Data!$C$2:$C999 = $C5, Data!$D$2:$D999 = E$1, Data!$E$2:$E999 = E$2 )},$K$2  , $Q$22:$Q$23)"),"22908")</f>
        <v>22908</v>
      </c>
      <c r="F5" s="17" t="str">
        <f>IFERROR(__xludf.DUMMYFUNCTION("DMAX({{Data!$A$1:$M$1};filter(Data!$A$2:$M999,Data!$A$2:$A999=$A5 , Data!$B$2:$B999 = $B5,Data!$C$2:$C999 = $C5, Data!$D$2:$D999 = F$1, Data!$E$2:$E999 = F$2 )},$K$2  , $Q$22:$Q$23)"),"4084")</f>
        <v>4084</v>
      </c>
      <c r="G5" s="17" t="str">
        <f>IFERROR(__xludf.DUMMYFUNCTION("DMAX({{Data!$A$1:$M$1};filter(Data!$A$2:$M999,Data!$A$2:$A999=$A5 , Data!$B$2:$B999 = $B5,Data!$C$2:$C999 = $C5, Data!$D$2:$D999 = G$1, Data!$E$2:$E999 = G$2 )},$K$2  , $Q$22:$Q$23)"),"7877")</f>
        <v>7877</v>
      </c>
      <c r="H5" s="17" t="str">
        <f>IFERROR(__xludf.DUMMYFUNCTION("DMAX({{Data!$A$1:$M$1};filter(Data!$A$2:$M999,Data!$A$2:$A999=$A5 , Data!$B$2:$B999 = $B5,Data!$C$2:$C999 = $C5, Data!$D$2:$D999 = H$1, Data!$E$2:$E999 = H$2 )},$K$2  , $Q$22:$Q$23)"),"932")</f>
        <v>932</v>
      </c>
      <c r="I5" s="18"/>
      <c r="J5" s="18"/>
      <c r="K5" s="18"/>
      <c r="L5" s="18"/>
      <c r="M5" s="18"/>
      <c r="N5" s="18"/>
      <c r="O5" s="18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6">
        <v>1000.0</v>
      </c>
      <c r="B6" s="16">
        <v>1.0</v>
      </c>
      <c r="C6" s="16">
        <v>3.0</v>
      </c>
      <c r="D6" s="17" t="str">
        <f>IFERROR(__xludf.DUMMYFUNCTION("DMAX({{Data!$A$1:$M$1};filter(Data!$A$2:$M999,Data!$A$2:$A999=$A6 , Data!$B$2:$B999 = $B6,Data!$C$2:$C999 = $C6, Data!$D$2:$D999 = D$1, Data!$E$2:$E999 = D$2 )},$K$2  , $Q$22:$Q$23)"),"736")</f>
        <v>736</v>
      </c>
      <c r="E6" s="17" t="str">
        <f>IFERROR(__xludf.DUMMYFUNCTION("DMAX({{Data!$A$1:$M$1};filter(Data!$A$2:$M999,Data!$A$2:$A999=$A6 , Data!$B$2:$B999 = $B6,Data!$C$2:$C999 = $C6, Data!$D$2:$D999 = E$1, Data!$E$2:$E999 = E$2 )},$K$2  , $Q$22:$Q$23)"),"23542")</f>
        <v>23542</v>
      </c>
      <c r="F6" s="17" t="str">
        <f>IFERROR(__xludf.DUMMYFUNCTION("DMAX({{Data!$A$1:$M$1};filter(Data!$A$2:$M999,Data!$A$2:$A999=$A6 , Data!$B$2:$B999 = $B6,Data!$C$2:$C999 = $C6, Data!$D$2:$D999 = F$1, Data!$E$2:$E999 = F$2 )},$K$2  , $Q$22:$Q$23)"),"4213")</f>
        <v>4213</v>
      </c>
      <c r="G6" s="17" t="str">
        <f>IFERROR(__xludf.DUMMYFUNCTION("DMAX({{Data!$A$1:$M$1};filter(Data!$A$2:$M999,Data!$A$2:$A999=$A6 , Data!$B$2:$B999 = $B6,Data!$C$2:$C999 = $C6, Data!$D$2:$D999 = G$1, Data!$E$2:$E999 = G$2 )},$K$2  , $Q$22:$Q$23)"),"8341")</f>
        <v>8341</v>
      </c>
      <c r="H6" s="17" t="str">
        <f>IFERROR(__xludf.DUMMYFUNCTION("DMAX({{Data!$A$1:$M$1};filter(Data!$A$2:$M999,Data!$A$2:$A999=$A6 , Data!$B$2:$B999 = $B6,Data!$C$2:$C999 = $C6, Data!$D$2:$D999 = H$1, Data!$E$2:$E999 = H$2 )},$K$2  , $Q$22:$Q$23)"),"964")</f>
        <v>964</v>
      </c>
      <c r="I6" s="18"/>
      <c r="J6" s="18"/>
      <c r="K6" s="18"/>
      <c r="L6" s="18"/>
      <c r="M6" s="18"/>
      <c r="N6" s="18"/>
      <c r="O6" s="1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6">
        <v>1000.0</v>
      </c>
      <c r="B7" s="16">
        <v>1.0</v>
      </c>
      <c r="C7" s="16">
        <v>4.0</v>
      </c>
      <c r="D7" s="17" t="str">
        <f>IFERROR(__xludf.DUMMYFUNCTION("DMAX({{Data!$A$1:$M$1};filter(Data!$A$2:$M999,Data!$A$2:$A999=$A7 , Data!$B$2:$B999 = $B7,Data!$C$2:$C999 = $C7, Data!$D$2:$D999 = D$1, Data!$E$2:$E999 = D$2 )},$K$2  , $Q$22:$Q$23)"),"717")</f>
        <v>717</v>
      </c>
      <c r="E7" s="17" t="str">
        <f>IFERROR(__xludf.DUMMYFUNCTION("DMAX({{Data!$A$1:$M$1};filter(Data!$A$2:$M999,Data!$A$2:$A999=$A7 , Data!$B$2:$B999 = $B7,Data!$C$2:$C999 = $C7, Data!$D$2:$D999 = E$1, Data!$E$2:$E999 = E$2 )},$K$2  , $Q$22:$Q$23)"),"22726")</f>
        <v>22726</v>
      </c>
      <c r="F7" s="17" t="str">
        <f>IFERROR(__xludf.DUMMYFUNCTION("DMAX({{Data!$A$1:$M$1};filter(Data!$A$2:$M999,Data!$A$2:$A999=$A7 , Data!$B$2:$B999 = $B7,Data!$C$2:$C999 = $C7, Data!$D$2:$D999 = F$1, Data!$E$2:$E999 = F$2 )},$K$2  , $Q$22:$Q$23)"),"4055")</f>
        <v>4055</v>
      </c>
      <c r="G7" s="17" t="str">
        <f>IFERROR(__xludf.DUMMYFUNCTION("DMAX({{Data!$A$1:$M$1};filter(Data!$A$2:$M999,Data!$A$2:$A999=$A7 , Data!$B$2:$B999 = $B7,Data!$C$2:$C999 = $C7, Data!$D$2:$D999 = G$1, Data!$E$2:$E999 = G$2 )},$K$2  , $Q$22:$Q$23)"),"7798")</f>
        <v>7798</v>
      </c>
      <c r="H7" s="17" t="str">
        <f>IFERROR(__xludf.DUMMYFUNCTION("DMAX({{Data!$A$1:$M$1};filter(Data!$A$2:$M999,Data!$A$2:$A999=$A7 , Data!$B$2:$B999 = $B7,Data!$C$2:$C999 = $C7, Data!$D$2:$D999 = H$1, Data!$E$2:$E999 = H$2 )},$K$2  , $Q$22:$Q$23)"),"889")</f>
        <v>889</v>
      </c>
      <c r="I7" s="18"/>
      <c r="J7" s="18"/>
      <c r="K7" s="18"/>
      <c r="L7" s="18"/>
      <c r="M7" s="18"/>
      <c r="N7" s="18"/>
      <c r="O7" s="18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9">
        <v>1000.0</v>
      </c>
      <c r="B8" s="19">
        <v>1.0</v>
      </c>
      <c r="C8" s="19">
        <v>5.0</v>
      </c>
      <c r="D8" s="20" t="str">
        <f>IFERROR(__xludf.DUMMYFUNCTION("DMAX({{Data!$A$1:$M$1};filter(Data!$A$2:$M999,Data!$A$2:$A999=$A8 , Data!$B$2:$B999 = $B8,Data!$C$2:$C999 = $C8, Data!$D$2:$D999 = D$1, Data!$E$2:$E999 = D$2 )},$K$2  , $Q$22:$Q$23)"),"719")</f>
        <v>719</v>
      </c>
      <c r="E8" s="20" t="str">
        <f>IFERROR(__xludf.DUMMYFUNCTION("DMAX({{Data!$A$1:$M$1};filter(Data!$A$2:$M999,Data!$A$2:$A999=$A8 , Data!$B$2:$B999 = $B8,Data!$C$2:$C999 = $C8, Data!$D$2:$D999 = E$1, Data!$E$2:$E999 = E$2 )},$K$2  , $Q$22:$Q$23)"),"22523")</f>
        <v>22523</v>
      </c>
      <c r="F8" s="20" t="str">
        <f>IFERROR(__xludf.DUMMYFUNCTION("DMAX({{Data!$A$1:$M$1};filter(Data!$A$2:$M999,Data!$A$2:$A999=$A8 , Data!$B$2:$B999 = $B8,Data!$C$2:$C999 = $C8, Data!$D$2:$D999 = F$1, Data!$E$2:$E999 = F$2 )},$K$2  , $Q$22:$Q$23)"),"4010")</f>
        <v>4010</v>
      </c>
      <c r="G8" s="20" t="str">
        <f>IFERROR(__xludf.DUMMYFUNCTION("DMAX({{Data!$A$1:$M$1};filter(Data!$A$2:$M999,Data!$A$2:$A999=$A8 , Data!$B$2:$B999 = $B8,Data!$C$2:$C999 = $C8, Data!$D$2:$D999 = G$1, Data!$E$2:$E999 = G$2 )},$K$2  , $Q$22:$Q$23)"),"7490")</f>
        <v>7490</v>
      </c>
      <c r="H8" s="20" t="str">
        <f>IFERROR(__xludf.DUMMYFUNCTION("DMAX({{Data!$A$1:$M$1};filter(Data!$A$2:$M999,Data!$A$2:$A999=$A8 , Data!$B$2:$B999 = $B8,Data!$C$2:$C999 = $C8, Data!$D$2:$D999 = H$1, Data!$E$2:$E999 = H$2 )},$K$2  , $Q$22:$Q$23)"),"930")</f>
        <v>930</v>
      </c>
      <c r="I8" s="18"/>
      <c r="J8" s="18"/>
      <c r="K8" s="18"/>
      <c r="L8" s="18"/>
      <c r="M8" s="18"/>
      <c r="N8" s="18"/>
      <c r="O8" s="18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6">
        <v>1000.0</v>
      </c>
      <c r="B9" s="16">
        <v>5.0</v>
      </c>
      <c r="C9" s="16">
        <v>1.0</v>
      </c>
      <c r="D9" s="21" t="str">
        <f>IFERROR(__xludf.DUMMYFUNCTION("DMAX({{Data!$A$1:$M$1};filter(Data!$A$2:$M999,Data!$A$2:$A999=$A9 , Data!$B$2:$B999 = $B9,Data!$C$2:$C999 = $C9, Data!$D$2:$D999 = D$1, Data!$E$2:$E999 = D$2 )},$K$2  , $Q$22:$Q$23)"),"223")</f>
        <v>223</v>
      </c>
      <c r="E9" s="21" t="str">
        <f>IFERROR(__xludf.DUMMYFUNCTION("DMAX({{Data!$A$1:$M$1};filter(Data!$A$2:$M999,Data!$A$2:$A999=$A9 , Data!$B$2:$B999 = $B9,Data!$C$2:$C999 = $C9, Data!$D$2:$D999 = E$1, Data!$E$2:$E999 = E$2 )},$K$2  , $Q$22:$Q$23)"),"3763")</f>
        <v>3763</v>
      </c>
      <c r="F9" s="21" t="str">
        <f>IFERROR(__xludf.DUMMYFUNCTION("DMAX({{Data!$A$1:$M$1};filter(Data!$A$2:$M999,Data!$A$2:$A999=$A9 , Data!$B$2:$B999 = $B9,Data!$C$2:$C999 = $C9, Data!$D$2:$D999 = F$1, Data!$E$2:$E999 = F$2 )},$K$2  , $Q$22:$Q$23)"),"777")</f>
        <v>777</v>
      </c>
      <c r="G9" s="21" t="str">
        <f>IFERROR(__xludf.DUMMYFUNCTION("DMAX({{Data!$A$1:$M$1};filter(Data!$A$2:$M999,Data!$A$2:$A999=$A9 , Data!$B$2:$B999 = $B9,Data!$C$2:$C999 = $C9, Data!$D$2:$D999 = G$1, Data!$E$2:$E999 = G$2 )},$K$2  , $Q$22:$Q$23)"),"684")</f>
        <v>684</v>
      </c>
      <c r="H9" s="21" t="str">
        <f>IFERROR(__xludf.DUMMYFUNCTION("DMAX({{Data!$A$1:$M$1};filter(Data!$A$2:$M999,Data!$A$2:$A999=$A9 , Data!$B$2:$B999 = $B9,Data!$C$2:$C999 = $C9, Data!$D$2:$D999 = H$1, Data!$E$2:$E999 = H$2 )},$K$2  , $Q$22:$Q$23)"),"566")</f>
        <v>566</v>
      </c>
      <c r="I9" s="18"/>
      <c r="J9" s="18"/>
      <c r="K9" s="18"/>
      <c r="L9" s="18"/>
      <c r="M9" s="18"/>
      <c r="N9" s="18"/>
      <c r="O9" s="18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22">
        <v>1000.0</v>
      </c>
      <c r="B10" s="22">
        <v>5.0</v>
      </c>
      <c r="C10" s="22">
        <v>2.0</v>
      </c>
      <c r="D10" s="23" t="str">
        <f>IFERROR(__xludf.DUMMYFUNCTION("DMAX({{Data!$A$1:$M$1};filter(Data!$A$2:$M999,Data!$A$2:$A999=$A10 , Data!$B$2:$B999 = $B10,Data!$C$2:$C999 = $C10, Data!$D$2:$D999 = D$1, Data!$E$2:$E999 = D$2 )},$K$2  , $Q$22:$Q$23)"),"222")</f>
        <v>222</v>
      </c>
      <c r="E10" s="23" t="str">
        <f>IFERROR(__xludf.DUMMYFUNCTION("DMAX({{Data!$A$1:$M$1};filter(Data!$A$2:$M999,Data!$A$2:$A999=$A10 , Data!$B$2:$B999 = $B10,Data!$C$2:$C999 = $C10, Data!$D$2:$D999 = E$1, Data!$E$2:$E999 = E$2 )},$K$2  , $Q$22:$Q$23)"),"3722")</f>
        <v>3722</v>
      </c>
      <c r="F10" s="23" t="str">
        <f>IFERROR(__xludf.DUMMYFUNCTION("DMAX({{Data!$A$1:$M$1};filter(Data!$A$2:$M999,Data!$A$2:$A999=$A10 , Data!$B$2:$B999 = $B10,Data!$C$2:$C999 = $C10, Data!$D$2:$D999 = F$1, Data!$E$2:$E999 = F$2 )},$K$2  , $Q$22:$Q$23)"),"769")</f>
        <v>769</v>
      </c>
      <c r="G10" s="23" t="str">
        <f>IFERROR(__xludf.DUMMYFUNCTION("DMAX({{Data!$A$1:$M$1};filter(Data!$A$2:$M999,Data!$A$2:$A999=$A10 , Data!$B$2:$B999 = $B10,Data!$C$2:$C999 = $C10, Data!$D$2:$D999 = G$1, Data!$E$2:$E999 = G$2 )},$K$2  , $Q$22:$Q$23)"),"676")</f>
        <v>676</v>
      </c>
      <c r="H10" s="23" t="str">
        <f>IFERROR(__xludf.DUMMYFUNCTION("DMAX({{Data!$A$1:$M$1};filter(Data!$A$2:$M999,Data!$A$2:$A999=$A10 , Data!$B$2:$B999 = $B10,Data!$C$2:$C999 = $C10, Data!$D$2:$D999 = H$1, Data!$E$2:$E999 = H$2 )},$K$2  , $Q$22:$Q$23)"),"579")</f>
        <v>579</v>
      </c>
      <c r="I10" s="18"/>
      <c r="J10" s="18"/>
      <c r="K10" s="18"/>
      <c r="L10" s="18"/>
      <c r="M10" s="18"/>
      <c r="N10" s="18"/>
      <c r="O10" s="18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6">
        <v>1000.0</v>
      </c>
      <c r="B11" s="16">
        <v>5.0</v>
      </c>
      <c r="C11" s="16">
        <v>3.0</v>
      </c>
      <c r="D11" s="24" t="str">
        <f>IFERROR(__xludf.DUMMYFUNCTION("DMAX({{Data!$A$1:$M$1};filter(Data!$A$2:$M999,Data!$A$2:$A999=$A11 , Data!$B$2:$B999 = $B11,Data!$C$2:$C999 = $C11, Data!$D$2:$D999 = D$1, Data!$E$2:$E999 = D$2 )},$K$2  , $Q$22:$Q$23)"),"224")</f>
        <v>224</v>
      </c>
      <c r="E11" s="24" t="str">
        <f>IFERROR(__xludf.DUMMYFUNCTION("DMAX({{Data!$A$1:$M$1};filter(Data!$A$2:$M999,Data!$A$2:$A999=$A11 , Data!$B$2:$B999 = $B11,Data!$C$2:$C999 = $C11, Data!$D$2:$D999 = E$1, Data!$E$2:$E999 = E$2 )},$K$2  , $Q$22:$Q$23)"),"3748")</f>
        <v>3748</v>
      </c>
      <c r="F11" s="24" t="str">
        <f>IFERROR(__xludf.DUMMYFUNCTION("DMAX({{Data!$A$1:$M$1};filter(Data!$A$2:$M999,Data!$A$2:$A999=$A11 , Data!$B$2:$B999 = $B11,Data!$C$2:$C999 = $C11, Data!$D$2:$D999 = F$1, Data!$E$2:$E999 = F$2 )},$K$2  , $Q$22:$Q$23)"),"770")</f>
        <v>770</v>
      </c>
      <c r="G11" s="24" t="str">
        <f>IFERROR(__xludf.DUMMYFUNCTION("DMAX({{Data!$A$1:$M$1};filter(Data!$A$2:$M999,Data!$A$2:$A999=$A11 , Data!$B$2:$B999 = $B11,Data!$C$2:$C999 = $C11, Data!$D$2:$D999 = G$1, Data!$E$2:$E999 = G$2 )},$K$2  , $Q$22:$Q$23)"),"680")</f>
        <v>680</v>
      </c>
      <c r="H11" s="24" t="str">
        <f>IFERROR(__xludf.DUMMYFUNCTION("DMAX({{Data!$A$1:$M$1};filter(Data!$A$2:$M999,Data!$A$2:$A999=$A11 , Data!$B$2:$B999 = $B11,Data!$C$2:$C999 = $C11, Data!$D$2:$D999 = H$1, Data!$E$2:$E999 = H$2 )},$K$2  , $Q$22:$Q$23)"),"616")</f>
        <v>616</v>
      </c>
      <c r="I11" s="18"/>
      <c r="J11" s="18"/>
      <c r="K11" s="18"/>
      <c r="L11" s="18"/>
      <c r="M11" s="18"/>
      <c r="N11" s="18"/>
      <c r="O11" s="18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6">
        <v>1000.0</v>
      </c>
      <c r="B12" s="16">
        <v>5.0</v>
      </c>
      <c r="C12" s="16">
        <v>4.0</v>
      </c>
      <c r="D12" s="24" t="str">
        <f>IFERROR(__xludf.DUMMYFUNCTION("DMAX({{Data!$A$1:$M$1};filter(Data!$A$2:$M999,Data!$A$2:$A999=$A12 , Data!$B$2:$B999 = $B12,Data!$C$2:$C999 = $C12, Data!$D$2:$D999 = D$1, Data!$E$2:$E999 = D$2 )},$K$2  , $Q$22:$Q$23)"),"224")</f>
        <v>224</v>
      </c>
      <c r="E12" s="24" t="str">
        <f>IFERROR(__xludf.DUMMYFUNCTION("DMAX({{Data!$A$1:$M$1};filter(Data!$A$2:$M999,Data!$A$2:$A999=$A12 , Data!$B$2:$B999 = $B12,Data!$C$2:$C999 = $C12, Data!$D$2:$D999 = E$1, Data!$E$2:$E999 = E$2 )},$K$2  , $Q$22:$Q$23)"),"3768")</f>
        <v>3768</v>
      </c>
      <c r="F12" s="24" t="str">
        <f>IFERROR(__xludf.DUMMYFUNCTION("DMAX({{Data!$A$1:$M$1};filter(Data!$A$2:$M999,Data!$A$2:$A999=$A12 , Data!$B$2:$B999 = $B12,Data!$C$2:$C999 = $C12, Data!$D$2:$D999 = F$1, Data!$E$2:$E999 = F$2 )},$K$2  , $Q$22:$Q$23)"),"780")</f>
        <v>780</v>
      </c>
      <c r="G12" s="24" t="str">
        <f>IFERROR(__xludf.DUMMYFUNCTION("DMAX({{Data!$A$1:$M$1};filter(Data!$A$2:$M999,Data!$A$2:$A999=$A12 , Data!$B$2:$B999 = $B12,Data!$C$2:$C999 = $C12, Data!$D$2:$D999 = G$1, Data!$E$2:$E999 = G$2 )},$K$2  , $Q$22:$Q$23)"),"686")</f>
        <v>686</v>
      </c>
      <c r="H12" s="24" t="str">
        <f>IFERROR(__xludf.DUMMYFUNCTION("DMAX({{Data!$A$1:$M$1};filter(Data!$A$2:$M999,Data!$A$2:$A999=$A12 , Data!$B$2:$B999 = $B12,Data!$C$2:$C999 = $C12, Data!$D$2:$D999 = H$1, Data!$E$2:$E999 = H$2 )},$K$2  , $Q$22:$Q$23)"),"591")</f>
        <v>591</v>
      </c>
      <c r="I12" s="18"/>
      <c r="J12" s="18"/>
      <c r="K12" s="18"/>
      <c r="L12" s="18"/>
      <c r="M12" s="18"/>
      <c r="N12" s="18"/>
      <c r="O12" s="18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6">
        <v>1000.0</v>
      </c>
      <c r="B13" s="16">
        <v>5.0</v>
      </c>
      <c r="C13" s="16">
        <v>5.0</v>
      </c>
      <c r="D13" s="24" t="str">
        <f>IFERROR(__xludf.DUMMYFUNCTION("DMAX({{Data!$A$1:$M$1};filter(Data!$A$2:$M999,Data!$A$2:$A999=$A13 , Data!$B$2:$B999 = $B13,Data!$C$2:$C999 = $C13, Data!$D$2:$D999 = D$1, Data!$E$2:$E999 = D$2 )},$K$2  , $Q$22:$Q$23)"),"224")</f>
        <v>224</v>
      </c>
      <c r="E13" s="24" t="str">
        <f>IFERROR(__xludf.DUMMYFUNCTION("DMAX({{Data!$A$1:$M$1};filter(Data!$A$2:$M999,Data!$A$2:$A999=$A13 , Data!$B$2:$B999 = $B13,Data!$C$2:$C999 = $C13, Data!$D$2:$D999 = E$1, Data!$E$2:$E999 = E$2 )},$K$2  , $Q$22:$Q$23)"),"3757")</f>
        <v>3757</v>
      </c>
      <c r="F13" s="24" t="str">
        <f>IFERROR(__xludf.DUMMYFUNCTION("DMAX({{Data!$A$1:$M$1};filter(Data!$A$2:$M999,Data!$A$2:$A999=$A13 , Data!$B$2:$B999 = $B13,Data!$C$2:$C999 = $C13, Data!$D$2:$D999 = F$1, Data!$E$2:$E999 = F$2 )},$K$2  , $Q$22:$Q$23)"),"756")</f>
        <v>756</v>
      </c>
      <c r="G13" s="24" t="str">
        <f>IFERROR(__xludf.DUMMYFUNCTION("DMAX({{Data!$A$1:$M$1};filter(Data!$A$2:$M999,Data!$A$2:$A999=$A13 , Data!$B$2:$B999 = $B13,Data!$C$2:$C999 = $C13, Data!$D$2:$D999 = G$1, Data!$E$2:$E999 = G$2 )},$K$2  , $Q$22:$Q$23)"),"673")</f>
        <v>673</v>
      </c>
      <c r="H13" s="24" t="str">
        <f>IFERROR(__xludf.DUMMYFUNCTION("DMAX({{Data!$A$1:$M$1};filter(Data!$A$2:$M999,Data!$A$2:$A999=$A13 , Data!$B$2:$B999 = $B13,Data!$C$2:$C999 = $C13, Data!$D$2:$D999 = H$1, Data!$E$2:$E999 = H$2 )},$K$2  , $Q$22:$Q$23)"),"570")</f>
        <v>570</v>
      </c>
      <c r="I13" s="18"/>
      <c r="J13" s="18"/>
      <c r="K13" s="18"/>
      <c r="L13" s="18"/>
      <c r="M13" s="18"/>
      <c r="N13" s="18"/>
      <c r="O13" s="18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6">
        <v>1000.0</v>
      </c>
      <c r="B14" s="16">
        <v>10.0</v>
      </c>
      <c r="C14" s="16">
        <v>1.0</v>
      </c>
      <c r="D14" s="25" t="str">
        <f>IFERROR(__xludf.DUMMYFUNCTION("DMAX({{Data!$A$1:$M$1};filter(Data!$A$2:$M999,Data!$A$2:$A999=$A14 , Data!$B$2:$B999 = $B14,Data!$C$2:$C999 = $C14, Data!$D$2:$D999 = D$1, Data!$E$2:$E999 = D$2 )},$K$2  , $Q$22:$Q$23)"),"126")</f>
        <v>126</v>
      </c>
      <c r="E14" s="25" t="str">
        <f>IFERROR(__xludf.DUMMYFUNCTION("DMAX({{Data!$A$1:$M$1};filter(Data!$A$2:$M999,Data!$A$2:$A999=$A14 , Data!$B$2:$B999 = $B14,Data!$C$2:$C999 = $C14, Data!$D$2:$D999 = E$1, Data!$E$2:$E999 = E$2 )},$K$2  , $Q$22:$Q$23)"),"1364")</f>
        <v>1364</v>
      </c>
      <c r="F14" s="25" t="str">
        <f>IFERROR(__xludf.DUMMYFUNCTION("DMAX({{Data!$A$1:$M$1};filter(Data!$A$2:$M999,Data!$A$2:$A999=$A14 , Data!$B$2:$B999 = $B14,Data!$C$2:$C999 = $C14, Data!$D$2:$D999 = F$1, Data!$E$2:$E999 = F$2 )},$K$2  , $Q$22:$Q$23)"),"297")</f>
        <v>297</v>
      </c>
      <c r="G14" s="25" t="str">
        <f>IFERROR(__xludf.DUMMYFUNCTION("DMAX({{Data!$A$1:$M$1};filter(Data!$A$2:$M999,Data!$A$2:$A999=$A14 , Data!$B$2:$B999 = $B14,Data!$C$2:$C999 = $C14, Data!$D$2:$D999 = G$1, Data!$E$2:$E999 = G$2 )},$K$2  , $Q$22:$Q$23)"),"217")</f>
        <v>217</v>
      </c>
      <c r="H14" s="25" t="str">
        <f>IFERROR(__xludf.DUMMYFUNCTION("DMAX({{Data!$A$1:$M$1};filter(Data!$A$2:$M999,Data!$A$2:$A999=$A14 , Data!$B$2:$B999 = $B14,Data!$C$2:$C999 = $C14, Data!$D$2:$D999 = H$1, Data!$E$2:$E999 = H$2 )},$K$2  , $Q$22:$Q$23)"),"449")</f>
        <v>449</v>
      </c>
      <c r="I14" s="18"/>
      <c r="J14" s="18"/>
      <c r="K14" s="18"/>
      <c r="L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6">
        <v>1000.0</v>
      </c>
      <c r="B15" s="16">
        <v>10.0</v>
      </c>
      <c r="C15" s="16">
        <v>2.0</v>
      </c>
      <c r="D15" s="25" t="str">
        <f>IFERROR(__xludf.DUMMYFUNCTION("DMAX({{Data!$A$1:$M$1};filter(Data!$A$2:$M999,Data!$A$2:$A999=$A15 , Data!$B$2:$B999 = $B15,Data!$C$2:$C999 = $C15, Data!$D$2:$D999 = D$1, Data!$E$2:$E999 = D$2 )},$K$2  , $Q$22:$Q$23)"),"124")</f>
        <v>124</v>
      </c>
      <c r="E15" s="25" t="str">
        <f>IFERROR(__xludf.DUMMYFUNCTION("DMAX({{Data!$A$1:$M$1};filter(Data!$A$2:$M999,Data!$A$2:$A999=$A15 , Data!$B$2:$B999 = $B15,Data!$C$2:$C999 = $C15, Data!$D$2:$D999 = E$1, Data!$E$2:$E999 = E$2 )},$K$2  , $Q$22:$Q$23)"),"1356")</f>
        <v>1356</v>
      </c>
      <c r="F15" s="25" t="str">
        <f>IFERROR(__xludf.DUMMYFUNCTION("DMAX({{Data!$A$1:$M$1};filter(Data!$A$2:$M999,Data!$A$2:$A999=$A15 , Data!$B$2:$B999 = $B15,Data!$C$2:$C999 = $C15, Data!$D$2:$D999 = F$1, Data!$E$2:$E999 = F$2 )},$K$2  , $Q$22:$Q$23)"),"293")</f>
        <v>293</v>
      </c>
      <c r="G15" s="25" t="str">
        <f>IFERROR(__xludf.DUMMYFUNCTION("DMAX({{Data!$A$1:$M$1};filter(Data!$A$2:$M999,Data!$A$2:$A999=$A15 , Data!$B$2:$B999 = $B15,Data!$C$2:$C999 = $C15, Data!$D$2:$D999 = G$1, Data!$E$2:$E999 = G$2 )},$K$2  , $Q$22:$Q$23)"),"216")</f>
        <v>216</v>
      </c>
      <c r="H15" s="25" t="str">
        <f>IFERROR(__xludf.DUMMYFUNCTION("DMAX({{Data!$A$1:$M$1};filter(Data!$A$2:$M999,Data!$A$2:$A999=$A15 , Data!$B$2:$B999 = $B15,Data!$C$2:$C999 = $C15, Data!$D$2:$D999 = H$1, Data!$E$2:$E999 = H$2 )},$K$2  , $Q$22:$Q$23)"),"470")</f>
        <v>470</v>
      </c>
      <c r="I15" s="18"/>
      <c r="J15" s="18"/>
      <c r="K15" s="18"/>
      <c r="L15" s="18"/>
      <c r="M15" s="18"/>
      <c r="N15" s="18"/>
      <c r="O15" s="18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6">
        <v>1000.0</v>
      </c>
      <c r="B16" s="16">
        <v>10.0</v>
      </c>
      <c r="C16" s="16">
        <v>3.0</v>
      </c>
      <c r="D16" s="25" t="str">
        <f>IFERROR(__xludf.DUMMYFUNCTION("DMAX({{Data!$A$1:$M$1};filter(Data!$A$2:$M999,Data!$A$2:$A999=$A16 , Data!$B$2:$B999 = $B16,Data!$C$2:$C999 = $C16, Data!$D$2:$D999 = D$1, Data!$E$2:$E999 = D$2 )},$K$2  , $Q$22:$Q$23)"),"124")</f>
        <v>124</v>
      </c>
      <c r="E16" s="25" t="str">
        <f>IFERROR(__xludf.DUMMYFUNCTION("DMAX({{Data!$A$1:$M$1};filter(Data!$A$2:$M999,Data!$A$2:$A999=$A16 , Data!$B$2:$B999 = $B16,Data!$C$2:$C999 = $C16, Data!$D$2:$D999 = E$1, Data!$E$2:$E999 = E$2 )},$K$2  , $Q$22:$Q$23)"),"1361")</f>
        <v>1361</v>
      </c>
      <c r="F16" s="25" t="str">
        <f>IFERROR(__xludf.DUMMYFUNCTION("DMAX({{Data!$A$1:$M$1};filter(Data!$A$2:$M999,Data!$A$2:$A999=$A16 , Data!$B$2:$B999 = $B16,Data!$C$2:$C999 = $C16, Data!$D$2:$D999 = F$1, Data!$E$2:$E999 = F$2 )},$K$2  , $Q$22:$Q$23)"),"300")</f>
        <v>300</v>
      </c>
      <c r="G16" s="25" t="str">
        <f>IFERROR(__xludf.DUMMYFUNCTION("DMAX({{Data!$A$1:$M$1};filter(Data!$A$2:$M999,Data!$A$2:$A999=$A16 , Data!$B$2:$B999 = $B16,Data!$C$2:$C999 = $C16, Data!$D$2:$D999 = G$1, Data!$E$2:$E999 = G$2 )},$K$2  , $Q$22:$Q$23)"),"223")</f>
        <v>223</v>
      </c>
      <c r="H16" s="25" t="str">
        <f>IFERROR(__xludf.DUMMYFUNCTION("DMAX({{Data!$A$1:$M$1};filter(Data!$A$2:$M999,Data!$A$2:$A999=$A16 , Data!$B$2:$B999 = $B16,Data!$C$2:$C999 = $C16, Data!$D$2:$D999 = H$1, Data!$E$2:$E999 = H$2 )},$K$2  , $Q$22:$Q$23)"),"477")</f>
        <v>477</v>
      </c>
      <c r="I16" s="18"/>
      <c r="J16" s="18"/>
      <c r="K16" s="18"/>
      <c r="L16" s="18"/>
      <c r="M16" s="18"/>
      <c r="N16" s="18"/>
      <c r="O16" s="18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6">
        <v>1000.0</v>
      </c>
      <c r="B17" s="16">
        <v>10.0</v>
      </c>
      <c r="C17" s="16">
        <v>4.0</v>
      </c>
      <c r="D17" s="25" t="str">
        <f>IFERROR(__xludf.DUMMYFUNCTION("DMAX({{Data!$A$1:$M$1};filter(Data!$A$2:$M999,Data!$A$2:$A999=$A17 , Data!$B$2:$B999 = $B17,Data!$C$2:$C999 = $C17, Data!$D$2:$D999 = D$1, Data!$E$2:$E999 = D$2 )},$K$2  , $Q$22:$Q$23)"),"124")</f>
        <v>124</v>
      </c>
      <c r="E17" s="25" t="str">
        <f>IFERROR(__xludf.DUMMYFUNCTION("DMAX({{Data!$A$1:$M$1};filter(Data!$A$2:$M999,Data!$A$2:$A999=$A17 , Data!$B$2:$B999 = $B17,Data!$C$2:$C999 = $C17, Data!$D$2:$D999 = E$1, Data!$E$2:$E999 = E$2 )},$K$2  , $Q$22:$Q$23)"),"1362")</f>
        <v>1362</v>
      </c>
      <c r="F17" s="25" t="str">
        <f>IFERROR(__xludf.DUMMYFUNCTION("DMAX({{Data!$A$1:$M$1};filter(Data!$A$2:$M999,Data!$A$2:$A999=$A17 , Data!$B$2:$B999 = $B17,Data!$C$2:$C999 = $C17, Data!$D$2:$D999 = F$1, Data!$E$2:$E999 = F$2 )},$K$2  , $Q$22:$Q$23)"),"302")</f>
        <v>302</v>
      </c>
      <c r="G17" s="25" t="str">
        <f>IFERROR(__xludf.DUMMYFUNCTION("DMAX({{Data!$A$1:$M$1};filter(Data!$A$2:$M999,Data!$A$2:$A999=$A17 , Data!$B$2:$B999 = $B17,Data!$C$2:$C999 = $C17, Data!$D$2:$D999 = G$1, Data!$E$2:$E999 = G$2 )},$K$2  , $Q$22:$Q$23)"),"223")</f>
        <v>223</v>
      </c>
      <c r="H17" s="25" t="str">
        <f>IFERROR(__xludf.DUMMYFUNCTION("DMAX({{Data!$A$1:$M$1};filter(Data!$A$2:$M999,Data!$A$2:$A999=$A17 , Data!$B$2:$B999 = $B17,Data!$C$2:$C999 = $C17, Data!$D$2:$D999 = H$1, Data!$E$2:$E999 = H$2 )},$K$2  , $Q$22:$Q$23)"),"422")</f>
        <v>422</v>
      </c>
      <c r="I17" s="18"/>
      <c r="J17" s="18"/>
      <c r="K17" s="18"/>
      <c r="L17" s="18"/>
      <c r="M17" s="18"/>
      <c r="N17" s="18"/>
      <c r="O17" s="18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6">
        <v>1000.0</v>
      </c>
      <c r="B18" s="16">
        <v>10.0</v>
      </c>
      <c r="C18" s="16">
        <v>5.0</v>
      </c>
      <c r="D18" s="25" t="str">
        <f>IFERROR(__xludf.DUMMYFUNCTION("DMAX({{Data!$A$1:$M$1};filter(Data!$A$2:$M999,Data!$A$2:$A999=$A18 , Data!$B$2:$B999 = $B18,Data!$C$2:$C999 = $C18, Data!$D$2:$D999 = D$1, Data!$E$2:$E999 = D$2 )},$K$2  , $Q$22:$Q$23)"),"124")</f>
        <v>124</v>
      </c>
      <c r="E18" s="25" t="str">
        <f>IFERROR(__xludf.DUMMYFUNCTION("DMAX({{Data!$A$1:$M$1};filter(Data!$A$2:$M999,Data!$A$2:$A999=$A18 , Data!$B$2:$B999 = $B18,Data!$C$2:$C999 = $C18, Data!$D$2:$D999 = E$1, Data!$E$2:$E999 = E$2 )},$K$2  , $Q$22:$Q$23)"),"1354")</f>
        <v>1354</v>
      </c>
      <c r="F18" s="25" t="str">
        <f>IFERROR(__xludf.DUMMYFUNCTION("DMAX({{Data!$A$1:$M$1};filter(Data!$A$2:$M999,Data!$A$2:$A999=$A18 , Data!$B$2:$B999 = $B18,Data!$C$2:$C999 = $C18, Data!$D$2:$D999 = F$1, Data!$E$2:$E999 = F$2 )},$K$2  , $Q$22:$Q$23)"),"295")</f>
        <v>295</v>
      </c>
      <c r="G18" s="25" t="str">
        <f>IFERROR(__xludf.DUMMYFUNCTION("DMAX({{Data!$A$1:$M$1};filter(Data!$A$2:$M999,Data!$A$2:$A999=$A18 , Data!$B$2:$B999 = $B18,Data!$C$2:$C999 = $C18, Data!$D$2:$D999 = G$1, Data!$E$2:$E999 = G$2 )},$K$2  , $Q$22:$Q$23)"),"219")</f>
        <v>219</v>
      </c>
      <c r="H18" s="25" t="str">
        <f>IFERROR(__xludf.DUMMYFUNCTION("DMAX({{Data!$A$1:$M$1};filter(Data!$A$2:$M999,Data!$A$2:$A999=$A18 , Data!$B$2:$B999 = $B18,Data!$C$2:$C999 = $C18, Data!$D$2:$D999 = H$1, Data!$E$2:$E999 = H$2 )},$K$2  , $Q$22:$Q$23)"),"454")</f>
        <v>454</v>
      </c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1">
        <v>1000.0</v>
      </c>
      <c r="B19" s="11">
        <v>50.0</v>
      </c>
      <c r="C19" s="11">
        <v>1.0</v>
      </c>
      <c r="D19" s="24" t="str">
        <f>IFERROR(__xludf.DUMMYFUNCTION("DMAX({{Data!$A$1:$M$1};filter(Data!$A$2:$M999,Data!$A$2:$A999=$A19 , Data!$B$2:$B999 = $B19,Data!$C$2:$C999 = $C19, Data!$D$2:$D999 = D$1, Data!$E$2:$E999 = D$2 )},$K$2  , $Q$22:$Q$23)"),"21")</f>
        <v>21</v>
      </c>
      <c r="E19" s="24" t="str">
        <f>IFERROR(__xludf.DUMMYFUNCTION("DMAX({{Data!$A$1:$M$1};filter(Data!$A$2:$M999,Data!$A$2:$A999=$A19 , Data!$B$2:$B999 = $B19,Data!$C$2:$C999 = $C19, Data!$D$2:$D999 = E$1, Data!$E$2:$E999 = E$2 )},$K$2  , $Q$22:$Q$23)"),"82")</f>
        <v>82</v>
      </c>
      <c r="F19" s="24" t="str">
        <f>IFERROR(__xludf.DUMMYFUNCTION("DMAX({{Data!$A$1:$M$1};filter(Data!$A$2:$M999,Data!$A$2:$A999=$A19 , Data!$B$2:$B999 = $B19,Data!$C$2:$C999 = $C19, Data!$D$2:$D999 = F$1, Data!$E$2:$E999 = F$2 )},$K$2  , $Q$22:$Q$23)"),"27")</f>
        <v>27</v>
      </c>
      <c r="G19" s="24" t="str">
        <f>IFERROR(__xludf.DUMMYFUNCTION("DMAX({{Data!$A$1:$M$1};filter(Data!$A$2:$M999,Data!$A$2:$A999=$A19 , Data!$B$2:$B999 = $B19,Data!$C$2:$C999 = $C19, Data!$D$2:$D999 = G$1, Data!$E$2:$E999 = G$2 )},$K$2  , $Q$22:$Q$23)"),"17")</f>
        <v>17</v>
      </c>
      <c r="H19" s="24" t="str">
        <f>IFERROR(__xludf.DUMMYFUNCTION("DMAX({{Data!$A$1:$M$1};filter(Data!$A$2:$M999,Data!$A$2:$A999=$A19 , Data!$B$2:$B999 = $B19,Data!$C$2:$C999 = $C19, Data!$D$2:$D999 = H$1, Data!$E$2:$E999 = H$2 )},$K$2  , $Q$22:$Q$23)"),"276")</f>
        <v>276</v>
      </c>
      <c r="I19" s="1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26">
        <v>1000.0</v>
      </c>
      <c r="B20" s="26">
        <v>50.0</v>
      </c>
      <c r="C20" s="26">
        <v>2.0</v>
      </c>
      <c r="D20" s="24" t="str">
        <f>IFERROR(__xludf.DUMMYFUNCTION("DMAX({{Data!$A$1:$M$1};filter(Data!$A$2:$M999,Data!$A$2:$A999=$A20 , Data!$B$2:$B999 = $B20,Data!$C$2:$C999 = $C20, Data!$D$2:$D999 = D$1, Data!$E$2:$E999 = D$2 )},$K$2  , $Q$22:$Q$23)"),"20")</f>
        <v>20</v>
      </c>
      <c r="E20" s="24" t="str">
        <f>IFERROR(__xludf.DUMMYFUNCTION("DMAX({{Data!$A$1:$M$1};filter(Data!$A$2:$M999,Data!$A$2:$A999=$A20 , Data!$B$2:$B999 = $B20,Data!$C$2:$C999 = $C20, Data!$D$2:$D999 = E$1, Data!$E$2:$E999 = E$2 )},$K$2  , $Q$22:$Q$23)"),"83")</f>
        <v>83</v>
      </c>
      <c r="F20" s="24" t="str">
        <f>IFERROR(__xludf.DUMMYFUNCTION("DMAX({{Data!$A$1:$M$1};filter(Data!$A$2:$M999,Data!$A$2:$A999=$A20 , Data!$B$2:$B999 = $B20,Data!$C$2:$C999 = $C20, Data!$D$2:$D999 = F$1, Data!$E$2:$E999 = F$2 )},$K$2  , $Q$22:$Q$23)"),"27")</f>
        <v>27</v>
      </c>
      <c r="G20" s="24" t="str">
        <f>IFERROR(__xludf.DUMMYFUNCTION("DMAX({{Data!$A$1:$M$1};filter(Data!$A$2:$M999,Data!$A$2:$A999=$A20 , Data!$B$2:$B999 = $B20,Data!$C$2:$C999 = $C20, Data!$D$2:$D999 = G$1, Data!$E$2:$E999 = G$2 )},$K$2  , $Q$22:$Q$23)"),"17")</f>
        <v>17</v>
      </c>
      <c r="H20" s="24" t="str">
        <f>IFERROR(__xludf.DUMMYFUNCTION("DMAX({{Data!$A$1:$M$1};filter(Data!$A$2:$M999,Data!$A$2:$A999=$A20 , Data!$B$2:$B999 = $B20,Data!$C$2:$C999 = $C20, Data!$D$2:$D999 = H$1, Data!$E$2:$E999 = H$2 )},$K$2  , $Q$22:$Q$23)"),"268")</f>
        <v>268</v>
      </c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26">
        <v>1000.0</v>
      </c>
      <c r="B21" s="26">
        <v>50.0</v>
      </c>
      <c r="C21" s="26">
        <v>3.0</v>
      </c>
      <c r="D21" s="24" t="str">
        <f>IFERROR(__xludf.DUMMYFUNCTION("DMAX({{Data!$A$1:$M$1};filter(Data!$A$2:$M999,Data!$A$2:$A999=$A21 , Data!$B$2:$B999 = $B21,Data!$C$2:$C999 = $C21, Data!$D$2:$D999 = D$1, Data!$E$2:$E999 = D$2 )},$K$2  , $Q$22:$Q$23)"),"20")</f>
        <v>20</v>
      </c>
      <c r="E21" s="24" t="str">
        <f>IFERROR(__xludf.DUMMYFUNCTION("DMAX({{Data!$A$1:$M$1};filter(Data!$A$2:$M999,Data!$A$2:$A999=$A21 , Data!$B$2:$B999 = $B21,Data!$C$2:$C999 = $C21, Data!$D$2:$D999 = E$1, Data!$E$2:$E999 = E$2 )},$K$2  , $Q$22:$Q$23)"),"82")</f>
        <v>82</v>
      </c>
      <c r="F21" s="24" t="str">
        <f>IFERROR(__xludf.DUMMYFUNCTION("DMAX({{Data!$A$1:$M$1};filter(Data!$A$2:$M999,Data!$A$2:$A999=$A21 , Data!$B$2:$B999 = $B21,Data!$C$2:$C999 = $C21, Data!$D$2:$D999 = F$1, Data!$E$2:$E999 = F$2 )},$K$2  , $Q$22:$Q$23)"),"27")</f>
        <v>27</v>
      </c>
      <c r="G21" s="24" t="str">
        <f>IFERROR(__xludf.DUMMYFUNCTION("DMAX({{Data!$A$1:$M$1};filter(Data!$A$2:$M999,Data!$A$2:$A999=$A21 , Data!$B$2:$B999 = $B21,Data!$C$2:$C999 = $C21, Data!$D$2:$D999 = G$1, Data!$E$2:$E999 = G$2 )},$K$2  , $Q$22:$Q$23)"),"17")</f>
        <v>17</v>
      </c>
      <c r="H21" s="24" t="str">
        <f>IFERROR(__xludf.DUMMYFUNCTION("DMAX({{Data!$A$1:$M$1};filter(Data!$A$2:$M999,Data!$A$2:$A999=$A21 , Data!$B$2:$B999 = $B21,Data!$C$2:$C999 = $C21, Data!$D$2:$D999 = H$1, Data!$E$2:$E999 = H$2 )},$K$2  , $Q$22:$Q$23)"),"300")</f>
        <v>300</v>
      </c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6">
        <v>1000.0</v>
      </c>
      <c r="B22" s="26">
        <v>50.0</v>
      </c>
      <c r="C22" s="26">
        <v>4.0</v>
      </c>
      <c r="D22" s="24" t="str">
        <f>IFERROR(__xludf.DUMMYFUNCTION("DMAX({{Data!$A$1:$M$1};filter(Data!$A$2:$M999,Data!$A$2:$A999=$A22 , Data!$B$2:$B999 = $B22,Data!$C$2:$C999 = $C22, Data!$D$2:$D999 = D$1, Data!$E$2:$E999 = D$2 )},$K$2  , $Q$22:$Q$23)"),"21")</f>
        <v>21</v>
      </c>
      <c r="E22" s="24" t="str">
        <f>IFERROR(__xludf.DUMMYFUNCTION("DMAX({{Data!$A$1:$M$1};filter(Data!$A$2:$M999,Data!$A$2:$A999=$A22 , Data!$B$2:$B999 = $B22,Data!$C$2:$C999 = $C22, Data!$D$2:$D999 = E$1, Data!$E$2:$E999 = E$2 )},$K$2  , $Q$22:$Q$23)"),"83")</f>
        <v>83</v>
      </c>
      <c r="F22" s="24" t="str">
        <f>IFERROR(__xludf.DUMMYFUNCTION("DMAX({{Data!$A$1:$M$1};filter(Data!$A$2:$M999,Data!$A$2:$A999=$A22 , Data!$B$2:$B999 = $B22,Data!$C$2:$C999 = $C22, Data!$D$2:$D999 = F$1, Data!$E$2:$E999 = F$2 )},$K$2  , $Q$22:$Q$23)"),"28")</f>
        <v>28</v>
      </c>
      <c r="G22" s="24" t="str">
        <f>IFERROR(__xludf.DUMMYFUNCTION("DMAX({{Data!$A$1:$M$1};filter(Data!$A$2:$M999,Data!$A$2:$A999=$A22 , Data!$B$2:$B999 = $B22,Data!$C$2:$C999 = $C22, Data!$D$2:$D999 = G$1, Data!$E$2:$E999 = G$2 )},$K$2  , $Q$22:$Q$23)"),"17")</f>
        <v>17</v>
      </c>
      <c r="H22" s="24" t="str">
        <f>IFERROR(__xludf.DUMMYFUNCTION("DMAX({{Data!$A$1:$M$1};filter(Data!$A$2:$M999,Data!$A$2:$A999=$A22 , Data!$B$2:$B999 = $B22,Data!$C$2:$C999 = $C22, Data!$D$2:$D999 = H$1, Data!$E$2:$E999 = H$2 )},$K$2  , $Q$22:$Q$23)"),"276")</f>
        <v>276</v>
      </c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26">
        <v>1000.0</v>
      </c>
      <c r="B23" s="26">
        <v>50.0</v>
      </c>
      <c r="C23" s="26">
        <v>5.0</v>
      </c>
      <c r="D23" s="24" t="str">
        <f>IFERROR(__xludf.DUMMYFUNCTION("DMAX({{Data!$A$1:$M$1};filter(Data!$A$2:$M999,Data!$A$2:$A999=$A23 , Data!$B$2:$B999 = $B23,Data!$C$2:$C999 = $C23, Data!$D$2:$D999 = D$1, Data!$E$2:$E999 = D$2 )},$K$2  , $Q$22:$Q$23)"),"20")</f>
        <v>20</v>
      </c>
      <c r="E23" s="24" t="str">
        <f>IFERROR(__xludf.DUMMYFUNCTION("DMAX({{Data!$A$1:$M$1};filter(Data!$A$2:$M999,Data!$A$2:$A999=$A23 , Data!$B$2:$B999 = $B23,Data!$C$2:$C999 = $C23, Data!$D$2:$D999 = E$1, Data!$E$2:$E999 = E$2 )},$K$2  , $Q$22:$Q$23)"),"82")</f>
        <v>82</v>
      </c>
      <c r="F23" s="24" t="str">
        <f>IFERROR(__xludf.DUMMYFUNCTION("DMAX({{Data!$A$1:$M$1};filter(Data!$A$2:$M999,Data!$A$2:$A999=$A23 , Data!$B$2:$B999 = $B23,Data!$C$2:$C999 = $C23, Data!$D$2:$D999 = F$1, Data!$E$2:$E999 = F$2 )},$K$2  , $Q$22:$Q$23)"),"27")</f>
        <v>27</v>
      </c>
      <c r="G23" s="24" t="str">
        <f>IFERROR(__xludf.DUMMYFUNCTION("DMAX({{Data!$A$1:$M$1};filter(Data!$A$2:$M999,Data!$A$2:$A999=$A23 , Data!$B$2:$B999 = $B23,Data!$C$2:$C999 = $C23, Data!$D$2:$D999 = G$1, Data!$E$2:$E999 = G$2 )},$K$2  , $Q$22:$Q$23)"),"17")</f>
        <v>17</v>
      </c>
      <c r="H23" s="24" t="str">
        <f>IFERROR(__xludf.DUMMYFUNCTION("DMAX({{Data!$A$1:$M$1};filter(Data!$A$2:$M999,Data!$A$2:$A999=$A23 , Data!$B$2:$B999 = $B23,Data!$C$2:$C999 = $C23, Data!$D$2:$D999 = H$1, Data!$E$2:$E999 = H$2 )},$K$2  , $Q$22:$Q$23)"),"296")</f>
        <v>296</v>
      </c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1">
        <v>1000.0</v>
      </c>
      <c r="B24" s="11">
        <v>100.0</v>
      </c>
      <c r="C24" s="11">
        <v>1.0</v>
      </c>
      <c r="D24" s="25" t="str">
        <f>IFERROR(__xludf.DUMMYFUNCTION("DMAX({{Data!$A$1:$M$1};filter(Data!$A$2:$M999,Data!$A$2:$A999=$A24 , Data!$B$2:$B999 = $B24,Data!$C$2:$C999 = $C24, Data!$D$2:$D999 = D$1, Data!$E$2:$E999 = D$2 )},$K$2  , $Q$22:$Q$23)"),"9")</f>
        <v>9</v>
      </c>
      <c r="E24" s="25" t="str">
        <f>IFERROR(__xludf.DUMMYFUNCTION("DMAX({{Data!$A$1:$M$1};filter(Data!$A$2:$M999,Data!$A$2:$A999=$A24 , Data!$B$2:$B999 = $B24,Data!$C$2:$C999 = $C24, Data!$D$2:$D999 = E$1, Data!$E$2:$E999 = E$2 )},$K$2  , $Q$22:$Q$23)"),"24")</f>
        <v>24</v>
      </c>
      <c r="F24" s="25" t="str">
        <f>IFERROR(__xludf.DUMMYFUNCTION("DMAX({{Data!$A$1:$M$1};filter(Data!$A$2:$M999,Data!$A$2:$A999=$A24 , Data!$B$2:$B999 = $B24,Data!$C$2:$C999 = $C24, Data!$D$2:$D999 = F$1, Data!$E$2:$E999 = F$2 )},$K$2  , $Q$22:$Q$23)"),"11")</f>
        <v>11</v>
      </c>
      <c r="G24" s="25" t="str">
        <f>IFERROR(__xludf.DUMMYFUNCTION("DMAX({{Data!$A$1:$M$1};filter(Data!$A$2:$M999,Data!$A$2:$A999=$A24 , Data!$B$2:$B999 = $B24,Data!$C$2:$C999 = $C24, Data!$D$2:$D999 = G$1, Data!$E$2:$E999 = G$2 )},$K$2  , $Q$22:$Q$23)"),"7")</f>
        <v>7</v>
      </c>
      <c r="H24" s="25" t="str">
        <f>IFERROR(__xludf.DUMMYFUNCTION("DMAX({{Data!$A$1:$M$1};filter(Data!$A$2:$M999,Data!$A$2:$A999=$A24 , Data!$B$2:$B999 = $B24,Data!$C$2:$C999 = $C24, Data!$D$2:$D999 = H$1, Data!$E$2:$E999 = H$2 )},$K$2  , $Q$22:$Q$23)"),"226")</f>
        <v>226</v>
      </c>
      <c r="I24" s="18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6">
        <v>1000.0</v>
      </c>
      <c r="B25" s="27">
        <v>100.0</v>
      </c>
      <c r="C25" s="16">
        <v>2.0</v>
      </c>
      <c r="D25" s="25" t="str">
        <f>IFERROR(__xludf.DUMMYFUNCTION("DMAX({{Data!$A$1:$M$1};filter(Data!$A$2:$M999,Data!$A$2:$A999=$A25 , Data!$B$2:$B999 = $B25,Data!$C$2:$C999 = $C25, Data!$D$2:$D999 = D$1, Data!$E$2:$E999 = D$2 )},$K$2  , $Q$22:$Q$23)"),"9")</f>
        <v>9</v>
      </c>
      <c r="E25" s="25" t="str">
        <f>IFERROR(__xludf.DUMMYFUNCTION("DMAX({{Data!$A$1:$M$1};filter(Data!$A$2:$M999,Data!$A$2:$A999=$A25 , Data!$B$2:$B999 = $B25,Data!$C$2:$C999 = $C25, Data!$D$2:$D999 = E$1, Data!$E$2:$E999 = E$2 )},$K$2  , $Q$22:$Q$23)"),"24")</f>
        <v>24</v>
      </c>
      <c r="F25" s="25" t="str">
        <f>IFERROR(__xludf.DUMMYFUNCTION("DMAX({{Data!$A$1:$M$1};filter(Data!$A$2:$M999,Data!$A$2:$A999=$A25 , Data!$B$2:$B999 = $B25,Data!$C$2:$C999 = $C25, Data!$D$2:$D999 = F$1, Data!$E$2:$E999 = F$2 )},$K$2  , $Q$22:$Q$23)"),"11")</f>
        <v>11</v>
      </c>
      <c r="G25" s="25" t="str">
        <f>IFERROR(__xludf.DUMMYFUNCTION("DMAX({{Data!$A$1:$M$1};filter(Data!$A$2:$M999,Data!$A$2:$A999=$A25 , Data!$B$2:$B999 = $B25,Data!$C$2:$C999 = $C25, Data!$D$2:$D999 = G$1, Data!$E$2:$E999 = G$2 )},$K$2  , $Q$22:$Q$23)"),"7")</f>
        <v>7</v>
      </c>
      <c r="H25" s="25" t="str">
        <f>IFERROR(__xludf.DUMMYFUNCTION("DMAX({{Data!$A$1:$M$1};filter(Data!$A$2:$M999,Data!$A$2:$A999=$A25 , Data!$B$2:$B999 = $B25,Data!$C$2:$C999 = $C25, Data!$D$2:$D999 = H$1, Data!$E$2:$E999 = H$2 )},$K$2  , $Q$22:$Q$23)"),"228")</f>
        <v>228</v>
      </c>
      <c r="I25" s="18"/>
      <c r="J25" s="28"/>
      <c r="K25" s="28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6">
        <v>1000.0</v>
      </c>
      <c r="B26" s="16">
        <v>100.0</v>
      </c>
      <c r="C26" s="16">
        <v>3.0</v>
      </c>
      <c r="D26" s="25" t="str">
        <f>IFERROR(__xludf.DUMMYFUNCTION("DMAX({{Data!$A$1:$M$1};filter(Data!$A$2:$M999,Data!$A$2:$A999=$A26 , Data!$B$2:$B999 = $B26,Data!$C$2:$C999 = $C26, Data!$D$2:$D999 = D$1, Data!$E$2:$E999 = D$2 )},$K$2  , $Q$22:$Q$23)"),"9")</f>
        <v>9</v>
      </c>
      <c r="E26" s="25" t="str">
        <f>IFERROR(__xludf.DUMMYFUNCTION("DMAX({{Data!$A$1:$M$1};filter(Data!$A$2:$M999,Data!$A$2:$A999=$A26 , Data!$B$2:$B999 = $B26,Data!$C$2:$C999 = $C26, Data!$D$2:$D999 = E$1, Data!$E$2:$E999 = E$2 )},$K$2  , $Q$22:$Q$23)"),"24")</f>
        <v>24</v>
      </c>
      <c r="F26" s="25" t="str">
        <f>IFERROR(__xludf.DUMMYFUNCTION("DMAX({{Data!$A$1:$M$1};filter(Data!$A$2:$M999,Data!$A$2:$A999=$A26 , Data!$B$2:$B999 = $B26,Data!$C$2:$C999 = $C26, Data!$D$2:$D999 = F$1, Data!$E$2:$E999 = F$2 )},$K$2  , $Q$22:$Q$23)"),"11")</f>
        <v>11</v>
      </c>
      <c r="G26" s="25" t="str">
        <f>IFERROR(__xludf.DUMMYFUNCTION("DMAX({{Data!$A$1:$M$1};filter(Data!$A$2:$M999,Data!$A$2:$A999=$A26 , Data!$B$2:$B999 = $B26,Data!$C$2:$C999 = $C26, Data!$D$2:$D999 = G$1, Data!$E$2:$E999 = G$2 )},$K$2  , $Q$22:$Q$23)"),"7")</f>
        <v>7</v>
      </c>
      <c r="H26" s="25" t="str">
        <f>IFERROR(__xludf.DUMMYFUNCTION("DMAX({{Data!$A$1:$M$1};filter(Data!$A$2:$M999,Data!$A$2:$A999=$A26 , Data!$B$2:$B999 = $B26,Data!$C$2:$C999 = $C26, Data!$D$2:$D999 = H$1, Data!$E$2:$E999 = H$2 )},$K$2  , $Q$22:$Q$23)"),"224")</f>
        <v>224</v>
      </c>
      <c r="I26" s="1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6">
        <v>1000.0</v>
      </c>
      <c r="B27" s="16">
        <v>100.0</v>
      </c>
      <c r="C27" s="16">
        <v>4.0</v>
      </c>
      <c r="D27" s="25" t="str">
        <f>IFERROR(__xludf.DUMMYFUNCTION("DMAX({{Data!$A$1:$M$1};filter(Data!$A$2:$M999,Data!$A$2:$A999=$A27 , Data!$B$2:$B999 = $B27,Data!$C$2:$C999 = $C27, Data!$D$2:$D999 = D$1, Data!$E$2:$E999 = D$2 )},$K$2  , $Q$22:$Q$23)"),"9")</f>
        <v>9</v>
      </c>
      <c r="E27" s="25" t="str">
        <f>IFERROR(__xludf.DUMMYFUNCTION("DMAX({{Data!$A$1:$M$1};filter(Data!$A$2:$M999,Data!$A$2:$A999=$A27 , Data!$B$2:$B999 = $B27,Data!$C$2:$C999 = $C27, Data!$D$2:$D999 = E$1, Data!$E$2:$E999 = E$2 )},$K$2  , $Q$22:$Q$23)"),"24")</f>
        <v>24</v>
      </c>
      <c r="F27" s="25" t="str">
        <f>IFERROR(__xludf.DUMMYFUNCTION("DMAX({{Data!$A$1:$M$1};filter(Data!$A$2:$M999,Data!$A$2:$A999=$A27 , Data!$B$2:$B999 = $B27,Data!$C$2:$C999 = $C27, Data!$D$2:$D999 = F$1, Data!$E$2:$E999 = F$2 )},$K$2  , $Q$22:$Q$23)"),"11")</f>
        <v>11</v>
      </c>
      <c r="G27" s="25" t="str">
        <f>IFERROR(__xludf.DUMMYFUNCTION("DMAX({{Data!$A$1:$M$1};filter(Data!$A$2:$M999,Data!$A$2:$A999=$A27 , Data!$B$2:$B999 = $B27,Data!$C$2:$C999 = $C27, Data!$D$2:$D999 = G$1, Data!$E$2:$E999 = G$2 )},$K$2  , $Q$22:$Q$23)"),"7")</f>
        <v>7</v>
      </c>
      <c r="H27" s="25" t="str">
        <f>IFERROR(__xludf.DUMMYFUNCTION("DMAX({{Data!$A$1:$M$1};filter(Data!$A$2:$M999,Data!$A$2:$A999=$A27 , Data!$B$2:$B999 = $B27,Data!$C$2:$C999 = $C27, Data!$D$2:$D999 = H$1, Data!$E$2:$E999 = H$2 )},$K$2  , $Q$22:$Q$23)"),"229")</f>
        <v>229</v>
      </c>
      <c r="I27" s="18"/>
      <c r="J27" s="28"/>
      <c r="K27" s="28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6">
        <v>1000.0</v>
      </c>
      <c r="B28" s="16">
        <v>100.0</v>
      </c>
      <c r="C28" s="16">
        <v>5.0</v>
      </c>
      <c r="D28" s="25" t="str">
        <f>IFERROR(__xludf.DUMMYFUNCTION("DMAX({{Data!$A$1:$M$1};filter(Data!$A$2:$M999,Data!$A$2:$A999=$A28 , Data!$B$2:$B999 = $B28,Data!$C$2:$C999 = $C28, Data!$D$2:$D999 = D$1, Data!$E$2:$E999 = D$2 )},$K$2  , $Q$22:$Q$23)"),"9")</f>
        <v>9</v>
      </c>
      <c r="E28" s="25" t="str">
        <f>IFERROR(__xludf.DUMMYFUNCTION("DMAX({{Data!$A$1:$M$1};filter(Data!$A$2:$M999,Data!$A$2:$A999=$A28 , Data!$B$2:$B999 = $B28,Data!$C$2:$C999 = $C28, Data!$D$2:$D999 = E$1, Data!$E$2:$E999 = E$2 )},$K$2  , $Q$22:$Q$23)"),"23")</f>
        <v>23</v>
      </c>
      <c r="F28" s="25" t="str">
        <f>IFERROR(__xludf.DUMMYFUNCTION("DMAX({{Data!$A$1:$M$1};filter(Data!$A$2:$M999,Data!$A$2:$A999=$A28 , Data!$B$2:$B999 = $B28,Data!$C$2:$C999 = $C28, Data!$D$2:$D999 = F$1, Data!$E$2:$E999 = F$2 )},$K$2  , $Q$22:$Q$23)"),"11")</f>
        <v>11</v>
      </c>
      <c r="G28" s="25" t="str">
        <f>IFERROR(__xludf.DUMMYFUNCTION("DMAX({{Data!$A$1:$M$1};filter(Data!$A$2:$M999,Data!$A$2:$A999=$A28 , Data!$B$2:$B999 = $B28,Data!$C$2:$C999 = $C28, Data!$D$2:$D999 = G$1, Data!$E$2:$E999 = G$2 )},$K$2  , $Q$22:$Q$23)"),"6")</f>
        <v>6</v>
      </c>
      <c r="H28" s="25" t="str">
        <f>IFERROR(__xludf.DUMMYFUNCTION("DMAX({{Data!$A$1:$M$1};filter(Data!$A$2:$M999,Data!$A$2:$A999=$A28 , Data!$B$2:$B999 = $B28,Data!$C$2:$C999 = $C28, Data!$D$2:$D999 = H$1, Data!$E$2:$E999 = H$2 )},$K$2  , $Q$22:$Q$23)"),"226")</f>
        <v>226</v>
      </c>
      <c r="I28" s="18"/>
      <c r="J28" s="28"/>
      <c r="K28" s="28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28"/>
      <c r="B29" s="28"/>
      <c r="C29" s="28"/>
      <c r="D29" s="14"/>
      <c r="E29" s="12"/>
      <c r="F29" s="12"/>
      <c r="G29" s="12"/>
      <c r="H29" s="28"/>
      <c r="I29" s="28"/>
      <c r="J29" s="28"/>
      <c r="K29" s="28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3" t="s">
        <v>31</v>
      </c>
      <c r="B32" s="14"/>
      <c r="C32" s="14"/>
      <c r="D32" s="13"/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29" t="s">
        <v>0</v>
      </c>
      <c r="B33" s="29" t="s">
        <v>1</v>
      </c>
      <c r="C33" s="29" t="s">
        <v>2</v>
      </c>
      <c r="D33" s="10" t="s">
        <v>32</v>
      </c>
      <c r="E33" s="10" t="s">
        <v>33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26">
        <v>1000.0</v>
      </c>
      <c r="B34" s="26">
        <v>1.0</v>
      </c>
      <c r="C34" s="26">
        <v>1.0</v>
      </c>
      <c r="D34" s="30" t="str">
        <f t="shared" ref="D34:D58" si="1">E4/D4</f>
        <v>32.22332859</v>
      </c>
      <c r="E34" s="30" t="str">
        <f t="shared" ref="E34:E58" si="2">G4/F4</f>
        <v>1.869488978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26">
        <v>1000.0</v>
      </c>
      <c r="B35" s="26">
        <v>1.0</v>
      </c>
      <c r="C35" s="26">
        <v>2.0</v>
      </c>
      <c r="D35" s="30" t="str">
        <f t="shared" si="1"/>
        <v>31.86091794</v>
      </c>
      <c r="E35" s="30" t="str">
        <f t="shared" si="2"/>
        <v>1.928746327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26">
        <v>1000.0</v>
      </c>
      <c r="B36" s="26">
        <v>1.0</v>
      </c>
      <c r="C36" s="26">
        <v>3.0</v>
      </c>
      <c r="D36" s="30" t="str">
        <f t="shared" si="1"/>
        <v>31.98641304</v>
      </c>
      <c r="E36" s="30" t="str">
        <f t="shared" si="2"/>
        <v>1.979824353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26">
        <v>1000.0</v>
      </c>
      <c r="B37" s="26">
        <v>1.0</v>
      </c>
      <c r="C37" s="26">
        <v>4.0</v>
      </c>
      <c r="D37" s="30" t="str">
        <f t="shared" si="1"/>
        <v>31.69595537</v>
      </c>
      <c r="E37" s="30" t="str">
        <f t="shared" si="2"/>
        <v>1.923057953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26">
        <v>1000.0</v>
      </c>
      <c r="B38" s="26">
        <v>1.0</v>
      </c>
      <c r="C38" s="26">
        <v>5.0</v>
      </c>
      <c r="D38" s="30" t="str">
        <f t="shared" si="1"/>
        <v>31.32545202</v>
      </c>
      <c r="E38" s="30" t="str">
        <f t="shared" si="2"/>
        <v>1.867830424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26">
        <v>1000.0</v>
      </c>
      <c r="B39" s="26">
        <v>5.0</v>
      </c>
      <c r="C39" s="26">
        <v>1.0</v>
      </c>
      <c r="D39" s="30" t="str">
        <f t="shared" si="1"/>
        <v>16.87443946</v>
      </c>
      <c r="E39" s="30" t="str">
        <f t="shared" si="2"/>
        <v>0.8803088803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26">
        <v>1000.0</v>
      </c>
      <c r="B40" s="26">
        <v>5.0</v>
      </c>
      <c r="C40" s="26">
        <v>2.0</v>
      </c>
      <c r="D40" s="30" t="str">
        <f t="shared" si="1"/>
        <v>16.76576577</v>
      </c>
      <c r="E40" s="30" t="str">
        <f t="shared" si="2"/>
        <v>0.8790637191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26">
        <v>1000.0</v>
      </c>
      <c r="B41" s="26">
        <v>5.0</v>
      </c>
      <c r="C41" s="26">
        <v>3.0</v>
      </c>
      <c r="D41" s="30" t="str">
        <f t="shared" si="1"/>
        <v>16.73214286</v>
      </c>
      <c r="E41" s="30" t="str">
        <f t="shared" si="2"/>
        <v>0.8831168831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26">
        <v>1000.0</v>
      </c>
      <c r="B42" s="26">
        <v>5.0</v>
      </c>
      <c r="C42" s="26">
        <v>4.0</v>
      </c>
      <c r="D42" s="30" t="str">
        <f t="shared" si="1"/>
        <v>16.82142857</v>
      </c>
      <c r="E42" s="30" t="str">
        <f t="shared" si="2"/>
        <v>0.8794871795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26">
        <v>1000.0</v>
      </c>
      <c r="B43" s="26">
        <v>5.0</v>
      </c>
      <c r="C43" s="26">
        <v>5.0</v>
      </c>
      <c r="D43" s="30" t="str">
        <f t="shared" si="1"/>
        <v>16.77232143</v>
      </c>
      <c r="E43" s="30" t="str">
        <f t="shared" si="2"/>
        <v>0.8902116402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26">
        <v>1000.0</v>
      </c>
      <c r="B44" s="26">
        <v>10.0</v>
      </c>
      <c r="C44" s="26">
        <v>1.0</v>
      </c>
      <c r="D44" s="30" t="str">
        <f t="shared" si="1"/>
        <v>10.82539683</v>
      </c>
      <c r="E44" s="30" t="str">
        <f t="shared" si="2"/>
        <v>0.7306397306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26">
        <v>1000.0</v>
      </c>
      <c r="B45" s="26">
        <v>10.0</v>
      </c>
      <c r="C45" s="26">
        <v>2.0</v>
      </c>
      <c r="D45" s="30" t="str">
        <f t="shared" si="1"/>
        <v>10.93548387</v>
      </c>
      <c r="E45" s="30" t="str">
        <f t="shared" si="2"/>
        <v>0.7372013652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26">
        <v>1000.0</v>
      </c>
      <c r="B46" s="26">
        <v>10.0</v>
      </c>
      <c r="C46" s="26">
        <v>3.0</v>
      </c>
      <c r="D46" s="30" t="str">
        <f t="shared" si="1"/>
        <v>10.97580645</v>
      </c>
      <c r="E46" s="30" t="str">
        <f t="shared" si="2"/>
        <v>0.7433333333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26">
        <v>1000.0</v>
      </c>
      <c r="B47" s="26">
        <v>10.0</v>
      </c>
      <c r="C47" s="26">
        <v>4.0</v>
      </c>
      <c r="D47" s="30" t="str">
        <f t="shared" si="1"/>
        <v>10.98387097</v>
      </c>
      <c r="E47" s="30" t="str">
        <f t="shared" si="2"/>
        <v>0.738410596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26">
        <v>1000.0</v>
      </c>
      <c r="B48" s="26">
        <v>10.0</v>
      </c>
      <c r="C48" s="26">
        <v>5.0</v>
      </c>
      <c r="D48" s="30" t="str">
        <f t="shared" si="1"/>
        <v>10.91935484</v>
      </c>
      <c r="E48" s="30" t="str">
        <f t="shared" si="2"/>
        <v>0.7423728814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26">
        <v>1000.0</v>
      </c>
      <c r="B49" s="26">
        <v>50.0</v>
      </c>
      <c r="C49" s="26">
        <v>1.0</v>
      </c>
      <c r="D49" s="30" t="str">
        <f t="shared" si="1"/>
        <v>3.904761905</v>
      </c>
      <c r="E49" s="30" t="str">
        <f t="shared" si="2"/>
        <v>0.6296296296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26">
        <v>1000.0</v>
      </c>
      <c r="B50" s="26">
        <v>50.0</v>
      </c>
      <c r="C50" s="26">
        <v>2.0</v>
      </c>
      <c r="D50" s="30" t="str">
        <f t="shared" si="1"/>
        <v>4.15</v>
      </c>
      <c r="E50" s="30" t="str">
        <f t="shared" si="2"/>
        <v>0.6296296296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26">
        <v>1000.0</v>
      </c>
      <c r="B51" s="26">
        <v>50.0</v>
      </c>
      <c r="C51" s="26">
        <v>3.0</v>
      </c>
      <c r="D51" s="30" t="str">
        <f t="shared" si="1"/>
        <v>4.1</v>
      </c>
      <c r="E51" s="30" t="str">
        <f t="shared" si="2"/>
        <v>0.6296296296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26">
        <v>1000.0</v>
      </c>
      <c r="B52" s="26">
        <v>50.0</v>
      </c>
      <c r="C52" s="26">
        <v>4.0</v>
      </c>
      <c r="D52" s="30" t="str">
        <f t="shared" si="1"/>
        <v>3.952380952</v>
      </c>
      <c r="E52" s="30" t="str">
        <f t="shared" si="2"/>
        <v>0.6071428571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26">
        <v>1000.0</v>
      </c>
      <c r="B53" s="26">
        <v>50.0</v>
      </c>
      <c r="C53" s="26">
        <v>5.0</v>
      </c>
      <c r="D53" s="30" t="str">
        <f t="shared" si="1"/>
        <v>4.1</v>
      </c>
      <c r="E53" s="30" t="str">
        <f t="shared" si="2"/>
        <v>0.6296296296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26">
        <v>1000.0</v>
      </c>
      <c r="B54" s="26">
        <v>100.0</v>
      </c>
      <c r="C54" s="26">
        <v>1.0</v>
      </c>
      <c r="D54" s="30" t="str">
        <f t="shared" si="1"/>
        <v>2.666666667</v>
      </c>
      <c r="E54" s="30" t="str">
        <f t="shared" si="2"/>
        <v>0.6363636364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26">
        <v>1000.0</v>
      </c>
      <c r="B55" s="26">
        <v>100.0</v>
      </c>
      <c r="C55" s="26">
        <v>2.0</v>
      </c>
      <c r="D55" s="30" t="str">
        <f t="shared" si="1"/>
        <v>2.666666667</v>
      </c>
      <c r="E55" s="30" t="str">
        <f t="shared" si="2"/>
        <v>0.6363636364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26">
        <v>1000.0</v>
      </c>
      <c r="B56" s="26">
        <v>100.0</v>
      </c>
      <c r="C56" s="26">
        <v>3.0</v>
      </c>
      <c r="D56" s="30" t="str">
        <f t="shared" si="1"/>
        <v>2.666666667</v>
      </c>
      <c r="E56" s="30" t="str">
        <f t="shared" si="2"/>
        <v>0.6363636364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26">
        <v>1000.0</v>
      </c>
      <c r="B57" s="26">
        <v>100.0</v>
      </c>
      <c r="C57" s="26">
        <v>4.0</v>
      </c>
      <c r="D57" s="30" t="str">
        <f t="shared" si="1"/>
        <v>2.666666667</v>
      </c>
      <c r="E57" s="30" t="str">
        <f t="shared" si="2"/>
        <v>0.6363636364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26">
        <v>1000.0</v>
      </c>
      <c r="B58" s="26">
        <v>100.0</v>
      </c>
      <c r="C58" s="26">
        <v>5.0</v>
      </c>
      <c r="D58" s="30" t="str">
        <f t="shared" si="1"/>
        <v>2.555555556</v>
      </c>
      <c r="E58" s="30" t="str">
        <f t="shared" si="2"/>
        <v>0.5454545455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</cols>
  <sheetData>
    <row r="1">
      <c r="C1" s="10" t="s">
        <v>20</v>
      </c>
      <c r="D1" s="11" t="str">
        <f>IFERROR(__xludf.DUMMYFUNCTION("TRANSPOSE(UNIQUE(Data!D2:E1000))"),"bs_array")</f>
        <v>bs_array</v>
      </c>
      <c r="E1" s="11" t="s">
        <v>14</v>
      </c>
      <c r="F1" s="11" t="s">
        <v>17</v>
      </c>
      <c r="G1" s="11" t="s">
        <v>17</v>
      </c>
      <c r="H1" s="11" t="s">
        <v>18</v>
      </c>
      <c r="I1" s="12"/>
      <c r="J1" s="12"/>
      <c r="K1" s="13" t="s">
        <v>30</v>
      </c>
      <c r="L1" s="12"/>
      <c r="M1" s="12"/>
      <c r="N1" s="12"/>
      <c r="O1" s="12"/>
      <c r="P1" s="12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C2" s="10" t="s">
        <v>21</v>
      </c>
      <c r="D2" s="11" t="s">
        <v>15</v>
      </c>
      <c r="E2" s="11" t="s">
        <v>16</v>
      </c>
      <c r="F2" s="11" t="s">
        <v>15</v>
      </c>
      <c r="G2" s="11" t="s">
        <v>16</v>
      </c>
      <c r="H2" s="11" t="s">
        <v>16</v>
      </c>
      <c r="I2" s="12"/>
      <c r="J2" s="12"/>
      <c r="K2" s="13" t="s">
        <v>8</v>
      </c>
      <c r="L2" s="12"/>
      <c r="M2" s="12"/>
      <c r="N2" s="12"/>
      <c r="O2" s="12"/>
      <c r="P2" s="12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0" t="s">
        <v>0</v>
      </c>
      <c r="B3" s="10" t="s">
        <v>1</v>
      </c>
      <c r="C3" s="10" t="s">
        <v>2</v>
      </c>
      <c r="D3" s="15"/>
      <c r="E3" s="15"/>
      <c r="F3" s="15"/>
      <c r="G3" s="15"/>
      <c r="H3" s="15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6" t="str">
        <f>IFERROR(__xludf.DUMMYFUNCTION("UNIQUE(Data!A2:C1000)"),"1000")</f>
        <v>1000</v>
      </c>
      <c r="B4" s="16">
        <v>1.0</v>
      </c>
      <c r="C4" s="16">
        <v>1.0</v>
      </c>
      <c r="D4" s="17" t="str">
        <f>IFERROR(__xludf.DUMMYFUNCTION("DMAX({{Data!$A$1:$M$1};filter(Data!$A$2:$M1000,Data!$A$2:$A1000=$A4 , Data!$B$2:$B1000 = $B4,Data!$C$2:$C1000 = $C4, Data!$D$2:$D1000 = D$1, Data!$E$2:$E1000 = D$2 )},$K$2  , $Q$22:$Q$23)"),"208278.4851")</f>
        <v>208278.4851</v>
      </c>
      <c r="E4" s="17" t="str">
        <f>IFERROR(__xludf.DUMMYFUNCTION("DMAX({{Data!$A$1:$M$1};filter(Data!$A$2:$M1000,Data!$A$2:$A1000=$A4 , Data!$B$2:$B1000 = $B4,Data!$C$2:$C1000 = $C4, Data!$D$2:$D1000 = E$1, Data!$E$2:$E1000 = E$2 )},$K$2  , $Q$22:$Q$23)"),"208550.8387")</f>
        <v>208550.8387</v>
      </c>
      <c r="F4" s="17" t="str">
        <f>IFERROR(__xludf.DUMMYFUNCTION("DMAX({{Data!$A$1:$M$1};filter(Data!$A$2:$M1000,Data!$A$2:$A1000=$A4 , Data!$B$2:$B1000 = $B4,Data!$C$2:$C1000 = $C4, Data!$D$2:$D1000 = F$1, Data!$E$2:$E1000 = F$2 )},$K$2  , $Q$22:$Q$23)"),"208254.2482")</f>
        <v>208254.2482</v>
      </c>
      <c r="G4" s="17" t="str">
        <f>IFERROR(__xludf.DUMMYFUNCTION("DMAX({{Data!$A$1:$M$1};filter(Data!$A$2:$M1000,Data!$A$2:$A1000=$A4 , Data!$B$2:$B1000 = $B4,Data!$C$2:$C1000 = $C4, Data!$D$2:$D1000 = G$1, Data!$E$2:$E1000 = G$2 )},$K$2  , $Q$22:$Q$23)"),"208549.7387")</f>
        <v>208549.7387</v>
      </c>
      <c r="H4" s="17" t="str">
        <f>IFERROR(__xludf.DUMMYFUNCTION("DMAX({{Data!$A$1:$M$1};filter(Data!$A$2:$M1000,Data!$A$2:$A1000=$A4 , Data!$B$2:$B1000 = $B4,Data!$C$2:$C1000 = $C4, Data!$D$2:$D1000 = H$1, Data!$E$2:$E1000 = H$2 )},$K$2  , $Q$22:$Q$23)"),"208562.1235")</f>
        <v>208562.1235</v>
      </c>
      <c r="I4" s="18"/>
      <c r="J4" s="18"/>
      <c r="K4" s="18"/>
      <c r="L4" s="18"/>
      <c r="M4" s="18"/>
      <c r="N4" s="18"/>
      <c r="O4" s="18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6">
        <v>1000.0</v>
      </c>
      <c r="B5" s="16">
        <v>1.0</v>
      </c>
      <c r="C5" s="16">
        <v>2.0</v>
      </c>
      <c r="D5" s="17" t="str">
        <f>IFERROR(__xludf.DUMMYFUNCTION("DMAX({{Data!$A$1:$M$1};filter(Data!$A$2:$M1000,Data!$A$2:$A1000=$A5 , Data!$B$2:$B1000 = $B5,Data!$C$2:$C1000 = $C5, Data!$D$2:$D1000 = D$1, Data!$E$2:$E1000 = D$2 )},$K$2  , $Q$22:$Q$23)"),"204409.9444")</f>
        <v>204409.9444</v>
      </c>
      <c r="E5" s="17" t="str">
        <f>IFERROR(__xludf.DUMMYFUNCTION("DMAX({{Data!$A$1:$M$1};filter(Data!$A$2:$M1000,Data!$A$2:$A1000=$A5 , Data!$B$2:$B1000 = $B5,Data!$C$2:$C1000 = $C5, Data!$D$2:$D1000 = E$1, Data!$E$2:$E1000 = E$2 )},$K$2  , $Q$22:$Q$23)"),"204636.5454")</f>
        <v>204636.5454</v>
      </c>
      <c r="F5" s="17" t="str">
        <f>IFERROR(__xludf.DUMMYFUNCTION("DMAX({{Data!$A$1:$M$1};filter(Data!$A$2:$M1000,Data!$A$2:$A1000=$A5 , Data!$B$2:$B1000 = $B5,Data!$C$2:$C1000 = $C5, Data!$D$2:$D1000 = F$1, Data!$E$2:$E1000 = F$2 )},$K$2  , $Q$22:$Q$23)"),"204419.2693")</f>
        <v>204419.2693</v>
      </c>
      <c r="G5" s="17" t="str">
        <f>IFERROR(__xludf.DUMMYFUNCTION("DMAX({{Data!$A$1:$M$1};filter(Data!$A$2:$M1000,Data!$A$2:$A1000=$A5 , Data!$B$2:$B1000 = $B5,Data!$C$2:$C1000 = $C5, Data!$D$2:$D1000 = G$1, Data!$E$2:$E1000 = G$2 )},$K$2  , $Q$22:$Q$23)"),"204642.4234")</f>
        <v>204642.4234</v>
      </c>
      <c r="H5" s="17" t="str">
        <f>IFERROR(__xludf.DUMMYFUNCTION("DMAX({{Data!$A$1:$M$1};filter(Data!$A$2:$M1000,Data!$A$2:$A1000=$A5 , Data!$B$2:$B1000 = $B5,Data!$C$2:$C1000 = $C5, Data!$D$2:$D1000 = H$1, Data!$E$2:$E1000 = H$2 )},$K$2  , $Q$22:$Q$23)"),"204634.7339")</f>
        <v>204634.7339</v>
      </c>
      <c r="I5" s="18"/>
      <c r="J5" s="18"/>
      <c r="K5" s="18"/>
      <c r="L5" s="18"/>
      <c r="M5" s="18"/>
      <c r="N5" s="18"/>
      <c r="O5" s="18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6">
        <v>1000.0</v>
      </c>
      <c r="B6" s="16">
        <v>1.0</v>
      </c>
      <c r="C6" s="16">
        <v>3.0</v>
      </c>
      <c r="D6" s="17" t="str">
        <f>IFERROR(__xludf.DUMMYFUNCTION("DMAX({{Data!$A$1:$M$1};filter(Data!$A$2:$M1000,Data!$A$2:$A1000=$A6 , Data!$B$2:$B1000 = $B6,Data!$C$2:$C1000 = $C6, Data!$D$2:$D1000 = D$1, Data!$E$2:$E1000 = D$2 )},$K$2  , $Q$22:$Q$23)"),"203048.8247")</f>
        <v>203048.8247</v>
      </c>
      <c r="E6" s="17" t="str">
        <f>IFERROR(__xludf.DUMMYFUNCTION("DMAX({{Data!$A$1:$M$1};filter(Data!$A$2:$M1000,Data!$A$2:$A1000=$A6 , Data!$B$2:$B1000 = $B6,Data!$C$2:$C1000 = $C6, Data!$D$2:$D1000 = E$1, Data!$E$2:$E1000 = E$2 )},$K$2  , $Q$22:$Q$23)"),"203258.9357")</f>
        <v>203258.9357</v>
      </c>
      <c r="F6" s="17" t="str">
        <f>IFERROR(__xludf.DUMMYFUNCTION("DMAX({{Data!$A$1:$M$1};filter(Data!$A$2:$M1000,Data!$A$2:$A1000=$A6 , Data!$B$2:$B1000 = $B6,Data!$C$2:$C1000 = $C6, Data!$D$2:$D1000 = F$1, Data!$E$2:$E1000 = F$2 )},$K$2  , $Q$22:$Q$23)"),"203033.9549")</f>
        <v>203033.9549</v>
      </c>
      <c r="G6" s="17" t="str">
        <f>IFERROR(__xludf.DUMMYFUNCTION("DMAX({{Data!$A$1:$M$1};filter(Data!$A$2:$M1000,Data!$A$2:$A1000=$A6 , Data!$B$2:$B1000 = $B6,Data!$C$2:$C1000 = $C6, Data!$D$2:$D1000 = G$1, Data!$E$2:$E1000 = G$2 )},$K$2  , $Q$22:$Q$23)"),"203257.0066")</f>
        <v>203257.0066</v>
      </c>
      <c r="H6" s="17" t="str">
        <f>IFERROR(__xludf.DUMMYFUNCTION("DMAX({{Data!$A$1:$M$1};filter(Data!$A$2:$M1000,Data!$A$2:$A1000=$A6 , Data!$B$2:$B1000 = $B6,Data!$C$2:$C1000 = $C6, Data!$D$2:$D1000 = H$1, Data!$E$2:$E1000 = H$2 )},$K$2  , $Q$22:$Q$23)"),"203247.9409")</f>
        <v>203247.9409</v>
      </c>
      <c r="I6" s="18"/>
      <c r="J6" s="18"/>
      <c r="K6" s="18"/>
      <c r="L6" s="18"/>
      <c r="M6" s="18"/>
      <c r="N6" s="18"/>
      <c r="O6" s="1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6">
        <v>1000.0</v>
      </c>
      <c r="B7" s="16">
        <v>1.0</v>
      </c>
      <c r="C7" s="16">
        <v>4.0</v>
      </c>
      <c r="D7" s="17" t="str">
        <f>IFERROR(__xludf.DUMMYFUNCTION("DMAX({{Data!$A$1:$M$1};filter(Data!$A$2:$M1000,Data!$A$2:$A1000=$A7 , Data!$B$2:$B1000 = $B7,Data!$C$2:$C1000 = $C7, Data!$D$2:$D1000 = D$1, Data!$E$2:$E1000 = D$2 )},$K$2  , $Q$22:$Q$23)"),"211538.4519")</f>
        <v>211538.4519</v>
      </c>
      <c r="E7" s="17" t="str">
        <f>IFERROR(__xludf.DUMMYFUNCTION("DMAX({{Data!$A$1:$M$1};filter(Data!$A$2:$M1000,Data!$A$2:$A1000=$A7 , Data!$B$2:$B1000 = $B7,Data!$C$2:$C1000 = $C7, Data!$D$2:$D1000 = E$1, Data!$E$2:$E1000 = E$2 )},$K$2  , $Q$22:$Q$23)"),"211773.7777")</f>
        <v>211773.7777</v>
      </c>
      <c r="F7" s="17" t="str">
        <f>IFERROR(__xludf.DUMMYFUNCTION("DMAX({{Data!$A$1:$M$1};filter(Data!$A$2:$M1000,Data!$A$2:$A1000=$A7 , Data!$B$2:$B1000 = $B7,Data!$C$2:$C1000 = $C7, Data!$D$2:$D1000 = F$1, Data!$E$2:$E1000 = F$2 )},$K$2  , $Q$22:$Q$23)"),"211511.3884")</f>
        <v>211511.3884</v>
      </c>
      <c r="G7" s="17" t="str">
        <f>IFERROR(__xludf.DUMMYFUNCTION("DMAX({{Data!$A$1:$M$1};filter(Data!$A$2:$M1000,Data!$A$2:$A1000=$A7 , Data!$B$2:$B1000 = $B7,Data!$C$2:$C1000 = $C7, Data!$D$2:$D1000 = G$1, Data!$E$2:$E1000 = G$2 )},$K$2  , $Q$22:$Q$23)"),"211781.0077")</f>
        <v>211781.0077</v>
      </c>
      <c r="H7" s="17" t="str">
        <f>IFERROR(__xludf.DUMMYFUNCTION("DMAX({{Data!$A$1:$M$1};filter(Data!$A$2:$M1000,Data!$A$2:$A1000=$A7 , Data!$B$2:$B1000 = $B7,Data!$C$2:$C1000 = $C7, Data!$D$2:$D1000 = H$1, Data!$E$2:$E1000 = H$2 )},$K$2  , $Q$22:$Q$23)"),"211807.4736")</f>
        <v>211807.4736</v>
      </c>
      <c r="I7" s="18"/>
      <c r="J7" s="18"/>
      <c r="K7" s="18"/>
      <c r="L7" s="18"/>
      <c r="M7" s="18"/>
      <c r="N7" s="18"/>
      <c r="O7" s="18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9">
        <v>1000.0</v>
      </c>
      <c r="B8" s="19">
        <v>1.0</v>
      </c>
      <c r="C8" s="19">
        <v>5.0</v>
      </c>
      <c r="D8" s="20" t="str">
        <f>IFERROR(__xludf.DUMMYFUNCTION("DMAX({{Data!$A$1:$M$1};filter(Data!$A$2:$M1000,Data!$A$2:$A1000=$A8 , Data!$B$2:$B1000 = $B8,Data!$C$2:$C1000 = $C8, Data!$D$2:$D1000 = D$1, Data!$E$2:$E1000 = D$2 )},$K$2  , $Q$22:$Q$23)"),"209819.6634")</f>
        <v>209819.6634</v>
      </c>
      <c r="E8" s="20" t="str">
        <f>IFERROR(__xludf.DUMMYFUNCTION("DMAX({{Data!$A$1:$M$1};filter(Data!$A$2:$M1000,Data!$A$2:$A1000=$A8 , Data!$B$2:$B1000 = $B8,Data!$C$2:$C1000 = $C8, Data!$D$2:$D1000 = E$1, Data!$E$2:$E1000 = E$2 )},$K$2  , $Q$22:$Q$23)"),"210013.5503")</f>
        <v>210013.5503</v>
      </c>
      <c r="F8" s="20" t="str">
        <f>IFERROR(__xludf.DUMMYFUNCTION("DMAX({{Data!$A$1:$M$1};filter(Data!$A$2:$M1000,Data!$A$2:$A1000=$A8 , Data!$B$2:$B1000 = $B8,Data!$C$2:$C1000 = $C8, Data!$D$2:$D1000 = F$1, Data!$E$2:$E1000 = F$2 )},$K$2  , $Q$22:$Q$23)"),"209851.0549")</f>
        <v>209851.0549</v>
      </c>
      <c r="G8" s="20" t="str">
        <f>IFERROR(__xludf.DUMMYFUNCTION("DMAX({{Data!$A$1:$M$1};filter(Data!$A$2:$M1000,Data!$A$2:$A1000=$A8 , Data!$B$2:$B1000 = $B8,Data!$C$2:$C1000 = $C8, Data!$D$2:$D1000 = G$1, Data!$E$2:$E1000 = G$2 )},$K$2  , $Q$22:$Q$23)"),"210030.6227")</f>
        <v>210030.6227</v>
      </c>
      <c r="H8" s="20" t="str">
        <f>IFERROR(__xludf.DUMMYFUNCTION("DMAX({{Data!$A$1:$M$1};filter(Data!$A$2:$M1000,Data!$A$2:$A1000=$A8 , Data!$B$2:$B1000 = $B8,Data!$C$2:$C1000 = $C8, Data!$D$2:$D1000 = H$1, Data!$E$2:$E1000 = H$2 )},$K$2  , $Q$22:$Q$23)"),"210002.1032")</f>
        <v>210002.1032</v>
      </c>
      <c r="I8" s="18"/>
      <c r="J8" s="18"/>
      <c r="K8" s="18"/>
      <c r="L8" s="18"/>
      <c r="M8" s="18"/>
      <c r="N8" s="18"/>
      <c r="O8" s="18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6">
        <v>1000.0</v>
      </c>
      <c r="B9" s="16">
        <v>5.0</v>
      </c>
      <c r="C9" s="16">
        <v>1.0</v>
      </c>
      <c r="D9" s="21" t="str">
        <f>IFERROR(__xludf.DUMMYFUNCTION("DMAX({{Data!$A$1:$M$1};filter(Data!$A$2:$M1000,Data!$A$2:$A1000=$A9 , Data!$B$2:$B1000 = $B9,Data!$C$2:$C1000 = $C9, Data!$D$2:$D1000 = D$1, Data!$E$2:$E1000 = D$2 )},$K$2  , $Q$22:$Q$23)"),"853135.5336")</f>
        <v>853135.5336</v>
      </c>
      <c r="E9" s="21" t="str">
        <f>IFERROR(__xludf.DUMMYFUNCTION("DMAX({{Data!$A$1:$M$1};filter(Data!$A$2:$M1000,Data!$A$2:$A1000=$A9 , Data!$B$2:$B1000 = $B9,Data!$C$2:$C1000 = $C9, Data!$D$2:$D1000 = E$1, Data!$E$2:$E1000 = E$2 )},$K$2  , $Q$22:$Q$23)"),"854168.4613")</f>
        <v>854168.4613</v>
      </c>
      <c r="F9" s="21" t="str">
        <f>IFERROR(__xludf.DUMMYFUNCTION("DMAX({{Data!$A$1:$M$1};filter(Data!$A$2:$M1000,Data!$A$2:$A1000=$A9 , Data!$B$2:$B1000 = $B9,Data!$C$2:$C1000 = $C9, Data!$D$2:$D1000 = F$1, Data!$E$2:$E1000 = F$2 )},$K$2  , $Q$22:$Q$23)"),"853190.7272")</f>
        <v>853190.7272</v>
      </c>
      <c r="G9" s="21" t="str">
        <f>IFERROR(__xludf.DUMMYFUNCTION("DMAX({{Data!$A$1:$M$1};filter(Data!$A$2:$M1000,Data!$A$2:$A1000=$A9 , Data!$B$2:$B1000 = $B9,Data!$C$2:$C1000 = $C9, Data!$D$2:$D1000 = G$1, Data!$E$2:$E1000 = G$2 )},$K$2  , $Q$22:$Q$23)"),"854292.7061")</f>
        <v>854292.7061</v>
      </c>
      <c r="H9" s="21" t="str">
        <f>IFERROR(__xludf.DUMMYFUNCTION("DMAX({{Data!$A$1:$M$1};filter(Data!$A$2:$M1000,Data!$A$2:$A1000=$A9 , Data!$B$2:$B1000 = $B9,Data!$C$2:$C1000 = $C9, Data!$D$2:$D1000 = H$1, Data!$E$2:$E1000 = H$2 )},$K$2  , $Q$22:$Q$23)"),"854135.5247")</f>
        <v>854135.5247</v>
      </c>
      <c r="I9" s="18"/>
      <c r="J9" s="18"/>
      <c r="K9" s="18"/>
      <c r="L9" s="18"/>
      <c r="M9" s="18"/>
      <c r="N9" s="18"/>
      <c r="O9" s="18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22">
        <v>1000.0</v>
      </c>
      <c r="B10" s="22">
        <v>5.0</v>
      </c>
      <c r="C10" s="22">
        <v>2.0</v>
      </c>
      <c r="D10" s="23" t="str">
        <f>IFERROR(__xludf.DUMMYFUNCTION("DMAX({{Data!$A$1:$M$1};filter(Data!$A$2:$M1000,Data!$A$2:$A1000=$A10 , Data!$B$2:$B1000 = $B10,Data!$C$2:$C1000 = $C10, Data!$D$2:$D1000 = D$1, Data!$E$2:$E1000 = D$2 )},$K$2  , $Q$22:$Q$23)"),"857685.3739")</f>
        <v>857685.3739</v>
      </c>
      <c r="E10" s="23" t="str">
        <f>IFERROR(__xludf.DUMMYFUNCTION("DMAX({{Data!$A$1:$M$1};filter(Data!$A$2:$M1000,Data!$A$2:$A1000=$A10 , Data!$B$2:$B1000 = $B10,Data!$C$2:$C1000 = $C10, Data!$D$2:$D1000 = E$1, Data!$E$2:$E1000 = E$2 )},$K$2  , $Q$22:$Q$23)"),"858683.3576")</f>
        <v>858683.3576</v>
      </c>
      <c r="F10" s="23" t="str">
        <f>IFERROR(__xludf.DUMMYFUNCTION("DMAX({{Data!$A$1:$M$1};filter(Data!$A$2:$M1000,Data!$A$2:$A1000=$A10 , Data!$B$2:$B1000 = $B10,Data!$C$2:$C1000 = $C10, Data!$D$2:$D1000 = F$1, Data!$E$2:$E1000 = F$2 )},$K$2  , $Q$22:$Q$23)"),"857658.6853")</f>
        <v>857658.6853</v>
      </c>
      <c r="G10" s="23" t="str">
        <f>IFERROR(__xludf.DUMMYFUNCTION("DMAX({{Data!$A$1:$M$1};filter(Data!$A$2:$M1000,Data!$A$2:$A1000=$A10 , Data!$B$2:$B1000 = $B10,Data!$C$2:$C1000 = $C10, Data!$D$2:$D1000 = G$1, Data!$E$2:$E1000 = G$2 )},$K$2  , $Q$22:$Q$23)"),"858589.2781")</f>
        <v>858589.2781</v>
      </c>
      <c r="H10" s="23" t="str">
        <f>IFERROR(__xludf.DUMMYFUNCTION("DMAX({{Data!$A$1:$M$1};filter(Data!$A$2:$M1000,Data!$A$2:$A1000=$A10 , Data!$B$2:$B1000 = $B10,Data!$C$2:$C1000 = $C10, Data!$D$2:$D1000 = H$1, Data!$E$2:$E1000 = H$2 )},$K$2  , $Q$22:$Q$23)"),"858640.6649")</f>
        <v>858640.6649</v>
      </c>
      <c r="I10" s="18"/>
      <c r="J10" s="18"/>
      <c r="K10" s="18"/>
      <c r="L10" s="18"/>
      <c r="M10" s="18"/>
      <c r="N10" s="18"/>
      <c r="O10" s="18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6">
        <v>1000.0</v>
      </c>
      <c r="B11" s="16">
        <v>5.0</v>
      </c>
      <c r="C11" s="16">
        <v>3.0</v>
      </c>
      <c r="D11" s="24" t="str">
        <f>IFERROR(__xludf.DUMMYFUNCTION("DMAX({{Data!$A$1:$M$1};filter(Data!$A$2:$M1000,Data!$A$2:$A1000=$A11 , Data!$B$2:$B1000 = $B11,Data!$C$2:$C1000 = $C11, Data!$D$2:$D1000 = D$1, Data!$E$2:$E1000 = D$2 )},$K$2  , $Q$22:$Q$23)"),"862810.8571")</f>
        <v>862810.8571</v>
      </c>
      <c r="E11" s="24" t="str">
        <f>IFERROR(__xludf.DUMMYFUNCTION("DMAX({{Data!$A$1:$M$1};filter(Data!$A$2:$M1000,Data!$A$2:$A1000=$A11 , Data!$B$2:$B1000 = $B11,Data!$C$2:$C1000 = $C11, Data!$D$2:$D1000 = E$1, Data!$E$2:$E1000 = E$2 )},$K$2  , $Q$22:$Q$23)"),"863893.3455")</f>
        <v>863893.3455</v>
      </c>
      <c r="F11" s="24" t="str">
        <f>IFERROR(__xludf.DUMMYFUNCTION("DMAX({{Data!$A$1:$M$1};filter(Data!$A$2:$M1000,Data!$A$2:$A1000=$A11 , Data!$B$2:$B1000 = $B11,Data!$C$2:$C1000 = $C11, Data!$D$2:$D1000 = F$1, Data!$E$2:$E1000 = F$2 )},$K$2  , $Q$22:$Q$23)"),"862875.3532")</f>
        <v>862875.3532</v>
      </c>
      <c r="G11" s="24" t="str">
        <f>IFERROR(__xludf.DUMMYFUNCTION("DMAX({{Data!$A$1:$M$1};filter(Data!$A$2:$M1000,Data!$A$2:$A1000=$A11 , Data!$B$2:$B1000 = $B11,Data!$C$2:$C1000 = $C11, Data!$D$2:$D1000 = G$1, Data!$E$2:$E1000 = G$2 )},$K$2  , $Q$22:$Q$23)"),"863847.9397")</f>
        <v>863847.9397</v>
      </c>
      <c r="H11" s="24" t="str">
        <f>IFERROR(__xludf.DUMMYFUNCTION("DMAX({{Data!$A$1:$M$1};filter(Data!$A$2:$M1000,Data!$A$2:$A1000=$A11 , Data!$B$2:$B1000 = $B11,Data!$C$2:$C1000 = $C11, Data!$D$2:$D1000 = H$1, Data!$E$2:$E1000 = H$2 )},$K$2  , $Q$22:$Q$23)"),"863836.3799")</f>
        <v>863836.3799</v>
      </c>
      <c r="I11" s="18"/>
      <c r="J11" s="18"/>
      <c r="K11" s="18"/>
      <c r="L11" s="18"/>
      <c r="M11" s="18"/>
      <c r="N11" s="18"/>
      <c r="O11" s="18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6">
        <v>1000.0</v>
      </c>
      <c r="B12" s="16">
        <v>5.0</v>
      </c>
      <c r="C12" s="16">
        <v>4.0</v>
      </c>
      <c r="D12" s="24" t="str">
        <f>IFERROR(__xludf.DUMMYFUNCTION("DMAX({{Data!$A$1:$M$1};filter(Data!$A$2:$M1000,Data!$A$2:$A1000=$A12 , Data!$B$2:$B1000 = $B12,Data!$C$2:$C1000 = $C12, Data!$D$2:$D1000 = D$1, Data!$E$2:$E1000 = D$2 )},$K$2  , $Q$22:$Q$23)"),"862037.5982")</f>
        <v>862037.5982</v>
      </c>
      <c r="E12" s="24" t="str">
        <f>IFERROR(__xludf.DUMMYFUNCTION("DMAX({{Data!$A$1:$M$1};filter(Data!$A$2:$M1000,Data!$A$2:$A1000=$A12 , Data!$B$2:$B1000 = $B12,Data!$C$2:$C1000 = $C12, Data!$D$2:$D1000 = E$1, Data!$E$2:$E1000 = E$2 )},$K$2  , $Q$22:$Q$23)"),"863135.8891")</f>
        <v>863135.8891</v>
      </c>
      <c r="F12" s="24" t="str">
        <f>IFERROR(__xludf.DUMMYFUNCTION("DMAX({{Data!$A$1:$M$1};filter(Data!$A$2:$M1000,Data!$A$2:$A1000=$A12 , Data!$B$2:$B1000 = $B12,Data!$C$2:$C1000 = $C12, Data!$D$2:$D1000 = F$1, Data!$E$2:$E1000 = F$2 )},$K$2  , $Q$22:$Q$23)"),"862038.7487")</f>
        <v>862038.7487</v>
      </c>
      <c r="G12" s="24" t="str">
        <f>IFERROR(__xludf.DUMMYFUNCTION("DMAX({{Data!$A$1:$M$1};filter(Data!$A$2:$M1000,Data!$A$2:$A1000=$A12 , Data!$B$2:$B1000 = $B12,Data!$C$2:$C1000 = $C12, Data!$D$2:$D1000 = G$1, Data!$E$2:$E1000 = G$2 )},$K$2  , $Q$22:$Q$23)"),"863149.7012")</f>
        <v>863149.7012</v>
      </c>
      <c r="H12" s="24" t="str">
        <f>IFERROR(__xludf.DUMMYFUNCTION("DMAX({{Data!$A$1:$M$1};filter(Data!$A$2:$M1000,Data!$A$2:$A1000=$A12 , Data!$B$2:$B1000 = $B12,Data!$C$2:$C1000 = $C12, Data!$D$2:$D1000 = H$1, Data!$E$2:$E1000 = H$2 )},$K$2  , $Q$22:$Q$23)"),"863044.4535")</f>
        <v>863044.4535</v>
      </c>
      <c r="I12" s="18"/>
      <c r="J12" s="18"/>
      <c r="K12" s="18"/>
      <c r="L12" s="18"/>
      <c r="M12" s="18"/>
      <c r="N12" s="18"/>
      <c r="O12" s="18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6">
        <v>1000.0</v>
      </c>
      <c r="B13" s="16">
        <v>5.0</v>
      </c>
      <c r="C13" s="16">
        <v>5.0</v>
      </c>
      <c r="D13" s="24" t="str">
        <f>IFERROR(__xludf.DUMMYFUNCTION("DMAX({{Data!$A$1:$M$1};filter(Data!$A$2:$M1000,Data!$A$2:$A1000=$A13 , Data!$B$2:$B1000 = $B13,Data!$C$2:$C1000 = $C13, Data!$D$2:$D1000 = D$1, Data!$E$2:$E1000 = D$2 )},$K$2  , $Q$22:$Q$23)"),"856673.6429")</f>
        <v>856673.6429</v>
      </c>
      <c r="E13" s="24" t="str">
        <f>IFERROR(__xludf.DUMMYFUNCTION("DMAX({{Data!$A$1:$M$1};filter(Data!$A$2:$M1000,Data!$A$2:$A1000=$A13 , Data!$B$2:$B1000 = $B13,Data!$C$2:$C1000 = $C13, Data!$D$2:$D1000 = E$1, Data!$E$2:$E1000 = E$2 )},$K$2  , $Q$22:$Q$23)"),"857720.9851")</f>
        <v>857720.9851</v>
      </c>
      <c r="F13" s="24" t="str">
        <f>IFERROR(__xludf.DUMMYFUNCTION("DMAX({{Data!$A$1:$M$1};filter(Data!$A$2:$M1000,Data!$A$2:$A1000=$A13 , Data!$B$2:$B1000 = $B13,Data!$C$2:$C1000 = $C13, Data!$D$2:$D1000 = F$1, Data!$E$2:$E1000 = F$2 )},$K$2  , $Q$22:$Q$23)"),"856634.9206")</f>
        <v>856634.9206</v>
      </c>
      <c r="G13" s="24" t="str">
        <f>IFERROR(__xludf.DUMMYFUNCTION("DMAX({{Data!$A$1:$M$1};filter(Data!$A$2:$M1000,Data!$A$2:$A1000=$A13 , Data!$B$2:$B1000 = $B13,Data!$C$2:$C1000 = $C13, Data!$D$2:$D1000 = G$1, Data!$E$2:$E1000 = G$2 )},$K$2  , $Q$22:$Q$23)"),"857753.4725")</f>
        <v>857753.4725</v>
      </c>
      <c r="H13" s="24" t="str">
        <f>IFERROR(__xludf.DUMMYFUNCTION("DMAX({{Data!$A$1:$M$1};filter(Data!$A$2:$M1000,Data!$A$2:$A1000=$A13 , Data!$B$2:$B1000 = $B13,Data!$C$2:$C1000 = $C13, Data!$D$2:$D1000 = H$1, Data!$E$2:$E1000 = H$2 )},$K$2  , $Q$22:$Q$23)"),"857650.2912")</f>
        <v>857650.2912</v>
      </c>
      <c r="I13" s="18"/>
      <c r="J13" s="18"/>
      <c r="K13" s="18"/>
      <c r="L13" s="18"/>
      <c r="M13" s="18"/>
      <c r="N13" s="18"/>
      <c r="O13" s="18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6">
        <v>1000.0</v>
      </c>
      <c r="B14" s="16">
        <v>10.0</v>
      </c>
      <c r="C14" s="16">
        <v>1.0</v>
      </c>
      <c r="D14" s="25" t="str">
        <f>IFERROR(__xludf.DUMMYFUNCTION("DMAX({{Data!$A$1:$M$1};filter(Data!$A$2:$M1000,Data!$A$2:$A1000=$A14 , Data!$B$2:$B1000 = $B14,Data!$C$2:$C1000 = $C14, Data!$D$2:$D1000 = D$1, Data!$E$2:$E1000 = D$2 )},$K$2  , $Q$22:$Q$23)"),"1602408.897")</f>
        <v>1602408.897</v>
      </c>
      <c r="E14" s="25" t="str">
        <f>IFERROR(__xludf.DUMMYFUNCTION("DMAX({{Data!$A$1:$M$1};filter(Data!$A$2:$M1000,Data!$A$2:$A1000=$A14 , Data!$B$2:$B1000 = $B14,Data!$C$2:$C1000 = $C14, Data!$D$2:$D1000 = E$1, Data!$E$2:$E1000 = E$2 )},$K$2  , $Q$22:$Q$23)"),"1604014.452")</f>
        <v>1604014.452</v>
      </c>
      <c r="F14" s="25" t="str">
        <f>IFERROR(__xludf.DUMMYFUNCTION("DMAX({{Data!$A$1:$M$1};filter(Data!$A$2:$M1000,Data!$A$2:$A1000=$A14 , Data!$B$2:$B1000 = $B14,Data!$C$2:$C1000 = $C14, Data!$D$2:$D1000 = F$1, Data!$E$2:$E1000 = F$2 )},$K$2  , $Q$22:$Q$23)"),"1602743.606")</f>
        <v>1602743.606</v>
      </c>
      <c r="G14" s="25" t="str">
        <f>IFERROR(__xludf.DUMMYFUNCTION("DMAX({{Data!$A$1:$M$1};filter(Data!$A$2:$M1000,Data!$A$2:$A1000=$A14 , Data!$B$2:$B1000 = $B14,Data!$C$2:$C1000 = $C14, Data!$D$2:$D1000 = G$1, Data!$E$2:$E1000 = G$2 )},$K$2  , $Q$22:$Q$23)"),"1603995.35")</f>
        <v>1603995.35</v>
      </c>
      <c r="H14" s="25" t="str">
        <f>IFERROR(__xludf.DUMMYFUNCTION("DMAX({{Data!$A$1:$M$1};filter(Data!$A$2:$M1000,Data!$A$2:$A1000=$A14 , Data!$B$2:$B1000 = $B14,Data!$C$2:$C1000 = $C14, Data!$D$2:$D1000 = H$1, Data!$E$2:$E1000 = H$2 )},$K$2  , $Q$22:$Q$23)"),"1604021.898")</f>
        <v>1604021.898</v>
      </c>
      <c r="I14" s="18"/>
      <c r="J14" s="18"/>
      <c r="K14" s="18"/>
      <c r="L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6">
        <v>1000.0</v>
      </c>
      <c r="B15" s="16">
        <v>10.0</v>
      </c>
      <c r="C15" s="16">
        <v>2.0</v>
      </c>
      <c r="D15" s="25" t="str">
        <f>IFERROR(__xludf.DUMMYFUNCTION("DMAX({{Data!$A$1:$M$1};filter(Data!$A$2:$M1000,Data!$A$2:$A1000=$A15 , Data!$B$2:$B1000 = $B15,Data!$C$2:$C1000 = $C15, Data!$D$2:$D1000 = D$1, Data!$E$2:$E1000 = D$2 )},$K$2  , $Q$22:$Q$23)"),"1622055.952")</f>
        <v>1622055.952</v>
      </c>
      <c r="E15" s="25" t="str">
        <f>IFERROR(__xludf.DUMMYFUNCTION("DMAX({{Data!$A$1:$M$1};filter(Data!$A$2:$M1000,Data!$A$2:$A1000=$A15 , Data!$B$2:$B1000 = $B15,Data!$C$2:$C1000 = $C15, Data!$D$2:$D1000 = E$1, Data!$E$2:$E1000 = E$2 )},$K$2  , $Q$22:$Q$23)"),"1623566.899")</f>
        <v>1623566.899</v>
      </c>
      <c r="F15" s="25" t="str">
        <f>IFERROR(__xludf.DUMMYFUNCTION("DMAX({{Data!$A$1:$M$1};filter(Data!$A$2:$M1000,Data!$A$2:$A1000=$A15 , Data!$B$2:$B1000 = $B15,Data!$C$2:$C1000 = $C15, Data!$D$2:$D1000 = F$1, Data!$E$2:$E1000 = F$2 )},$K$2  , $Q$22:$Q$23)"),"1621965.962")</f>
        <v>1621965.962</v>
      </c>
      <c r="G15" s="25" t="str">
        <f>IFERROR(__xludf.DUMMYFUNCTION("DMAX({{Data!$A$1:$M$1};filter(Data!$A$2:$M1000,Data!$A$2:$A1000=$A15 , Data!$B$2:$B1000 = $B15,Data!$C$2:$C1000 = $C15, Data!$D$2:$D1000 = G$1, Data!$E$2:$E1000 = G$2 )},$K$2  , $Q$22:$Q$23)"),"1623771.185")</f>
        <v>1623771.185</v>
      </c>
      <c r="H15" s="25" t="str">
        <f>IFERROR(__xludf.DUMMYFUNCTION("DMAX({{Data!$A$1:$M$1};filter(Data!$A$2:$M1000,Data!$A$2:$A1000=$A15 , Data!$B$2:$B1000 = $B15,Data!$C$2:$C1000 = $C15, Data!$D$2:$D1000 = H$1, Data!$E$2:$E1000 = H$2 )},$K$2  , $Q$22:$Q$23)"),"1623669.138")</f>
        <v>1623669.138</v>
      </c>
      <c r="I15" s="18"/>
      <c r="J15" s="18"/>
      <c r="K15" s="18"/>
      <c r="L15" s="18"/>
      <c r="M15" s="18"/>
      <c r="N15" s="18"/>
      <c r="O15" s="18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6">
        <v>1000.0</v>
      </c>
      <c r="B16" s="16">
        <v>10.0</v>
      </c>
      <c r="C16" s="16">
        <v>3.0</v>
      </c>
      <c r="D16" s="25" t="str">
        <f>IFERROR(__xludf.DUMMYFUNCTION("DMAX({{Data!$A$1:$M$1};filter(Data!$A$2:$M1000,Data!$A$2:$A1000=$A16 , Data!$B$2:$B1000 = $B16,Data!$C$2:$C1000 = $C16, Data!$D$2:$D1000 = D$1, Data!$E$2:$E1000 = D$2 )},$K$2  , $Q$22:$Q$23)"),"1621497.04")</f>
        <v>1621497.04</v>
      </c>
      <c r="E16" s="25" t="str">
        <f>IFERROR(__xludf.DUMMYFUNCTION("DMAX({{Data!$A$1:$M$1};filter(Data!$A$2:$M1000,Data!$A$2:$A1000=$A16 , Data!$B$2:$B1000 = $B16,Data!$C$2:$C1000 = $C16, Data!$D$2:$D1000 = E$1, Data!$E$2:$E1000 = E$2 )},$K$2  , $Q$22:$Q$23)"),"1623184.134")</f>
        <v>1623184.134</v>
      </c>
      <c r="F16" s="25" t="str">
        <f>IFERROR(__xludf.DUMMYFUNCTION("DMAX({{Data!$A$1:$M$1};filter(Data!$A$2:$M1000,Data!$A$2:$A1000=$A16 , Data!$B$2:$B1000 = $B16,Data!$C$2:$C1000 = $C16, Data!$D$2:$D1000 = F$1, Data!$E$2:$E1000 = F$2 )},$K$2  , $Q$22:$Q$23)"),"1621699.837")</f>
        <v>1621699.837</v>
      </c>
      <c r="G16" s="25" t="str">
        <f>IFERROR(__xludf.DUMMYFUNCTION("DMAX({{Data!$A$1:$M$1};filter(Data!$A$2:$M1000,Data!$A$2:$A1000=$A16 , Data!$B$2:$B1000 = $B16,Data!$C$2:$C1000 = $C16, Data!$D$2:$D1000 = G$1, Data!$E$2:$E1000 = G$2 )},$K$2  , $Q$22:$Q$23)"),"1623102.439")</f>
        <v>1623102.439</v>
      </c>
      <c r="H16" s="25" t="str">
        <f>IFERROR(__xludf.DUMMYFUNCTION("DMAX({{Data!$A$1:$M$1};filter(Data!$A$2:$M1000,Data!$A$2:$A1000=$A16 , Data!$B$2:$B1000 = $B16,Data!$C$2:$C1000 = $C16, Data!$D$2:$D1000 = H$1, Data!$E$2:$E1000 = H$2 )},$K$2  , $Q$22:$Q$23)"),"1623086.612")</f>
        <v>1623086.612</v>
      </c>
      <c r="I16" s="18"/>
      <c r="J16" s="18"/>
      <c r="K16" s="18"/>
      <c r="L16" s="18"/>
      <c r="M16" s="18"/>
      <c r="N16" s="18"/>
      <c r="O16" s="18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6">
        <v>1000.0</v>
      </c>
      <c r="B17" s="16">
        <v>10.0</v>
      </c>
      <c r="C17" s="16">
        <v>4.0</v>
      </c>
      <c r="D17" s="25" t="str">
        <f>IFERROR(__xludf.DUMMYFUNCTION("DMAX({{Data!$A$1:$M$1};filter(Data!$A$2:$M1000,Data!$A$2:$A1000=$A17 , Data!$B$2:$B1000 = $B17,Data!$C$2:$C1000 = $C17, Data!$D$2:$D1000 = D$1, Data!$E$2:$E1000 = D$2 )},$K$2  , $Q$22:$Q$23)"),"1617200.379")</f>
        <v>1617200.379</v>
      </c>
      <c r="E17" s="25" t="str">
        <f>IFERROR(__xludf.DUMMYFUNCTION("DMAX({{Data!$A$1:$M$1};filter(Data!$A$2:$M1000,Data!$A$2:$A1000=$A17 , Data!$B$2:$B1000 = $B17,Data!$C$2:$C1000 = $C17, Data!$D$2:$D1000 = E$1, Data!$E$2:$E1000 = E$2 )},$K$2  , $Q$22:$Q$23)"),"1618525.617")</f>
        <v>1618525.617</v>
      </c>
      <c r="F17" s="25" t="str">
        <f>IFERROR(__xludf.DUMMYFUNCTION("DMAX({{Data!$A$1:$M$1};filter(Data!$A$2:$M1000,Data!$A$2:$A1000=$A17 , Data!$B$2:$B1000 = $B17,Data!$C$2:$C1000 = $C17, Data!$D$2:$D1000 = F$1, Data!$E$2:$E1000 = F$2 )},$K$2  , $Q$22:$Q$23)"),"1617144.755")</f>
        <v>1617144.755</v>
      </c>
      <c r="G17" s="25" t="str">
        <f>IFERROR(__xludf.DUMMYFUNCTION("DMAX({{Data!$A$1:$M$1};filter(Data!$A$2:$M1000,Data!$A$2:$A1000=$A17 , Data!$B$2:$B1000 = $B17,Data!$C$2:$C1000 = $C17, Data!$D$2:$D1000 = G$1, Data!$E$2:$E1000 = G$2 )},$K$2  , $Q$22:$Q$23)"),"1618444.78")</f>
        <v>1618444.78</v>
      </c>
      <c r="H17" s="25" t="str">
        <f>IFERROR(__xludf.DUMMYFUNCTION("DMAX({{Data!$A$1:$M$1};filter(Data!$A$2:$M1000,Data!$A$2:$A1000=$A17 , Data!$B$2:$B1000 = $B17,Data!$C$2:$C1000 = $C17, Data!$D$2:$D1000 = H$1, Data!$E$2:$E1000 = H$2 )},$K$2  , $Q$22:$Q$23)"),"1618628.462")</f>
        <v>1618628.462</v>
      </c>
      <c r="I17" s="18"/>
      <c r="J17" s="18"/>
      <c r="K17" s="18"/>
      <c r="L17" s="18"/>
      <c r="M17" s="18"/>
      <c r="N17" s="18"/>
      <c r="O17" s="18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6">
        <v>1000.0</v>
      </c>
      <c r="B18" s="16">
        <v>10.0</v>
      </c>
      <c r="C18" s="16">
        <v>5.0</v>
      </c>
      <c r="D18" s="25" t="str">
        <f>IFERROR(__xludf.DUMMYFUNCTION("DMAX({{Data!$A$1:$M$1};filter(Data!$A$2:$M1000,Data!$A$2:$A1000=$A18 , Data!$B$2:$B1000 = $B18,Data!$C$2:$C1000 = $C18, Data!$D$2:$D1000 = D$1, Data!$E$2:$E1000 = D$2 )},$K$2  , $Q$22:$Q$23)"),"1616346.452")</f>
        <v>1616346.452</v>
      </c>
      <c r="E18" s="25" t="str">
        <f>IFERROR(__xludf.DUMMYFUNCTION("DMAX({{Data!$A$1:$M$1};filter(Data!$A$2:$M1000,Data!$A$2:$A1000=$A18 , Data!$B$2:$B1000 = $B18,Data!$C$2:$C1000 = $C18, Data!$D$2:$D1000 = E$1, Data!$E$2:$E1000 = E$2 )},$K$2  , $Q$22:$Q$23)"),"1617787.242")</f>
        <v>1617787.242</v>
      </c>
      <c r="F18" s="25" t="str">
        <f>IFERROR(__xludf.DUMMYFUNCTION("DMAX({{Data!$A$1:$M$1};filter(Data!$A$2:$M1000,Data!$A$2:$A1000=$A18 , Data!$B$2:$B1000 = $B18,Data!$C$2:$C1000 = $C18, Data!$D$2:$D1000 = F$1, Data!$E$2:$E1000 = F$2 )},$K$2  , $Q$22:$Q$23)"),"1616565.722")</f>
        <v>1616565.722</v>
      </c>
      <c r="G18" s="25" t="str">
        <f>IFERROR(__xludf.DUMMYFUNCTION("DMAX({{Data!$A$1:$M$1};filter(Data!$A$2:$M1000,Data!$A$2:$A1000=$A18 , Data!$B$2:$B1000 = $B18,Data!$C$2:$C1000 = $C18, Data!$D$2:$D1000 = G$1, Data!$E$2:$E1000 = G$2 )},$K$2  , $Q$22:$Q$23)"),"1617588.461")</f>
        <v>1617588.461</v>
      </c>
      <c r="H18" s="25" t="str">
        <f>IFERROR(__xludf.DUMMYFUNCTION("DMAX({{Data!$A$1:$M$1};filter(Data!$A$2:$M1000,Data!$A$2:$A1000=$A18 , Data!$B$2:$B1000 = $B18,Data!$C$2:$C1000 = $C18, Data!$D$2:$D1000 = H$1, Data!$E$2:$E1000 = H$2 )},$K$2  , $Q$22:$Q$23)"),"1617933.207")</f>
        <v>1617933.207</v>
      </c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1">
        <v>1000.0</v>
      </c>
      <c r="B19" s="11">
        <v>50.0</v>
      </c>
      <c r="C19" s="11">
        <v>1.0</v>
      </c>
      <c r="D19" s="24" t="str">
        <f>IFERROR(__xludf.DUMMYFUNCTION("DMAX({{Data!$A$1:$M$1};filter(Data!$A$2:$M1000,Data!$A$2:$A1000=$A19 , Data!$B$2:$B1000 = $B19,Data!$C$2:$C1000 = $C19, Data!$D$2:$D1000 = D$1, Data!$E$2:$E1000 = D$2 )},$K$2  , $Q$22:$Q$23)"),"8067982.476")</f>
        <v>8067982.476</v>
      </c>
      <c r="E19" s="24" t="str">
        <f>IFERROR(__xludf.DUMMYFUNCTION("DMAX({{Data!$A$1:$M$1};filter(Data!$A$2:$M1000,Data!$A$2:$A1000=$A19 , Data!$B$2:$B1000 = $B19,Data!$C$2:$C1000 = $C19, Data!$D$2:$D1000 = E$1, Data!$E$2:$E1000 = E$2 )},$K$2  , $Q$22:$Q$23)"),"8070350.585")</f>
        <v>8070350.585</v>
      </c>
      <c r="F19" s="24" t="str">
        <f>IFERROR(__xludf.DUMMYFUNCTION("DMAX({{Data!$A$1:$M$1};filter(Data!$A$2:$M1000,Data!$A$2:$A1000=$A19 , Data!$B$2:$B1000 = $B19,Data!$C$2:$C1000 = $C19, Data!$D$2:$D1000 = F$1, Data!$E$2:$E1000 = F$2 )},$K$2  , $Q$22:$Q$23)"),"8068952.963")</f>
        <v>8068952.963</v>
      </c>
      <c r="G19" s="24" t="str">
        <f>IFERROR(__xludf.DUMMYFUNCTION("DMAX({{Data!$A$1:$M$1};filter(Data!$A$2:$M1000,Data!$A$2:$A1000=$A19 , Data!$B$2:$B1000 = $B19,Data!$C$2:$C1000 = $C19, Data!$D$2:$D1000 = G$1, Data!$E$2:$E1000 = G$2 )},$K$2  , $Q$22:$Q$23)"),"8071299.706")</f>
        <v>8071299.706</v>
      </c>
      <c r="H19" s="24" t="str">
        <f>IFERROR(__xludf.DUMMYFUNCTION("DMAX({{Data!$A$1:$M$1};filter(Data!$A$2:$M1000,Data!$A$2:$A1000=$A19 , Data!$B$2:$B1000 = $B19,Data!$C$2:$C1000 = $C19, Data!$D$2:$D1000 = H$1, Data!$E$2:$E1000 = H$2 )},$K$2  , $Q$22:$Q$23)"),"8069962.478")</f>
        <v>8069962.478</v>
      </c>
      <c r="I19" s="1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26">
        <v>1000.0</v>
      </c>
      <c r="B20" s="26">
        <v>50.0</v>
      </c>
      <c r="C20" s="26">
        <v>2.0</v>
      </c>
      <c r="D20" s="24" t="str">
        <f>IFERROR(__xludf.DUMMYFUNCTION("DMAX({{Data!$A$1:$M$1};filter(Data!$A$2:$M1000,Data!$A$2:$A1000=$A20 , Data!$B$2:$B1000 = $B20,Data!$C$2:$C1000 = $C20, Data!$D$2:$D1000 = D$1, Data!$E$2:$E1000 = D$2 )},$K$2  , $Q$22:$Q$23)"),"8065315.4")</f>
        <v>8065315.4</v>
      </c>
      <c r="E20" s="24" t="str">
        <f>IFERROR(__xludf.DUMMYFUNCTION("DMAX({{Data!$A$1:$M$1};filter(Data!$A$2:$M1000,Data!$A$2:$A1000=$A20 , Data!$B$2:$B1000 = $B20,Data!$C$2:$C1000 = $C20, Data!$D$2:$D1000 = E$1, Data!$E$2:$E1000 = E$2 )},$K$2  , $Q$22:$Q$23)"),"8068253.807")</f>
        <v>8068253.807</v>
      </c>
      <c r="F20" s="24" t="str">
        <f>IFERROR(__xludf.DUMMYFUNCTION("DMAX({{Data!$A$1:$M$1};filter(Data!$A$2:$M1000,Data!$A$2:$A1000=$A20 , Data!$B$2:$B1000 = $B20,Data!$C$2:$C1000 = $C20, Data!$D$2:$D1000 = F$1, Data!$E$2:$E1000 = F$2 )},$K$2  , $Q$22:$Q$23)"),"8066658.815")</f>
        <v>8066658.815</v>
      </c>
      <c r="G20" s="24" t="str">
        <f>IFERROR(__xludf.DUMMYFUNCTION("DMAX({{Data!$A$1:$M$1};filter(Data!$A$2:$M1000,Data!$A$2:$A1000=$A20 , Data!$B$2:$B1000 = $B20,Data!$C$2:$C1000 = $C20, Data!$D$2:$D1000 = G$1, Data!$E$2:$E1000 = G$2 )},$K$2  , $Q$22:$Q$23)"),"8068871.118")</f>
        <v>8068871.118</v>
      </c>
      <c r="H20" s="24" t="str">
        <f>IFERROR(__xludf.DUMMYFUNCTION("DMAX({{Data!$A$1:$M$1};filter(Data!$A$2:$M1000,Data!$A$2:$A1000=$A20 , Data!$B$2:$B1000 = $B20,Data!$C$2:$C1000 = $C20, Data!$D$2:$D1000 = H$1, Data!$E$2:$E1000 = H$2 )},$K$2  , $Q$22:$Q$23)"),"8068980.604")</f>
        <v>8068980.604</v>
      </c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26">
        <v>1000.0</v>
      </c>
      <c r="B21" s="26">
        <v>50.0</v>
      </c>
      <c r="C21" s="26">
        <v>3.0</v>
      </c>
      <c r="D21" s="24" t="str">
        <f>IFERROR(__xludf.DUMMYFUNCTION("DMAX({{Data!$A$1:$M$1};filter(Data!$A$2:$M1000,Data!$A$2:$A1000=$A21 , Data!$B$2:$B1000 = $B21,Data!$C$2:$C1000 = $C21, Data!$D$2:$D1000 = D$1, Data!$E$2:$E1000 = D$2 )},$K$2  , $Q$22:$Q$23)"),"8065403.3")</f>
        <v>8065403.3</v>
      </c>
      <c r="E21" s="24" t="str">
        <f>IFERROR(__xludf.DUMMYFUNCTION("DMAX({{Data!$A$1:$M$1};filter(Data!$A$2:$M1000,Data!$A$2:$A1000=$A21 , Data!$B$2:$B1000 = $B21,Data!$C$2:$C1000 = $C21, Data!$D$2:$D1000 = E$1, Data!$E$2:$E1000 = E$2 )},$K$2  , $Q$22:$Q$23)"),"8066876.5")</f>
        <v>8066876.5</v>
      </c>
      <c r="F21" s="24" t="str">
        <f>IFERROR(__xludf.DUMMYFUNCTION("DMAX({{Data!$A$1:$M$1};filter(Data!$A$2:$M1000,Data!$A$2:$A1000=$A21 , Data!$B$2:$B1000 = $B21,Data!$C$2:$C1000 = $C21, Data!$D$2:$D1000 = F$1, Data!$E$2:$E1000 = F$2 )},$K$2  , $Q$22:$Q$23)"),"8065988.37")</f>
        <v>8065988.37</v>
      </c>
      <c r="G21" s="24" t="str">
        <f>IFERROR(__xludf.DUMMYFUNCTION("DMAX({{Data!$A$1:$M$1};filter(Data!$A$2:$M1000,Data!$A$2:$A1000=$A21 , Data!$B$2:$B1000 = $B21,Data!$C$2:$C1000 = $C21, Data!$D$2:$D1000 = G$1, Data!$E$2:$E1000 = G$2 )},$K$2  , $Q$22:$Q$23)"),"8064555.294")</f>
        <v>8064555.294</v>
      </c>
      <c r="H21" s="24" t="str">
        <f>IFERROR(__xludf.DUMMYFUNCTION("DMAX({{Data!$A$1:$M$1};filter(Data!$A$2:$M1000,Data!$A$2:$A1000=$A21 , Data!$B$2:$B1000 = $B21,Data!$C$2:$C1000 = $C21, Data!$D$2:$D1000 = H$1, Data!$E$2:$E1000 = H$2 )},$K$2  , $Q$22:$Q$23)"),"8066265.547")</f>
        <v>8066265.547</v>
      </c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6">
        <v>1000.0</v>
      </c>
      <c r="B22" s="26">
        <v>50.0</v>
      </c>
      <c r="C22" s="26">
        <v>4.0</v>
      </c>
      <c r="D22" s="24" t="str">
        <f>IFERROR(__xludf.DUMMYFUNCTION("DMAX({{Data!$A$1:$M$1};filter(Data!$A$2:$M1000,Data!$A$2:$A1000=$A22 , Data!$B$2:$B1000 = $B22,Data!$C$2:$C1000 = $C22, Data!$D$2:$D1000 = D$1, Data!$E$2:$E1000 = D$2 )},$K$2  , $Q$22:$Q$23)"),"8065309.381")</f>
        <v>8065309.381</v>
      </c>
      <c r="E22" s="24" t="str">
        <f>IFERROR(__xludf.DUMMYFUNCTION("DMAX({{Data!$A$1:$M$1};filter(Data!$A$2:$M1000,Data!$A$2:$A1000=$A22 , Data!$B$2:$B1000 = $B22,Data!$C$2:$C1000 = $C22, Data!$D$2:$D1000 = E$1, Data!$E$2:$E1000 = E$2 )},$K$2  , $Q$22:$Q$23)"),"8068816.687")</f>
        <v>8068816.687</v>
      </c>
      <c r="F22" s="24" t="str">
        <f>IFERROR(__xludf.DUMMYFUNCTION("DMAX({{Data!$A$1:$M$1};filter(Data!$A$2:$M1000,Data!$A$2:$A1000=$A22 , Data!$B$2:$B1000 = $B22,Data!$C$2:$C1000 = $C22, Data!$D$2:$D1000 = F$1, Data!$E$2:$E1000 = F$2 )},$K$2  , $Q$22:$Q$23)"),"8066819.393")</f>
        <v>8066819.393</v>
      </c>
      <c r="G22" s="24" t="str">
        <f>IFERROR(__xludf.DUMMYFUNCTION("DMAX({{Data!$A$1:$M$1};filter(Data!$A$2:$M1000,Data!$A$2:$A1000=$A22 , Data!$B$2:$B1000 = $B22,Data!$C$2:$C1000 = $C22, Data!$D$2:$D1000 = G$1, Data!$E$2:$E1000 = G$2 )},$K$2  , $Q$22:$Q$23)"),"8068566.471")</f>
        <v>8068566.471</v>
      </c>
      <c r="H22" s="24" t="str">
        <f>IFERROR(__xludf.DUMMYFUNCTION("DMAX({{Data!$A$1:$M$1};filter(Data!$A$2:$M1000,Data!$A$2:$A1000=$A22 , Data!$B$2:$B1000 = $B22,Data!$C$2:$C1000 = $C22, Data!$D$2:$D1000 = H$1, Data!$E$2:$E1000 = H$2 )},$K$2  , $Q$22:$Q$23)"),"8069413.533")</f>
        <v>8069413.533</v>
      </c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26">
        <v>1000.0</v>
      </c>
      <c r="B23" s="26">
        <v>50.0</v>
      </c>
      <c r="C23" s="26">
        <v>5.0</v>
      </c>
      <c r="D23" s="24" t="str">
        <f>IFERROR(__xludf.DUMMYFUNCTION("DMAX({{Data!$A$1:$M$1};filter(Data!$A$2:$M1000,Data!$A$2:$A1000=$A23 , Data!$B$2:$B1000 = $B23,Data!$C$2:$C1000 = $C23, Data!$D$2:$D1000 = D$1, Data!$E$2:$E1000 = D$2 )},$K$2  , $Q$22:$Q$23)"),"8063906.65")</f>
        <v>8063906.65</v>
      </c>
      <c r="E23" s="24" t="str">
        <f>IFERROR(__xludf.DUMMYFUNCTION("DMAX({{Data!$A$1:$M$1};filter(Data!$A$2:$M1000,Data!$A$2:$A1000=$A23 , Data!$B$2:$B1000 = $B23,Data!$C$2:$C1000 = $C23, Data!$D$2:$D1000 = E$1, Data!$E$2:$E1000 = E$2 )},$K$2  , $Q$22:$Q$23)"),"8065799.524")</f>
        <v>8065799.524</v>
      </c>
      <c r="F23" s="24" t="str">
        <f>IFERROR(__xludf.DUMMYFUNCTION("DMAX({{Data!$A$1:$M$1};filter(Data!$A$2:$M1000,Data!$A$2:$A1000=$A23 , Data!$B$2:$B1000 = $B23,Data!$C$2:$C1000 = $C23, Data!$D$2:$D1000 = F$1, Data!$E$2:$E1000 = F$2 )},$K$2  , $Q$22:$Q$23)"),"8064356.704")</f>
        <v>8064356.704</v>
      </c>
      <c r="G23" s="24" t="str">
        <f>IFERROR(__xludf.DUMMYFUNCTION("DMAX({{Data!$A$1:$M$1};filter(Data!$A$2:$M1000,Data!$A$2:$A1000=$A23 , Data!$B$2:$B1000 = $B23,Data!$C$2:$C1000 = $C23, Data!$D$2:$D1000 = G$1, Data!$E$2:$E1000 = G$2 )},$K$2  , $Q$22:$Q$23)"),"8065072")</f>
        <v>8065072</v>
      </c>
      <c r="H23" s="24" t="str">
        <f>IFERROR(__xludf.DUMMYFUNCTION("DMAX({{Data!$A$1:$M$1};filter(Data!$A$2:$M1000,Data!$A$2:$A1000=$A23 , Data!$B$2:$B1000 = $B23,Data!$C$2:$C1000 = $C23, Data!$D$2:$D1000 = H$1, Data!$E$2:$E1000 = H$2 )},$K$2  , $Q$22:$Q$23)"),"8065083.872")</f>
        <v>8065083.872</v>
      </c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1">
        <v>1000.0</v>
      </c>
      <c r="B24" s="11">
        <v>100.0</v>
      </c>
      <c r="C24" s="11">
        <v>1.0</v>
      </c>
      <c r="D24" s="25" t="str">
        <f>IFERROR(__xludf.DUMMYFUNCTION("DMAX({{Data!$A$1:$M$1};filter(Data!$A$2:$M1000,Data!$A$2:$A1000=$A24 , Data!$B$2:$B1000 = $B24,Data!$C$2:$C1000 = $C24, Data!$D$2:$D1000 = D$1, Data!$E$2:$E1000 = D$2 )},$K$2  , $Q$22:$Q$23)"),"25754329.11")</f>
        <v>25754329.11</v>
      </c>
      <c r="E24" s="25" t="str">
        <f>IFERROR(__xludf.DUMMYFUNCTION("DMAX({{Data!$A$1:$M$1};filter(Data!$A$2:$M1000,Data!$A$2:$A1000=$A24 , Data!$B$2:$B1000 = $B24,Data!$C$2:$C1000 = $C24, Data!$D$2:$D1000 = E$1, Data!$E$2:$E1000 = E$2 )},$K$2  , $Q$22:$Q$23)"),"25760862.25")</f>
        <v>25760862.25</v>
      </c>
      <c r="F24" s="25" t="str">
        <f>IFERROR(__xludf.DUMMYFUNCTION("DMAX({{Data!$A$1:$M$1};filter(Data!$A$2:$M1000,Data!$A$2:$A1000=$A24 , Data!$B$2:$B1000 = $B24,Data!$C$2:$C1000 = $C24, Data!$D$2:$D1000 = F$1, Data!$E$2:$E1000 = F$2 )},$K$2  , $Q$22:$Q$23)"),"25757796.55")</f>
        <v>25757796.55</v>
      </c>
      <c r="G24" s="25" t="str">
        <f>IFERROR(__xludf.DUMMYFUNCTION("DMAX({{Data!$A$1:$M$1};filter(Data!$A$2:$M1000,Data!$A$2:$A1000=$A24 , Data!$B$2:$B1000 = $B24,Data!$C$2:$C1000 = $C24, Data!$D$2:$D1000 = G$1, Data!$E$2:$E1000 = G$2 )},$K$2  , $Q$22:$Q$23)"),"25760514.14")</f>
        <v>25760514.14</v>
      </c>
      <c r="H24" s="25" t="str">
        <f>IFERROR(__xludf.DUMMYFUNCTION("DMAX({{Data!$A$1:$M$1};filter(Data!$A$2:$M1000,Data!$A$2:$A1000=$A24 , Data!$B$2:$B1000 = $B24,Data!$C$2:$C1000 = $C24, Data!$D$2:$D1000 = H$1, Data!$E$2:$E1000 = H$2 )},$K$2  , $Q$22:$Q$23)"),"25759466.04")</f>
        <v>25759466.04</v>
      </c>
      <c r="I24" s="18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6">
        <v>1000.0</v>
      </c>
      <c r="B25" s="27">
        <v>100.0</v>
      </c>
      <c r="C25" s="16">
        <v>2.0</v>
      </c>
      <c r="D25" s="25" t="str">
        <f>IFERROR(__xludf.DUMMYFUNCTION("DMAX({{Data!$A$1:$M$1};filter(Data!$A$2:$M1000,Data!$A$2:$A1000=$A25 , Data!$B$2:$B1000 = $B25,Data!$C$2:$C1000 = $C25, Data!$D$2:$D1000 = D$1, Data!$E$2:$E1000 = D$2 )},$K$2  , $Q$22:$Q$23)"),"25760953.67")</f>
        <v>25760953.67</v>
      </c>
      <c r="E25" s="25" t="str">
        <f>IFERROR(__xludf.DUMMYFUNCTION("DMAX({{Data!$A$1:$M$1};filter(Data!$A$2:$M1000,Data!$A$2:$A1000=$A25 , Data!$B$2:$B1000 = $B25,Data!$C$2:$C1000 = $C25, Data!$D$2:$D1000 = E$1, Data!$E$2:$E1000 = E$2 )},$K$2  , $Q$22:$Q$23)"),"25762421.46")</f>
        <v>25762421.46</v>
      </c>
      <c r="F25" s="25" t="str">
        <f>IFERROR(__xludf.DUMMYFUNCTION("DMAX({{Data!$A$1:$M$1};filter(Data!$A$2:$M1000,Data!$A$2:$A1000=$A25 , Data!$B$2:$B1000 = $B25,Data!$C$2:$C1000 = $C25, Data!$D$2:$D1000 = F$1, Data!$E$2:$E1000 = F$2 )},$K$2  , $Q$22:$Q$23)"),"25760414.09")</f>
        <v>25760414.09</v>
      </c>
      <c r="G25" s="25" t="str">
        <f>IFERROR(__xludf.DUMMYFUNCTION("DMAX({{Data!$A$1:$M$1};filter(Data!$A$2:$M1000,Data!$A$2:$A1000=$A25 , Data!$B$2:$B1000 = $B25,Data!$C$2:$C1000 = $C25, Data!$D$2:$D1000 = G$1, Data!$E$2:$E1000 = G$2 )},$K$2  , $Q$22:$Q$23)"),"25760454.71")</f>
        <v>25760454.71</v>
      </c>
      <c r="H25" s="25" t="str">
        <f>IFERROR(__xludf.DUMMYFUNCTION("DMAX({{Data!$A$1:$M$1};filter(Data!$A$2:$M1000,Data!$A$2:$A1000=$A25 , Data!$B$2:$B1000 = $B25,Data!$C$2:$C1000 = $C25, Data!$D$2:$D1000 = H$1, Data!$E$2:$E1000 = H$2 )},$K$2  , $Q$22:$Q$23)"),"25760603.79")</f>
        <v>25760603.79</v>
      </c>
      <c r="I25" s="18"/>
      <c r="J25" s="28"/>
      <c r="K25" s="28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6">
        <v>1000.0</v>
      </c>
      <c r="B26" s="16">
        <v>100.0</v>
      </c>
      <c r="C26" s="16">
        <v>3.0</v>
      </c>
      <c r="D26" s="25" t="str">
        <f>IFERROR(__xludf.DUMMYFUNCTION("DMAX({{Data!$A$1:$M$1};filter(Data!$A$2:$M1000,Data!$A$2:$A1000=$A26 , Data!$B$2:$B1000 = $B26,Data!$C$2:$C1000 = $C26, Data!$D$2:$D1000 = D$1, Data!$E$2:$E1000 = D$2 )},$K$2  , $Q$22:$Q$23)"),"25792954.11")</f>
        <v>25792954.11</v>
      </c>
      <c r="E26" s="25" t="str">
        <f>IFERROR(__xludf.DUMMYFUNCTION("DMAX({{Data!$A$1:$M$1};filter(Data!$A$2:$M1000,Data!$A$2:$A1000=$A26 , Data!$B$2:$B1000 = $B26,Data!$C$2:$C1000 = $C26, Data!$D$2:$D1000 = E$1, Data!$E$2:$E1000 = E$2 )},$K$2  , $Q$22:$Q$23)"),"25794452.58")</f>
        <v>25794452.58</v>
      </c>
      <c r="F26" s="25" t="str">
        <f>IFERROR(__xludf.DUMMYFUNCTION("DMAX({{Data!$A$1:$M$1};filter(Data!$A$2:$M1000,Data!$A$2:$A1000=$A26 , Data!$B$2:$B1000 = $B26,Data!$C$2:$C1000 = $C26, Data!$D$2:$D1000 = F$1, Data!$E$2:$E1000 = F$2 )},$K$2  , $Q$22:$Q$23)"),"25793105.91")</f>
        <v>25793105.91</v>
      </c>
      <c r="G26" s="25" t="str">
        <f>IFERROR(__xludf.DUMMYFUNCTION("DMAX({{Data!$A$1:$M$1};filter(Data!$A$2:$M1000,Data!$A$2:$A1000=$A26 , Data!$B$2:$B1000 = $B26,Data!$C$2:$C1000 = $C26, Data!$D$2:$D1000 = G$1, Data!$E$2:$E1000 = G$2 )},$K$2  , $Q$22:$Q$23)"),"25794662.71")</f>
        <v>25794662.71</v>
      </c>
      <c r="H26" s="25" t="str">
        <f>IFERROR(__xludf.DUMMYFUNCTION("DMAX({{Data!$A$1:$M$1};filter(Data!$A$2:$M1000,Data!$A$2:$A1000=$A26 , Data!$B$2:$B1000 = $B26,Data!$C$2:$C1000 = $C26, Data!$D$2:$D1000 = H$1, Data!$E$2:$E1000 = H$2 )},$K$2  , $Q$22:$Q$23)"),"25795078.88")</f>
        <v>25795078.88</v>
      </c>
      <c r="I26" s="1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6">
        <v>1000.0</v>
      </c>
      <c r="B27" s="16">
        <v>100.0</v>
      </c>
      <c r="C27" s="16">
        <v>4.0</v>
      </c>
      <c r="D27" s="25" t="str">
        <f>IFERROR(__xludf.DUMMYFUNCTION("DMAX({{Data!$A$1:$M$1};filter(Data!$A$2:$M1000,Data!$A$2:$A1000=$A27 , Data!$B$2:$B1000 = $B27,Data!$C$2:$C1000 = $C27, Data!$D$2:$D1000 = D$1, Data!$E$2:$E1000 = D$2 )},$K$2  , $Q$22:$Q$23)"),"25809034.11")</f>
        <v>25809034.11</v>
      </c>
      <c r="E27" s="25" t="str">
        <f>IFERROR(__xludf.DUMMYFUNCTION("DMAX({{Data!$A$1:$M$1};filter(Data!$A$2:$M1000,Data!$A$2:$A1000=$A27 , Data!$B$2:$B1000 = $B27,Data!$C$2:$C1000 = $C27, Data!$D$2:$D1000 = E$1, Data!$E$2:$E1000 = E$2 )},$K$2  , $Q$22:$Q$23)"),"25807152.58")</f>
        <v>25807152.58</v>
      </c>
      <c r="F27" s="25" t="str">
        <f>IFERROR(__xludf.DUMMYFUNCTION("DMAX({{Data!$A$1:$M$1};filter(Data!$A$2:$M1000,Data!$A$2:$A1000=$A27 , Data!$B$2:$B1000 = $B27,Data!$C$2:$C1000 = $C27, Data!$D$2:$D1000 = F$1, Data!$E$2:$E1000 = F$2 )},$K$2  , $Q$22:$Q$23)"),"25805756.27")</f>
        <v>25805756.27</v>
      </c>
      <c r="G27" s="25" t="str">
        <f>IFERROR(__xludf.DUMMYFUNCTION("DMAX({{Data!$A$1:$M$1};filter(Data!$A$2:$M1000,Data!$A$2:$A1000=$A27 , Data!$B$2:$B1000 = $B27,Data!$C$2:$C1000 = $C27, Data!$D$2:$D1000 = G$1, Data!$E$2:$E1000 = G$2 )},$K$2  , $Q$22:$Q$23)"),"25807096")</f>
        <v>25807096</v>
      </c>
      <c r="H27" s="25" t="str">
        <f>IFERROR(__xludf.DUMMYFUNCTION("DMAX({{Data!$A$1:$M$1};filter(Data!$A$2:$M1000,Data!$A$2:$A1000=$A27 , Data!$B$2:$B1000 = $B27,Data!$C$2:$C1000 = $C27, Data!$D$2:$D1000 = H$1, Data!$E$2:$E1000 = H$2 )},$K$2  , $Q$22:$Q$23)"),"25807450.62")</f>
        <v>25807450.62</v>
      </c>
      <c r="I27" s="18"/>
      <c r="J27" s="28"/>
      <c r="K27" s="28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6">
        <v>1000.0</v>
      </c>
      <c r="B28" s="16">
        <v>100.0</v>
      </c>
      <c r="C28" s="16">
        <v>5.0</v>
      </c>
      <c r="D28" s="25" t="str">
        <f>IFERROR(__xludf.DUMMYFUNCTION("DMAX({{Data!$A$1:$M$1};filter(Data!$A$2:$M1000,Data!$A$2:$A1000=$A28 , Data!$B$2:$B1000 = $B28,Data!$C$2:$C1000 = $C28, Data!$D$2:$D1000 = D$1, Data!$E$2:$E1000 = D$2 )},$K$2  , $Q$22:$Q$23)"),"25760529.56")</f>
        <v>25760529.56</v>
      </c>
      <c r="E28" s="25" t="str">
        <f>IFERROR(__xludf.DUMMYFUNCTION("DMAX({{Data!$A$1:$M$1};filter(Data!$A$2:$M1000,Data!$A$2:$A1000=$A28 , Data!$B$2:$B1000 = $B28,Data!$C$2:$C1000 = $C28, Data!$D$2:$D1000 = E$1, Data!$E$2:$E1000 = E$2 )},$K$2  , $Q$22:$Q$23)"),"25765722.26")</f>
        <v>25765722.26</v>
      </c>
      <c r="F28" s="25" t="str">
        <f>IFERROR(__xludf.DUMMYFUNCTION("DMAX({{Data!$A$1:$M$1};filter(Data!$A$2:$M1000,Data!$A$2:$A1000=$A28 , Data!$B$2:$B1000 = $B28,Data!$C$2:$C1000 = $C28, Data!$D$2:$D1000 = F$1, Data!$E$2:$E1000 = F$2 )},$K$2  , $Q$22:$Q$23)"),"25762560.91")</f>
        <v>25762560.91</v>
      </c>
      <c r="G28" s="25" t="str">
        <f>IFERROR(__xludf.DUMMYFUNCTION("DMAX({{Data!$A$1:$M$1};filter(Data!$A$2:$M1000,Data!$A$2:$A1000=$A28 , Data!$B$2:$B1000 = $B28,Data!$C$2:$C1000 = $C28, Data!$D$2:$D1000 = G$1, Data!$E$2:$E1000 = G$2 )},$K$2  , $Q$22:$Q$23)"),"25763422.17")</f>
        <v>25763422.17</v>
      </c>
      <c r="H28" s="25" t="str">
        <f>IFERROR(__xludf.DUMMYFUNCTION("DMAX({{Data!$A$1:$M$1};filter(Data!$A$2:$M1000,Data!$A$2:$A1000=$A28 , Data!$B$2:$B1000 = $B28,Data!$C$2:$C1000 = $C28, Data!$D$2:$D1000 = H$1, Data!$E$2:$E1000 = H$2 )},$K$2  , $Q$22:$Q$23)"),"25763414.13")</f>
        <v>25763414.13</v>
      </c>
      <c r="I28" s="18"/>
      <c r="J28" s="28"/>
      <c r="K28" s="28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28"/>
      <c r="B29" s="28"/>
      <c r="C29" s="28"/>
      <c r="D29" s="14"/>
      <c r="E29" s="12"/>
      <c r="F29" s="12"/>
      <c r="G29" s="12"/>
      <c r="H29" s="28"/>
      <c r="I29" s="28"/>
      <c r="J29" s="28"/>
      <c r="K29" s="28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3" t="s">
        <v>34</v>
      </c>
      <c r="B32" s="14"/>
      <c r="C32" s="14"/>
      <c r="D32" s="13"/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29" t="s">
        <v>0</v>
      </c>
      <c r="B33" s="29" t="s">
        <v>1</v>
      </c>
      <c r="C33" s="29" t="s">
        <v>2</v>
      </c>
      <c r="D33" s="10" t="s">
        <v>32</v>
      </c>
      <c r="E33" s="10" t="s">
        <v>33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26">
        <v>1000.0</v>
      </c>
      <c r="B34" s="26">
        <v>1.0</v>
      </c>
      <c r="C34" s="26">
        <v>1.0</v>
      </c>
      <c r="D34" s="30" t="str">
        <f t="shared" ref="D34:D58" si="1">E4/D4</f>
        <v>1.001307642</v>
      </c>
      <c r="E34" s="30" t="str">
        <f t="shared" ref="E34:E58" si="2">G4/F4</f>
        <v>1.001418893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26">
        <v>1000.0</v>
      </c>
      <c r="B35" s="26">
        <v>1.0</v>
      </c>
      <c r="C35" s="26">
        <v>2.0</v>
      </c>
      <c r="D35" s="30" t="str">
        <f t="shared" si="1"/>
        <v>1.001108562</v>
      </c>
      <c r="E35" s="30" t="str">
        <f t="shared" si="2"/>
        <v>1.001091649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26">
        <v>1000.0</v>
      </c>
      <c r="B36" s="26">
        <v>1.0</v>
      </c>
      <c r="C36" s="26">
        <v>3.0</v>
      </c>
      <c r="D36" s="30" t="str">
        <f t="shared" si="1"/>
        <v>1.00103478</v>
      </c>
      <c r="E36" s="30" t="str">
        <f t="shared" si="2"/>
        <v>1.001098593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26">
        <v>1000.0</v>
      </c>
      <c r="B37" s="26">
        <v>1.0</v>
      </c>
      <c r="C37" s="26">
        <v>4.0</v>
      </c>
      <c r="D37" s="30" t="str">
        <f t="shared" si="1"/>
        <v>1.00111245</v>
      </c>
      <c r="E37" s="30" t="str">
        <f t="shared" si="2"/>
        <v>1.001274727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26">
        <v>1000.0</v>
      </c>
      <c r="B38" s="26">
        <v>1.0</v>
      </c>
      <c r="C38" s="26">
        <v>5.0</v>
      </c>
      <c r="D38" s="30" t="str">
        <f t="shared" si="1"/>
        <v>1.000924065</v>
      </c>
      <c r="E38" s="30" t="str">
        <f t="shared" si="2"/>
        <v>1.000855692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26">
        <v>1000.0</v>
      </c>
      <c r="B39" s="26">
        <v>5.0</v>
      </c>
      <c r="C39" s="26">
        <v>1.0</v>
      </c>
      <c r="D39" s="30" t="str">
        <f t="shared" si="1"/>
        <v>1.001210743</v>
      </c>
      <c r="E39" s="30" t="str">
        <f t="shared" si="2"/>
        <v>1.001291597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26">
        <v>1000.0</v>
      </c>
      <c r="B40" s="26">
        <v>5.0</v>
      </c>
      <c r="C40" s="26">
        <v>2.0</v>
      </c>
      <c r="D40" s="30" t="str">
        <f t="shared" si="1"/>
        <v>1.001163578</v>
      </c>
      <c r="E40" s="30" t="str">
        <f t="shared" si="2"/>
        <v>1.001085039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26">
        <v>1000.0</v>
      </c>
      <c r="B41" s="26">
        <v>5.0</v>
      </c>
      <c r="C41" s="26">
        <v>3.0</v>
      </c>
      <c r="D41" s="30" t="str">
        <f t="shared" si="1"/>
        <v>1.001254607</v>
      </c>
      <c r="E41" s="30" t="str">
        <f t="shared" si="2"/>
        <v>1.001127146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26">
        <v>1000.0</v>
      </c>
      <c r="B42" s="26">
        <v>5.0</v>
      </c>
      <c r="C42" s="26">
        <v>4.0</v>
      </c>
      <c r="D42" s="30" t="str">
        <f t="shared" si="1"/>
        <v>1.001274064</v>
      </c>
      <c r="E42" s="30" t="str">
        <f t="shared" si="2"/>
        <v>1.00128875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26">
        <v>1000.0</v>
      </c>
      <c r="B43" s="26">
        <v>5.0</v>
      </c>
      <c r="C43" s="26">
        <v>5.0</v>
      </c>
      <c r="D43" s="30" t="str">
        <f t="shared" si="1"/>
        <v>1.001222569</v>
      </c>
      <c r="E43" s="30" t="str">
        <f t="shared" si="2"/>
        <v>1.001305751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26">
        <v>1000.0</v>
      </c>
      <c r="B44" s="26">
        <v>10.0</v>
      </c>
      <c r="C44" s="26">
        <v>1.0</v>
      </c>
      <c r="D44" s="30" t="str">
        <f t="shared" si="1"/>
        <v>1.001001963</v>
      </c>
      <c r="E44" s="30" t="str">
        <f t="shared" si="2"/>
        <v>1.000781001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26">
        <v>1000.0</v>
      </c>
      <c r="B45" s="26">
        <v>10.0</v>
      </c>
      <c r="C45" s="26">
        <v>2.0</v>
      </c>
      <c r="D45" s="30" t="str">
        <f t="shared" si="1"/>
        <v>1.000931501</v>
      </c>
      <c r="E45" s="30" t="str">
        <f t="shared" si="2"/>
        <v>1.001112984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26">
        <v>1000.0</v>
      </c>
      <c r="B46" s="26">
        <v>10.0</v>
      </c>
      <c r="C46" s="26">
        <v>3.0</v>
      </c>
      <c r="D46" s="30" t="str">
        <f t="shared" si="1"/>
        <v>1.001040454</v>
      </c>
      <c r="E46" s="30" t="str">
        <f t="shared" si="2"/>
        <v>1.000864897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26">
        <v>1000.0</v>
      </c>
      <c r="B47" s="26">
        <v>10.0</v>
      </c>
      <c r="C47" s="26">
        <v>4.0</v>
      </c>
      <c r="D47" s="30" t="str">
        <f t="shared" si="1"/>
        <v>1.000819465</v>
      </c>
      <c r="E47" s="30" t="str">
        <f t="shared" si="2"/>
        <v>1.000803902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26">
        <v>1000.0</v>
      </c>
      <c r="B48" s="26">
        <v>10.0</v>
      </c>
      <c r="C48" s="26">
        <v>5.0</v>
      </c>
      <c r="D48" s="30" t="str">
        <f t="shared" si="1"/>
        <v>1.000891387</v>
      </c>
      <c r="E48" s="30" t="str">
        <f t="shared" si="2"/>
        <v>1.000632662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26">
        <v>1000.0</v>
      </c>
      <c r="B49" s="26">
        <v>50.0</v>
      </c>
      <c r="C49" s="26">
        <v>1.0</v>
      </c>
      <c r="D49" s="30" t="str">
        <f t="shared" si="1"/>
        <v>1.000293519</v>
      </c>
      <c r="E49" s="30" t="str">
        <f t="shared" si="2"/>
        <v>1.000290836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26">
        <v>1000.0</v>
      </c>
      <c r="B50" s="26">
        <v>50.0</v>
      </c>
      <c r="C50" s="26">
        <v>2.0</v>
      </c>
      <c r="D50" s="30" t="str">
        <f t="shared" si="1"/>
        <v>1.000364326</v>
      </c>
      <c r="E50" s="30" t="str">
        <f t="shared" si="2"/>
        <v>1.000274253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26">
        <v>1000.0</v>
      </c>
      <c r="B51" s="26">
        <v>50.0</v>
      </c>
      <c r="C51" s="26">
        <v>3.0</v>
      </c>
      <c r="D51" s="30" t="str">
        <f t="shared" si="1"/>
        <v>1.000182657</v>
      </c>
      <c r="E51" s="30" t="str">
        <f t="shared" si="2"/>
        <v>0.999822331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26">
        <v>1000.0</v>
      </c>
      <c r="B52" s="26">
        <v>50.0</v>
      </c>
      <c r="C52" s="26">
        <v>4.0</v>
      </c>
      <c r="D52" s="30" t="str">
        <f t="shared" si="1"/>
        <v>1.000434863</v>
      </c>
      <c r="E52" s="30" t="str">
        <f t="shared" si="2"/>
        <v>1.000216576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26">
        <v>1000.0</v>
      </c>
      <c r="B53" s="26">
        <v>50.0</v>
      </c>
      <c r="C53" s="26">
        <v>5.0</v>
      </c>
      <c r="D53" s="30" t="str">
        <f t="shared" si="1"/>
        <v>1.000234734</v>
      </c>
      <c r="E53" s="30" t="str">
        <f t="shared" si="2"/>
        <v>1.000088698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26">
        <v>1000.0</v>
      </c>
      <c r="B54" s="26">
        <v>100.0</v>
      </c>
      <c r="C54" s="26">
        <v>1.0</v>
      </c>
      <c r="D54" s="30" t="str">
        <f t="shared" si="1"/>
        <v>1.000253671</v>
      </c>
      <c r="E54" s="30" t="str">
        <f t="shared" si="2"/>
        <v>1.000105506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26">
        <v>1000.0</v>
      </c>
      <c r="B55" s="26">
        <v>100.0</v>
      </c>
      <c r="C55" s="26">
        <v>2.0</v>
      </c>
      <c r="D55" s="30" t="str">
        <f t="shared" si="1"/>
        <v>1.000056977</v>
      </c>
      <c r="E55" s="30" t="str">
        <f t="shared" si="2"/>
        <v>1.000001577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26">
        <v>1000.0</v>
      </c>
      <c r="B56" s="26">
        <v>100.0</v>
      </c>
      <c r="C56" s="26">
        <v>3.0</v>
      </c>
      <c r="D56" s="30" t="str">
        <f t="shared" si="1"/>
        <v>1.000058096</v>
      </c>
      <c r="E56" s="30" t="str">
        <f t="shared" si="2"/>
        <v>1.000060357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26">
        <v>1000.0</v>
      </c>
      <c r="B57" s="26">
        <v>100.0</v>
      </c>
      <c r="C57" s="26">
        <v>4.0</v>
      </c>
      <c r="D57" s="30" t="str">
        <f t="shared" si="1"/>
        <v>0.9999270981</v>
      </c>
      <c r="E57" s="30" t="str">
        <f t="shared" si="2"/>
        <v>1.000051916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26">
        <v>1000.0</v>
      </c>
      <c r="B58" s="26">
        <v>100.0</v>
      </c>
      <c r="C58" s="26">
        <v>5.0</v>
      </c>
      <c r="D58" s="30" t="str">
        <f t="shared" si="1"/>
        <v>1.000201576</v>
      </c>
      <c r="E58" s="30" t="str">
        <f t="shared" si="2"/>
        <v>1.000033431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</cols>
  <sheetData>
    <row r="1">
      <c r="C1" s="10" t="s">
        <v>20</v>
      </c>
      <c r="D1" s="11" t="str">
        <f>IFERROR(__xludf.DUMMYFUNCTION("TRANSPOSE(UNIQUE(Data!D2:E1000))"),"bs_array")</f>
        <v>bs_array</v>
      </c>
      <c r="E1" s="11" t="s">
        <v>14</v>
      </c>
      <c r="F1" s="11" t="s">
        <v>17</v>
      </c>
      <c r="G1" s="11" t="s">
        <v>17</v>
      </c>
      <c r="H1" s="11" t="s">
        <v>18</v>
      </c>
      <c r="I1" s="12"/>
      <c r="J1" s="12"/>
      <c r="K1" s="13" t="s">
        <v>30</v>
      </c>
      <c r="L1" s="12"/>
      <c r="M1" s="12"/>
      <c r="N1" s="12"/>
      <c r="O1" s="12"/>
      <c r="P1" s="12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C2" s="10" t="s">
        <v>21</v>
      </c>
      <c r="D2" s="11" t="s">
        <v>15</v>
      </c>
      <c r="E2" s="11" t="s">
        <v>16</v>
      </c>
      <c r="F2" s="11" t="s">
        <v>15</v>
      </c>
      <c r="G2" s="11" t="s">
        <v>16</v>
      </c>
      <c r="H2" s="11" t="s">
        <v>16</v>
      </c>
      <c r="I2" s="12"/>
      <c r="J2" s="12"/>
      <c r="K2" s="13" t="s">
        <v>8</v>
      </c>
      <c r="L2" s="12"/>
      <c r="M2" s="12"/>
      <c r="N2" s="12"/>
      <c r="O2" s="12"/>
      <c r="P2" s="12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0" t="s">
        <v>0</v>
      </c>
      <c r="B3" s="10" t="s">
        <v>1</v>
      </c>
      <c r="C3" s="10" t="s">
        <v>2</v>
      </c>
      <c r="D3" s="15"/>
      <c r="E3" s="15"/>
      <c r="F3" s="15"/>
      <c r="G3" s="15"/>
      <c r="H3" s="15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6" t="str">
        <f>IFERROR(__xludf.DUMMYFUNCTION("UNIQUE(Data!A2:C1000)"),"1000")</f>
        <v>1000</v>
      </c>
      <c r="B4" s="16">
        <v>1.0</v>
      </c>
      <c r="C4" s="16">
        <v>1.0</v>
      </c>
      <c r="D4" s="31" t="str">
        <f>(MAX('F Mean'!$D4:$H4) - 'F Mean'!D4)/MAX('F Mean'!$D4:$H4)</f>
        <v>0.1360%</v>
      </c>
      <c r="E4" s="31" t="str">
        <f>(MAX('F Mean'!$D4:$H4) - 'F Mean'!E4)/MAX('F Mean'!$D4:$H4)</f>
        <v>0.0054%</v>
      </c>
      <c r="F4" s="31" t="str">
        <f>(MAX('F Mean'!$D4:$H4) - 'F Mean'!F4)/MAX('F Mean'!$D4:$H4)</f>
        <v>0.1476%</v>
      </c>
      <c r="G4" s="31" t="str">
        <f>(MAX('F Mean'!$D4:$H4) - 'F Mean'!G4)/MAX('F Mean'!$D4:$H4)</f>
        <v>0.0059%</v>
      </c>
      <c r="H4" s="31" t="str">
        <f>(MAX('F Mean'!$D4:$H4) - 'F Mean'!H4)/MAX('F Mean'!$D4:$H4)</f>
        <v>0.0000%</v>
      </c>
      <c r="I4" s="18"/>
      <c r="J4" s="18"/>
      <c r="K4" s="18"/>
      <c r="L4" s="18"/>
      <c r="M4" s="18"/>
      <c r="N4" s="18"/>
      <c r="O4" s="18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6">
        <v>1000.0</v>
      </c>
      <c r="B5" s="16">
        <v>1.0</v>
      </c>
      <c r="C5" s="16">
        <v>2.0</v>
      </c>
      <c r="D5" s="31" t="str">
        <f>(MAX('F Mean'!$D5:$H5) - 'F Mean'!D5)/MAX('F Mean'!$D5:$H5)</f>
        <v>0.1136%</v>
      </c>
      <c r="E5" s="31" t="str">
        <f>(MAX('F Mean'!$D5:$H5) - 'F Mean'!E5)/MAX('F Mean'!$D5:$H5)</f>
        <v>0.0029%</v>
      </c>
      <c r="F5" s="31" t="str">
        <f>(MAX('F Mean'!$D5:$H5) - 'F Mean'!F5)/MAX('F Mean'!$D5:$H5)</f>
        <v>0.1090%</v>
      </c>
      <c r="G5" s="31" t="str">
        <f>(MAX('F Mean'!$D5:$H5) - 'F Mean'!G5)/MAX('F Mean'!$D5:$H5)</f>
        <v>0.0000%</v>
      </c>
      <c r="H5" s="31" t="str">
        <f>(MAX('F Mean'!$D5:$H5) - 'F Mean'!H5)/MAX('F Mean'!$D5:$H5)</f>
        <v>0.0038%</v>
      </c>
      <c r="I5" s="18"/>
      <c r="J5" s="18"/>
      <c r="K5" s="18"/>
      <c r="L5" s="18"/>
      <c r="M5" s="18"/>
      <c r="N5" s="18"/>
      <c r="O5" s="18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6">
        <v>1000.0</v>
      </c>
      <c r="B6" s="16">
        <v>1.0</v>
      </c>
      <c r="C6" s="16">
        <v>3.0</v>
      </c>
      <c r="D6" s="31" t="str">
        <f>(MAX('F Mean'!$D6:$H6) - 'F Mean'!D6)/MAX('F Mean'!$D6:$H6)</f>
        <v>0.1034%</v>
      </c>
      <c r="E6" s="31" t="str">
        <f>(MAX('F Mean'!$D6:$H6) - 'F Mean'!E6)/MAX('F Mean'!$D6:$H6)</f>
        <v>0.0000%</v>
      </c>
      <c r="F6" s="31" t="str">
        <f>(MAX('F Mean'!$D6:$H6) - 'F Mean'!F6)/MAX('F Mean'!$D6:$H6)</f>
        <v>0.1107%</v>
      </c>
      <c r="G6" s="31" t="str">
        <f>(MAX('F Mean'!$D6:$H6) - 'F Mean'!G6)/MAX('F Mean'!$D6:$H6)</f>
        <v>0.0009%</v>
      </c>
      <c r="H6" s="31" t="str">
        <f>(MAX('F Mean'!$D6:$H6) - 'F Mean'!H6)/MAX('F Mean'!$D6:$H6)</f>
        <v>0.0054%</v>
      </c>
      <c r="I6" s="18"/>
      <c r="J6" s="18"/>
      <c r="K6" s="18"/>
      <c r="L6" s="18"/>
      <c r="M6" s="18"/>
      <c r="N6" s="18"/>
      <c r="O6" s="1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6">
        <v>1000.0</v>
      </c>
      <c r="B7" s="16">
        <v>1.0</v>
      </c>
      <c r="C7" s="16">
        <v>4.0</v>
      </c>
      <c r="D7" s="31" t="str">
        <f>(MAX('F Mean'!$D7:$H7) - 'F Mean'!D7)/MAX('F Mean'!$D7:$H7)</f>
        <v>0.1270%</v>
      </c>
      <c r="E7" s="31" t="str">
        <f>(MAX('F Mean'!$D7:$H7) - 'F Mean'!E7)/MAX('F Mean'!$D7:$H7)</f>
        <v>0.0159%</v>
      </c>
      <c r="F7" s="31" t="str">
        <f>(MAX('F Mean'!$D7:$H7) - 'F Mean'!F7)/MAX('F Mean'!$D7:$H7)</f>
        <v>0.1398%</v>
      </c>
      <c r="G7" s="31" t="str">
        <f>(MAX('F Mean'!$D7:$H7) - 'F Mean'!G7)/MAX('F Mean'!$D7:$H7)</f>
        <v>0.0125%</v>
      </c>
      <c r="H7" s="31" t="str">
        <f>(MAX('F Mean'!$D7:$H7) - 'F Mean'!H7)/MAX('F Mean'!$D7:$H7)</f>
        <v>0.0000%</v>
      </c>
      <c r="I7" s="18"/>
      <c r="J7" s="18"/>
      <c r="K7" s="18"/>
      <c r="L7" s="18"/>
      <c r="M7" s="18"/>
      <c r="N7" s="18"/>
      <c r="O7" s="18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9">
        <v>1000.0</v>
      </c>
      <c r="B8" s="19">
        <v>1.0</v>
      </c>
      <c r="C8" s="19">
        <v>5.0</v>
      </c>
      <c r="D8" s="31" t="str">
        <f>(MAX('F Mean'!$D8:$H8) - 'F Mean'!D8)/MAX('F Mean'!$D8:$H8)</f>
        <v>0.1004%</v>
      </c>
      <c r="E8" s="31" t="str">
        <f>(MAX('F Mean'!$D8:$H8) - 'F Mean'!E8)/MAX('F Mean'!$D8:$H8)</f>
        <v>0.0081%</v>
      </c>
      <c r="F8" s="31" t="str">
        <f>(MAX('F Mean'!$D8:$H8) - 'F Mean'!F8)/MAX('F Mean'!$D8:$H8)</f>
        <v>0.0855%</v>
      </c>
      <c r="G8" s="31" t="str">
        <f>(MAX('F Mean'!$D8:$H8) - 'F Mean'!G8)/MAX('F Mean'!$D8:$H8)</f>
        <v>0.0000%</v>
      </c>
      <c r="H8" s="31" t="str">
        <f>(MAX('F Mean'!$D8:$H8) - 'F Mean'!H8)/MAX('F Mean'!$D8:$H8)</f>
        <v>0.0136%</v>
      </c>
      <c r="I8" s="18"/>
      <c r="J8" s="18"/>
      <c r="K8" s="18"/>
      <c r="L8" s="18"/>
      <c r="M8" s="18"/>
      <c r="N8" s="18"/>
      <c r="O8" s="18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6">
        <v>1000.0</v>
      </c>
      <c r="B9" s="16">
        <v>5.0</v>
      </c>
      <c r="C9" s="16">
        <v>1.0</v>
      </c>
      <c r="D9" s="32" t="str">
        <f>(MAX('F Mean'!$D9:$H9) - 'F Mean'!D9)/MAX('F Mean'!$D9:$H9)</f>
        <v>0.1355%</v>
      </c>
      <c r="E9" s="32" t="str">
        <f>(MAX('F Mean'!$D9:$H9) - 'F Mean'!E9)/MAX('F Mean'!$D9:$H9)</f>
        <v>0.0145%</v>
      </c>
      <c r="F9" s="32" t="str">
        <f>(MAX('F Mean'!$D9:$H9) - 'F Mean'!F9)/MAX('F Mean'!$D9:$H9)</f>
        <v>0.1290%</v>
      </c>
      <c r="G9" s="32" t="str">
        <f>(MAX('F Mean'!$D9:$H9) - 'F Mean'!G9)/MAX('F Mean'!$D9:$H9)</f>
        <v>0.0000%</v>
      </c>
      <c r="H9" s="32" t="str">
        <f>(MAX('F Mean'!$D9:$H9) - 'F Mean'!H9)/MAX('F Mean'!$D9:$H9)</f>
        <v>0.0184%</v>
      </c>
      <c r="I9" s="18"/>
      <c r="J9" s="18"/>
      <c r="K9" s="18"/>
      <c r="L9" s="18"/>
      <c r="M9" s="18"/>
      <c r="N9" s="18"/>
      <c r="O9" s="18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22">
        <v>1000.0</v>
      </c>
      <c r="B10" s="22">
        <v>5.0</v>
      </c>
      <c r="C10" s="22">
        <v>2.0</v>
      </c>
      <c r="D10" s="32" t="str">
        <f>(MAX('F Mean'!$D10:$H10) - 'F Mean'!D10)/MAX('F Mean'!$D10:$H10)</f>
        <v>0.1162%</v>
      </c>
      <c r="E10" s="32" t="str">
        <f>(MAX('F Mean'!$D10:$H10) - 'F Mean'!E10)/MAX('F Mean'!$D10:$H10)</f>
        <v>0.0000%</v>
      </c>
      <c r="F10" s="32" t="str">
        <f>(MAX('F Mean'!$D10:$H10) - 'F Mean'!F10)/MAX('F Mean'!$D10:$H10)</f>
        <v>0.1193%</v>
      </c>
      <c r="G10" s="32" t="str">
        <f>(MAX('F Mean'!$D10:$H10) - 'F Mean'!G10)/MAX('F Mean'!$D10:$H10)</f>
        <v>0.0110%</v>
      </c>
      <c r="H10" s="32" t="str">
        <f>(MAX('F Mean'!$D10:$H10) - 'F Mean'!H10)/MAX('F Mean'!$D10:$H10)</f>
        <v>0.0050%</v>
      </c>
      <c r="I10" s="18"/>
      <c r="J10" s="18"/>
      <c r="K10" s="18"/>
      <c r="L10" s="18"/>
      <c r="M10" s="18"/>
      <c r="N10" s="18"/>
      <c r="O10" s="18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6">
        <v>1000.0</v>
      </c>
      <c r="B11" s="16">
        <v>5.0</v>
      </c>
      <c r="C11" s="16">
        <v>3.0</v>
      </c>
      <c r="D11" s="32" t="str">
        <f>(MAX('F Mean'!$D11:$H11) - 'F Mean'!D11)/MAX('F Mean'!$D11:$H11)</f>
        <v>0.1253%</v>
      </c>
      <c r="E11" s="32" t="str">
        <f>(MAX('F Mean'!$D11:$H11) - 'F Mean'!E11)/MAX('F Mean'!$D11:$H11)</f>
        <v>0.0000%</v>
      </c>
      <c r="F11" s="32" t="str">
        <f>(MAX('F Mean'!$D11:$H11) - 'F Mean'!F11)/MAX('F Mean'!$D11:$H11)</f>
        <v>0.1178%</v>
      </c>
      <c r="G11" s="32" t="str">
        <f>(MAX('F Mean'!$D11:$H11) - 'F Mean'!G11)/MAX('F Mean'!$D11:$H11)</f>
        <v>0.0053%</v>
      </c>
      <c r="H11" s="32" t="str">
        <f>(MAX('F Mean'!$D11:$H11) - 'F Mean'!H11)/MAX('F Mean'!$D11:$H11)</f>
        <v>0.0066%</v>
      </c>
      <c r="I11" s="18"/>
      <c r="J11" s="18"/>
      <c r="K11" s="18"/>
      <c r="L11" s="18"/>
      <c r="M11" s="18"/>
      <c r="N11" s="18"/>
      <c r="O11" s="18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6">
        <v>1000.0</v>
      </c>
      <c r="B12" s="16">
        <v>5.0</v>
      </c>
      <c r="C12" s="16">
        <v>4.0</v>
      </c>
      <c r="D12" s="32" t="str">
        <f>(MAX('F Mean'!$D12:$H12) - 'F Mean'!D12)/MAX('F Mean'!$D12:$H12)</f>
        <v>0.1288%</v>
      </c>
      <c r="E12" s="32" t="str">
        <f>(MAX('F Mean'!$D12:$H12) - 'F Mean'!E12)/MAX('F Mean'!$D12:$H12)</f>
        <v>0.0016%</v>
      </c>
      <c r="F12" s="32" t="str">
        <f>(MAX('F Mean'!$D12:$H12) - 'F Mean'!F12)/MAX('F Mean'!$D12:$H12)</f>
        <v>0.1287%</v>
      </c>
      <c r="G12" s="32" t="str">
        <f>(MAX('F Mean'!$D12:$H12) - 'F Mean'!G12)/MAX('F Mean'!$D12:$H12)</f>
        <v>0.0000%</v>
      </c>
      <c r="H12" s="32" t="str">
        <f>(MAX('F Mean'!$D12:$H12) - 'F Mean'!H12)/MAX('F Mean'!$D12:$H12)</f>
        <v>0.0122%</v>
      </c>
      <c r="I12" s="18"/>
      <c r="J12" s="18"/>
      <c r="K12" s="18"/>
      <c r="L12" s="18"/>
      <c r="M12" s="18"/>
      <c r="N12" s="18"/>
      <c r="O12" s="18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6">
        <v>1000.0</v>
      </c>
      <c r="B13" s="16">
        <v>5.0</v>
      </c>
      <c r="C13" s="16">
        <v>5.0</v>
      </c>
      <c r="D13" s="32" t="str">
        <f>(MAX('F Mean'!$D13:$H13) - 'F Mean'!D13)/MAX('F Mean'!$D13:$H13)</f>
        <v>0.1259%</v>
      </c>
      <c r="E13" s="32" t="str">
        <f>(MAX('F Mean'!$D13:$H13) - 'F Mean'!E13)/MAX('F Mean'!$D13:$H13)</f>
        <v>0.0038%</v>
      </c>
      <c r="F13" s="32" t="str">
        <f>(MAX('F Mean'!$D13:$H13) - 'F Mean'!F13)/MAX('F Mean'!$D13:$H13)</f>
        <v>0.1304%</v>
      </c>
      <c r="G13" s="32" t="str">
        <f>(MAX('F Mean'!$D13:$H13) - 'F Mean'!G13)/MAX('F Mean'!$D13:$H13)</f>
        <v>0.0000%</v>
      </c>
      <c r="H13" s="32" t="str">
        <f>(MAX('F Mean'!$D13:$H13) - 'F Mean'!H13)/MAX('F Mean'!$D13:$H13)</f>
        <v>0.0120%</v>
      </c>
      <c r="I13" s="18"/>
      <c r="J13" s="18"/>
      <c r="K13" s="18"/>
      <c r="L13" s="18"/>
      <c r="M13" s="18"/>
      <c r="N13" s="18"/>
      <c r="O13" s="18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6">
        <v>1000.0</v>
      </c>
      <c r="B14" s="16">
        <v>10.0</v>
      </c>
      <c r="C14" s="16">
        <v>1.0</v>
      </c>
      <c r="D14" s="31" t="str">
        <f>(MAX('F Mean'!$D14:$H14) - 'F Mean'!D14)/MAX('F Mean'!$D14:$H14)</f>
        <v>0.1006%</v>
      </c>
      <c r="E14" s="31" t="str">
        <f>(MAX('F Mean'!$D14:$H14) - 'F Mean'!E14)/MAX('F Mean'!$D14:$H14)</f>
        <v>0.0005%</v>
      </c>
      <c r="F14" s="31" t="str">
        <f>(MAX('F Mean'!$D14:$H14) - 'F Mean'!F14)/MAX('F Mean'!$D14:$H14)</f>
        <v>0.0797%</v>
      </c>
      <c r="G14" s="31" t="str">
        <f>(MAX('F Mean'!$D14:$H14) - 'F Mean'!G14)/MAX('F Mean'!$D14:$H14)</f>
        <v>0.0017%</v>
      </c>
      <c r="H14" s="31" t="str">
        <f>(MAX('F Mean'!$D14:$H14) - 'F Mean'!H14)/MAX('F Mean'!$D14:$H14)</f>
        <v>0.0000%</v>
      </c>
      <c r="I14" s="18"/>
      <c r="J14" s="18"/>
      <c r="K14" s="18"/>
      <c r="L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6">
        <v>1000.0</v>
      </c>
      <c r="B15" s="16">
        <v>10.0</v>
      </c>
      <c r="C15" s="16">
        <v>2.0</v>
      </c>
      <c r="D15" s="31" t="str">
        <f>(MAX('F Mean'!$D15:$H15) - 'F Mean'!D15)/MAX('F Mean'!$D15:$H15)</f>
        <v>0.1056%</v>
      </c>
      <c r="E15" s="31" t="str">
        <f>(MAX('F Mean'!$D15:$H15) - 'F Mean'!E15)/MAX('F Mean'!$D15:$H15)</f>
        <v>0.0126%</v>
      </c>
      <c r="F15" s="31" t="str">
        <f>(MAX('F Mean'!$D15:$H15) - 'F Mean'!F15)/MAX('F Mean'!$D15:$H15)</f>
        <v>0.1112%</v>
      </c>
      <c r="G15" s="31" t="str">
        <f>(MAX('F Mean'!$D15:$H15) - 'F Mean'!G15)/MAX('F Mean'!$D15:$H15)</f>
        <v>0.0000%</v>
      </c>
      <c r="H15" s="31" t="str">
        <f>(MAX('F Mean'!$D15:$H15) - 'F Mean'!H15)/MAX('F Mean'!$D15:$H15)</f>
        <v>0.0063%</v>
      </c>
      <c r="I15" s="18"/>
      <c r="J15" s="18"/>
      <c r="K15" s="18"/>
      <c r="L15" s="18"/>
      <c r="M15" s="18"/>
      <c r="N15" s="18"/>
      <c r="O15" s="18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6">
        <v>1000.0</v>
      </c>
      <c r="B16" s="16">
        <v>10.0</v>
      </c>
      <c r="C16" s="16">
        <v>3.0</v>
      </c>
      <c r="D16" s="31" t="str">
        <f>(MAX('F Mean'!$D16:$H16) - 'F Mean'!D16)/MAX('F Mean'!$D16:$H16)</f>
        <v>0.1039%</v>
      </c>
      <c r="E16" s="31" t="str">
        <f>(MAX('F Mean'!$D16:$H16) - 'F Mean'!E16)/MAX('F Mean'!$D16:$H16)</f>
        <v>0.0000%</v>
      </c>
      <c r="F16" s="31" t="str">
        <f>(MAX('F Mean'!$D16:$H16) - 'F Mean'!F16)/MAX('F Mean'!$D16:$H16)</f>
        <v>0.0914%</v>
      </c>
      <c r="G16" s="31" t="str">
        <f>(MAX('F Mean'!$D16:$H16) - 'F Mean'!G16)/MAX('F Mean'!$D16:$H16)</f>
        <v>0.0050%</v>
      </c>
      <c r="H16" s="31" t="str">
        <f>(MAX('F Mean'!$D16:$H16) - 'F Mean'!H16)/MAX('F Mean'!$D16:$H16)</f>
        <v>0.0060%</v>
      </c>
      <c r="I16" s="18"/>
      <c r="J16" s="18"/>
      <c r="K16" s="18"/>
      <c r="L16" s="18"/>
      <c r="M16" s="18"/>
      <c r="N16" s="18"/>
      <c r="O16" s="18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6">
        <v>1000.0</v>
      </c>
      <c r="B17" s="16">
        <v>10.0</v>
      </c>
      <c r="C17" s="16">
        <v>4.0</v>
      </c>
      <c r="D17" s="31" t="str">
        <f>(MAX('F Mean'!$D17:$H17) - 'F Mean'!D17)/MAX('F Mean'!$D17:$H17)</f>
        <v>0.0882%</v>
      </c>
      <c r="E17" s="31" t="str">
        <f>(MAX('F Mean'!$D17:$H17) - 'F Mean'!E17)/MAX('F Mean'!$D17:$H17)</f>
        <v>0.0064%</v>
      </c>
      <c r="F17" s="31" t="str">
        <f>(MAX('F Mean'!$D17:$H17) - 'F Mean'!F17)/MAX('F Mean'!$D17:$H17)</f>
        <v>0.0917%</v>
      </c>
      <c r="G17" s="31" t="str">
        <f>(MAX('F Mean'!$D17:$H17) - 'F Mean'!G17)/MAX('F Mean'!$D17:$H17)</f>
        <v>0.0113%</v>
      </c>
      <c r="H17" s="31" t="str">
        <f>(MAX('F Mean'!$D17:$H17) - 'F Mean'!H17)/MAX('F Mean'!$D17:$H17)</f>
        <v>0.0000%</v>
      </c>
      <c r="I17" s="18"/>
      <c r="J17" s="18"/>
      <c r="K17" s="18"/>
      <c r="L17" s="18"/>
      <c r="M17" s="18"/>
      <c r="N17" s="18"/>
      <c r="O17" s="18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6">
        <v>1000.0</v>
      </c>
      <c r="B18" s="16">
        <v>10.0</v>
      </c>
      <c r="C18" s="16">
        <v>5.0</v>
      </c>
      <c r="D18" s="31" t="str">
        <f>(MAX('F Mean'!$D18:$H18) - 'F Mean'!D18)/MAX('F Mean'!$D18:$H18)</f>
        <v>0.0981%</v>
      </c>
      <c r="E18" s="31" t="str">
        <f>(MAX('F Mean'!$D18:$H18) - 'F Mean'!E18)/MAX('F Mean'!$D18:$H18)</f>
        <v>0.0090%</v>
      </c>
      <c r="F18" s="31" t="str">
        <f>(MAX('F Mean'!$D18:$H18) - 'F Mean'!F18)/MAX('F Mean'!$D18:$H18)</f>
        <v>0.0845%</v>
      </c>
      <c r="G18" s="31" t="str">
        <f>(MAX('F Mean'!$D18:$H18) - 'F Mean'!G18)/MAX('F Mean'!$D18:$H18)</f>
        <v>0.0213%</v>
      </c>
      <c r="H18" s="31" t="str">
        <f>(MAX('F Mean'!$D18:$H18) - 'F Mean'!H18)/MAX('F Mean'!$D18:$H18)</f>
        <v>0.0000%</v>
      </c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1">
        <v>1000.0</v>
      </c>
      <c r="B19" s="11">
        <v>50.0</v>
      </c>
      <c r="C19" s="11">
        <v>1.0</v>
      </c>
      <c r="D19" s="32" t="str">
        <f>(MAX('F Mean'!$D19:$H19) - 'F Mean'!D19)/MAX('F Mean'!$D19:$H19)</f>
        <v>0.0411%</v>
      </c>
      <c r="E19" s="32" t="str">
        <f>(MAX('F Mean'!$D19:$H19) - 'F Mean'!E19)/MAX('F Mean'!$D19:$H19)</f>
        <v>0.0118%</v>
      </c>
      <c r="F19" s="32" t="str">
        <f>(MAX('F Mean'!$D19:$H19) - 'F Mean'!F19)/MAX('F Mean'!$D19:$H19)</f>
        <v>0.0291%</v>
      </c>
      <c r="G19" s="32" t="str">
        <f>(MAX('F Mean'!$D19:$H19) - 'F Mean'!G19)/MAX('F Mean'!$D19:$H19)</f>
        <v>0.0000%</v>
      </c>
      <c r="H19" s="32" t="str">
        <f>(MAX('F Mean'!$D19:$H19) - 'F Mean'!H19)/MAX('F Mean'!$D19:$H19)</f>
        <v>0.0166%</v>
      </c>
      <c r="I19" s="1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26">
        <v>1000.0</v>
      </c>
      <c r="B20" s="26">
        <v>50.0</v>
      </c>
      <c r="C20" s="26">
        <v>2.0</v>
      </c>
      <c r="D20" s="32" t="str">
        <f>(MAX('F Mean'!$D20:$H20) - 'F Mean'!D20)/MAX('F Mean'!$D20:$H20)</f>
        <v>0.0454%</v>
      </c>
      <c r="E20" s="32" t="str">
        <f>(MAX('F Mean'!$D20:$H20) - 'F Mean'!E20)/MAX('F Mean'!$D20:$H20)</f>
        <v>0.0090%</v>
      </c>
      <c r="F20" s="32" t="str">
        <f>(MAX('F Mean'!$D20:$H20) - 'F Mean'!F20)/MAX('F Mean'!$D20:$H20)</f>
        <v>0.0288%</v>
      </c>
      <c r="G20" s="32" t="str">
        <f>(MAX('F Mean'!$D20:$H20) - 'F Mean'!G20)/MAX('F Mean'!$D20:$H20)</f>
        <v>0.0014%</v>
      </c>
      <c r="H20" s="32" t="str">
        <f>(MAX('F Mean'!$D20:$H20) - 'F Mean'!H20)/MAX('F Mean'!$D20:$H20)</f>
        <v>0.0000%</v>
      </c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26">
        <v>1000.0</v>
      </c>
      <c r="B21" s="26">
        <v>50.0</v>
      </c>
      <c r="C21" s="26">
        <v>3.0</v>
      </c>
      <c r="D21" s="32" t="str">
        <f>(MAX('F Mean'!$D21:$H21) - 'F Mean'!D21)/MAX('F Mean'!$D21:$H21)</f>
        <v>0.0183%</v>
      </c>
      <c r="E21" s="32" t="str">
        <f>(MAX('F Mean'!$D21:$H21) - 'F Mean'!E21)/MAX('F Mean'!$D21:$H21)</f>
        <v>0.0000%</v>
      </c>
      <c r="F21" s="32" t="str">
        <f>(MAX('F Mean'!$D21:$H21) - 'F Mean'!F21)/MAX('F Mean'!$D21:$H21)</f>
        <v>0.0110%</v>
      </c>
      <c r="G21" s="32" t="str">
        <f>(MAX('F Mean'!$D21:$H21) - 'F Mean'!G21)/MAX('F Mean'!$D21:$H21)</f>
        <v>0.0288%</v>
      </c>
      <c r="H21" s="32" t="str">
        <f>(MAX('F Mean'!$D21:$H21) - 'F Mean'!H21)/MAX('F Mean'!$D21:$H21)</f>
        <v>0.0076%</v>
      </c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6">
        <v>1000.0</v>
      </c>
      <c r="B22" s="26">
        <v>50.0</v>
      </c>
      <c r="C22" s="26">
        <v>4.0</v>
      </c>
      <c r="D22" s="32" t="str">
        <f>(MAX('F Mean'!$D22:$H22) - 'F Mean'!D22)/MAX('F Mean'!$D22:$H22)</f>
        <v>0.0509%</v>
      </c>
      <c r="E22" s="32" t="str">
        <f>(MAX('F Mean'!$D22:$H22) - 'F Mean'!E22)/MAX('F Mean'!$D22:$H22)</f>
        <v>0.0074%</v>
      </c>
      <c r="F22" s="32" t="str">
        <f>(MAX('F Mean'!$D22:$H22) - 'F Mean'!F22)/MAX('F Mean'!$D22:$H22)</f>
        <v>0.0321%</v>
      </c>
      <c r="G22" s="32" t="str">
        <f>(MAX('F Mean'!$D22:$H22) - 'F Mean'!G22)/MAX('F Mean'!$D22:$H22)</f>
        <v>0.0105%</v>
      </c>
      <c r="H22" s="32" t="str">
        <f>(MAX('F Mean'!$D22:$H22) - 'F Mean'!H22)/MAX('F Mean'!$D22:$H22)</f>
        <v>0.0000%</v>
      </c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26">
        <v>1000.0</v>
      </c>
      <c r="B23" s="26">
        <v>50.0</v>
      </c>
      <c r="C23" s="26">
        <v>5.0</v>
      </c>
      <c r="D23" s="32" t="str">
        <f>(MAX('F Mean'!$D23:$H23) - 'F Mean'!D23)/MAX('F Mean'!$D23:$H23)</f>
        <v>0.0235%</v>
      </c>
      <c r="E23" s="32" t="str">
        <f>(MAX('F Mean'!$D23:$H23) - 'F Mean'!E23)/MAX('F Mean'!$D23:$H23)</f>
        <v>0.0000%</v>
      </c>
      <c r="F23" s="32" t="str">
        <f>(MAX('F Mean'!$D23:$H23) - 'F Mean'!F23)/MAX('F Mean'!$D23:$H23)</f>
        <v>0.0179%</v>
      </c>
      <c r="G23" s="32" t="str">
        <f>(MAX('F Mean'!$D23:$H23) - 'F Mean'!G23)/MAX('F Mean'!$D23:$H23)</f>
        <v>0.0090%</v>
      </c>
      <c r="H23" s="32" t="str">
        <f>(MAX('F Mean'!$D23:$H23) - 'F Mean'!H23)/MAX('F Mean'!$D23:$H23)</f>
        <v>0.0089%</v>
      </c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1">
        <v>1000.0</v>
      </c>
      <c r="B24" s="11">
        <v>100.0</v>
      </c>
      <c r="C24" s="11">
        <v>1.0</v>
      </c>
      <c r="D24" s="31" t="str">
        <f>(MAX('F Mean'!$D24:$H24) - 'F Mean'!D24)/MAX('F Mean'!$D24:$H24)</f>
        <v>0.0254%</v>
      </c>
      <c r="E24" s="31" t="str">
        <f>(MAX('F Mean'!$D24:$H24) - 'F Mean'!E24)/MAX('F Mean'!$D24:$H24)</f>
        <v>0.0000%</v>
      </c>
      <c r="F24" s="31" t="str">
        <f>(MAX('F Mean'!$D24:$H24) - 'F Mean'!F24)/MAX('F Mean'!$D24:$H24)</f>
        <v>0.0119%</v>
      </c>
      <c r="G24" s="31" t="str">
        <f>(MAX('F Mean'!$D24:$H24) - 'F Mean'!G24)/MAX('F Mean'!$D24:$H24)</f>
        <v>0.0014%</v>
      </c>
      <c r="H24" s="31" t="str">
        <f>(MAX('F Mean'!$D24:$H24) - 'F Mean'!H24)/MAX('F Mean'!$D24:$H24)</f>
        <v>0.0054%</v>
      </c>
      <c r="I24" s="18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6">
        <v>1000.0</v>
      </c>
      <c r="B25" s="27">
        <v>100.0</v>
      </c>
      <c r="C25" s="16">
        <v>2.0</v>
      </c>
      <c r="D25" s="31" t="str">
        <f>(MAX('F Mean'!$D25:$H25) - 'F Mean'!D25)/MAX('F Mean'!$D25:$H25)</f>
        <v>0.0057%</v>
      </c>
      <c r="E25" s="31" t="str">
        <f>(MAX('F Mean'!$D25:$H25) - 'F Mean'!E25)/MAX('F Mean'!$D25:$H25)</f>
        <v>0.0000%</v>
      </c>
      <c r="F25" s="31" t="str">
        <f>(MAX('F Mean'!$D25:$H25) - 'F Mean'!F25)/MAX('F Mean'!$D25:$H25)</f>
        <v>0.0078%</v>
      </c>
      <c r="G25" s="31" t="str">
        <f>(MAX('F Mean'!$D25:$H25) - 'F Mean'!G25)/MAX('F Mean'!$D25:$H25)</f>
        <v>0.0076%</v>
      </c>
      <c r="H25" s="31" t="str">
        <f>(MAX('F Mean'!$D25:$H25) - 'F Mean'!H25)/MAX('F Mean'!$D25:$H25)</f>
        <v>0.0071%</v>
      </c>
      <c r="I25" s="18"/>
      <c r="J25" s="28"/>
      <c r="K25" s="28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6">
        <v>1000.0</v>
      </c>
      <c r="B26" s="16">
        <v>100.0</v>
      </c>
      <c r="C26" s="16">
        <v>3.0</v>
      </c>
      <c r="D26" s="31" t="str">
        <f>(MAX('F Mean'!$D26:$H26) - 'F Mean'!D26)/MAX('F Mean'!$D26:$H26)</f>
        <v>0.0082%</v>
      </c>
      <c r="E26" s="31" t="str">
        <f>(MAX('F Mean'!$D26:$H26) - 'F Mean'!E26)/MAX('F Mean'!$D26:$H26)</f>
        <v>0.0024%</v>
      </c>
      <c r="F26" s="31" t="str">
        <f>(MAX('F Mean'!$D26:$H26) - 'F Mean'!F26)/MAX('F Mean'!$D26:$H26)</f>
        <v>0.0076%</v>
      </c>
      <c r="G26" s="31" t="str">
        <f>(MAX('F Mean'!$D26:$H26) - 'F Mean'!G26)/MAX('F Mean'!$D26:$H26)</f>
        <v>0.0016%</v>
      </c>
      <c r="H26" s="31" t="str">
        <f>(MAX('F Mean'!$D26:$H26) - 'F Mean'!H26)/MAX('F Mean'!$D26:$H26)</f>
        <v>0.0000%</v>
      </c>
      <c r="I26" s="1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6">
        <v>1000.0</v>
      </c>
      <c r="B27" s="16">
        <v>100.0</v>
      </c>
      <c r="C27" s="16">
        <v>4.0</v>
      </c>
      <c r="D27" s="31" t="str">
        <f>(MAX('F Mean'!$D27:$H27) - 'F Mean'!D27)/MAX('F Mean'!$D27:$H27)</f>
        <v>0.0000%</v>
      </c>
      <c r="E27" s="31" t="str">
        <f>(MAX('F Mean'!$D27:$H27) - 'F Mean'!E27)/MAX('F Mean'!$D27:$H27)</f>
        <v>0.0073%</v>
      </c>
      <c r="F27" s="31" t="str">
        <f>(MAX('F Mean'!$D27:$H27) - 'F Mean'!F27)/MAX('F Mean'!$D27:$H27)</f>
        <v>0.0127%</v>
      </c>
      <c r="G27" s="31" t="str">
        <f>(MAX('F Mean'!$D27:$H27) - 'F Mean'!G27)/MAX('F Mean'!$D27:$H27)</f>
        <v>0.0075%</v>
      </c>
      <c r="H27" s="31" t="str">
        <f>(MAX('F Mean'!$D27:$H27) - 'F Mean'!H27)/MAX('F Mean'!$D27:$H27)</f>
        <v>0.0061%</v>
      </c>
      <c r="I27" s="18"/>
      <c r="J27" s="28"/>
      <c r="K27" s="28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6">
        <v>1000.0</v>
      </c>
      <c r="B28" s="16">
        <v>100.0</v>
      </c>
      <c r="C28" s="16">
        <v>5.0</v>
      </c>
      <c r="D28" s="31" t="str">
        <f>(MAX('F Mean'!$D28:$H28) - 'F Mean'!D28)/MAX('F Mean'!$D28:$H28)</f>
        <v>0.0202%</v>
      </c>
      <c r="E28" s="31" t="str">
        <f>(MAX('F Mean'!$D28:$H28) - 'F Mean'!E28)/MAX('F Mean'!$D28:$H28)</f>
        <v>0.0000%</v>
      </c>
      <c r="F28" s="31" t="str">
        <f>(MAX('F Mean'!$D28:$H28) - 'F Mean'!F28)/MAX('F Mean'!$D28:$H28)</f>
        <v>0.0123%</v>
      </c>
      <c r="G28" s="31" t="str">
        <f>(MAX('F Mean'!$D28:$H28) - 'F Mean'!G28)/MAX('F Mean'!$D28:$H28)</f>
        <v>0.0089%</v>
      </c>
      <c r="H28" s="31" t="str">
        <f>(MAX('F Mean'!$D28:$H28) - 'F Mean'!H28)/MAX('F Mean'!$D28:$H28)</f>
        <v>0.0090%</v>
      </c>
      <c r="I28" s="18"/>
      <c r="J28" s="28"/>
      <c r="K28" s="28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28"/>
      <c r="B29" s="28"/>
      <c r="C29" s="28"/>
      <c r="D29" s="14"/>
      <c r="E29" s="12"/>
      <c r="F29" s="12"/>
      <c r="G29" s="12"/>
      <c r="H29" s="28"/>
      <c r="I29" s="28"/>
      <c r="J29" s="28"/>
      <c r="K29" s="28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3" t="s">
        <v>34</v>
      </c>
      <c r="B32" s="14"/>
      <c r="C32" s="14"/>
      <c r="D32" s="13"/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29" t="s">
        <v>0</v>
      </c>
      <c r="B33" s="29" t="s">
        <v>1</v>
      </c>
      <c r="C33" s="29" t="s">
        <v>2</v>
      </c>
      <c r="D33" s="10" t="s">
        <v>32</v>
      </c>
      <c r="E33" s="10" t="s">
        <v>33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26">
        <v>1000.0</v>
      </c>
      <c r="B34" s="26">
        <v>1.0</v>
      </c>
      <c r="C34" s="26">
        <v>1.0</v>
      </c>
      <c r="D34" s="33" t="str">
        <f t="shared" ref="D34:D58" si="1">E4/D4</f>
        <v>0.04</v>
      </c>
      <c r="E34" s="33" t="str">
        <f t="shared" ref="E34:E58" si="2">G4/F4</f>
        <v>0.04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26">
        <v>1000.0</v>
      </c>
      <c r="B35" s="26">
        <v>1.0</v>
      </c>
      <c r="C35" s="26">
        <v>2.0</v>
      </c>
      <c r="D35" s="33" t="str">
        <f t="shared" si="1"/>
        <v>0.03</v>
      </c>
      <c r="E35" s="33" t="str">
        <f t="shared" si="2"/>
        <v>0.00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26">
        <v>1000.0</v>
      </c>
      <c r="B36" s="26">
        <v>1.0</v>
      </c>
      <c r="C36" s="26">
        <v>3.0</v>
      </c>
      <c r="D36" s="33" t="str">
        <f t="shared" si="1"/>
        <v>0.00</v>
      </c>
      <c r="E36" s="33" t="str">
        <f t="shared" si="2"/>
        <v>0.01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26">
        <v>1000.0</v>
      </c>
      <c r="B37" s="26">
        <v>1.0</v>
      </c>
      <c r="C37" s="26">
        <v>4.0</v>
      </c>
      <c r="D37" s="33" t="str">
        <f t="shared" si="1"/>
        <v>0.13</v>
      </c>
      <c r="E37" s="33" t="str">
        <f t="shared" si="2"/>
        <v>0.09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26">
        <v>1000.0</v>
      </c>
      <c r="B38" s="26">
        <v>1.0</v>
      </c>
      <c r="C38" s="26">
        <v>5.0</v>
      </c>
      <c r="D38" s="33" t="str">
        <f t="shared" si="1"/>
        <v>0.08</v>
      </c>
      <c r="E38" s="33" t="str">
        <f t="shared" si="2"/>
        <v>0.00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26">
        <v>1000.0</v>
      </c>
      <c r="B39" s="26">
        <v>5.0</v>
      </c>
      <c r="C39" s="26">
        <v>1.0</v>
      </c>
      <c r="D39" s="33" t="str">
        <f t="shared" si="1"/>
        <v>0.11</v>
      </c>
      <c r="E39" s="33" t="str">
        <f t="shared" si="2"/>
        <v>0.00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26">
        <v>1000.0</v>
      </c>
      <c r="B40" s="26">
        <v>5.0</v>
      </c>
      <c r="C40" s="26">
        <v>2.0</v>
      </c>
      <c r="D40" s="33" t="str">
        <f t="shared" si="1"/>
        <v>0.00</v>
      </c>
      <c r="E40" s="33" t="str">
        <f t="shared" si="2"/>
        <v>0.09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26">
        <v>1000.0</v>
      </c>
      <c r="B41" s="26">
        <v>5.0</v>
      </c>
      <c r="C41" s="26">
        <v>3.0</v>
      </c>
      <c r="D41" s="33" t="str">
        <f t="shared" si="1"/>
        <v>0.00</v>
      </c>
      <c r="E41" s="33" t="str">
        <f t="shared" si="2"/>
        <v>0.04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26">
        <v>1000.0</v>
      </c>
      <c r="B42" s="26">
        <v>5.0</v>
      </c>
      <c r="C42" s="26">
        <v>4.0</v>
      </c>
      <c r="D42" s="33" t="str">
        <f t="shared" si="1"/>
        <v>0.01</v>
      </c>
      <c r="E42" s="33" t="str">
        <f t="shared" si="2"/>
        <v>0.00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26">
        <v>1000.0</v>
      </c>
      <c r="B43" s="26">
        <v>5.0</v>
      </c>
      <c r="C43" s="26">
        <v>5.0</v>
      </c>
      <c r="D43" s="33" t="str">
        <f t="shared" si="1"/>
        <v>0.03</v>
      </c>
      <c r="E43" s="33" t="str">
        <f t="shared" si="2"/>
        <v>0.00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26">
        <v>1000.0</v>
      </c>
      <c r="B44" s="26">
        <v>10.0</v>
      </c>
      <c r="C44" s="26">
        <v>1.0</v>
      </c>
      <c r="D44" s="33" t="str">
        <f t="shared" si="1"/>
        <v>0.00</v>
      </c>
      <c r="E44" s="33" t="str">
        <f t="shared" si="2"/>
        <v>0.02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26">
        <v>1000.0</v>
      </c>
      <c r="B45" s="26">
        <v>10.0</v>
      </c>
      <c r="C45" s="26">
        <v>2.0</v>
      </c>
      <c r="D45" s="33" t="str">
        <f t="shared" si="1"/>
        <v>0.12</v>
      </c>
      <c r="E45" s="33" t="str">
        <f t="shared" si="2"/>
        <v>0.00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26">
        <v>1000.0</v>
      </c>
      <c r="B46" s="26">
        <v>10.0</v>
      </c>
      <c r="C46" s="26">
        <v>3.0</v>
      </c>
      <c r="D46" s="33" t="str">
        <f t="shared" si="1"/>
        <v>0.00</v>
      </c>
      <c r="E46" s="33" t="str">
        <f t="shared" si="2"/>
        <v>0.06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26">
        <v>1000.0</v>
      </c>
      <c r="B47" s="26">
        <v>10.0</v>
      </c>
      <c r="C47" s="26">
        <v>4.0</v>
      </c>
      <c r="D47" s="33" t="str">
        <f t="shared" si="1"/>
        <v>0.07</v>
      </c>
      <c r="E47" s="33" t="str">
        <f t="shared" si="2"/>
        <v>0.12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26">
        <v>1000.0</v>
      </c>
      <c r="B48" s="26">
        <v>10.0</v>
      </c>
      <c r="C48" s="26">
        <v>5.0</v>
      </c>
      <c r="D48" s="33" t="str">
        <f t="shared" si="1"/>
        <v>0.09</v>
      </c>
      <c r="E48" s="33" t="str">
        <f t="shared" si="2"/>
        <v>0.25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26">
        <v>1000.0</v>
      </c>
      <c r="B49" s="26">
        <v>50.0</v>
      </c>
      <c r="C49" s="26">
        <v>1.0</v>
      </c>
      <c r="D49" s="33" t="str">
        <f t="shared" si="1"/>
        <v>0.29</v>
      </c>
      <c r="E49" s="33" t="str">
        <f t="shared" si="2"/>
        <v>0.00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26">
        <v>1000.0</v>
      </c>
      <c r="B50" s="26">
        <v>50.0</v>
      </c>
      <c r="C50" s="26">
        <v>2.0</v>
      </c>
      <c r="D50" s="33" t="str">
        <f t="shared" si="1"/>
        <v>0.20</v>
      </c>
      <c r="E50" s="33" t="str">
        <f t="shared" si="2"/>
        <v>0.05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26">
        <v>1000.0</v>
      </c>
      <c r="B51" s="26">
        <v>50.0</v>
      </c>
      <c r="C51" s="26">
        <v>3.0</v>
      </c>
      <c r="D51" s="33" t="str">
        <f t="shared" si="1"/>
        <v>0.00</v>
      </c>
      <c r="E51" s="33" t="str">
        <f t="shared" si="2"/>
        <v>2.61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26">
        <v>1000.0</v>
      </c>
      <c r="B52" s="26">
        <v>50.0</v>
      </c>
      <c r="C52" s="26">
        <v>4.0</v>
      </c>
      <c r="D52" s="33" t="str">
        <f t="shared" si="1"/>
        <v>0.15</v>
      </c>
      <c r="E52" s="33" t="str">
        <f t="shared" si="2"/>
        <v>0.33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26">
        <v>1000.0</v>
      </c>
      <c r="B53" s="26">
        <v>50.0</v>
      </c>
      <c r="C53" s="26">
        <v>5.0</v>
      </c>
      <c r="D53" s="33" t="str">
        <f t="shared" si="1"/>
        <v>0.00</v>
      </c>
      <c r="E53" s="33" t="str">
        <f t="shared" si="2"/>
        <v>0.50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26">
        <v>1000.0</v>
      </c>
      <c r="B54" s="26">
        <v>100.0</v>
      </c>
      <c r="C54" s="26">
        <v>1.0</v>
      </c>
      <c r="D54" s="33" t="str">
        <f t="shared" si="1"/>
        <v>0.00</v>
      </c>
      <c r="E54" s="33" t="str">
        <f t="shared" si="2"/>
        <v>0.11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26">
        <v>1000.0</v>
      </c>
      <c r="B55" s="26">
        <v>100.0</v>
      </c>
      <c r="C55" s="26">
        <v>2.0</v>
      </c>
      <c r="D55" s="33" t="str">
        <f t="shared" si="1"/>
        <v>0.00</v>
      </c>
      <c r="E55" s="33" t="str">
        <f t="shared" si="2"/>
        <v>0.98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26">
        <v>1000.0</v>
      </c>
      <c r="B56" s="26">
        <v>100.0</v>
      </c>
      <c r="C56" s="26">
        <v>3.0</v>
      </c>
      <c r="D56" s="33" t="str">
        <f t="shared" si="1"/>
        <v>0.29</v>
      </c>
      <c r="E56" s="33" t="str">
        <f t="shared" si="2"/>
        <v>0.21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26">
        <v>1000.0</v>
      </c>
      <c r="B57" s="26">
        <v>100.0</v>
      </c>
      <c r="C57" s="26">
        <v>4.0</v>
      </c>
      <c r="D57" s="33" t="str">
        <f t="shared" si="1"/>
        <v>#DIV/0!</v>
      </c>
      <c r="E57" s="33" t="str">
        <f t="shared" si="2"/>
        <v>0.59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26">
        <v>1000.0</v>
      </c>
      <c r="B58" s="26">
        <v>100.0</v>
      </c>
      <c r="C58" s="26">
        <v>5.0</v>
      </c>
      <c r="D58" s="33" t="str">
        <f t="shared" si="1"/>
        <v>0.00</v>
      </c>
      <c r="E58" s="33" t="str">
        <f t="shared" si="2"/>
        <v>0.73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</sheetData>
  <conditionalFormatting sqref="D4:H28">
    <cfRule type="cellIs" dxfId="0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</cols>
  <sheetData>
    <row r="1">
      <c r="C1" s="10" t="s">
        <v>20</v>
      </c>
      <c r="D1" s="11" t="str">
        <f>IFERROR(__xludf.DUMMYFUNCTION("TRANSPOSE(UNIQUE(Data!D2:E1000))"),"bs_array")</f>
        <v>bs_array</v>
      </c>
      <c r="E1" s="11" t="s">
        <v>14</v>
      </c>
      <c r="F1" s="11" t="s">
        <v>17</v>
      </c>
      <c r="G1" s="11" t="s">
        <v>17</v>
      </c>
      <c r="H1" s="11" t="s">
        <v>18</v>
      </c>
      <c r="I1" s="12"/>
      <c r="J1" s="12"/>
      <c r="K1" s="13" t="s">
        <v>30</v>
      </c>
      <c r="L1" s="12"/>
      <c r="M1" s="12"/>
      <c r="N1" s="12"/>
      <c r="O1" s="12"/>
      <c r="P1" s="12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C2" s="10" t="s">
        <v>21</v>
      </c>
      <c r="D2" s="11" t="s">
        <v>15</v>
      </c>
      <c r="E2" s="11" t="s">
        <v>16</v>
      </c>
      <c r="F2" s="11" t="s">
        <v>15</v>
      </c>
      <c r="G2" s="11" t="s">
        <v>16</v>
      </c>
      <c r="H2" s="11" t="s">
        <v>16</v>
      </c>
      <c r="I2" s="12"/>
      <c r="J2" s="12"/>
      <c r="K2" s="13" t="s">
        <v>10</v>
      </c>
      <c r="L2" s="12"/>
      <c r="M2" s="12"/>
      <c r="N2" s="12"/>
      <c r="O2" s="12"/>
      <c r="P2" s="12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0" t="s">
        <v>0</v>
      </c>
      <c r="B3" s="10" t="s">
        <v>1</v>
      </c>
      <c r="C3" s="10" t="s">
        <v>2</v>
      </c>
      <c r="D3" s="15"/>
      <c r="E3" s="15"/>
      <c r="F3" s="15"/>
      <c r="G3" s="15"/>
      <c r="H3" s="15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6" t="str">
        <f>IFERROR(__xludf.DUMMYFUNCTION("UNIQUE(Data!A2:C1000)"),"1000")</f>
        <v>1000</v>
      </c>
      <c r="B4" s="16">
        <v>1.0</v>
      </c>
      <c r="C4" s="16">
        <v>1.0</v>
      </c>
      <c r="D4" s="17" t="str">
        <f>IFERROR(__xludf.DUMMYFUNCTION("DMAX({{Data!$A$1:$M$1};filter(Data!$A$2:$M1000,Data!$A$2:$A1000=$A4 , Data!$B$2:$B1000 = $B4,Data!$C$2:$C1000 = $C4, Data!$D$2:$D1000 = D$1, Data!$E$2:$E1000 = D$2 )},$K$2  , $Q$22:$Q$23)"),"758.736842")</f>
        <v>758.736842</v>
      </c>
      <c r="E4" s="17" t="str">
        <f>IFERROR(__xludf.DUMMYFUNCTION("DMAX({{Data!$A$1:$M$1};filter(Data!$A$2:$M1000,Data!$A$2:$A1000=$A4 , Data!$B$2:$B1000 = $B4,Data!$C$2:$C1000 = $C4, Data!$D$2:$D1000 = E$1, Data!$E$2:$E1000 = E$2 )},$K$2  , $Q$22:$Q$23)"),"1061.800335")</f>
        <v>1061.800335</v>
      </c>
      <c r="F4" s="17" t="str">
        <f>IFERROR(__xludf.DUMMYFUNCTION("DMAX({{Data!$A$1:$M$1};filter(Data!$A$2:$M1000,Data!$A$2:$A1000=$A4 , Data!$B$2:$B1000 = $B4,Data!$C$2:$C1000 = $C4, Data!$D$2:$D1000 = F$1, Data!$E$2:$E1000 = F$2 )},$K$2  , $Q$22:$Q$23)"),"758.313627")</f>
        <v>758.313627</v>
      </c>
      <c r="G4" s="17" t="str">
        <f>IFERROR(__xludf.DUMMYFUNCTION("DMAX({{Data!$A$1:$M$1};filter(Data!$A$2:$M1000,Data!$A$2:$A1000=$A4 , Data!$B$2:$B1000 = $B4,Data!$C$2:$C1000 = $C4, Data!$D$2:$D1000 = G$1, Data!$E$2:$E1000 = G$2 )},$K$2  , $Q$22:$Q$23)"),"1061.872035")</f>
        <v>1061.872035</v>
      </c>
      <c r="H4" s="17" t="str">
        <f>IFERROR(__xludf.DUMMYFUNCTION("DMAX({{Data!$A$1:$M$1};filter(Data!$A$2:$M1000,Data!$A$2:$A1000=$A4 , Data!$B$2:$B1000 = $B4,Data!$C$2:$C1000 = $C4, Data!$D$2:$D1000 = H$1, Data!$E$2:$E1000 = H$2 )},$K$2  , $Q$22:$Q$23)"),"1061.365282")</f>
        <v>1061.365282</v>
      </c>
      <c r="I4" s="18"/>
      <c r="J4" s="18"/>
      <c r="K4" s="18"/>
      <c r="L4" s="18"/>
      <c r="M4" s="18"/>
      <c r="N4" s="18"/>
      <c r="O4" s="18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6">
        <v>1000.0</v>
      </c>
      <c r="B5" s="16">
        <v>1.0</v>
      </c>
      <c r="C5" s="16">
        <v>2.0</v>
      </c>
      <c r="D5" s="17" t="str">
        <f>IFERROR(__xludf.DUMMYFUNCTION("DMAX({{Data!$A$1:$M$1};filter(Data!$A$2:$M1000,Data!$A$2:$A1000=$A5 , Data!$B$2:$B1000 = $B5,Data!$C$2:$C1000 = $C5, Data!$D$2:$D1000 = D$1, Data!$E$2:$E1000 = D$2 )},$K$2  , $Q$22:$Q$23)"),"754.598053")</f>
        <v>754.598053</v>
      </c>
      <c r="E5" s="17" t="str">
        <f>IFERROR(__xludf.DUMMYFUNCTION("DMAX({{Data!$A$1:$M$1};filter(Data!$A$2:$M1000,Data!$A$2:$A1000=$A5 , Data!$B$2:$B1000 = $B5,Data!$C$2:$C1000 = $C5, Data!$D$2:$D1000 = E$1, Data!$E$2:$E1000 = E$2 )},$K$2  , $Q$22:$Q$23)"),"1060.168413")</f>
        <v>1060.168413</v>
      </c>
      <c r="F5" s="17" t="str">
        <f>IFERROR(__xludf.DUMMYFUNCTION("DMAX({{Data!$A$1:$M$1};filter(Data!$A$2:$M1000,Data!$A$2:$A1000=$A5 , Data!$B$2:$B1000 = $B5,Data!$C$2:$C1000 = $C5, Data!$D$2:$D1000 = F$1, Data!$E$2:$E1000 = F$2 )},$K$2  , $Q$22:$Q$23)"),"753.833986")</f>
        <v>753.833986</v>
      </c>
      <c r="G5" s="17" t="str">
        <f>IFERROR(__xludf.DUMMYFUNCTION("DMAX({{Data!$A$1:$M$1};filter(Data!$A$2:$M1000,Data!$A$2:$A1000=$A5 , Data!$B$2:$B1000 = $B5,Data!$C$2:$C1000 = $C5, Data!$D$2:$D1000 = G$1, Data!$E$2:$E1000 = G$2 )},$K$2  , $Q$22:$Q$23)"),"1060.355846")</f>
        <v>1060.355846</v>
      </c>
      <c r="H5" s="17" t="str">
        <f>IFERROR(__xludf.DUMMYFUNCTION("DMAX({{Data!$A$1:$M$1};filter(Data!$A$2:$M1000,Data!$A$2:$A1000=$A5 , Data!$B$2:$B1000 = $B5,Data!$C$2:$C1000 = $C5, Data!$D$2:$D1000 = H$1, Data!$E$2:$E1000 = H$2 )},$K$2  , $Q$22:$Q$23)"),"1060.458155")</f>
        <v>1060.458155</v>
      </c>
      <c r="I5" s="18"/>
      <c r="J5" s="18"/>
      <c r="K5" s="18"/>
      <c r="L5" s="18"/>
      <c r="M5" s="18"/>
      <c r="N5" s="18"/>
      <c r="O5" s="18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6">
        <v>1000.0</v>
      </c>
      <c r="B6" s="16">
        <v>1.0</v>
      </c>
      <c r="C6" s="16">
        <v>3.0</v>
      </c>
      <c r="D6" s="17" t="str">
        <f>IFERROR(__xludf.DUMMYFUNCTION("DMAX({{Data!$A$1:$M$1};filter(Data!$A$2:$M1000,Data!$A$2:$A1000=$A6 , Data!$B$2:$B1000 = $B6,Data!$C$2:$C1000 = $C6, Data!$D$2:$D1000 = D$1, Data!$E$2:$E1000 = D$2 )},$K$2  , $Q$22:$Q$23)"),"748.305707")</f>
        <v>748.305707</v>
      </c>
      <c r="E6" s="17" t="str">
        <f>IFERROR(__xludf.DUMMYFUNCTION("DMAX({{Data!$A$1:$M$1};filter(Data!$A$2:$M1000,Data!$A$2:$A1000=$A6 , Data!$B$2:$B1000 = $B6,Data!$C$2:$C1000 = $C6, Data!$D$2:$D1000 = E$1, Data!$E$2:$E1000 = E$2 )},$K$2  , $Q$22:$Q$23)"),"1051.541373")</f>
        <v>1051.541373</v>
      </c>
      <c r="F6" s="17" t="str">
        <f>IFERROR(__xludf.DUMMYFUNCTION("DMAX({{Data!$A$1:$M$1};filter(Data!$A$2:$M1000,Data!$A$2:$A1000=$A6 , Data!$B$2:$B1000 = $B6,Data!$C$2:$C1000 = $C6, Data!$D$2:$D1000 = F$1, Data!$E$2:$E1000 = F$2 )},$K$2  , $Q$22:$Q$23)"),"748.602421")</f>
        <v>748.602421</v>
      </c>
      <c r="G6" s="17" t="str">
        <f>IFERROR(__xludf.DUMMYFUNCTION("DMAX({{Data!$A$1:$M$1};filter(Data!$A$2:$M1000,Data!$A$2:$A1000=$A6 , Data!$B$2:$B1000 = $B6,Data!$C$2:$C1000 = $C6, Data!$D$2:$D1000 = G$1, Data!$E$2:$E1000 = G$2 )},$K$2  , $Q$22:$Q$23)"),"1051.93442")</f>
        <v>1051.93442</v>
      </c>
      <c r="H6" s="17" t="str">
        <f>IFERROR(__xludf.DUMMYFUNCTION("DMAX({{Data!$A$1:$M$1};filter(Data!$A$2:$M1000,Data!$A$2:$A1000=$A6 , Data!$B$2:$B1000 = $B6,Data!$C$2:$C1000 = $C6, Data!$D$2:$D1000 = H$1, Data!$E$2:$E1000 = H$2 )},$K$2  , $Q$22:$Q$23)"),"1051.789419")</f>
        <v>1051.789419</v>
      </c>
      <c r="I6" s="18"/>
      <c r="J6" s="18"/>
      <c r="K6" s="18"/>
      <c r="L6" s="18"/>
      <c r="M6" s="18"/>
      <c r="N6" s="18"/>
      <c r="O6" s="1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6">
        <v>1000.0</v>
      </c>
      <c r="B7" s="16">
        <v>1.0</v>
      </c>
      <c r="C7" s="16">
        <v>4.0</v>
      </c>
      <c r="D7" s="17" t="str">
        <f>IFERROR(__xludf.DUMMYFUNCTION("DMAX({{Data!$A$1:$M$1};filter(Data!$A$2:$M1000,Data!$A$2:$A1000=$A7 , Data!$B$2:$B1000 = $B7,Data!$C$2:$C1000 = $C7, Data!$D$2:$D1000 = D$1, Data!$E$2:$E1000 = D$2 )},$K$2  , $Q$22:$Q$23)"),"759.317992")</f>
        <v>759.317992</v>
      </c>
      <c r="E7" s="17" t="str">
        <f>IFERROR(__xludf.DUMMYFUNCTION("DMAX({{Data!$A$1:$M$1};filter(Data!$A$2:$M1000,Data!$A$2:$A1000=$A7 , Data!$B$2:$B1000 = $B7,Data!$C$2:$C1000 = $C7, Data!$D$2:$D1000 = E$1, Data!$E$2:$E1000 = E$2 )},$K$2  , $Q$22:$Q$23)"),"1069.36214")</f>
        <v>1069.36214</v>
      </c>
      <c r="F7" s="17" t="str">
        <f>IFERROR(__xludf.DUMMYFUNCTION("DMAX({{Data!$A$1:$M$1};filter(Data!$A$2:$M1000,Data!$A$2:$A1000=$A7 , Data!$B$2:$B1000 = $B7,Data!$C$2:$C1000 = $C7, Data!$D$2:$D1000 = F$1, Data!$E$2:$E1000 = F$2 )},$K$2  , $Q$22:$Q$23)"),"759.516646")</f>
        <v>759.516646</v>
      </c>
      <c r="G7" s="17" t="str">
        <f>IFERROR(__xludf.DUMMYFUNCTION("DMAX({{Data!$A$1:$M$1};filter(Data!$A$2:$M1000,Data!$A$2:$A1000=$A7 , Data!$B$2:$B1000 = $B7,Data!$C$2:$C1000 = $C7, Data!$D$2:$D1000 = G$1, Data!$E$2:$E1000 = G$2 )},$K$2  , $Q$22:$Q$23)"),"1069.637086")</f>
        <v>1069.637086</v>
      </c>
      <c r="H7" s="17" t="str">
        <f>IFERROR(__xludf.DUMMYFUNCTION("DMAX({{Data!$A$1:$M$1};filter(Data!$A$2:$M1000,Data!$A$2:$A1000=$A7 , Data!$B$2:$B1000 = $B7,Data!$C$2:$C1000 = $C7, Data!$D$2:$D1000 = H$1, Data!$E$2:$E1000 = H$2 )},$K$2  , $Q$22:$Q$23)"),"1069.872891")</f>
        <v>1069.872891</v>
      </c>
      <c r="I7" s="18"/>
      <c r="J7" s="18"/>
      <c r="K7" s="18"/>
      <c r="L7" s="18"/>
      <c r="M7" s="18"/>
      <c r="N7" s="18"/>
      <c r="O7" s="18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9">
        <v>1000.0</v>
      </c>
      <c r="B8" s="19">
        <v>1.0</v>
      </c>
      <c r="C8" s="19">
        <v>5.0</v>
      </c>
      <c r="D8" s="20" t="str">
        <f>IFERROR(__xludf.DUMMYFUNCTION("DMAX({{Data!$A$1:$M$1};filter(Data!$A$2:$M1000,Data!$A$2:$A1000=$A8 , Data!$B$2:$B1000 = $B8,Data!$C$2:$C1000 = $C8, Data!$D$2:$D1000 = D$1, Data!$E$2:$E1000 = D$2 )},$K$2  , $Q$22:$Q$23)"),"758.16968")</f>
        <v>758.16968</v>
      </c>
      <c r="E8" s="20" t="str">
        <f>IFERROR(__xludf.DUMMYFUNCTION("DMAX({{Data!$A$1:$M$1};filter(Data!$A$2:$M1000,Data!$A$2:$A1000=$A8 , Data!$B$2:$B1000 = $B8,Data!$C$2:$C1000 = $C8, Data!$D$2:$D1000 = E$1, Data!$E$2:$E1000 = E$2 )},$K$2  , $Q$22:$Q$23)"),"1063.658704")</f>
        <v>1063.658704</v>
      </c>
      <c r="F8" s="20" t="str">
        <f>IFERROR(__xludf.DUMMYFUNCTION("DMAX({{Data!$A$1:$M$1};filter(Data!$A$2:$M1000,Data!$A$2:$A1000=$A8 , Data!$B$2:$B1000 = $B8,Data!$C$2:$C1000 = $C8, Data!$D$2:$D1000 = F$1, Data!$E$2:$E1000 = F$2 )},$K$2  , $Q$22:$Q$23)"),"756.900499")</f>
        <v>756.900499</v>
      </c>
      <c r="G8" s="20" t="str">
        <f>IFERROR(__xludf.DUMMYFUNCTION("DMAX({{Data!$A$1:$M$1};filter(Data!$A$2:$M1000,Data!$A$2:$A1000=$A8 , Data!$B$2:$B1000 = $B8,Data!$C$2:$C1000 = $C8, Data!$D$2:$D1000 = G$1, Data!$E$2:$E1000 = G$2 )},$K$2  , $Q$22:$Q$23)"),"1063.824566")</f>
        <v>1063.824566</v>
      </c>
      <c r="H8" s="20" t="str">
        <f>IFERROR(__xludf.DUMMYFUNCTION("DMAX({{Data!$A$1:$M$1};filter(Data!$A$2:$M1000,Data!$A$2:$A1000=$A8 , Data!$B$2:$B1000 = $B8,Data!$C$2:$C1000 = $C8, Data!$D$2:$D1000 = H$1, Data!$E$2:$E1000 = H$2 )},$K$2  , $Q$22:$Q$23)"),"1064.921505")</f>
        <v>1064.921505</v>
      </c>
      <c r="I8" s="18"/>
      <c r="J8" s="18"/>
      <c r="K8" s="18"/>
      <c r="L8" s="18"/>
      <c r="M8" s="18"/>
      <c r="N8" s="18"/>
      <c r="O8" s="18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6">
        <v>1000.0</v>
      </c>
      <c r="B9" s="16">
        <v>5.0</v>
      </c>
      <c r="C9" s="16">
        <v>1.0</v>
      </c>
      <c r="D9" s="21" t="str">
        <f>IFERROR(__xludf.DUMMYFUNCTION("DMAX({{Data!$A$1:$M$1};filter(Data!$A$2:$M1000,Data!$A$2:$A1000=$A9 , Data!$B$2:$B1000 = $B9,Data!$C$2:$C1000 = $C9, Data!$D$2:$D1000 = D$1, Data!$E$2:$E1000 = D$2 )},$K$2  , $Q$22:$Q$23)"),"1151.591928")</f>
        <v>1151.591928</v>
      </c>
      <c r="E9" s="21" t="str">
        <f>IFERROR(__xludf.DUMMYFUNCTION("DMAX({{Data!$A$1:$M$1};filter(Data!$A$2:$M1000,Data!$A$2:$A1000=$A9 , Data!$B$2:$B1000 = $B9,Data!$C$2:$C1000 = $C9, Data!$D$2:$D1000 = E$1, Data!$E$2:$E1000 = E$2 )},$K$2  , $Q$22:$Q$23)"),"1775.59341")</f>
        <v>1775.59341</v>
      </c>
      <c r="F9" s="21" t="str">
        <f>IFERROR(__xludf.DUMMYFUNCTION("DMAX({{Data!$A$1:$M$1};filter(Data!$A$2:$M1000,Data!$A$2:$A1000=$A9 , Data!$B$2:$B1000 = $B9,Data!$C$2:$C1000 = $C9, Data!$D$2:$D1000 = F$1, Data!$E$2:$E1000 = F$2 )},$K$2  , $Q$22:$Q$23)"),"1149.595882")</f>
        <v>1149.595882</v>
      </c>
      <c r="G9" s="21" t="str">
        <f>IFERROR(__xludf.DUMMYFUNCTION("DMAX({{Data!$A$1:$M$1};filter(Data!$A$2:$M1000,Data!$A$2:$A1000=$A9 , Data!$B$2:$B1000 = $B9,Data!$C$2:$C1000 = $C9, Data!$D$2:$D1000 = G$1, Data!$E$2:$E1000 = G$2 )},$K$2  , $Q$22:$Q$23)"),"1779.913743")</f>
        <v>1779.913743</v>
      </c>
      <c r="H9" s="21" t="str">
        <f>IFERROR(__xludf.DUMMYFUNCTION("DMAX({{Data!$A$1:$M$1};filter(Data!$A$2:$M1000,Data!$A$2:$A1000=$A9 , Data!$B$2:$B1000 = $B9,Data!$C$2:$C1000 = $C9, Data!$D$2:$D1000 = H$1, Data!$E$2:$E1000 = H$2 )},$K$2  , $Q$22:$Q$23)"),"1776.883392")</f>
        <v>1776.883392</v>
      </c>
      <c r="I9" s="18"/>
      <c r="J9" s="18"/>
      <c r="K9" s="18"/>
      <c r="L9" s="18"/>
      <c r="M9" s="18"/>
      <c r="N9" s="18"/>
      <c r="O9" s="18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22">
        <v>1000.0</v>
      </c>
      <c r="B10" s="22">
        <v>5.0</v>
      </c>
      <c r="C10" s="22">
        <v>2.0</v>
      </c>
      <c r="D10" s="23" t="str">
        <f>IFERROR(__xludf.DUMMYFUNCTION("DMAX({{Data!$A$1:$M$1};filter(Data!$A$2:$M1000,Data!$A$2:$A1000=$A10 , Data!$B$2:$B1000 = $B10,Data!$C$2:$C1000 = $C10, Data!$D$2:$D1000 = D$1, Data!$E$2:$E1000 = D$2 )},$K$2  , $Q$22:$Q$23)"),"1156.509009")</f>
        <v>1156.509009</v>
      </c>
      <c r="E10" s="23" t="str">
        <f>IFERROR(__xludf.DUMMYFUNCTION("DMAX({{Data!$A$1:$M$1};filter(Data!$A$2:$M1000,Data!$A$2:$A1000=$A10 , Data!$B$2:$B1000 = $B10,Data!$C$2:$C1000 = $C10, Data!$D$2:$D1000 = E$1, Data!$E$2:$E1000 = E$2 )},$K$2  , $Q$22:$Q$23)"),"1783.432563")</f>
        <v>1783.432563</v>
      </c>
      <c r="F10" s="23" t="str">
        <f>IFERROR(__xludf.DUMMYFUNCTION("DMAX({{Data!$A$1:$M$1};filter(Data!$A$2:$M1000,Data!$A$2:$A1000=$A10 , Data!$B$2:$B1000 = $B10,Data!$C$2:$C1000 = $C10, Data!$D$2:$D1000 = F$1, Data!$E$2:$E1000 = F$2 )},$K$2  , $Q$22:$Q$23)"),"1152.721717")</f>
        <v>1152.721717</v>
      </c>
      <c r="G10" s="23" t="str">
        <f>IFERROR(__xludf.DUMMYFUNCTION("DMAX({{Data!$A$1:$M$1};filter(Data!$A$2:$M1000,Data!$A$2:$A1000=$A10 , Data!$B$2:$B1000 = $B10,Data!$C$2:$C1000 = $C10, Data!$D$2:$D1000 = G$1, Data!$E$2:$E1000 = G$2 )},$K$2  , $Q$22:$Q$23)"),"1782.315089")</f>
        <v>1782.315089</v>
      </c>
      <c r="H10" s="23" t="str">
        <f>IFERROR(__xludf.DUMMYFUNCTION("DMAX({{Data!$A$1:$M$1};filter(Data!$A$2:$M1000,Data!$A$2:$A1000=$A10 , Data!$B$2:$B1000 = $B10,Data!$C$2:$C1000 = $C10, Data!$D$2:$D1000 = H$1, Data!$E$2:$E1000 = H$2 )},$K$2  , $Q$22:$Q$23)"),"1785.697755")</f>
        <v>1785.697755</v>
      </c>
      <c r="I10" s="18"/>
      <c r="J10" s="18"/>
      <c r="K10" s="18"/>
      <c r="L10" s="18"/>
      <c r="M10" s="18"/>
      <c r="N10" s="18"/>
      <c r="O10" s="18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6">
        <v>1000.0</v>
      </c>
      <c r="B11" s="16">
        <v>5.0</v>
      </c>
      <c r="C11" s="16">
        <v>3.0</v>
      </c>
      <c r="D11" s="24" t="str">
        <f>IFERROR(__xludf.DUMMYFUNCTION("DMAX({{Data!$A$1:$M$1};filter(Data!$A$2:$M1000,Data!$A$2:$A1000=$A11 , Data!$B$2:$B1000 = $B11,Data!$C$2:$C1000 = $C11, Data!$D$2:$D1000 = D$1, Data!$E$2:$E1000 = D$2 )},$K$2  , $Q$22:$Q$23)"),"1149.334821")</f>
        <v>1149.334821</v>
      </c>
      <c r="E11" s="24" t="str">
        <f>IFERROR(__xludf.DUMMYFUNCTION("DMAX({{Data!$A$1:$M$1};filter(Data!$A$2:$M1000,Data!$A$2:$A1000=$A11 , Data!$B$2:$B1000 = $B11,Data!$C$2:$C1000 = $C11, Data!$D$2:$D1000 = E$1, Data!$E$2:$E1000 = E$2 )},$K$2  , $Q$22:$Q$23)"),"1781.233725")</f>
        <v>1781.233725</v>
      </c>
      <c r="F11" s="24" t="str">
        <f>IFERROR(__xludf.DUMMYFUNCTION("DMAX({{Data!$A$1:$M$1};filter(Data!$A$2:$M1000,Data!$A$2:$A1000=$A11 , Data!$B$2:$B1000 = $B11,Data!$C$2:$C1000 = $C11, Data!$D$2:$D1000 = F$1, Data!$E$2:$E1000 = F$2 )},$K$2  , $Q$22:$Q$23)"),"1150.51039")</f>
        <v>1150.51039</v>
      </c>
      <c r="G11" s="24" t="str">
        <f>IFERROR(__xludf.DUMMYFUNCTION("DMAX({{Data!$A$1:$M$1};filter(Data!$A$2:$M1000,Data!$A$2:$A1000=$A11 , Data!$B$2:$B1000 = $B11,Data!$C$2:$C1000 = $C11, Data!$D$2:$D1000 = G$1, Data!$E$2:$E1000 = G$2 )},$K$2  , $Q$22:$Q$23)"),"1781.727941")</f>
        <v>1781.727941</v>
      </c>
      <c r="H11" s="24" t="str">
        <f>IFERROR(__xludf.DUMMYFUNCTION("DMAX({{Data!$A$1:$M$1};filter(Data!$A$2:$M1000,Data!$A$2:$A1000=$A11 , Data!$B$2:$B1000 = $B11,Data!$C$2:$C1000 = $C11, Data!$D$2:$D1000 = H$1, Data!$E$2:$E1000 = H$2 )},$K$2  , $Q$22:$Q$23)"),"1777.301948")</f>
        <v>1777.301948</v>
      </c>
      <c r="I11" s="18"/>
      <c r="J11" s="18"/>
      <c r="K11" s="18"/>
      <c r="L11" s="18"/>
      <c r="M11" s="18"/>
      <c r="N11" s="18"/>
      <c r="O11" s="18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6">
        <v>1000.0</v>
      </c>
      <c r="B12" s="16">
        <v>5.0</v>
      </c>
      <c r="C12" s="16">
        <v>4.0</v>
      </c>
      <c r="D12" s="24" t="str">
        <f>IFERROR(__xludf.DUMMYFUNCTION("DMAX({{Data!$A$1:$M$1};filter(Data!$A$2:$M1000,Data!$A$2:$A1000=$A12 , Data!$B$2:$B1000 = $B12,Data!$C$2:$C1000 = $C12, Data!$D$2:$D1000 = D$1, Data!$E$2:$E1000 = D$2 )},$K$2  , $Q$22:$Q$23)"),"1147.683036")</f>
        <v>1147.683036</v>
      </c>
      <c r="E12" s="24" t="str">
        <f>IFERROR(__xludf.DUMMYFUNCTION("DMAX({{Data!$A$1:$M$1};filter(Data!$A$2:$M1000,Data!$A$2:$A1000=$A12 , Data!$B$2:$B1000 = $B12,Data!$C$2:$C1000 = $C12, Data!$D$2:$D1000 = E$1, Data!$E$2:$E1000 = E$2 )},$K$2  , $Q$22:$Q$23)"),"1775.844214")</f>
        <v>1775.844214</v>
      </c>
      <c r="F12" s="24" t="str">
        <f>IFERROR(__xludf.DUMMYFUNCTION("DMAX({{Data!$A$1:$M$1};filter(Data!$A$2:$M1000,Data!$A$2:$A1000=$A12 , Data!$B$2:$B1000 = $B12,Data!$C$2:$C1000 = $C12, Data!$D$2:$D1000 = F$1, Data!$E$2:$E1000 = F$2 )},$K$2  , $Q$22:$Q$23)"),"1147.073077")</f>
        <v>1147.073077</v>
      </c>
      <c r="G12" s="24" t="str">
        <f>IFERROR(__xludf.DUMMYFUNCTION("DMAX({{Data!$A$1:$M$1};filter(Data!$A$2:$M1000,Data!$A$2:$A1000=$A12 , Data!$B$2:$B1000 = $B12,Data!$C$2:$C1000 = $C12, Data!$D$2:$D1000 = G$1, Data!$E$2:$E1000 = G$2 )},$K$2  , $Q$22:$Q$23)"),"1772.900875")</f>
        <v>1772.900875</v>
      </c>
      <c r="H12" s="24" t="str">
        <f>IFERROR(__xludf.DUMMYFUNCTION("DMAX({{Data!$A$1:$M$1};filter(Data!$A$2:$M1000,Data!$A$2:$A1000=$A12 , Data!$B$2:$B1000 = $B12,Data!$C$2:$C1000 = $C12, Data!$D$2:$D1000 = H$1, Data!$E$2:$E1000 = H$2 )},$K$2  , $Q$22:$Q$23)"),"1774.725888")</f>
        <v>1774.725888</v>
      </c>
      <c r="I12" s="18"/>
      <c r="J12" s="18"/>
      <c r="K12" s="18"/>
      <c r="L12" s="18"/>
      <c r="M12" s="18"/>
      <c r="N12" s="18"/>
      <c r="O12" s="18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6">
        <v>1000.0</v>
      </c>
      <c r="B13" s="16">
        <v>5.0</v>
      </c>
      <c r="C13" s="16">
        <v>5.0</v>
      </c>
      <c r="D13" s="24" t="str">
        <f>IFERROR(__xludf.DUMMYFUNCTION("DMAX({{Data!$A$1:$M$1};filter(Data!$A$2:$M1000,Data!$A$2:$A1000=$A13 , Data!$B$2:$B1000 = $B13,Data!$C$2:$C1000 = $C13, Data!$D$2:$D1000 = D$1, Data!$E$2:$E1000 = D$2 )},$K$2  , $Q$22:$Q$23)"),"1150.473214")</f>
        <v>1150.473214</v>
      </c>
      <c r="E13" s="24" t="str">
        <f>IFERROR(__xludf.DUMMYFUNCTION("DMAX({{Data!$A$1:$M$1};filter(Data!$A$2:$M1000,Data!$A$2:$A1000=$A13 , Data!$B$2:$B1000 = $B13,Data!$C$2:$C1000 = $C13, Data!$D$2:$D1000 = E$1, Data!$E$2:$E1000 = E$2 )},$K$2  , $Q$22:$Q$23)"),"1784.066542")</f>
        <v>1784.066542</v>
      </c>
      <c r="F13" s="24" t="str">
        <f>IFERROR(__xludf.DUMMYFUNCTION("DMAX({{Data!$A$1:$M$1};filter(Data!$A$2:$M1000,Data!$A$2:$A1000=$A13 , Data!$B$2:$B1000 = $B13,Data!$C$2:$C1000 = $C13, Data!$D$2:$D1000 = F$1, Data!$E$2:$E1000 = F$2 )},$K$2  , $Q$22:$Q$23)"),"1149.194444")</f>
        <v>1149.194444</v>
      </c>
      <c r="G13" s="24" t="str">
        <f>IFERROR(__xludf.DUMMYFUNCTION("DMAX({{Data!$A$1:$M$1};filter(Data!$A$2:$M1000,Data!$A$2:$A1000=$A13 , Data!$B$2:$B1000 = $B13,Data!$C$2:$C1000 = $C13, Data!$D$2:$D1000 = G$1, Data!$E$2:$E1000 = G$2 )},$K$2  , $Q$22:$Q$23)"),"1782.092125")</f>
        <v>1782.092125</v>
      </c>
      <c r="H13" s="24" t="str">
        <f>IFERROR(__xludf.DUMMYFUNCTION("DMAX({{Data!$A$1:$M$1};filter(Data!$A$2:$M1000,Data!$A$2:$A1000=$A13 , Data!$B$2:$B1000 = $B13,Data!$C$2:$C1000 = $C13, Data!$D$2:$D1000 = H$1, Data!$E$2:$E1000 = H$2 )},$K$2  , $Q$22:$Q$23)"),"1783.422807")</f>
        <v>1783.422807</v>
      </c>
      <c r="I13" s="18"/>
      <c r="J13" s="18"/>
      <c r="K13" s="18"/>
      <c r="L13" s="18"/>
      <c r="M13" s="18"/>
      <c r="N13" s="18"/>
      <c r="O13" s="18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6">
        <v>1000.0</v>
      </c>
      <c r="B14" s="16">
        <v>10.0</v>
      </c>
      <c r="C14" s="16">
        <v>1.0</v>
      </c>
      <c r="D14" s="25" t="str">
        <f>IFERROR(__xludf.DUMMYFUNCTION("DMAX({{Data!$A$1:$M$1};filter(Data!$A$2:$M1000,Data!$A$2:$A1000=$A14 , Data!$B$2:$B1000 = $B14,Data!$C$2:$C1000 = $C14, Data!$D$2:$D1000 = D$1, Data!$E$2:$E1000 = D$2 )},$K$2  , $Q$22:$Q$23)"),"1308.634921")</f>
        <v>1308.634921</v>
      </c>
      <c r="E14" s="25" t="str">
        <f>IFERROR(__xludf.DUMMYFUNCTION("DMAX({{Data!$A$1:$M$1};filter(Data!$A$2:$M1000,Data!$A$2:$A1000=$A14 , Data!$B$2:$B1000 = $B14,Data!$C$2:$C1000 = $C14, Data!$D$2:$D1000 = E$1, Data!$E$2:$E1000 = E$2 )},$K$2  , $Q$22:$Q$23)"),"2122.829179")</f>
        <v>2122.829179</v>
      </c>
      <c r="F14" s="25" t="str">
        <f>IFERROR(__xludf.DUMMYFUNCTION("DMAX({{Data!$A$1:$M$1};filter(Data!$A$2:$M1000,Data!$A$2:$A1000=$A14 , Data!$B$2:$B1000 = $B14,Data!$C$2:$C1000 = $C14, Data!$D$2:$D1000 = F$1, Data!$E$2:$E1000 = F$2 )},$K$2  , $Q$22:$Q$23)"),"1316.6633")</f>
        <v>1316.6633</v>
      </c>
      <c r="G14" s="25" t="str">
        <f>IFERROR(__xludf.DUMMYFUNCTION("DMAX({{Data!$A$1:$M$1};filter(Data!$A$2:$M1000,Data!$A$2:$A1000=$A14 , Data!$B$2:$B1000 = $B14,Data!$C$2:$C1000 = $C14, Data!$D$2:$D1000 = G$1, Data!$E$2:$E1000 = G$2 )},$K$2  , $Q$22:$Q$23)"),"2118.211982")</f>
        <v>2118.211982</v>
      </c>
      <c r="H14" s="25" t="str">
        <f>IFERROR(__xludf.DUMMYFUNCTION("DMAX({{Data!$A$1:$M$1};filter(Data!$A$2:$M1000,Data!$A$2:$A1000=$A14 , Data!$B$2:$B1000 = $B14,Data!$C$2:$C1000 = $C14, Data!$D$2:$D1000 = H$1, Data!$E$2:$E1000 = H$2 )},$K$2  , $Q$22:$Q$23)"),"2121.895323")</f>
        <v>2121.895323</v>
      </c>
      <c r="I14" s="18"/>
      <c r="J14" s="18"/>
      <c r="K14" s="18"/>
      <c r="L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6">
        <v>1000.0</v>
      </c>
      <c r="B15" s="16">
        <v>10.0</v>
      </c>
      <c r="C15" s="16">
        <v>2.0</v>
      </c>
      <c r="D15" s="25" t="str">
        <f>IFERROR(__xludf.DUMMYFUNCTION("DMAX({{Data!$A$1:$M$1};filter(Data!$A$2:$M1000,Data!$A$2:$A1000=$A15 , Data!$B$2:$B1000 = $B15,Data!$C$2:$C1000 = $C15, Data!$D$2:$D1000 = D$1, Data!$E$2:$E1000 = D$2 )},$K$2  , $Q$22:$Q$23)"),"1320.330645")</f>
        <v>1320.330645</v>
      </c>
      <c r="E15" s="25" t="str">
        <f>IFERROR(__xludf.DUMMYFUNCTION("DMAX({{Data!$A$1:$M$1};filter(Data!$A$2:$M1000,Data!$A$2:$A1000=$A15 , Data!$B$2:$B1000 = $B15,Data!$C$2:$C1000 = $C15, Data!$D$2:$D1000 = E$1, Data!$E$2:$E1000 = E$2 )},$K$2  , $Q$22:$Q$23)"),"2123.360619")</f>
        <v>2123.360619</v>
      </c>
      <c r="F15" s="25" t="str">
        <f>IFERROR(__xludf.DUMMYFUNCTION("DMAX({{Data!$A$1:$M$1};filter(Data!$A$2:$M1000,Data!$A$2:$A1000=$A15 , Data!$B$2:$B1000 = $B15,Data!$C$2:$C1000 = $C15, Data!$D$2:$D1000 = F$1, Data!$E$2:$E1000 = F$2 )},$K$2  , $Q$22:$Q$23)"),"1317.215017")</f>
        <v>1317.215017</v>
      </c>
      <c r="G15" s="25" t="str">
        <f>IFERROR(__xludf.DUMMYFUNCTION("DMAX({{Data!$A$1:$M$1};filter(Data!$A$2:$M1000,Data!$A$2:$A1000=$A15 , Data!$B$2:$B1000 = $B15,Data!$C$2:$C1000 = $C15, Data!$D$2:$D1000 = G$1, Data!$E$2:$E1000 = G$2 )},$K$2  , $Q$22:$Q$23)"),"2125.328704")</f>
        <v>2125.328704</v>
      </c>
      <c r="H15" s="25" t="str">
        <f>IFERROR(__xludf.DUMMYFUNCTION("DMAX({{Data!$A$1:$M$1};filter(Data!$A$2:$M1000,Data!$A$2:$A1000=$A15 , Data!$B$2:$B1000 = $B15,Data!$C$2:$C1000 = $C15, Data!$D$2:$D1000 = H$1, Data!$E$2:$E1000 = H$2 )},$K$2  , $Q$22:$Q$23)"),"2124.657447")</f>
        <v>2124.657447</v>
      </c>
      <c r="I15" s="18"/>
      <c r="J15" s="18"/>
      <c r="K15" s="18"/>
      <c r="L15" s="18"/>
      <c r="M15" s="18"/>
      <c r="N15" s="18"/>
      <c r="O15" s="18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6">
        <v>1000.0</v>
      </c>
      <c r="B16" s="16">
        <v>10.0</v>
      </c>
      <c r="C16" s="16">
        <v>3.0</v>
      </c>
      <c r="D16" s="25" t="str">
        <f>IFERROR(__xludf.DUMMYFUNCTION("DMAX({{Data!$A$1:$M$1};filter(Data!$A$2:$M1000,Data!$A$2:$A1000=$A16 , Data!$B$2:$B1000 = $B16,Data!$C$2:$C1000 = $C16, Data!$D$2:$D1000 = D$1, Data!$E$2:$E1000 = D$2 )},$K$2  , $Q$22:$Q$23)"),"1319.959677")</f>
        <v>1319.959677</v>
      </c>
      <c r="E16" s="25" t="str">
        <f>IFERROR(__xludf.DUMMYFUNCTION("DMAX({{Data!$A$1:$M$1};filter(Data!$A$2:$M1000,Data!$A$2:$A1000=$A16 , Data!$B$2:$B1000 = $B16,Data!$C$2:$C1000 = $C16, Data!$D$2:$D1000 = E$1, Data!$E$2:$E1000 = E$2 )},$K$2  , $Q$22:$Q$23)"),"2123.286554")</f>
        <v>2123.286554</v>
      </c>
      <c r="F16" s="25" t="str">
        <f>IFERROR(__xludf.DUMMYFUNCTION("DMAX({{Data!$A$1:$M$1};filter(Data!$A$2:$M1000,Data!$A$2:$A1000=$A16 , Data!$B$2:$B1000 = $B16,Data!$C$2:$C1000 = $C16, Data!$D$2:$D1000 = F$1, Data!$E$2:$E1000 = F$2 )},$K$2  , $Q$22:$Q$23)"),"1321.3")</f>
        <v>1321.3</v>
      </c>
      <c r="G16" s="25" t="str">
        <f>IFERROR(__xludf.DUMMYFUNCTION("DMAX({{Data!$A$1:$M$1};filter(Data!$A$2:$M1000,Data!$A$2:$A1000=$A16 , Data!$B$2:$B1000 = $B16,Data!$C$2:$C1000 = $C16, Data!$D$2:$D1000 = G$1, Data!$E$2:$E1000 = G$2 )},$K$2  , $Q$22:$Q$23)"),"2118.147982")</f>
        <v>2118.147982</v>
      </c>
      <c r="H16" s="25" t="str">
        <f>IFERROR(__xludf.DUMMYFUNCTION("DMAX({{Data!$A$1:$M$1};filter(Data!$A$2:$M1000,Data!$A$2:$A1000=$A16 , Data!$B$2:$B1000 = $B16,Data!$C$2:$C1000 = $C16, Data!$D$2:$D1000 = H$1, Data!$E$2:$E1000 = H$2 )},$K$2  , $Q$22:$Q$23)"),"2123.366876")</f>
        <v>2123.366876</v>
      </c>
      <c r="I16" s="18"/>
      <c r="J16" s="18"/>
      <c r="K16" s="18"/>
      <c r="L16" s="18"/>
      <c r="M16" s="18"/>
      <c r="N16" s="18"/>
      <c r="O16" s="18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6">
        <v>1000.0</v>
      </c>
      <c r="B17" s="16">
        <v>10.0</v>
      </c>
      <c r="C17" s="16">
        <v>4.0</v>
      </c>
      <c r="D17" s="25" t="str">
        <f>IFERROR(__xludf.DUMMYFUNCTION("DMAX({{Data!$A$1:$M$1};filter(Data!$A$2:$M1000,Data!$A$2:$A1000=$A17 , Data!$B$2:$B1000 = $B17,Data!$C$2:$C1000 = $C17, Data!$D$2:$D1000 = D$1, Data!$E$2:$E1000 = D$2 )},$K$2  , $Q$22:$Q$23)"),"1323.629032")</f>
        <v>1323.629032</v>
      </c>
      <c r="E17" s="25" t="str">
        <f>IFERROR(__xludf.DUMMYFUNCTION("DMAX({{Data!$A$1:$M$1};filter(Data!$A$2:$M1000,Data!$A$2:$A1000=$A17 , Data!$B$2:$B1000 = $B17,Data!$C$2:$C1000 = $C17, Data!$D$2:$D1000 = E$1, Data!$E$2:$E1000 = E$2 )},$K$2  , $Q$22:$Q$23)"),"2122.0837")</f>
        <v>2122.0837</v>
      </c>
      <c r="F17" s="25" t="str">
        <f>IFERROR(__xludf.DUMMYFUNCTION("DMAX({{Data!$A$1:$M$1};filter(Data!$A$2:$M1000,Data!$A$2:$A1000=$A17 , Data!$B$2:$B1000 = $B17,Data!$C$2:$C1000 = $C17, Data!$D$2:$D1000 = F$1, Data!$E$2:$E1000 = F$2 )},$K$2  , $Q$22:$Q$23)"),"1315.31457")</f>
        <v>1315.31457</v>
      </c>
      <c r="G17" s="25" t="str">
        <f>IFERROR(__xludf.DUMMYFUNCTION("DMAX({{Data!$A$1:$M$1};filter(Data!$A$2:$M1000,Data!$A$2:$A1000=$A17 , Data!$B$2:$B1000 = $B17,Data!$C$2:$C1000 = $C17, Data!$D$2:$D1000 = G$1, Data!$E$2:$E1000 = G$2 )},$K$2  , $Q$22:$Q$23)"),"2119.452915")</f>
        <v>2119.452915</v>
      </c>
      <c r="H17" s="25" t="str">
        <f>IFERROR(__xludf.DUMMYFUNCTION("DMAX({{Data!$A$1:$M$1};filter(Data!$A$2:$M1000,Data!$A$2:$A1000=$A17 , Data!$B$2:$B1000 = $B17,Data!$C$2:$C1000 = $C17, Data!$D$2:$D1000 = H$1, Data!$E$2:$E1000 = H$2 )},$K$2  , $Q$22:$Q$23)"),"2123.490521")</f>
        <v>2123.490521</v>
      </c>
      <c r="I17" s="18"/>
      <c r="J17" s="18"/>
      <c r="K17" s="18"/>
      <c r="L17" s="18"/>
      <c r="M17" s="18"/>
      <c r="N17" s="18"/>
      <c r="O17" s="18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6">
        <v>1000.0</v>
      </c>
      <c r="B18" s="16">
        <v>10.0</v>
      </c>
      <c r="C18" s="16">
        <v>5.0</v>
      </c>
      <c r="D18" s="25" t="str">
        <f>IFERROR(__xludf.DUMMYFUNCTION("DMAX({{Data!$A$1:$M$1};filter(Data!$A$2:$M1000,Data!$A$2:$A1000=$A18 , Data!$B$2:$B1000 = $B18,Data!$C$2:$C1000 = $C18, Data!$D$2:$D1000 = D$1, Data!$E$2:$E1000 = D$2 )},$K$2  , $Q$22:$Q$23)"),"1318.556452")</f>
        <v>1318.556452</v>
      </c>
      <c r="E18" s="25" t="str">
        <f>IFERROR(__xludf.DUMMYFUNCTION("DMAX({{Data!$A$1:$M$1};filter(Data!$A$2:$M1000,Data!$A$2:$A1000=$A18 , Data!$B$2:$B1000 = $B18,Data!$C$2:$C1000 = $C18, Data!$D$2:$D1000 = E$1, Data!$E$2:$E1000 = E$2 )},$K$2  , $Q$22:$Q$23)"),"2120.902511")</f>
        <v>2120.902511</v>
      </c>
      <c r="F18" s="25" t="str">
        <f>IFERROR(__xludf.DUMMYFUNCTION("DMAX({{Data!$A$1:$M$1};filter(Data!$A$2:$M1000,Data!$A$2:$A1000=$A18 , Data!$B$2:$B1000 = $B18,Data!$C$2:$C1000 = $C18, Data!$D$2:$D1000 = F$1, Data!$E$2:$E1000 = F$2 )},$K$2  , $Q$22:$Q$23)"),"1318.922034")</f>
        <v>1318.922034</v>
      </c>
      <c r="G18" s="25" t="str">
        <f>IFERROR(__xludf.DUMMYFUNCTION("DMAX({{Data!$A$1:$M$1};filter(Data!$A$2:$M1000,Data!$A$2:$A1000=$A18 , Data!$B$2:$B1000 = $B18,Data!$C$2:$C1000 = $C18, Data!$D$2:$D1000 = G$1, Data!$E$2:$E1000 = G$2 )},$K$2  , $Q$22:$Q$23)"),"2120.607306")</f>
        <v>2120.607306</v>
      </c>
      <c r="H18" s="25" t="str">
        <f>IFERROR(__xludf.DUMMYFUNCTION("DMAX({{Data!$A$1:$M$1};filter(Data!$A$2:$M1000,Data!$A$2:$A1000=$A18 , Data!$B$2:$B1000 = $B18,Data!$C$2:$C1000 = $C18, Data!$D$2:$D1000 = H$1, Data!$E$2:$E1000 = H$2 )},$K$2  , $Q$22:$Q$23)"),"2118.788546")</f>
        <v>2118.788546</v>
      </c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1">
        <v>1000.0</v>
      </c>
      <c r="B19" s="11">
        <v>50.0</v>
      </c>
      <c r="C19" s="11">
        <v>1.0</v>
      </c>
      <c r="D19" s="24" t="str">
        <f>IFERROR(__xludf.DUMMYFUNCTION("DMAX({{Data!$A$1:$M$1};filter(Data!$A$2:$M1000,Data!$A$2:$A1000=$A19 , Data!$B$2:$B1000 = $B19,Data!$C$2:$C1000 = $C19, Data!$D$2:$D1000 = D$1, Data!$E$2:$E1000 = D$2 )},$K$2  , $Q$22:$Q$23)"),"1676.952381")</f>
        <v>1676.952381</v>
      </c>
      <c r="E19" s="24" t="str">
        <f>IFERROR(__xludf.DUMMYFUNCTION("DMAX({{Data!$A$1:$M$1};filter(Data!$A$2:$M1000,Data!$A$2:$A1000=$A19 , Data!$B$2:$B1000 = $B19,Data!$C$2:$C1000 = $C19, Data!$D$2:$D1000 = E$1, Data!$E$2:$E1000 = E$2 )},$K$2  , $Q$22:$Q$23)"),"3027.304878")</f>
        <v>3027.304878</v>
      </c>
      <c r="F19" s="24" t="str">
        <f>IFERROR(__xludf.DUMMYFUNCTION("DMAX({{Data!$A$1:$M$1};filter(Data!$A$2:$M1000,Data!$A$2:$A1000=$A19 , Data!$B$2:$B1000 = $B19,Data!$C$2:$C1000 = $C19, Data!$D$2:$D1000 = F$1, Data!$E$2:$E1000 = F$2 )},$K$2  , $Q$22:$Q$23)"),"1708.592593")</f>
        <v>1708.592593</v>
      </c>
      <c r="G19" s="24" t="str">
        <f>IFERROR(__xludf.DUMMYFUNCTION("DMAX({{Data!$A$1:$M$1};filter(Data!$A$2:$M1000,Data!$A$2:$A1000=$A19 , Data!$B$2:$B1000 = $B19,Data!$C$2:$C1000 = $C19, Data!$D$2:$D1000 = G$1, Data!$E$2:$E1000 = G$2 )},$K$2  , $Q$22:$Q$23)"),"2976.294118")</f>
        <v>2976.294118</v>
      </c>
      <c r="H19" s="24" t="str">
        <f>IFERROR(__xludf.DUMMYFUNCTION("DMAX({{Data!$A$1:$M$1};filter(Data!$A$2:$M1000,Data!$A$2:$A1000=$A19 , Data!$B$2:$B1000 = $B19,Data!$C$2:$C1000 = $C19, Data!$D$2:$D1000 = H$1, Data!$E$2:$E1000 = H$2 )},$K$2  , $Q$22:$Q$23)"),"3011.485507")</f>
        <v>3011.485507</v>
      </c>
      <c r="I19" s="1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26">
        <v>1000.0</v>
      </c>
      <c r="B20" s="26">
        <v>50.0</v>
      </c>
      <c r="C20" s="26">
        <v>2.0</v>
      </c>
      <c r="D20" s="24" t="str">
        <f>IFERROR(__xludf.DUMMYFUNCTION("DMAX({{Data!$A$1:$M$1};filter(Data!$A$2:$M1000,Data!$A$2:$A1000=$A20 , Data!$B$2:$B1000 = $B20,Data!$C$2:$C1000 = $C20, Data!$D$2:$D1000 = D$1, Data!$E$2:$E1000 = D$2 )},$K$2  , $Q$22:$Q$23)"),"1691.1")</f>
        <v>1691.1</v>
      </c>
      <c r="E20" s="24" t="str">
        <f>IFERROR(__xludf.DUMMYFUNCTION("DMAX({{Data!$A$1:$M$1};filter(Data!$A$2:$M1000,Data!$A$2:$A1000=$A20 , Data!$B$2:$B1000 = $B20,Data!$C$2:$C1000 = $C20, Data!$D$2:$D1000 = E$1, Data!$E$2:$E1000 = E$2 )},$K$2  , $Q$22:$Q$23)"),"2997.13253")</f>
        <v>2997.13253</v>
      </c>
      <c r="F20" s="24" t="str">
        <f>IFERROR(__xludf.DUMMYFUNCTION("DMAX({{Data!$A$1:$M$1};filter(Data!$A$2:$M1000,Data!$A$2:$A1000=$A20 , Data!$B$2:$B1000 = $B20,Data!$C$2:$C1000 = $C20, Data!$D$2:$D1000 = F$1, Data!$E$2:$E1000 = F$2 )},$K$2  , $Q$22:$Q$23)"),"1687.925926")</f>
        <v>1687.925926</v>
      </c>
      <c r="G20" s="24" t="str">
        <f>IFERROR(__xludf.DUMMYFUNCTION("DMAX({{Data!$A$1:$M$1};filter(Data!$A$2:$M1000,Data!$A$2:$A1000=$A20 , Data!$B$2:$B1000 = $B20,Data!$C$2:$C1000 = $C20, Data!$D$2:$D1000 = G$1, Data!$E$2:$E1000 = G$2 )},$K$2  , $Q$22:$Q$23)"),"3011.411765")</f>
        <v>3011.411765</v>
      </c>
      <c r="H20" s="24" t="str">
        <f>IFERROR(__xludf.DUMMYFUNCTION("DMAX({{Data!$A$1:$M$1};filter(Data!$A$2:$M1000,Data!$A$2:$A1000=$A20 , Data!$B$2:$B1000 = $B20,Data!$C$2:$C1000 = $C20, Data!$D$2:$D1000 = H$1, Data!$E$2:$E1000 = H$2 )},$K$2  , $Q$22:$Q$23)"),"3030.175373")</f>
        <v>3030.175373</v>
      </c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26">
        <v>1000.0</v>
      </c>
      <c r="B21" s="26">
        <v>50.0</v>
      </c>
      <c r="C21" s="26">
        <v>3.0</v>
      </c>
      <c r="D21" s="24" t="str">
        <f>IFERROR(__xludf.DUMMYFUNCTION("DMAX({{Data!$A$1:$M$1};filter(Data!$A$2:$M1000,Data!$A$2:$A1000=$A21 , Data!$B$2:$B1000 = $B21,Data!$C$2:$C1000 = $C21, Data!$D$2:$D1000 = D$1, Data!$E$2:$E1000 = D$2 )},$K$2  , $Q$22:$Q$23)"),"1715.8")</f>
        <v>1715.8</v>
      </c>
      <c r="E21" s="24" t="str">
        <f>IFERROR(__xludf.DUMMYFUNCTION("DMAX({{Data!$A$1:$M$1};filter(Data!$A$2:$M1000,Data!$A$2:$A1000=$A21 , Data!$B$2:$B1000 = $B21,Data!$C$2:$C1000 = $C21, Data!$D$2:$D1000 = E$1, Data!$E$2:$E1000 = E$2 )},$K$2  , $Q$22:$Q$23)"),"3024.817073")</f>
        <v>3024.817073</v>
      </c>
      <c r="F21" s="24" t="str">
        <f>IFERROR(__xludf.DUMMYFUNCTION("DMAX({{Data!$A$1:$M$1};filter(Data!$A$2:$M1000,Data!$A$2:$A1000=$A21 , Data!$B$2:$B1000 = $B21,Data!$C$2:$C1000 = $C21, Data!$D$2:$D1000 = F$1, Data!$E$2:$E1000 = F$2 )},$K$2  , $Q$22:$Q$23)"),"1716.814815")</f>
        <v>1716.814815</v>
      </c>
      <c r="G21" s="24" t="str">
        <f>IFERROR(__xludf.DUMMYFUNCTION("DMAX({{Data!$A$1:$M$1};filter(Data!$A$2:$M1000,Data!$A$2:$A1000=$A21 , Data!$B$2:$B1000 = $B21,Data!$C$2:$C1000 = $C21, Data!$D$2:$D1000 = G$1, Data!$E$2:$E1000 = G$2 )},$K$2  , $Q$22:$Q$23)"),"2947.294118")</f>
        <v>2947.294118</v>
      </c>
      <c r="H21" s="24" t="str">
        <f>IFERROR(__xludf.DUMMYFUNCTION("DMAX({{Data!$A$1:$M$1};filter(Data!$A$2:$M1000,Data!$A$2:$A1000=$A21 , Data!$B$2:$B1000 = $B21,Data!$C$2:$C1000 = $C21, Data!$D$2:$D1000 = H$1, Data!$E$2:$E1000 = H$2 )},$K$2  , $Q$22:$Q$23)"),"3011.48")</f>
        <v>3011.48</v>
      </c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6">
        <v>1000.0</v>
      </c>
      <c r="B22" s="26">
        <v>50.0</v>
      </c>
      <c r="C22" s="26">
        <v>4.0</v>
      </c>
      <c r="D22" s="24" t="str">
        <f>IFERROR(__xludf.DUMMYFUNCTION("DMAX({{Data!$A$1:$M$1};filter(Data!$A$2:$M1000,Data!$A$2:$A1000=$A22 , Data!$B$2:$B1000 = $B22,Data!$C$2:$C1000 = $C22, Data!$D$2:$D1000 = D$1, Data!$E$2:$E1000 = D$2 )},$K$2  , $Q$22:$Q$23)"),"1679.190476")</f>
        <v>1679.190476</v>
      </c>
      <c r="E22" s="24" t="str">
        <f>IFERROR(__xludf.DUMMYFUNCTION("DMAX({{Data!$A$1:$M$1};filter(Data!$A$2:$M1000,Data!$A$2:$A1000=$A22 , Data!$B$2:$B1000 = $B22,Data!$C$2:$C1000 = $C22, Data!$D$2:$D1000 = E$1, Data!$E$2:$E1000 = E$2 )},$K$2  , $Q$22:$Q$23)"),"2988.337349")</f>
        <v>2988.337349</v>
      </c>
      <c r="F22" s="24" t="str">
        <f>IFERROR(__xludf.DUMMYFUNCTION("DMAX({{Data!$A$1:$M$1};filter(Data!$A$2:$M1000,Data!$A$2:$A1000=$A22 , Data!$B$2:$B1000 = $B22,Data!$C$2:$C1000 = $C22, Data!$D$2:$D1000 = F$1, Data!$E$2:$E1000 = F$2 )},$K$2  , $Q$22:$Q$23)"),"1664.5")</f>
        <v>1664.5</v>
      </c>
      <c r="G22" s="24" t="str">
        <f>IFERROR(__xludf.DUMMYFUNCTION("DMAX({{Data!$A$1:$M$1};filter(Data!$A$2:$M1000,Data!$A$2:$A1000=$A22 , Data!$B$2:$B1000 = $B22,Data!$C$2:$C1000 = $C22, Data!$D$2:$D1000 = G$1, Data!$E$2:$E1000 = G$2 )},$K$2  , $Q$22:$Q$23)"),"3011.352941")</f>
        <v>3011.352941</v>
      </c>
      <c r="H22" s="24" t="str">
        <f>IFERROR(__xludf.DUMMYFUNCTION("DMAX({{Data!$A$1:$M$1};filter(Data!$A$2:$M1000,Data!$A$2:$A1000=$A22 , Data!$B$2:$B1000 = $B22,Data!$C$2:$C1000 = $C22, Data!$D$2:$D1000 = H$1, Data!$E$2:$E1000 = H$2 )},$K$2  , $Q$22:$Q$23)"),"3023.119565")</f>
        <v>3023.119565</v>
      </c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26">
        <v>1000.0</v>
      </c>
      <c r="B23" s="26">
        <v>50.0</v>
      </c>
      <c r="C23" s="26">
        <v>5.0</v>
      </c>
      <c r="D23" s="24" t="str">
        <f>IFERROR(__xludf.DUMMYFUNCTION("DMAX({{Data!$A$1:$M$1};filter(Data!$A$2:$M1000,Data!$A$2:$A1000=$A23 , Data!$B$2:$B1000 = $B23,Data!$C$2:$C1000 = $C23, Data!$D$2:$D1000 = D$1, Data!$E$2:$E1000 = D$2 )},$K$2  , $Q$22:$Q$23)"),"1687.65")</f>
        <v>1687.65</v>
      </c>
      <c r="E23" s="24" t="str">
        <f>IFERROR(__xludf.DUMMYFUNCTION("DMAX({{Data!$A$1:$M$1};filter(Data!$A$2:$M1000,Data!$A$2:$A1000=$A23 , Data!$B$2:$B1000 = $B23,Data!$C$2:$C1000 = $C23, Data!$D$2:$D1000 = E$1, Data!$E$2:$E1000 = E$2 )},$K$2  , $Q$22:$Q$23)"),"3019.817073")</f>
        <v>3019.817073</v>
      </c>
      <c r="F23" s="24" t="str">
        <f>IFERROR(__xludf.DUMMYFUNCTION("DMAX({{Data!$A$1:$M$1};filter(Data!$A$2:$M1000,Data!$A$2:$A1000=$A23 , Data!$B$2:$B1000 = $B23,Data!$C$2:$C1000 = $C23, Data!$D$2:$D1000 = F$1, Data!$E$2:$E1000 = F$2 )},$K$2  , $Q$22:$Q$23)"),"1694.037037")</f>
        <v>1694.037037</v>
      </c>
      <c r="G23" s="24" t="str">
        <f>IFERROR(__xludf.DUMMYFUNCTION("DMAX({{Data!$A$1:$M$1};filter(Data!$A$2:$M1000,Data!$A$2:$A1000=$A23 , Data!$B$2:$B1000 = $B23,Data!$C$2:$C1000 = $C23, Data!$D$2:$D1000 = G$1, Data!$E$2:$E1000 = G$2 )},$K$2  , $Q$22:$Q$23)"),"3006.705882")</f>
        <v>3006.705882</v>
      </c>
      <c r="H23" s="24" t="str">
        <f>IFERROR(__xludf.DUMMYFUNCTION("DMAX({{Data!$A$1:$M$1};filter(Data!$A$2:$M1000,Data!$A$2:$A1000=$A23 , Data!$B$2:$B1000 = $B23,Data!$C$2:$C1000 = $C23, Data!$D$2:$D1000 = H$1, Data!$E$2:$E1000 = H$2 )},$K$2  , $Q$22:$Q$23)"),"3007.047297")</f>
        <v>3007.047297</v>
      </c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1">
        <v>1000.0</v>
      </c>
      <c r="B24" s="11">
        <v>100.0</v>
      </c>
      <c r="C24" s="11">
        <v>1.0</v>
      </c>
      <c r="D24" s="25" t="str">
        <f>IFERROR(__xludf.DUMMYFUNCTION("DMAX({{Data!$A$1:$M$1};filter(Data!$A$2:$M1000,Data!$A$2:$A1000=$A24 , Data!$B$2:$B1000 = $B24,Data!$C$2:$C1000 = $C24, Data!$D$2:$D1000 = D$1, Data!$E$2:$E1000 = D$2 )},$K$2  , $Q$22:$Q$23)"),"1801.777778")</f>
        <v>1801.777778</v>
      </c>
      <c r="E24" s="25" t="str">
        <f>IFERROR(__xludf.DUMMYFUNCTION("DMAX({{Data!$A$1:$M$1};filter(Data!$A$2:$M1000,Data!$A$2:$A1000=$A24 , Data!$B$2:$B1000 = $B24,Data!$C$2:$C1000 = $C24, Data!$D$2:$D1000 = E$1, Data!$E$2:$E1000 = E$2 )},$K$2  , $Q$22:$Q$23)"),"3396.166667")</f>
        <v>3396.166667</v>
      </c>
      <c r="F24" s="25" t="str">
        <f>IFERROR(__xludf.DUMMYFUNCTION("DMAX({{Data!$A$1:$M$1};filter(Data!$A$2:$M1000,Data!$A$2:$A1000=$A24 , Data!$B$2:$B1000 = $B24,Data!$C$2:$C1000 = $C24, Data!$D$2:$D1000 = F$1, Data!$E$2:$E1000 = F$2 )},$K$2  , $Q$22:$Q$23)"),"1825.909091")</f>
        <v>1825.909091</v>
      </c>
      <c r="G24" s="25" t="str">
        <f>IFERROR(__xludf.DUMMYFUNCTION("DMAX({{Data!$A$1:$M$1};filter(Data!$A$2:$M1000,Data!$A$2:$A1000=$A24 , Data!$B$2:$B1000 = $B24,Data!$C$2:$C1000 = $C24, Data!$D$2:$D1000 = G$1, Data!$E$2:$E1000 = G$2 )},$K$2  , $Q$22:$Q$23)"),"3374")</f>
        <v>3374</v>
      </c>
      <c r="H24" s="25" t="str">
        <f>IFERROR(__xludf.DUMMYFUNCTION("DMAX({{Data!$A$1:$M$1};filter(Data!$A$2:$M1000,Data!$A$2:$A1000=$A24 , Data!$B$2:$B1000 = $B24,Data!$C$2:$C1000 = $C24, Data!$D$2:$D1000 = H$1, Data!$E$2:$E1000 = H$2 )},$K$2  , $Q$22:$Q$23)"),"3398.929204")</f>
        <v>3398.929204</v>
      </c>
      <c r="I24" s="18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6">
        <v>1000.0</v>
      </c>
      <c r="B25" s="27">
        <v>100.0</v>
      </c>
      <c r="C25" s="16">
        <v>2.0</v>
      </c>
      <c r="D25" s="25" t="str">
        <f>IFERROR(__xludf.DUMMYFUNCTION("DMAX({{Data!$A$1:$M$1};filter(Data!$A$2:$M1000,Data!$A$2:$A1000=$A25 , Data!$B$2:$B1000 = $B25,Data!$C$2:$C1000 = $C25, Data!$D$2:$D1000 = D$1, Data!$E$2:$E1000 = D$2 )},$K$2  , $Q$22:$Q$23)"),"1893.333333")</f>
        <v>1893.333333</v>
      </c>
      <c r="E25" s="25" t="str">
        <f>IFERROR(__xludf.DUMMYFUNCTION("DMAX({{Data!$A$1:$M$1};filter(Data!$A$2:$M1000,Data!$A$2:$A1000=$A25 , Data!$B$2:$B1000 = $B25,Data!$C$2:$C1000 = $C25, Data!$D$2:$D1000 = E$1, Data!$E$2:$E1000 = E$2 )},$K$2  , $Q$22:$Q$23)"),"3449.333333")</f>
        <v>3449.333333</v>
      </c>
      <c r="F25" s="25" t="str">
        <f>IFERROR(__xludf.DUMMYFUNCTION("DMAX({{Data!$A$1:$M$1};filter(Data!$A$2:$M1000,Data!$A$2:$A1000=$A25 , Data!$B$2:$B1000 = $B25,Data!$C$2:$C1000 = $C25, Data!$D$2:$D1000 = F$1, Data!$E$2:$E1000 = F$2 )},$K$2  , $Q$22:$Q$23)"),"1823.454545")</f>
        <v>1823.454545</v>
      </c>
      <c r="G25" s="25" t="str">
        <f>IFERROR(__xludf.DUMMYFUNCTION("DMAX({{Data!$A$1:$M$1};filter(Data!$A$2:$M1000,Data!$A$2:$A1000=$A25 , Data!$B$2:$B1000 = $B25,Data!$C$2:$C1000 = $C25, Data!$D$2:$D1000 = G$1, Data!$E$2:$E1000 = G$2 )},$K$2  , $Q$22:$Q$23)"),"3407")</f>
        <v>3407</v>
      </c>
      <c r="H25" s="25" t="str">
        <f>IFERROR(__xludf.DUMMYFUNCTION("DMAX({{Data!$A$1:$M$1};filter(Data!$A$2:$M1000,Data!$A$2:$A1000=$A25 , Data!$B$2:$B1000 = $B25,Data!$C$2:$C1000 = $C25, Data!$D$2:$D1000 = H$1, Data!$E$2:$E1000 = H$2 )},$K$2  , $Q$22:$Q$23)"),"3408.72807")</f>
        <v>3408.72807</v>
      </c>
      <c r="I25" s="18"/>
      <c r="J25" s="28"/>
      <c r="K25" s="28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6">
        <v>1000.0</v>
      </c>
      <c r="B26" s="16">
        <v>100.0</v>
      </c>
      <c r="C26" s="16">
        <v>3.0</v>
      </c>
      <c r="D26" s="25" t="str">
        <f>IFERROR(__xludf.DUMMYFUNCTION("DMAX({{Data!$A$1:$M$1};filter(Data!$A$2:$M1000,Data!$A$2:$A1000=$A26 , Data!$B$2:$B1000 = $B26,Data!$C$2:$C1000 = $C26, Data!$D$2:$D1000 = D$1, Data!$E$2:$E1000 = D$2 )},$K$2  , $Q$22:$Q$23)"),"1841.666667")</f>
        <v>1841.666667</v>
      </c>
      <c r="E26" s="25" t="str">
        <f>IFERROR(__xludf.DUMMYFUNCTION("DMAX({{Data!$A$1:$M$1};filter(Data!$A$2:$M1000,Data!$A$2:$A1000=$A26 , Data!$B$2:$B1000 = $B26,Data!$C$2:$C1000 = $C26, Data!$D$2:$D1000 = E$1, Data!$E$2:$E1000 = E$2 )},$K$2  , $Q$22:$Q$23)"),"3365.75")</f>
        <v>3365.75</v>
      </c>
      <c r="F26" s="25" t="str">
        <f>IFERROR(__xludf.DUMMYFUNCTION("DMAX({{Data!$A$1:$M$1};filter(Data!$A$2:$M1000,Data!$A$2:$A1000=$A26 , Data!$B$2:$B1000 = $B26,Data!$C$2:$C1000 = $C26, Data!$D$2:$D1000 = F$1, Data!$E$2:$E1000 = F$2 )},$K$2  , $Q$22:$Q$23)"),"1769")</f>
        <v>1769</v>
      </c>
      <c r="G26" s="25" t="str">
        <f>IFERROR(__xludf.DUMMYFUNCTION("DMAX({{Data!$A$1:$M$1};filter(Data!$A$2:$M1000,Data!$A$2:$A1000=$A26 , Data!$B$2:$B1000 = $B26,Data!$C$2:$C1000 = $C26, Data!$D$2:$D1000 = G$1, Data!$E$2:$E1000 = G$2 )},$K$2  , $Q$22:$Q$23)"),"3340")</f>
        <v>3340</v>
      </c>
      <c r="H26" s="25" t="str">
        <f>IFERROR(__xludf.DUMMYFUNCTION("DMAX({{Data!$A$1:$M$1};filter(Data!$A$2:$M1000,Data!$A$2:$A1000=$A26 , Data!$B$2:$B1000 = $B26,Data!$C$2:$C1000 = $C26, Data!$D$2:$D1000 = H$1, Data!$E$2:$E1000 = H$2 )},$K$2  , $Q$22:$Q$23)"),"3391.450893")</f>
        <v>3391.450893</v>
      </c>
      <c r="I26" s="1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6">
        <v>1000.0</v>
      </c>
      <c r="B27" s="16">
        <v>100.0</v>
      </c>
      <c r="C27" s="16">
        <v>4.0</v>
      </c>
      <c r="D27" s="25" t="str">
        <f>IFERROR(__xludf.DUMMYFUNCTION("DMAX({{Data!$A$1:$M$1};filter(Data!$A$2:$M1000,Data!$A$2:$A1000=$A27 , Data!$B$2:$B1000 = $B27,Data!$C$2:$C1000 = $C27, Data!$D$2:$D1000 = D$1, Data!$E$2:$E1000 = D$2 )},$K$2  , $Q$22:$Q$23)"),"1813.111111")</f>
        <v>1813.111111</v>
      </c>
      <c r="E27" s="25" t="str">
        <f>IFERROR(__xludf.DUMMYFUNCTION("DMAX({{Data!$A$1:$M$1};filter(Data!$A$2:$M1000,Data!$A$2:$A1000=$A27 , Data!$B$2:$B1000 = $B27,Data!$C$2:$C1000 = $C27, Data!$D$2:$D1000 = E$1, Data!$E$2:$E1000 = E$2 )},$K$2  , $Q$22:$Q$23)"),"3393.791667")</f>
        <v>3393.791667</v>
      </c>
      <c r="F27" s="25" t="str">
        <f>IFERROR(__xludf.DUMMYFUNCTION("DMAX({{Data!$A$1:$M$1};filter(Data!$A$2:$M1000,Data!$A$2:$A1000=$A27 , Data!$B$2:$B1000 = $B27,Data!$C$2:$C1000 = $C27, Data!$D$2:$D1000 = F$1, Data!$E$2:$E1000 = F$2 )},$K$2  , $Q$22:$Q$23)"),"1834.636364")</f>
        <v>1834.636364</v>
      </c>
      <c r="G27" s="25" t="str">
        <f>IFERROR(__xludf.DUMMYFUNCTION("DMAX({{Data!$A$1:$M$1};filter(Data!$A$2:$M1000,Data!$A$2:$A1000=$A27 , Data!$B$2:$B1000 = $B27,Data!$C$2:$C1000 = $C27, Data!$D$2:$D1000 = G$1, Data!$E$2:$E1000 = G$2 )},$K$2  , $Q$22:$Q$23)"),"3336.142857")</f>
        <v>3336.142857</v>
      </c>
      <c r="H27" s="25" t="str">
        <f>IFERROR(__xludf.DUMMYFUNCTION("DMAX({{Data!$A$1:$M$1};filter(Data!$A$2:$M1000,Data!$A$2:$A1000=$A27 , Data!$B$2:$B1000 = $B27,Data!$C$2:$C1000 = $C27, Data!$D$2:$D1000 = H$1, Data!$E$2:$E1000 = H$2 )},$K$2  , $Q$22:$Q$23)"),"3424.812227")</f>
        <v>3424.812227</v>
      </c>
      <c r="I27" s="18"/>
      <c r="J27" s="28"/>
      <c r="K27" s="28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6">
        <v>1000.0</v>
      </c>
      <c r="B28" s="16">
        <v>100.0</v>
      </c>
      <c r="C28" s="16">
        <v>5.0</v>
      </c>
      <c r="D28" s="25" t="str">
        <f>IFERROR(__xludf.DUMMYFUNCTION("DMAX({{Data!$A$1:$M$1};filter(Data!$A$2:$M1000,Data!$A$2:$A1000=$A28 , Data!$B$2:$B1000 = $B28,Data!$C$2:$C1000 = $C28, Data!$D$2:$D1000 = D$1, Data!$E$2:$E1000 = D$2 )},$K$2  , $Q$22:$Q$23)"),"1796.888889")</f>
        <v>1796.888889</v>
      </c>
      <c r="E28" s="25" t="str">
        <f>IFERROR(__xludf.DUMMYFUNCTION("DMAX({{Data!$A$1:$M$1};filter(Data!$A$2:$M1000,Data!$A$2:$A1000=$A28 , Data!$B$2:$B1000 = $B28,Data!$C$2:$C1000 = $C28, Data!$D$2:$D1000 = E$1, Data!$E$2:$E1000 = E$2 )},$K$2  , $Q$22:$Q$23)"),"3495.26087")</f>
        <v>3495.26087</v>
      </c>
      <c r="F28" s="25" t="str">
        <f>IFERROR(__xludf.DUMMYFUNCTION("DMAX({{Data!$A$1:$M$1};filter(Data!$A$2:$M1000,Data!$A$2:$A1000=$A28 , Data!$B$2:$B1000 = $B28,Data!$C$2:$C1000 = $C28, Data!$D$2:$D1000 = F$1, Data!$E$2:$E1000 = F$2 )},$K$2  , $Q$22:$Q$23)"),"1802.363636")</f>
        <v>1802.363636</v>
      </c>
      <c r="G28" s="25" t="str">
        <f>IFERROR(__xludf.DUMMYFUNCTION("DMAX({{Data!$A$1:$M$1};filter(Data!$A$2:$M1000,Data!$A$2:$A1000=$A28 , Data!$B$2:$B1000 = $B28,Data!$C$2:$C1000 = $C28, Data!$D$2:$D1000 = G$1, Data!$E$2:$E1000 = G$2 )},$K$2  , $Q$22:$Q$23)"),"3447.666667")</f>
        <v>3447.666667</v>
      </c>
      <c r="H28" s="25" t="str">
        <f>IFERROR(__xludf.DUMMYFUNCTION("DMAX({{Data!$A$1:$M$1};filter(Data!$A$2:$M1000,Data!$A$2:$A1000=$A28 , Data!$B$2:$B1000 = $B28,Data!$C$2:$C1000 = $C28, Data!$D$2:$D1000 = H$1, Data!$E$2:$E1000 = H$2 )},$K$2  , $Q$22:$Q$23)"),"3419.783186")</f>
        <v>3419.783186</v>
      </c>
      <c r="I28" s="18"/>
      <c r="J28" s="28"/>
      <c r="K28" s="28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28"/>
      <c r="B29" s="28"/>
      <c r="C29" s="28"/>
      <c r="D29" s="14"/>
      <c r="E29" s="12"/>
      <c r="F29" s="12"/>
      <c r="G29" s="12"/>
      <c r="H29" s="28"/>
      <c r="I29" s="28"/>
      <c r="J29" s="28"/>
      <c r="K29" s="28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3" t="s">
        <v>35</v>
      </c>
      <c r="B32" s="14"/>
      <c r="C32" s="14"/>
      <c r="D32" s="13"/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29" t="s">
        <v>0</v>
      </c>
      <c r="B33" s="29" t="s">
        <v>1</v>
      </c>
      <c r="C33" s="29" t="s">
        <v>2</v>
      </c>
      <c r="D33" s="10" t="s">
        <v>32</v>
      </c>
      <c r="E33" s="10" t="s">
        <v>33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26">
        <v>1000.0</v>
      </c>
      <c r="B34" s="26">
        <v>1.0</v>
      </c>
      <c r="C34" s="26">
        <v>1.0</v>
      </c>
      <c r="D34" s="30" t="str">
        <f t="shared" ref="D34:D58" si="1">E4/D4</f>
        <v>1.399431629</v>
      </c>
      <c r="E34" s="30" t="str">
        <f t="shared" ref="E34:E58" si="2">G4/F4</f>
        <v>1.400307204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26">
        <v>1000.0</v>
      </c>
      <c r="B35" s="26">
        <v>1.0</v>
      </c>
      <c r="C35" s="26">
        <v>2.0</v>
      </c>
      <c r="D35" s="30" t="str">
        <f t="shared" si="1"/>
        <v>1.404944538</v>
      </c>
      <c r="E35" s="30" t="str">
        <f t="shared" si="2"/>
        <v>1.406617194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26">
        <v>1000.0</v>
      </c>
      <c r="B36" s="26">
        <v>1.0</v>
      </c>
      <c r="C36" s="26">
        <v>3.0</v>
      </c>
      <c r="D36" s="30" t="str">
        <f t="shared" si="1"/>
        <v>1.405229658</v>
      </c>
      <c r="E36" s="30" t="str">
        <f t="shared" si="2"/>
        <v>1.405197726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26">
        <v>1000.0</v>
      </c>
      <c r="B37" s="26">
        <v>1.0</v>
      </c>
      <c r="C37" s="26">
        <v>4.0</v>
      </c>
      <c r="D37" s="30" t="str">
        <f t="shared" si="1"/>
        <v>1.408319243</v>
      </c>
      <c r="E37" s="30" t="str">
        <f t="shared" si="2"/>
        <v>1.408312894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26">
        <v>1000.0</v>
      </c>
      <c r="B38" s="26">
        <v>1.0</v>
      </c>
      <c r="C38" s="26">
        <v>5.0</v>
      </c>
      <c r="D38" s="30" t="str">
        <f t="shared" si="1"/>
        <v>1.402929624</v>
      </c>
      <c r="E38" s="30" t="str">
        <f t="shared" si="2"/>
        <v>1.405501208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26">
        <v>1000.0</v>
      </c>
      <c r="B39" s="26">
        <v>5.0</v>
      </c>
      <c r="C39" s="26">
        <v>1.0</v>
      </c>
      <c r="D39" s="30" t="str">
        <f t="shared" si="1"/>
        <v>1.541859896</v>
      </c>
      <c r="E39" s="30" t="str">
        <f t="shared" si="2"/>
        <v>1.548295163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26">
        <v>1000.0</v>
      </c>
      <c r="B40" s="26">
        <v>5.0</v>
      </c>
      <c r="C40" s="26">
        <v>2.0</v>
      </c>
      <c r="D40" s="30" t="str">
        <f t="shared" si="1"/>
        <v>1.542082724</v>
      </c>
      <c r="E40" s="30" t="str">
        <f t="shared" si="2"/>
        <v>1.546179848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26">
        <v>1000.0</v>
      </c>
      <c r="B41" s="26">
        <v>5.0</v>
      </c>
      <c r="C41" s="26">
        <v>3.0</v>
      </c>
      <c r="D41" s="30" t="str">
        <f t="shared" si="1"/>
        <v>1.549795319</v>
      </c>
      <c r="E41" s="30" t="str">
        <f t="shared" si="2"/>
        <v>1.54864133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26">
        <v>1000.0</v>
      </c>
      <c r="B42" s="26">
        <v>5.0</v>
      </c>
      <c r="C42" s="26">
        <v>4.0</v>
      </c>
      <c r="D42" s="30" t="str">
        <f t="shared" si="1"/>
        <v>1.547329845</v>
      </c>
      <c r="E42" s="30" t="str">
        <f t="shared" si="2"/>
        <v>1.545586685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26">
        <v>1000.0</v>
      </c>
      <c r="B43" s="26">
        <v>5.0</v>
      </c>
      <c r="C43" s="26">
        <v>5.0</v>
      </c>
      <c r="D43" s="30" t="str">
        <f t="shared" si="1"/>
        <v>1.550724102</v>
      </c>
      <c r="E43" s="30" t="str">
        <f t="shared" si="2"/>
        <v>1.550731588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26">
        <v>1000.0</v>
      </c>
      <c r="B44" s="26">
        <v>10.0</v>
      </c>
      <c r="C44" s="26">
        <v>1.0</v>
      </c>
      <c r="D44" s="30" t="str">
        <f t="shared" si="1"/>
        <v>1.622170664</v>
      </c>
      <c r="E44" s="30" t="str">
        <f t="shared" si="2"/>
        <v>1.608772707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26">
        <v>1000.0</v>
      </c>
      <c r="B45" s="26">
        <v>10.0</v>
      </c>
      <c r="C45" s="26">
        <v>2.0</v>
      </c>
      <c r="D45" s="30" t="str">
        <f t="shared" si="1"/>
        <v>1.608203693</v>
      </c>
      <c r="E45" s="30" t="str">
        <f t="shared" si="2"/>
        <v>1.613501726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26">
        <v>1000.0</v>
      </c>
      <c r="B46" s="26">
        <v>10.0</v>
      </c>
      <c r="C46" s="26">
        <v>3.0</v>
      </c>
      <c r="D46" s="30" t="str">
        <f t="shared" si="1"/>
        <v>1.608599559</v>
      </c>
      <c r="E46" s="30" t="str">
        <f t="shared" si="2"/>
        <v>1.603078772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26">
        <v>1000.0</v>
      </c>
      <c r="B47" s="26">
        <v>10.0</v>
      </c>
      <c r="C47" s="26">
        <v>4.0</v>
      </c>
      <c r="D47" s="30" t="str">
        <f t="shared" si="1"/>
        <v>1.603231456</v>
      </c>
      <c r="E47" s="30" t="str">
        <f t="shared" si="2"/>
        <v>1.611365801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26">
        <v>1000.0</v>
      </c>
      <c r="B48" s="26">
        <v>10.0</v>
      </c>
      <c r="C48" s="26">
        <v>5.0</v>
      </c>
      <c r="D48" s="30" t="str">
        <f t="shared" si="1"/>
        <v>1.608503381</v>
      </c>
      <c r="E48" s="30" t="str">
        <f t="shared" si="2"/>
        <v>1.607833709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26">
        <v>1000.0</v>
      </c>
      <c r="B49" s="26">
        <v>50.0</v>
      </c>
      <c r="C49" s="26">
        <v>1.0</v>
      </c>
      <c r="D49" s="30" t="str">
        <f t="shared" si="1"/>
        <v>1.805242005</v>
      </c>
      <c r="E49" s="30" t="str">
        <f t="shared" si="2"/>
        <v>1.741956585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26">
        <v>1000.0</v>
      </c>
      <c r="B50" s="26">
        <v>50.0</v>
      </c>
      <c r="C50" s="26">
        <v>2.0</v>
      </c>
      <c r="D50" s="30" t="str">
        <f t="shared" si="1"/>
        <v>1.772297635</v>
      </c>
      <c r="E50" s="30" t="str">
        <f t="shared" si="2"/>
        <v>1.78409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26">
        <v>1000.0</v>
      </c>
      <c r="B51" s="26">
        <v>50.0</v>
      </c>
      <c r="C51" s="26">
        <v>3.0</v>
      </c>
      <c r="D51" s="30" t="str">
        <f t="shared" si="1"/>
        <v>1.76291938</v>
      </c>
      <c r="E51" s="30" t="str">
        <f t="shared" si="2"/>
        <v>1.716722207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26">
        <v>1000.0</v>
      </c>
      <c r="B52" s="26">
        <v>50.0</v>
      </c>
      <c r="C52" s="26">
        <v>4.0</v>
      </c>
      <c r="D52" s="30" t="str">
        <f t="shared" si="1"/>
        <v>1.779629763</v>
      </c>
      <c r="E52" s="30" t="str">
        <f t="shared" si="2"/>
        <v>1.809163677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26">
        <v>1000.0</v>
      </c>
      <c r="B53" s="26">
        <v>50.0</v>
      </c>
      <c r="C53" s="26">
        <v>5.0</v>
      </c>
      <c r="D53" s="30" t="str">
        <f t="shared" si="1"/>
        <v>1.789362174</v>
      </c>
      <c r="E53" s="30" t="str">
        <f t="shared" si="2"/>
        <v>1.774876119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26">
        <v>1000.0</v>
      </c>
      <c r="B54" s="26">
        <v>100.0</v>
      </c>
      <c r="C54" s="26">
        <v>1.0</v>
      </c>
      <c r="D54" s="30" t="str">
        <f t="shared" si="1"/>
        <v>1.884897632</v>
      </c>
      <c r="E54" s="30" t="str">
        <f t="shared" si="2"/>
        <v>1.847846652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26">
        <v>1000.0</v>
      </c>
      <c r="B55" s="26">
        <v>100.0</v>
      </c>
      <c r="C55" s="26">
        <v>2.0</v>
      </c>
      <c r="D55" s="30" t="str">
        <f t="shared" si="1"/>
        <v>1.821830986</v>
      </c>
      <c r="E55" s="30" t="str">
        <f t="shared" si="2"/>
        <v>1.868431549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26">
        <v>1000.0</v>
      </c>
      <c r="B56" s="26">
        <v>100.0</v>
      </c>
      <c r="C56" s="26">
        <v>3.0</v>
      </c>
      <c r="D56" s="30" t="str">
        <f t="shared" si="1"/>
        <v>1.827556561</v>
      </c>
      <c r="E56" s="30" t="str">
        <f t="shared" si="2"/>
        <v>1.888072357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26">
        <v>1000.0</v>
      </c>
      <c r="B57" s="26">
        <v>100.0</v>
      </c>
      <c r="C57" s="26">
        <v>4.0</v>
      </c>
      <c r="D57" s="30" t="str">
        <f t="shared" si="1"/>
        <v>1.871805675</v>
      </c>
      <c r="E57" s="30" t="str">
        <f t="shared" si="2"/>
        <v>1.818421853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26">
        <v>1000.0</v>
      </c>
      <c r="B58" s="26">
        <v>100.0</v>
      </c>
      <c r="C58" s="26">
        <v>5.0</v>
      </c>
      <c r="D58" s="30" t="str">
        <f t="shared" si="1"/>
        <v>1.945173623</v>
      </c>
      <c r="E58" s="30" t="str">
        <f t="shared" si="2"/>
        <v>1.912858537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</cols>
  <sheetData>
    <row r="1">
      <c r="C1" s="10" t="s">
        <v>20</v>
      </c>
      <c r="D1" s="11" t="str">
        <f>IFERROR(__xludf.DUMMYFUNCTION("TRANSPOSE(UNIQUE(Data!D2:E1000))"),"bs_array")</f>
        <v>bs_array</v>
      </c>
      <c r="E1" s="11" t="s">
        <v>14</v>
      </c>
      <c r="F1" s="11" t="s">
        <v>17</v>
      </c>
      <c r="G1" s="11" t="s">
        <v>17</v>
      </c>
      <c r="H1" s="11" t="s">
        <v>18</v>
      </c>
      <c r="I1" s="12"/>
      <c r="J1" s="12"/>
      <c r="K1" s="13" t="s">
        <v>30</v>
      </c>
      <c r="L1" s="12"/>
      <c r="M1" s="12"/>
      <c r="N1" s="12"/>
      <c r="O1" s="12"/>
      <c r="P1" s="12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C2" s="10" t="s">
        <v>21</v>
      </c>
      <c r="D2" s="11" t="s">
        <v>15</v>
      </c>
      <c r="E2" s="11" t="s">
        <v>16</v>
      </c>
      <c r="F2" s="11" t="s">
        <v>15</v>
      </c>
      <c r="G2" s="11" t="s">
        <v>16</v>
      </c>
      <c r="H2" s="11" t="s">
        <v>16</v>
      </c>
      <c r="I2" s="12"/>
      <c r="J2" s="12"/>
      <c r="K2" s="13" t="s">
        <v>7</v>
      </c>
      <c r="L2" s="12"/>
      <c r="M2" s="12"/>
      <c r="N2" s="12"/>
      <c r="O2" s="12"/>
      <c r="P2" s="12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0" t="s">
        <v>0</v>
      </c>
      <c r="B3" s="10" t="s">
        <v>1</v>
      </c>
      <c r="C3" s="10" t="s">
        <v>2</v>
      </c>
      <c r="D3" s="15"/>
      <c r="E3" s="15"/>
      <c r="F3" s="15"/>
      <c r="G3" s="15"/>
      <c r="H3" s="15"/>
      <c r="I3" s="13" t="s">
        <v>36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6" t="str">
        <f>IFERROR(__xludf.DUMMYFUNCTION("UNIQUE(Data!A2:C1000)"),"1000")</f>
        <v>1000</v>
      </c>
      <c r="B4" s="16">
        <v>1.0</v>
      </c>
      <c r="C4" s="16">
        <v>1.0</v>
      </c>
      <c r="D4" s="34" t="str">
        <f>IFERROR(__xludf.DUMMYFUNCTION("(DMAX({{Data!$A$1:$M$1};filter(Data!$A$2:$M1000,Data!$A$2:$A1000=$A4 , Data!$B$2:$B1000 = $B4,Data!$C$2:$C1000 = $C4, Data!$D$2:$D1000 = D$1, Data!$E$2:$E1000 = D$2 )},$K$2  , $Q$22:$Q$23))"),"210545")</f>
        <v>210545</v>
      </c>
      <c r="E4" s="34" t="str">
        <f>IFERROR(__xludf.DUMMYFUNCTION("(DMAX({{Data!$A$1:$M$1};filter(Data!$A$2:$M1000,Data!$A$2:$A1000=$A4 , Data!$B$2:$B1000 = $B4,Data!$C$2:$C1000 = $C4, Data!$D$2:$D1000 = E$1, Data!$E$2:$E1000 = E$2 )},$K$2  , $Q$22:$Q$23))"),"211080")</f>
        <v>211080</v>
      </c>
      <c r="F4" s="34" t="str">
        <f>IFERROR(__xludf.DUMMYFUNCTION("(DMAX({{Data!$A$1:$M$1};filter(Data!$A$2:$M1000,Data!$A$2:$A1000=$A4 , Data!$B$2:$B1000 = $B4,Data!$C$2:$C1000 = $C4, Data!$D$2:$D1000 = F$1, Data!$E$2:$E1000 = F$2 )},$K$2  , $Q$22:$Q$23))"),"210727")</f>
        <v>210727</v>
      </c>
      <c r="G4" s="34" t="str">
        <f>IFERROR(__xludf.DUMMYFUNCTION("(DMAX({{Data!$A$1:$M$1};filter(Data!$A$2:$M1000,Data!$A$2:$A1000=$A4 , Data!$B$2:$B1000 = $B4,Data!$C$2:$C1000 = $C4, Data!$D$2:$D1000 = G$1, Data!$E$2:$E1000 = G$2 )},$K$2  , $Q$22:$Q$23))"),"210735")</f>
        <v>210735</v>
      </c>
      <c r="H4" s="34" t="str">
        <f>IFERROR(__xludf.DUMMYFUNCTION("(DMAX({{Data!$A$1:$M$1};filter(Data!$A$2:$M1000,Data!$A$2:$A1000=$A4 , Data!$B$2:$B1000 = $B4,Data!$C$2:$C1000 = $C4, Data!$D$2:$D1000 = H$1, Data!$E$2:$E1000 = H$2 )},$K$2  , $Q$22:$Q$23))"),"210446")</f>
        <v>210446</v>
      </c>
      <c r="I4" s="28" t="str">
        <f>MAX(D4:H4)</f>
        <v>211080</v>
      </c>
      <c r="J4" s="18"/>
      <c r="K4" s="18"/>
      <c r="L4" s="18"/>
      <c r="M4" s="18"/>
      <c r="N4" s="18"/>
      <c r="O4" s="18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6">
        <v>1000.0</v>
      </c>
      <c r="B5" s="16">
        <v>1.0</v>
      </c>
      <c r="C5" s="16">
        <v>2.0</v>
      </c>
      <c r="D5" s="34" t="str">
        <f>IFERROR(__xludf.DUMMYFUNCTION("(DMAX({{Data!$A$1:$M$1};filter(Data!$A$2:$M1000,Data!$A$2:$A1000=$A5 , Data!$B$2:$B1000 = $B5,Data!$C$2:$C1000 = $C5, Data!$D$2:$D1000 = D$1, Data!$E$2:$E1000 = D$2 )},$K$2  , $Q$22:$Q$23))"),"206405")</f>
        <v>206405</v>
      </c>
      <c r="E5" s="34" t="str">
        <f>IFERROR(__xludf.DUMMYFUNCTION("(DMAX({{Data!$A$1:$M$1};filter(Data!$A$2:$M1000,Data!$A$2:$A1000=$A5 , Data!$B$2:$B1000 = $B5,Data!$C$2:$C1000 = $C5, Data!$D$2:$D1000 = E$1, Data!$E$2:$E1000 = E$2 )},$K$2  , $Q$22:$Q$23))"),"206906")</f>
        <v>206906</v>
      </c>
      <c r="F5" s="34" t="str">
        <f>IFERROR(__xludf.DUMMYFUNCTION("(DMAX({{Data!$A$1:$M$1};filter(Data!$A$2:$M1000,Data!$A$2:$A1000=$A5 , Data!$B$2:$B1000 = $B5,Data!$C$2:$C1000 = $C5, Data!$D$2:$D1000 = F$1, Data!$E$2:$E1000 = F$2 )},$K$2  , $Q$22:$Q$23))"),"206749")</f>
        <v>206749</v>
      </c>
      <c r="G5" s="34" t="str">
        <f>IFERROR(__xludf.DUMMYFUNCTION("(DMAX({{Data!$A$1:$M$1};filter(Data!$A$2:$M1000,Data!$A$2:$A1000=$A5 , Data!$B$2:$B1000 = $B5,Data!$C$2:$C1000 = $C5, Data!$D$2:$D1000 = G$1, Data!$E$2:$E1000 = G$2 )},$K$2  , $Q$22:$Q$23))"),"206691")</f>
        <v>206691</v>
      </c>
      <c r="H5" s="34" t="str">
        <f>IFERROR(__xludf.DUMMYFUNCTION("(DMAX({{Data!$A$1:$M$1};filter(Data!$A$2:$M1000,Data!$A$2:$A1000=$A5 , Data!$B$2:$B1000 = $B5,Data!$C$2:$C1000 = $C5, Data!$D$2:$D1000 = H$1, Data!$E$2:$E1000 = H$2 )},$K$2  , $Q$22:$Q$23))"),"206189")</f>
        <v>206189</v>
      </c>
      <c r="I5" s="18">
        <v>206906.0</v>
      </c>
      <c r="J5" s="18"/>
      <c r="K5" s="18"/>
      <c r="L5" s="18"/>
      <c r="M5" s="18"/>
      <c r="N5" s="18"/>
      <c r="O5" s="18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6">
        <v>1000.0</v>
      </c>
      <c r="B6" s="16">
        <v>1.0</v>
      </c>
      <c r="C6" s="16">
        <v>3.0</v>
      </c>
      <c r="D6" s="34" t="str">
        <f>IFERROR(__xludf.DUMMYFUNCTION("(DMAX({{Data!$A$1:$M$1};filter(Data!$A$2:$M1000,Data!$A$2:$A1000=$A6 , Data!$B$2:$B1000 = $B6,Data!$C$2:$C1000 = $C6, Data!$D$2:$D1000 = D$1, Data!$E$2:$E1000 = D$2 )},$K$2  , $Q$22:$Q$23))"),"204475")</f>
        <v>204475</v>
      </c>
      <c r="E6" s="34" t="str">
        <f>IFERROR(__xludf.DUMMYFUNCTION("(DMAX({{Data!$A$1:$M$1};filter(Data!$A$2:$M1000,Data!$A$2:$A1000=$A6 , Data!$B$2:$B1000 = $B6,Data!$C$2:$C1000 = $C6, Data!$D$2:$D1000 = E$1, Data!$E$2:$E1000 = E$2 )},$K$2  , $Q$22:$Q$23))"),"205556")</f>
        <v>205556</v>
      </c>
      <c r="F6" s="34" t="str">
        <f>IFERROR(__xludf.DUMMYFUNCTION("(DMAX({{Data!$A$1:$M$1};filter(Data!$A$2:$M1000,Data!$A$2:$A1000=$A6 , Data!$B$2:$B1000 = $B6,Data!$C$2:$C1000 = $C6, Data!$D$2:$D1000 = F$1, Data!$E$2:$E1000 = F$2 )},$K$2  , $Q$22:$Q$23))"),"205110")</f>
        <v>205110</v>
      </c>
      <c r="G6" s="34" t="str">
        <f>IFERROR(__xludf.DUMMYFUNCTION("(DMAX({{Data!$A$1:$M$1};filter(Data!$A$2:$M1000,Data!$A$2:$A1000=$A6 , Data!$B$2:$B1000 = $B6,Data!$C$2:$C1000 = $C6, Data!$D$2:$D1000 = G$1, Data!$E$2:$E1000 = G$2 )},$K$2  , $Q$22:$Q$23))"),"205672")</f>
        <v>205672</v>
      </c>
      <c r="H6" s="34" t="str">
        <f>IFERROR(__xludf.DUMMYFUNCTION("(DMAX({{Data!$A$1:$M$1};filter(Data!$A$2:$M1000,Data!$A$2:$A1000=$A6 , Data!$B$2:$B1000 = $B6,Data!$C$2:$C1000 = $C6, Data!$D$2:$D1000 = H$1, Data!$E$2:$E1000 = H$2 )},$K$2  , $Q$22:$Q$23))"),"205138")</f>
        <v>205138</v>
      </c>
      <c r="I6" s="18">
        <v>205672.0</v>
      </c>
      <c r="J6" s="18"/>
      <c r="K6" s="18"/>
      <c r="L6" s="18"/>
      <c r="M6" s="18"/>
      <c r="N6" s="18"/>
      <c r="O6" s="1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6">
        <v>1000.0</v>
      </c>
      <c r="B7" s="16">
        <v>1.0</v>
      </c>
      <c r="C7" s="16">
        <v>4.0</v>
      </c>
      <c r="D7" s="34" t="str">
        <f>IFERROR(__xludf.DUMMYFUNCTION("(DMAX({{Data!$A$1:$M$1};filter(Data!$A$2:$M1000,Data!$A$2:$A1000=$A7 , Data!$B$2:$B1000 = $B7,Data!$C$2:$C1000 = $C7, Data!$D$2:$D1000 = D$1, Data!$E$2:$E1000 = D$2 )},$K$2  , $Q$22:$Q$23))"),"213386")</f>
        <v>213386</v>
      </c>
      <c r="E7" s="34" t="str">
        <f>IFERROR(__xludf.DUMMYFUNCTION("(DMAX({{Data!$A$1:$M$1};filter(Data!$A$2:$M1000,Data!$A$2:$A1000=$A7 , Data!$B$2:$B1000 = $B7,Data!$C$2:$C1000 = $C7, Data!$D$2:$D1000 = E$1, Data!$E$2:$E1000 = E$2 )},$K$2  , $Q$22:$Q$23))"),"213986")</f>
        <v>213986</v>
      </c>
      <c r="F7" s="34" t="str">
        <f>IFERROR(__xludf.DUMMYFUNCTION("(DMAX({{Data!$A$1:$M$1};filter(Data!$A$2:$M1000,Data!$A$2:$A1000=$A7 , Data!$B$2:$B1000 = $B7,Data!$C$2:$C1000 = $C7, Data!$D$2:$D1000 = F$1, Data!$E$2:$E1000 = F$2 )},$K$2  , $Q$22:$Q$23))"),"213541")</f>
        <v>213541</v>
      </c>
      <c r="G7" s="34" t="str">
        <f>IFERROR(__xludf.DUMMYFUNCTION("(DMAX({{Data!$A$1:$M$1};filter(Data!$A$2:$M1000,Data!$A$2:$A1000=$A7 , Data!$B$2:$B1000 = $B7,Data!$C$2:$C1000 = $C7, Data!$D$2:$D1000 = G$1, Data!$E$2:$E1000 = G$2 )},$K$2  , $Q$22:$Q$23))"),"213766")</f>
        <v>213766</v>
      </c>
      <c r="H7" s="34" t="str">
        <f>IFERROR(__xludf.DUMMYFUNCTION("(DMAX({{Data!$A$1:$M$1};filter(Data!$A$2:$M1000,Data!$A$2:$A1000=$A7 , Data!$B$2:$B1000 = $B7,Data!$C$2:$C1000 = $C7, Data!$D$2:$D1000 = H$1, Data!$E$2:$E1000 = H$2 )},$K$2  , $Q$22:$Q$23))"),"214087")</f>
        <v>214087</v>
      </c>
      <c r="I7" s="18">
        <v>214087.0</v>
      </c>
      <c r="J7" s="18"/>
      <c r="K7" s="18"/>
      <c r="L7" s="18"/>
      <c r="M7" s="18"/>
      <c r="N7" s="18"/>
      <c r="O7" s="18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9">
        <v>1000.0</v>
      </c>
      <c r="B8" s="19">
        <v>1.0</v>
      </c>
      <c r="C8" s="19">
        <v>5.0</v>
      </c>
      <c r="D8" s="34" t="str">
        <f>IFERROR(__xludf.DUMMYFUNCTION("(DMAX({{Data!$A$1:$M$1};filter(Data!$A$2:$M1000,Data!$A$2:$A1000=$A8 , Data!$B$2:$B1000 = $B8,Data!$C$2:$C1000 = $C8, Data!$D$2:$D1000 = D$1, Data!$E$2:$E1000 = D$2 )},$K$2  , $Q$22:$Q$23))"),"211427")</f>
        <v>211427</v>
      </c>
      <c r="E8" s="34" t="str">
        <f>IFERROR(__xludf.DUMMYFUNCTION("(DMAX({{Data!$A$1:$M$1};filter(Data!$A$2:$M1000,Data!$A$2:$A1000=$A8 , Data!$B$2:$B1000 = $B8,Data!$C$2:$C1000 = $C8, Data!$D$2:$D1000 = E$1, Data!$E$2:$E1000 = E$2 )},$K$2  , $Q$22:$Q$23))"),"212510")</f>
        <v>212510</v>
      </c>
      <c r="F8" s="34" t="str">
        <f>IFERROR(__xludf.DUMMYFUNCTION("(DMAX({{Data!$A$1:$M$1};filter(Data!$A$2:$M1000,Data!$A$2:$A1000=$A8 , Data!$B$2:$B1000 = $B8,Data!$C$2:$C1000 = $C8, Data!$D$2:$D1000 = F$1, Data!$E$2:$E1000 = F$2 )},$K$2  , $Q$22:$Q$23))"),"212074")</f>
        <v>212074</v>
      </c>
      <c r="G8" s="34" t="str">
        <f>IFERROR(__xludf.DUMMYFUNCTION("(DMAX({{Data!$A$1:$M$1};filter(Data!$A$2:$M1000,Data!$A$2:$A1000=$A8 , Data!$B$2:$B1000 = $B8,Data!$C$2:$C1000 = $C8, Data!$D$2:$D1000 = G$1, Data!$E$2:$E1000 = G$2 )},$K$2  , $Q$22:$Q$23))"),"212248")</f>
        <v>212248</v>
      </c>
      <c r="H8" s="34" t="str">
        <f>IFERROR(__xludf.DUMMYFUNCTION("(DMAX({{Data!$A$1:$M$1};filter(Data!$A$2:$M1000,Data!$A$2:$A1000=$A8 , Data!$B$2:$B1000 = $B8,Data!$C$2:$C1000 = $C8, Data!$D$2:$D1000 = H$1, Data!$E$2:$E1000 = H$2 )},$K$2  , $Q$22:$Q$23))"),"211674")</f>
        <v>211674</v>
      </c>
      <c r="I8" s="18">
        <v>212510.0</v>
      </c>
      <c r="J8" s="18"/>
      <c r="K8" s="18"/>
      <c r="L8" s="18"/>
      <c r="M8" s="18"/>
      <c r="N8" s="18"/>
      <c r="O8" s="18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6">
        <v>1000.0</v>
      </c>
      <c r="B9" s="16">
        <v>5.0</v>
      </c>
      <c r="C9" s="16">
        <v>1.0</v>
      </c>
      <c r="D9" s="34" t="str">
        <f>IFERROR(__xludf.DUMMYFUNCTION("(DMAX({{Data!$A$1:$M$1};filter(Data!$A$2:$M1000,Data!$A$2:$A1000=$A9 , Data!$B$2:$B1000 = $B9,Data!$C$2:$C1000 = $C9, Data!$D$2:$D1000 = D$1, Data!$E$2:$E1000 = D$2 )},$K$2  , $Q$22:$Q$23))"),"856865")</f>
        <v>856865</v>
      </c>
      <c r="E9" s="34" t="str">
        <f>IFERROR(__xludf.DUMMYFUNCTION("(DMAX({{Data!$A$1:$M$1};filter(Data!$A$2:$M1000,Data!$A$2:$A1000=$A9 , Data!$B$2:$B1000 = $B9,Data!$C$2:$C1000 = $C9, Data!$D$2:$D1000 = E$1, Data!$E$2:$E1000 = E$2 )},$K$2  , $Q$22:$Q$23))"),"858973")</f>
        <v>858973</v>
      </c>
      <c r="F9" s="34" t="str">
        <f>IFERROR(__xludf.DUMMYFUNCTION("(DMAX({{Data!$A$1:$M$1};filter(Data!$A$2:$M1000,Data!$A$2:$A1000=$A9 , Data!$B$2:$B1000 = $B9,Data!$C$2:$C1000 = $C9, Data!$D$2:$D1000 = F$1, Data!$E$2:$E1000 = F$2 )},$K$2  , $Q$22:$Q$23))"),"858218")</f>
        <v>858218</v>
      </c>
      <c r="G9" s="34" t="str">
        <f>IFERROR(__xludf.DUMMYFUNCTION("(DMAX({{Data!$A$1:$M$1};filter(Data!$A$2:$M1000,Data!$A$2:$A1000=$A9 , Data!$B$2:$B1000 = $B9,Data!$C$2:$C1000 = $C9, Data!$D$2:$D1000 = G$1, Data!$E$2:$E1000 = G$2 )},$K$2  , $Q$22:$Q$23))"),"858450")</f>
        <v>858450</v>
      </c>
      <c r="H9" s="34" t="str">
        <f>IFERROR(__xludf.DUMMYFUNCTION("(DMAX({{Data!$A$1:$M$1};filter(Data!$A$2:$M1000,Data!$A$2:$A1000=$A9 , Data!$B$2:$B1000 = $B9,Data!$C$2:$C1000 = $C9, Data!$D$2:$D1000 = H$1, Data!$E$2:$E1000 = H$2 )},$K$2  , $Q$22:$Q$23))"),"858905")</f>
        <v>858905</v>
      </c>
      <c r="I9" s="18">
        <v>858973.0</v>
      </c>
      <c r="J9" s="18"/>
      <c r="K9" s="18"/>
      <c r="L9" s="18"/>
      <c r="M9" s="18"/>
      <c r="N9" s="18"/>
      <c r="O9" s="18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22">
        <v>1000.0</v>
      </c>
      <c r="B10" s="22">
        <v>5.0</v>
      </c>
      <c r="C10" s="22">
        <v>2.0</v>
      </c>
      <c r="D10" s="34" t="str">
        <f>IFERROR(__xludf.DUMMYFUNCTION("(DMAX({{Data!$A$1:$M$1};filter(Data!$A$2:$M1000,Data!$A$2:$A1000=$A10 , Data!$B$2:$B1000 = $B10,Data!$C$2:$C1000 = $C10, Data!$D$2:$D1000 = D$1, Data!$E$2:$E1000 = D$2 )},$K$2  , $Q$22:$Q$23))"),"862031")</f>
        <v>862031</v>
      </c>
      <c r="E10" s="34" t="str">
        <f>IFERROR(__xludf.DUMMYFUNCTION("(DMAX({{Data!$A$1:$M$1};filter(Data!$A$2:$M1000,Data!$A$2:$A1000=$A10 , Data!$B$2:$B1000 = $B10,Data!$C$2:$C1000 = $C10, Data!$D$2:$D1000 = E$1, Data!$E$2:$E1000 = E$2 )},$K$2  , $Q$22:$Q$23))"),"864274")</f>
        <v>864274</v>
      </c>
      <c r="F10" s="34" t="str">
        <f>IFERROR(__xludf.DUMMYFUNCTION("(DMAX({{Data!$A$1:$M$1};filter(Data!$A$2:$M1000,Data!$A$2:$A1000=$A10 , Data!$B$2:$B1000 = $B10,Data!$C$2:$C1000 = $C10, Data!$D$2:$D1000 = F$1, Data!$E$2:$E1000 = F$2 )},$K$2  , $Q$22:$Q$23))"),"863482")</f>
        <v>863482</v>
      </c>
      <c r="G10" s="34" t="str">
        <f>IFERROR(__xludf.DUMMYFUNCTION("(DMAX({{Data!$A$1:$M$1};filter(Data!$A$2:$M1000,Data!$A$2:$A1000=$A10 , Data!$B$2:$B1000 = $B10,Data!$C$2:$C1000 = $C10, Data!$D$2:$D1000 = G$1, Data!$E$2:$E1000 = G$2 )},$K$2  , $Q$22:$Q$23))"),"863695")</f>
        <v>863695</v>
      </c>
      <c r="H10" s="34" t="str">
        <f>IFERROR(__xludf.DUMMYFUNCTION("(DMAX({{Data!$A$1:$M$1};filter(Data!$A$2:$M1000,Data!$A$2:$A1000=$A10 , Data!$B$2:$B1000 = $B10,Data!$C$2:$C1000 = $C10, Data!$D$2:$D1000 = H$1, Data!$E$2:$E1000 = H$2 )},$K$2  , $Q$22:$Q$23))"),"862888")</f>
        <v>862888</v>
      </c>
      <c r="I10" s="18">
        <v>864274.0</v>
      </c>
      <c r="J10" s="18"/>
      <c r="K10" s="18"/>
      <c r="L10" s="18"/>
      <c r="M10" s="18"/>
      <c r="N10" s="18"/>
      <c r="O10" s="18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6">
        <v>1000.0</v>
      </c>
      <c r="B11" s="16">
        <v>5.0</v>
      </c>
      <c r="C11" s="16">
        <v>3.0</v>
      </c>
      <c r="D11" s="34" t="str">
        <f>IFERROR(__xludf.DUMMYFUNCTION("(DMAX({{Data!$A$1:$M$1};filter(Data!$A$2:$M1000,Data!$A$2:$A1000=$A11 , Data!$B$2:$B1000 = $B11,Data!$C$2:$C1000 = $C11, Data!$D$2:$D1000 = D$1, Data!$E$2:$E1000 = D$2 )},$K$2  , $Q$22:$Q$23))"),"865835")</f>
        <v>865835</v>
      </c>
      <c r="E11" s="34" t="str">
        <f>IFERROR(__xludf.DUMMYFUNCTION("(DMAX({{Data!$A$1:$M$1};filter(Data!$A$2:$M1000,Data!$A$2:$A1000=$A11 , Data!$B$2:$B1000 = $B11,Data!$C$2:$C1000 = $C11, Data!$D$2:$D1000 = E$1, Data!$E$2:$E1000 = E$2 )},$K$2  , $Q$22:$Q$23))"),"869131")</f>
        <v>869131</v>
      </c>
      <c r="F11" s="34" t="str">
        <f>IFERROR(__xludf.DUMMYFUNCTION("(DMAX({{Data!$A$1:$M$1};filter(Data!$A$2:$M1000,Data!$A$2:$A1000=$A11 , Data!$B$2:$B1000 = $B11,Data!$C$2:$C1000 = $C11, Data!$D$2:$D1000 = F$1, Data!$E$2:$E1000 = F$2 )},$K$2  , $Q$22:$Q$23))"),"867295")</f>
        <v>867295</v>
      </c>
      <c r="G11" s="34" t="str">
        <f>IFERROR(__xludf.DUMMYFUNCTION("(DMAX({{Data!$A$1:$M$1};filter(Data!$A$2:$M1000,Data!$A$2:$A1000=$A11 , Data!$B$2:$B1000 = $B11,Data!$C$2:$C1000 = $C11, Data!$D$2:$D1000 = G$1, Data!$E$2:$E1000 = G$2 )},$K$2  , $Q$22:$Q$23))"),"868187")</f>
        <v>868187</v>
      </c>
      <c r="H11" s="34" t="str">
        <f>IFERROR(__xludf.DUMMYFUNCTION("(DMAX({{Data!$A$1:$M$1};filter(Data!$A$2:$M1000,Data!$A$2:$A1000=$A11 , Data!$B$2:$B1000 = $B11,Data!$C$2:$C1000 = $C11, Data!$D$2:$D1000 = H$1, Data!$E$2:$E1000 = H$2 )},$K$2  , $Q$22:$Q$23))"),"867989")</f>
        <v>867989</v>
      </c>
      <c r="I11" s="18">
        <v>869131.0</v>
      </c>
      <c r="J11" s="18"/>
      <c r="K11" s="18"/>
      <c r="L11" s="18"/>
      <c r="M11" s="18"/>
      <c r="N11" s="18"/>
      <c r="O11" s="18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6">
        <v>1000.0</v>
      </c>
      <c r="B12" s="16">
        <v>5.0</v>
      </c>
      <c r="C12" s="16">
        <v>4.0</v>
      </c>
      <c r="D12" s="34" t="str">
        <f>IFERROR(__xludf.DUMMYFUNCTION("(DMAX({{Data!$A$1:$M$1};filter(Data!$A$2:$M1000,Data!$A$2:$A1000=$A12 , Data!$B$2:$B1000 = $B12,Data!$C$2:$C1000 = $C12, Data!$D$2:$D1000 = D$1, Data!$E$2:$E1000 = D$2 )},$K$2  , $Q$22:$Q$23))"),"866398")</f>
        <v>866398</v>
      </c>
      <c r="E12" s="34" t="str">
        <f>IFERROR(__xludf.DUMMYFUNCTION("(DMAX({{Data!$A$1:$M$1};filter(Data!$A$2:$M1000,Data!$A$2:$A1000=$A12 , Data!$B$2:$B1000 = $B12,Data!$C$2:$C1000 = $C12, Data!$D$2:$D1000 = E$1, Data!$E$2:$E1000 = E$2 )},$K$2  , $Q$22:$Q$23))"),"868482")</f>
        <v>868482</v>
      </c>
      <c r="F12" s="34" t="str">
        <f>IFERROR(__xludf.DUMMYFUNCTION("(DMAX({{Data!$A$1:$M$1};filter(Data!$A$2:$M1000,Data!$A$2:$A1000=$A12 , Data!$B$2:$B1000 = $B12,Data!$C$2:$C1000 = $C12, Data!$D$2:$D1000 = F$1, Data!$E$2:$E1000 = F$2 )},$K$2  , $Q$22:$Q$23))"),"866386")</f>
        <v>866386</v>
      </c>
      <c r="G12" s="34" t="str">
        <f>IFERROR(__xludf.DUMMYFUNCTION("(DMAX({{Data!$A$1:$M$1};filter(Data!$A$2:$M1000,Data!$A$2:$A1000=$A12 , Data!$B$2:$B1000 = $B12,Data!$C$2:$C1000 = $C12, Data!$D$2:$D1000 = G$1, Data!$E$2:$E1000 = G$2 )},$K$2  , $Q$22:$Q$23))"),"867134")</f>
        <v>867134</v>
      </c>
      <c r="H12" s="34" t="str">
        <f>IFERROR(__xludf.DUMMYFUNCTION("(DMAX({{Data!$A$1:$M$1};filter(Data!$A$2:$M1000,Data!$A$2:$A1000=$A12 , Data!$B$2:$B1000 = $B12,Data!$C$2:$C1000 = $C12, Data!$D$2:$D1000 = H$1, Data!$E$2:$E1000 = H$2 )},$K$2  , $Q$22:$Q$23))"),"867489")</f>
        <v>867489</v>
      </c>
      <c r="I12" s="18">
        <v>868482.0</v>
      </c>
      <c r="J12" s="18"/>
      <c r="K12" s="18"/>
      <c r="L12" s="18"/>
      <c r="M12" s="18"/>
      <c r="N12" s="18"/>
      <c r="O12" s="18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6">
        <v>1000.0</v>
      </c>
      <c r="B13" s="16">
        <v>5.0</v>
      </c>
      <c r="C13" s="16">
        <v>5.0</v>
      </c>
      <c r="D13" s="34" t="str">
        <f>IFERROR(__xludf.DUMMYFUNCTION("(DMAX({{Data!$A$1:$M$1};filter(Data!$A$2:$M1000,Data!$A$2:$A1000=$A13 , Data!$B$2:$B1000 = $B13,Data!$C$2:$C1000 = $C13, Data!$D$2:$D1000 = D$1, Data!$E$2:$E1000 = D$2 )},$K$2  , $Q$22:$Q$23))"),"860558")</f>
        <v>860558</v>
      </c>
      <c r="E13" s="34" t="str">
        <f>IFERROR(__xludf.DUMMYFUNCTION("(DMAX({{Data!$A$1:$M$1};filter(Data!$A$2:$M1000,Data!$A$2:$A1000=$A13 , Data!$B$2:$B1000 = $B13,Data!$C$2:$C1000 = $C13, Data!$D$2:$D1000 = E$1, Data!$E$2:$E1000 = E$2 )},$K$2  , $Q$22:$Q$23))"),"862678")</f>
        <v>862678</v>
      </c>
      <c r="F13" s="34" t="str">
        <f>IFERROR(__xludf.DUMMYFUNCTION("(DMAX({{Data!$A$1:$M$1};filter(Data!$A$2:$M1000,Data!$A$2:$A1000=$A13 , Data!$B$2:$B1000 = $B13,Data!$C$2:$C1000 = $C13, Data!$D$2:$D1000 = F$1, Data!$E$2:$E1000 = F$2 )},$K$2  , $Q$22:$Q$23))"),"861589")</f>
        <v>861589</v>
      </c>
      <c r="G13" s="34" t="str">
        <f>IFERROR(__xludf.DUMMYFUNCTION("(DMAX({{Data!$A$1:$M$1};filter(Data!$A$2:$M1000,Data!$A$2:$A1000=$A13 , Data!$B$2:$B1000 = $B13,Data!$C$2:$C1000 = $C13, Data!$D$2:$D1000 = G$1, Data!$E$2:$E1000 = G$2 )},$K$2  , $Q$22:$Q$23))"),"863317")</f>
        <v>863317</v>
      </c>
      <c r="H13" s="34" t="str">
        <f>IFERROR(__xludf.DUMMYFUNCTION("(DMAX({{Data!$A$1:$M$1};filter(Data!$A$2:$M1000,Data!$A$2:$A1000=$A13 , Data!$B$2:$B1000 = $B13,Data!$C$2:$C1000 = $C13, Data!$D$2:$D1000 = H$1, Data!$E$2:$E1000 = H$2 )},$K$2  , $Q$22:$Q$23))"),"861876")</f>
        <v>861876</v>
      </c>
      <c r="I13" s="18">
        <v>863317.0</v>
      </c>
      <c r="J13" s="18"/>
      <c r="K13" s="18"/>
      <c r="L13" s="18"/>
      <c r="M13" s="18"/>
      <c r="N13" s="18"/>
      <c r="O13" s="18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6">
        <v>1000.0</v>
      </c>
      <c r="B14" s="16">
        <v>10.0</v>
      </c>
      <c r="C14" s="16">
        <v>1.0</v>
      </c>
      <c r="D14" s="34" t="str">
        <f>IFERROR(__xludf.DUMMYFUNCTION("(DMAX({{Data!$A$1:$M$1};filter(Data!$A$2:$M1000,Data!$A$2:$A1000=$A14 , Data!$B$2:$B1000 = $B14,Data!$C$2:$C1000 = $C14, Data!$D$2:$D1000 = D$1, Data!$E$2:$E1000 = D$2 )},$K$2  , $Q$22:$Q$23))"),"1606672")</f>
        <v>1606672</v>
      </c>
      <c r="E14" s="34" t="str">
        <f>IFERROR(__xludf.DUMMYFUNCTION("(DMAX({{Data!$A$1:$M$1};filter(Data!$A$2:$M1000,Data!$A$2:$A1000=$A14 , Data!$B$2:$B1000 = $B14,Data!$C$2:$C1000 = $C14, Data!$D$2:$D1000 = E$1, Data!$E$2:$E1000 = E$2 )},$K$2  , $Q$22:$Q$23))"),"1610644")</f>
        <v>1610644</v>
      </c>
      <c r="F14" s="34" t="str">
        <f>IFERROR(__xludf.DUMMYFUNCTION("(DMAX({{Data!$A$1:$M$1};filter(Data!$A$2:$M1000,Data!$A$2:$A1000=$A14 , Data!$B$2:$B1000 = $B14,Data!$C$2:$C1000 = $C14, Data!$D$2:$D1000 = F$1, Data!$E$2:$E1000 = F$2 )},$K$2  , $Q$22:$Q$23))"),"1608684")</f>
        <v>1608684</v>
      </c>
      <c r="G14" s="34" t="str">
        <f>IFERROR(__xludf.DUMMYFUNCTION("(DMAX({{Data!$A$1:$M$1};filter(Data!$A$2:$M1000,Data!$A$2:$A1000=$A14 , Data!$B$2:$B1000 = $B14,Data!$C$2:$C1000 = $C14, Data!$D$2:$D1000 = G$1, Data!$E$2:$E1000 = G$2 )},$K$2  , $Q$22:$Q$23))"),"1609352")</f>
        <v>1609352</v>
      </c>
      <c r="H14" s="34" t="str">
        <f>IFERROR(__xludf.DUMMYFUNCTION("(DMAX({{Data!$A$1:$M$1};filter(Data!$A$2:$M1000,Data!$A$2:$A1000=$A14 , Data!$B$2:$B1000 = $B14,Data!$C$2:$C1000 = $C14, Data!$D$2:$D1000 = H$1, Data!$E$2:$E1000 = H$2 )},$K$2  , $Q$22:$Q$23))"),"1609903")</f>
        <v>1609903</v>
      </c>
      <c r="I14" s="18">
        <v>1610644.0</v>
      </c>
      <c r="J14" s="18"/>
      <c r="K14" s="18"/>
      <c r="L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6">
        <v>1000.0</v>
      </c>
      <c r="B15" s="16">
        <v>10.0</v>
      </c>
      <c r="C15" s="16">
        <v>2.0</v>
      </c>
      <c r="D15" s="34" t="str">
        <f>IFERROR(__xludf.DUMMYFUNCTION("(DMAX({{Data!$A$1:$M$1};filter(Data!$A$2:$M1000,Data!$A$2:$A1000=$A15 , Data!$B$2:$B1000 = $B15,Data!$C$2:$C1000 = $C15, Data!$D$2:$D1000 = D$1, Data!$E$2:$E1000 = D$2 )},$K$2  , $Q$22:$Q$23))"),"1627199")</f>
        <v>1627199</v>
      </c>
      <c r="E15" s="34" t="str">
        <f>IFERROR(__xludf.DUMMYFUNCTION("(DMAX({{Data!$A$1:$M$1};filter(Data!$A$2:$M1000,Data!$A$2:$A1000=$A15 , Data!$B$2:$B1000 = $B15,Data!$C$2:$C1000 = $C15, Data!$D$2:$D1000 = E$1, Data!$E$2:$E1000 = E$2 )},$K$2  , $Q$22:$Q$23))"),"1631673")</f>
        <v>1631673</v>
      </c>
      <c r="F15" s="34" t="str">
        <f>IFERROR(__xludf.DUMMYFUNCTION("(DMAX({{Data!$A$1:$M$1};filter(Data!$A$2:$M1000,Data!$A$2:$A1000=$A15 , Data!$B$2:$B1000 = $B15,Data!$C$2:$C1000 = $C15, Data!$D$2:$D1000 = F$1, Data!$E$2:$E1000 = F$2 )},$K$2  , $Q$22:$Q$23))"),"1629761")</f>
        <v>1629761</v>
      </c>
      <c r="G15" s="34" t="str">
        <f>IFERROR(__xludf.DUMMYFUNCTION("(DMAX({{Data!$A$1:$M$1};filter(Data!$A$2:$M1000,Data!$A$2:$A1000=$A15 , Data!$B$2:$B1000 = $B15,Data!$C$2:$C1000 = $C15, Data!$D$2:$D1000 = G$1, Data!$E$2:$E1000 = G$2 )},$K$2  , $Q$22:$Q$23))"),"1629731")</f>
        <v>1629731</v>
      </c>
      <c r="H15" s="34" t="str">
        <f>IFERROR(__xludf.DUMMYFUNCTION("(DMAX({{Data!$A$1:$M$1};filter(Data!$A$2:$M1000,Data!$A$2:$A1000=$A15 , Data!$B$2:$B1000 = $B15,Data!$C$2:$C1000 = $C15, Data!$D$2:$D1000 = H$1, Data!$E$2:$E1000 = H$2 )},$K$2  , $Q$22:$Q$23))"),"1629224")</f>
        <v>1629224</v>
      </c>
      <c r="I15" s="18">
        <v>1631673.0</v>
      </c>
      <c r="J15" s="18"/>
      <c r="K15" s="18"/>
      <c r="L15" s="18"/>
      <c r="M15" s="18"/>
      <c r="N15" s="18"/>
      <c r="O15" s="18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6">
        <v>1000.0</v>
      </c>
      <c r="B16" s="16">
        <v>10.0</v>
      </c>
      <c r="C16" s="16">
        <v>3.0</v>
      </c>
      <c r="D16" s="34" t="str">
        <f>IFERROR(__xludf.DUMMYFUNCTION("(DMAX({{Data!$A$1:$M$1};filter(Data!$A$2:$M1000,Data!$A$2:$A1000=$A16 , Data!$B$2:$B1000 = $B16,Data!$C$2:$C1000 = $C16, Data!$D$2:$D1000 = D$1, Data!$E$2:$E1000 = D$2 )},$K$2  , $Q$22:$Q$23))"),"1626905")</f>
        <v>1626905</v>
      </c>
      <c r="E16" s="34" t="str">
        <f>IFERROR(__xludf.DUMMYFUNCTION("(DMAX({{Data!$A$1:$M$1};filter(Data!$A$2:$M1000,Data!$A$2:$A1000=$A16 , Data!$B$2:$B1000 = $B16,Data!$C$2:$C1000 = $C16, Data!$D$2:$D1000 = E$1, Data!$E$2:$E1000 = E$2 )},$K$2  , $Q$22:$Q$23))"),"1630446")</f>
        <v>1630446</v>
      </c>
      <c r="F16" s="34" t="str">
        <f>IFERROR(__xludf.DUMMYFUNCTION("(DMAX({{Data!$A$1:$M$1};filter(Data!$A$2:$M1000,Data!$A$2:$A1000=$A16 , Data!$B$2:$B1000 = $B16,Data!$C$2:$C1000 = $C16, Data!$D$2:$D1000 = F$1, Data!$E$2:$E1000 = F$2 )},$K$2  , $Q$22:$Q$23))"),"1628102")</f>
        <v>1628102</v>
      </c>
      <c r="G16" s="34" t="str">
        <f>IFERROR(__xludf.DUMMYFUNCTION("(DMAX({{Data!$A$1:$M$1};filter(Data!$A$2:$M1000,Data!$A$2:$A1000=$A16 , Data!$B$2:$B1000 = $B16,Data!$C$2:$C1000 = $C16, Data!$D$2:$D1000 = G$1, Data!$E$2:$E1000 = G$2 )},$K$2  , $Q$22:$Q$23))"),"1629588")</f>
        <v>1629588</v>
      </c>
      <c r="H16" s="34" t="str">
        <f>IFERROR(__xludf.DUMMYFUNCTION("(DMAX({{Data!$A$1:$M$1};filter(Data!$A$2:$M1000,Data!$A$2:$A1000=$A16 , Data!$B$2:$B1000 = $B16,Data!$C$2:$C1000 = $C16, Data!$D$2:$D1000 = H$1, Data!$E$2:$E1000 = H$2 )},$K$2  , $Q$22:$Q$23))"),"1630317")</f>
        <v>1630317</v>
      </c>
      <c r="I16" s="18">
        <v>1630446.0</v>
      </c>
      <c r="J16" s="18"/>
      <c r="K16" s="18"/>
      <c r="L16" s="18"/>
      <c r="M16" s="18"/>
      <c r="N16" s="18"/>
      <c r="O16" s="18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6">
        <v>1000.0</v>
      </c>
      <c r="B17" s="16">
        <v>10.0</v>
      </c>
      <c r="C17" s="16">
        <v>4.0</v>
      </c>
      <c r="D17" s="34" t="str">
        <f>IFERROR(__xludf.DUMMYFUNCTION("(DMAX({{Data!$A$1:$M$1};filter(Data!$A$2:$M1000,Data!$A$2:$A1000=$A17 , Data!$B$2:$B1000 = $B17,Data!$C$2:$C1000 = $C17, Data!$D$2:$D1000 = D$1, Data!$E$2:$E1000 = D$2 )},$K$2  , $Q$22:$Q$23))"),"1624034")</f>
        <v>1624034</v>
      </c>
      <c r="E17" s="34" t="str">
        <f>IFERROR(__xludf.DUMMYFUNCTION("(DMAX({{Data!$A$1:$M$1};filter(Data!$A$2:$M1000,Data!$A$2:$A1000=$A17 , Data!$B$2:$B1000 = $B17,Data!$C$2:$C1000 = $C17, Data!$D$2:$D1000 = E$1, Data!$E$2:$E1000 = E$2 )},$K$2  , $Q$22:$Q$23))"),"1625210")</f>
        <v>1625210</v>
      </c>
      <c r="F17" s="34" t="str">
        <f>IFERROR(__xludf.DUMMYFUNCTION("(DMAX({{Data!$A$1:$M$1};filter(Data!$A$2:$M1000,Data!$A$2:$A1000=$A17 , Data!$B$2:$B1000 = $B17,Data!$C$2:$C1000 = $C17, Data!$D$2:$D1000 = F$1, Data!$E$2:$E1000 = F$2 )},$K$2  , $Q$22:$Q$23))"),"1623216")</f>
        <v>1623216</v>
      </c>
      <c r="G17" s="34" t="str">
        <f>IFERROR(__xludf.DUMMYFUNCTION("(DMAX({{Data!$A$1:$M$1};filter(Data!$A$2:$M1000,Data!$A$2:$A1000=$A17 , Data!$B$2:$B1000 = $B17,Data!$C$2:$C1000 = $C17, Data!$D$2:$D1000 = G$1, Data!$E$2:$E1000 = G$2 )},$K$2  , $Q$22:$Q$23))"),"1624517")</f>
        <v>1624517</v>
      </c>
      <c r="H17" s="34" t="str">
        <f>IFERROR(__xludf.DUMMYFUNCTION("(DMAX({{Data!$A$1:$M$1};filter(Data!$A$2:$M1000,Data!$A$2:$A1000=$A17 , Data!$B$2:$B1000 = $B17,Data!$C$2:$C1000 = $C17, Data!$D$2:$D1000 = H$1, Data!$E$2:$E1000 = H$2 )},$K$2  , $Q$22:$Q$23))"),"1624457")</f>
        <v>1624457</v>
      </c>
      <c r="I17" s="18">
        <v>1625210.0</v>
      </c>
      <c r="J17" s="18"/>
      <c r="K17" s="18"/>
      <c r="L17" s="18"/>
      <c r="M17" s="18"/>
      <c r="N17" s="18"/>
      <c r="O17" s="18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6">
        <v>1000.0</v>
      </c>
      <c r="B18" s="16">
        <v>10.0</v>
      </c>
      <c r="C18" s="16">
        <v>5.0</v>
      </c>
      <c r="D18" s="34" t="str">
        <f>IFERROR(__xludf.DUMMYFUNCTION("(DMAX({{Data!$A$1:$M$1};filter(Data!$A$2:$M1000,Data!$A$2:$A1000=$A18 , Data!$B$2:$B1000 = $B18,Data!$C$2:$C1000 = $C18, Data!$D$2:$D1000 = D$1, Data!$E$2:$E1000 = D$2 )},$K$2  , $Q$22:$Q$23))"),"1622785")</f>
        <v>1622785</v>
      </c>
      <c r="E18" s="34" t="str">
        <f>IFERROR(__xludf.DUMMYFUNCTION("(DMAX({{Data!$A$1:$M$1};filter(Data!$A$2:$M1000,Data!$A$2:$A1000=$A18 , Data!$B$2:$B1000 = $B18,Data!$C$2:$C1000 = $C18, Data!$D$2:$D1000 = E$1, Data!$E$2:$E1000 = E$2 )},$K$2  , $Q$22:$Q$23))"),"1624266")</f>
        <v>1624266</v>
      </c>
      <c r="F18" s="34" t="str">
        <f>IFERROR(__xludf.DUMMYFUNCTION("(DMAX({{Data!$A$1:$M$1};filter(Data!$A$2:$M1000,Data!$A$2:$A1000=$A18 , Data!$B$2:$B1000 = $B18,Data!$C$2:$C1000 = $C18, Data!$D$2:$D1000 = F$1, Data!$E$2:$E1000 = F$2 )},$K$2  , $Q$22:$Q$23))"),"1622811")</f>
        <v>1622811</v>
      </c>
      <c r="G18" s="34" t="str">
        <f>IFERROR(__xludf.DUMMYFUNCTION("(DMAX({{Data!$A$1:$M$1};filter(Data!$A$2:$M1000,Data!$A$2:$A1000=$A18 , Data!$B$2:$B1000 = $B18,Data!$C$2:$C1000 = $C18, Data!$D$2:$D1000 = G$1, Data!$E$2:$E1000 = G$2 )},$K$2  , $Q$22:$Q$23))"),"1622992")</f>
        <v>1622992</v>
      </c>
      <c r="H18" s="34" t="str">
        <f>IFERROR(__xludf.DUMMYFUNCTION("(DMAX({{Data!$A$1:$M$1};filter(Data!$A$2:$M1000,Data!$A$2:$A1000=$A18 , Data!$B$2:$B1000 = $B18,Data!$C$2:$C1000 = $C18, Data!$D$2:$D1000 = H$1, Data!$E$2:$E1000 = H$2 )},$K$2  , $Q$22:$Q$23))"),"1624151")</f>
        <v>1624151</v>
      </c>
      <c r="I18" s="18">
        <v>1624266.0</v>
      </c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1">
        <v>1000.0</v>
      </c>
      <c r="B19" s="11">
        <v>50.0</v>
      </c>
      <c r="C19" s="11">
        <v>1.0</v>
      </c>
      <c r="D19" s="34" t="str">
        <f>IFERROR(__xludf.DUMMYFUNCTION("(DMAX({{Data!$A$1:$M$1};filter(Data!$A$2:$M1000,Data!$A$2:$A1000=$A19 , Data!$B$2:$B1000 = $B19,Data!$C$2:$C1000 = $C19, Data!$D$2:$D1000 = D$1, Data!$E$2:$E1000 = D$2 )},$K$2  , $Q$22:$Q$23))"),"8080185")</f>
        <v>8080185</v>
      </c>
      <c r="E19" s="34" t="str">
        <f>IFERROR(__xludf.DUMMYFUNCTION("(DMAX({{Data!$A$1:$M$1};filter(Data!$A$2:$M1000,Data!$A$2:$A1000=$A19 , Data!$B$2:$B1000 = $B19,Data!$C$2:$C1000 = $C19, Data!$D$2:$D1000 = E$1, Data!$E$2:$E1000 = E$2 )},$K$2  , $Q$22:$Q$23))"),"8081427")</f>
        <v>8081427</v>
      </c>
      <c r="F19" s="34" t="str">
        <f>IFERROR(__xludf.DUMMYFUNCTION("(DMAX({{Data!$A$1:$M$1};filter(Data!$A$2:$M1000,Data!$A$2:$A1000=$A19 , Data!$B$2:$B1000 = $B19,Data!$C$2:$C1000 = $C19, Data!$D$2:$D1000 = F$1, Data!$E$2:$E1000 = F$2 )},$K$2  , $Q$22:$Q$23))"),"8074227")</f>
        <v>8074227</v>
      </c>
      <c r="G19" s="34" t="str">
        <f>IFERROR(__xludf.DUMMYFUNCTION("(DMAX({{Data!$A$1:$M$1};filter(Data!$A$2:$M1000,Data!$A$2:$A1000=$A19 , Data!$B$2:$B1000 = $B19,Data!$C$2:$C1000 = $C19, Data!$D$2:$D1000 = G$1, Data!$E$2:$E1000 = G$2 )},$K$2  , $Q$22:$Q$23))"),"8079901")</f>
        <v>8079901</v>
      </c>
      <c r="H19" s="34" t="str">
        <f>IFERROR(__xludf.DUMMYFUNCTION("(DMAX({{Data!$A$1:$M$1};filter(Data!$A$2:$M1000,Data!$A$2:$A1000=$A19 , Data!$B$2:$B1000 = $B19,Data!$C$2:$C1000 = $C19, Data!$D$2:$D1000 = H$1, Data!$E$2:$E1000 = H$2 )},$K$2  , $Q$22:$Q$23))"),"8085394")</f>
        <v>8085394</v>
      </c>
      <c r="I19" s="18">
        <v>8085394.0</v>
      </c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26">
        <v>1000.0</v>
      </c>
      <c r="B20" s="26">
        <v>50.0</v>
      </c>
      <c r="C20" s="26">
        <v>2.0</v>
      </c>
      <c r="D20" s="34" t="str">
        <f>IFERROR(__xludf.DUMMYFUNCTION("(DMAX({{Data!$A$1:$M$1};filter(Data!$A$2:$M1000,Data!$A$2:$A1000=$A20 , Data!$B$2:$B1000 = $B20,Data!$C$2:$C1000 = $C20, Data!$D$2:$D1000 = D$1, Data!$E$2:$E1000 = D$2 )},$K$2  , $Q$22:$Q$23))"),"8072885")</f>
        <v>8072885</v>
      </c>
      <c r="E20" s="34" t="str">
        <f>IFERROR(__xludf.DUMMYFUNCTION("(DMAX({{Data!$A$1:$M$1};filter(Data!$A$2:$M1000,Data!$A$2:$A1000=$A20 , Data!$B$2:$B1000 = $B20,Data!$C$2:$C1000 = $C20, Data!$D$2:$D1000 = E$1, Data!$E$2:$E1000 = E$2 )},$K$2  , $Q$22:$Q$23))"),"8079490")</f>
        <v>8079490</v>
      </c>
      <c r="F20" s="34" t="str">
        <f>IFERROR(__xludf.DUMMYFUNCTION("(DMAX({{Data!$A$1:$M$1};filter(Data!$A$2:$M1000,Data!$A$2:$A1000=$A20 , Data!$B$2:$B1000 = $B20,Data!$C$2:$C1000 = $C20, Data!$D$2:$D1000 = F$1, Data!$E$2:$E1000 = F$2 )},$K$2  , $Q$22:$Q$23))"),"8074375")</f>
        <v>8074375</v>
      </c>
      <c r="G20" s="34" t="str">
        <f>IFERROR(__xludf.DUMMYFUNCTION("(DMAX({{Data!$A$1:$M$1};filter(Data!$A$2:$M1000,Data!$A$2:$A1000=$A20 , Data!$B$2:$B1000 = $B20,Data!$C$2:$C1000 = $C20, Data!$D$2:$D1000 = G$1, Data!$E$2:$E1000 = G$2 )},$K$2  , $Q$22:$Q$23))"),"8075718")</f>
        <v>8075718</v>
      </c>
      <c r="H20" s="34" t="str">
        <f>IFERROR(__xludf.DUMMYFUNCTION("(DMAX({{Data!$A$1:$M$1};filter(Data!$A$2:$M1000,Data!$A$2:$A1000=$A20 , Data!$B$2:$B1000 = $B20,Data!$C$2:$C1000 = $C20, Data!$D$2:$D1000 = H$1, Data!$E$2:$E1000 = H$2 )},$K$2  , $Q$22:$Q$23))"),"8080107")</f>
        <v>8080107</v>
      </c>
      <c r="I20" s="18">
        <v>8080107.0</v>
      </c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26">
        <v>1000.0</v>
      </c>
      <c r="B21" s="26">
        <v>50.0</v>
      </c>
      <c r="C21" s="26">
        <v>3.0</v>
      </c>
      <c r="D21" s="34" t="str">
        <f>IFERROR(__xludf.DUMMYFUNCTION("(DMAX({{Data!$A$1:$M$1};filter(Data!$A$2:$M1000,Data!$A$2:$A1000=$A21 , Data!$B$2:$B1000 = $B21,Data!$C$2:$C1000 = $C21, Data!$D$2:$D1000 = D$1, Data!$E$2:$E1000 = D$2 )},$K$2  , $Q$22:$Q$23))"),"8072887")</f>
        <v>8072887</v>
      </c>
      <c r="E21" s="34" t="str">
        <f>IFERROR(__xludf.DUMMYFUNCTION("(DMAX({{Data!$A$1:$M$1};filter(Data!$A$2:$M1000,Data!$A$2:$A1000=$A21 , Data!$B$2:$B1000 = $B21,Data!$C$2:$C1000 = $C21, Data!$D$2:$D1000 = E$1, Data!$E$2:$E1000 = E$2 )},$K$2  , $Q$22:$Q$23))"),"8079116")</f>
        <v>8079116</v>
      </c>
      <c r="F21" s="34" t="str">
        <f>IFERROR(__xludf.DUMMYFUNCTION("(DMAX({{Data!$A$1:$M$1};filter(Data!$A$2:$M1000,Data!$A$2:$A1000=$A21 , Data!$B$2:$B1000 = $B21,Data!$C$2:$C1000 = $C21, Data!$D$2:$D1000 = F$1, Data!$E$2:$E1000 = F$2 )},$K$2  , $Q$22:$Q$23))"),"8076225")</f>
        <v>8076225</v>
      </c>
      <c r="G21" s="34" t="str">
        <f>IFERROR(__xludf.DUMMYFUNCTION("(DMAX({{Data!$A$1:$M$1};filter(Data!$A$2:$M1000,Data!$A$2:$A1000=$A21 , Data!$B$2:$B1000 = $B21,Data!$C$2:$C1000 = $C21, Data!$D$2:$D1000 = G$1, Data!$E$2:$E1000 = G$2 )},$K$2  , $Q$22:$Q$23))"),"8070236")</f>
        <v>8070236</v>
      </c>
      <c r="H21" s="34" t="str">
        <f>IFERROR(__xludf.DUMMYFUNCTION("(DMAX({{Data!$A$1:$M$1};filter(Data!$A$2:$M1000,Data!$A$2:$A1000=$A21 , Data!$B$2:$B1000 = $B21,Data!$C$2:$C1000 = $C21, Data!$D$2:$D1000 = H$1, Data!$E$2:$E1000 = H$2 )},$K$2  , $Q$22:$Q$23))"),"8081323")</f>
        <v>8081323</v>
      </c>
      <c r="I21" s="18">
        <v>8081323.0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6">
        <v>1000.0</v>
      </c>
      <c r="B22" s="26">
        <v>50.0</v>
      </c>
      <c r="C22" s="26">
        <v>4.0</v>
      </c>
      <c r="D22" s="34" t="str">
        <f>IFERROR(__xludf.DUMMYFUNCTION("(DMAX({{Data!$A$1:$M$1};filter(Data!$A$2:$M1000,Data!$A$2:$A1000=$A22 , Data!$B$2:$B1000 = $B22,Data!$C$2:$C1000 = $C22, Data!$D$2:$D1000 = D$1, Data!$E$2:$E1000 = D$2 )},$K$2  , $Q$22:$Q$23))"),"8075375")</f>
        <v>8075375</v>
      </c>
      <c r="E22" s="34" t="str">
        <f>IFERROR(__xludf.DUMMYFUNCTION("(DMAX({{Data!$A$1:$M$1};filter(Data!$A$2:$M1000,Data!$A$2:$A1000=$A22 , Data!$B$2:$B1000 = $B22,Data!$C$2:$C1000 = $C22, Data!$D$2:$D1000 = E$1, Data!$E$2:$E1000 = E$2 )},$K$2  , $Q$22:$Q$23))"),"8081254")</f>
        <v>8081254</v>
      </c>
      <c r="F22" s="34" t="str">
        <f>IFERROR(__xludf.DUMMYFUNCTION("(DMAX({{Data!$A$1:$M$1};filter(Data!$A$2:$M1000,Data!$A$2:$A1000=$A22 , Data!$B$2:$B1000 = $B22,Data!$C$2:$C1000 = $C22, Data!$D$2:$D1000 = F$1, Data!$E$2:$E1000 = F$2 )},$K$2  , $Q$22:$Q$23))"),"8077876")</f>
        <v>8077876</v>
      </c>
      <c r="G22" s="34" t="str">
        <f>IFERROR(__xludf.DUMMYFUNCTION("(DMAX({{Data!$A$1:$M$1};filter(Data!$A$2:$M1000,Data!$A$2:$A1000=$A22 , Data!$B$2:$B1000 = $B22,Data!$C$2:$C1000 = $C22, Data!$D$2:$D1000 = G$1, Data!$E$2:$E1000 = G$2 )},$K$2  , $Q$22:$Q$23))"),"8077041")</f>
        <v>8077041</v>
      </c>
      <c r="H22" s="34" t="str">
        <f>IFERROR(__xludf.DUMMYFUNCTION("(DMAX({{Data!$A$1:$M$1};filter(Data!$A$2:$M1000,Data!$A$2:$A1000=$A22 , Data!$B$2:$B1000 = $B22,Data!$C$2:$C1000 = $C22, Data!$D$2:$D1000 = H$1, Data!$E$2:$E1000 = H$2 )},$K$2  , $Q$22:$Q$23))"),"8084693")</f>
        <v>8084693</v>
      </c>
      <c r="I22" s="18">
        <v>8084693.0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26">
        <v>1000.0</v>
      </c>
      <c r="B23" s="26">
        <v>50.0</v>
      </c>
      <c r="C23" s="26">
        <v>5.0</v>
      </c>
      <c r="D23" s="34" t="str">
        <f>IFERROR(__xludf.DUMMYFUNCTION("(DMAX({{Data!$A$1:$M$1};filter(Data!$A$2:$M1000,Data!$A$2:$A1000=$A23 , Data!$B$2:$B1000 = $B23,Data!$C$2:$C1000 = $C23, Data!$D$2:$D1000 = D$1, Data!$E$2:$E1000 = D$2 )},$K$2  , $Q$22:$Q$23))"),"8075873")</f>
        <v>8075873</v>
      </c>
      <c r="E23" s="34" t="str">
        <f>IFERROR(__xludf.DUMMYFUNCTION("(DMAX({{Data!$A$1:$M$1};filter(Data!$A$2:$M1000,Data!$A$2:$A1000=$A23 , Data!$B$2:$B1000 = $B23,Data!$C$2:$C1000 = $C23, Data!$D$2:$D1000 = E$1, Data!$E$2:$E1000 = E$2 )},$K$2  , $Q$22:$Q$23))"),"8074835")</f>
        <v>8074835</v>
      </c>
      <c r="F23" s="34" t="str">
        <f>IFERROR(__xludf.DUMMYFUNCTION("(DMAX({{Data!$A$1:$M$1};filter(Data!$A$2:$M1000,Data!$A$2:$A1000=$A23 , Data!$B$2:$B1000 = $B23,Data!$C$2:$C1000 = $C23, Data!$D$2:$D1000 = F$1, Data!$E$2:$E1000 = F$2 )},$K$2  , $Q$22:$Q$23))"),"8071794")</f>
        <v>8071794</v>
      </c>
      <c r="G23" s="34" t="str">
        <f>IFERROR(__xludf.DUMMYFUNCTION("(DMAX({{Data!$A$1:$M$1};filter(Data!$A$2:$M1000,Data!$A$2:$A1000=$A23 , Data!$B$2:$B1000 = $B23,Data!$C$2:$C1000 = $C23, Data!$D$2:$D1000 = G$1, Data!$E$2:$E1000 = G$2 )},$K$2  , $Q$22:$Q$23))"),"8071560")</f>
        <v>8071560</v>
      </c>
      <c r="H23" s="34" t="str">
        <f>IFERROR(__xludf.DUMMYFUNCTION("(DMAX({{Data!$A$1:$M$1};filter(Data!$A$2:$M1000,Data!$A$2:$A1000=$A23 , Data!$B$2:$B1000 = $B23,Data!$C$2:$C1000 = $C23, Data!$D$2:$D1000 = H$1, Data!$E$2:$E1000 = H$2 )},$K$2  , $Q$22:$Q$23))"),"8077997")</f>
        <v>8077997</v>
      </c>
      <c r="I23" s="18">
        <v>8077997.0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1">
        <v>1000.0</v>
      </c>
      <c r="B24" s="11">
        <v>100.0</v>
      </c>
      <c r="C24" s="11">
        <v>1.0</v>
      </c>
      <c r="D24" s="34" t="str">
        <f>IFERROR(__xludf.DUMMYFUNCTION("(DMAX({{Data!$A$1:$M$1};filter(Data!$A$2:$M1000,Data!$A$2:$A1000=$A24 , Data!$B$2:$B1000 = $B24,Data!$C$2:$C1000 = $C24, Data!$D$2:$D1000 = D$1, Data!$E$2:$E1000 = D$2 )},$K$2  , $Q$22:$Q$23))"),"25758623")</f>
        <v>25758623</v>
      </c>
      <c r="E24" s="34" t="str">
        <f>IFERROR(__xludf.DUMMYFUNCTION("(DMAX({{Data!$A$1:$M$1};filter(Data!$A$2:$M1000,Data!$A$2:$A1000=$A24 , Data!$B$2:$B1000 = $B24,Data!$C$2:$C1000 = $C24, Data!$D$2:$D1000 = E$1, Data!$E$2:$E1000 = E$2 )},$K$2  , $Q$22:$Q$23))"),"25768638")</f>
        <v>25768638</v>
      </c>
      <c r="F24" s="34" t="str">
        <f>IFERROR(__xludf.DUMMYFUNCTION("(DMAX({{Data!$A$1:$M$1};filter(Data!$A$2:$M1000,Data!$A$2:$A1000=$A24 , Data!$B$2:$B1000 = $B24,Data!$C$2:$C1000 = $C24, Data!$D$2:$D1000 = F$1, Data!$E$2:$E1000 = F$2 )},$K$2  , $Q$22:$Q$23))"),"25763139")</f>
        <v>25763139</v>
      </c>
      <c r="G24" s="34" t="str">
        <f>IFERROR(__xludf.DUMMYFUNCTION("(DMAX({{Data!$A$1:$M$1};filter(Data!$A$2:$M1000,Data!$A$2:$A1000=$A24 , Data!$B$2:$B1000 = $B24,Data!$C$2:$C1000 = $C24, Data!$D$2:$D1000 = G$1, Data!$E$2:$E1000 = G$2 )},$K$2  , $Q$22:$Q$23))"),"25767298")</f>
        <v>25767298</v>
      </c>
      <c r="H24" s="34" t="str">
        <f>IFERROR(__xludf.DUMMYFUNCTION("(DMAX({{Data!$A$1:$M$1};filter(Data!$A$2:$M1000,Data!$A$2:$A1000=$A24 , Data!$B$2:$B1000 = $B24,Data!$C$2:$C1000 = $C24, Data!$D$2:$D1000 = H$1, Data!$E$2:$E1000 = H$2 )},$K$2  , $Q$22:$Q$23))"),"25771063")</f>
        <v>25771063</v>
      </c>
      <c r="I24" s="18">
        <v>2.5771063E7</v>
      </c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6">
        <v>1000.0</v>
      </c>
      <c r="B25" s="27">
        <v>100.0</v>
      </c>
      <c r="C25" s="16">
        <v>2.0</v>
      </c>
      <c r="D25" s="34" t="str">
        <f>IFERROR(__xludf.DUMMYFUNCTION("(DMAX({{Data!$A$1:$M$1};filter(Data!$A$2:$M1000,Data!$A$2:$A1000=$A25 , Data!$B$2:$B1000 = $B25,Data!$C$2:$C1000 = $C25, Data!$D$2:$D1000 = D$1, Data!$E$2:$E1000 = D$2 )},$K$2  , $Q$22:$Q$23))"),"25766506")</f>
        <v>25766506</v>
      </c>
      <c r="E25" s="34" t="str">
        <f>IFERROR(__xludf.DUMMYFUNCTION("(DMAX({{Data!$A$1:$M$1};filter(Data!$A$2:$M1000,Data!$A$2:$A1000=$A25 , Data!$B$2:$B1000 = $B25,Data!$C$2:$C1000 = $C25, Data!$D$2:$D1000 = E$1, Data!$E$2:$E1000 = E$2 )},$K$2  , $Q$22:$Q$23))"),"25772933")</f>
        <v>25772933</v>
      </c>
      <c r="F25" s="34" t="str">
        <f>IFERROR(__xludf.DUMMYFUNCTION("(DMAX({{Data!$A$1:$M$1};filter(Data!$A$2:$M1000,Data!$A$2:$A1000=$A25 , Data!$B$2:$B1000 = $B25,Data!$C$2:$C1000 = $C25, Data!$D$2:$D1000 = F$1, Data!$E$2:$E1000 = F$2 )},$K$2  , $Q$22:$Q$23))"),"25769772")</f>
        <v>25769772</v>
      </c>
      <c r="G25" s="34" t="str">
        <f>IFERROR(__xludf.DUMMYFUNCTION("(DMAX({{Data!$A$1:$M$1};filter(Data!$A$2:$M1000,Data!$A$2:$A1000=$A25 , Data!$B$2:$B1000 = $B25,Data!$C$2:$C1000 = $C25, Data!$D$2:$D1000 = G$1, Data!$E$2:$E1000 = G$2 )},$K$2  , $Q$22:$Q$23))"),"25766915")</f>
        <v>25766915</v>
      </c>
      <c r="H25" s="34" t="str">
        <f>IFERROR(__xludf.DUMMYFUNCTION("(DMAX({{Data!$A$1:$M$1};filter(Data!$A$2:$M1000,Data!$A$2:$A1000=$A25 , Data!$B$2:$B1000 = $B25,Data!$C$2:$C1000 = $C25, Data!$D$2:$D1000 = H$1, Data!$E$2:$E1000 = H$2 )},$K$2  , $Q$22:$Q$23))"),"25773238")</f>
        <v>25773238</v>
      </c>
      <c r="I25" s="18">
        <v>2.5773238E7</v>
      </c>
      <c r="J25" s="28"/>
      <c r="K25" s="28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6">
        <v>1000.0</v>
      </c>
      <c r="B26" s="16">
        <v>100.0</v>
      </c>
      <c r="C26" s="16">
        <v>3.0</v>
      </c>
      <c r="D26" s="34" t="str">
        <f>IFERROR(__xludf.DUMMYFUNCTION("(DMAX({{Data!$A$1:$M$1};filter(Data!$A$2:$M1000,Data!$A$2:$A1000=$A26 , Data!$B$2:$B1000 = $B26,Data!$C$2:$C1000 = $C26, Data!$D$2:$D1000 = D$1, Data!$E$2:$E1000 = D$2 )},$K$2  , $Q$22:$Q$23))"),"25797609")</f>
        <v>25797609</v>
      </c>
      <c r="E26" s="34" t="str">
        <f>IFERROR(__xludf.DUMMYFUNCTION("(DMAX({{Data!$A$1:$M$1};filter(Data!$A$2:$M1000,Data!$A$2:$A1000=$A26 , Data!$B$2:$B1000 = $B26,Data!$C$2:$C1000 = $C26, Data!$D$2:$D1000 = E$1, Data!$E$2:$E1000 = E$2 )},$K$2  , $Q$22:$Q$23))"),"25802493")</f>
        <v>25802493</v>
      </c>
      <c r="F26" s="34" t="str">
        <f>IFERROR(__xludf.DUMMYFUNCTION("(DMAX({{Data!$A$1:$M$1};filter(Data!$A$2:$M1000,Data!$A$2:$A1000=$A26 , Data!$B$2:$B1000 = $B26,Data!$C$2:$C1000 = $C26, Data!$D$2:$D1000 = F$1, Data!$E$2:$E1000 = F$2 )},$K$2  , $Q$22:$Q$23))"),"25799506")</f>
        <v>25799506</v>
      </c>
      <c r="G26" s="34" t="str">
        <f>IFERROR(__xludf.DUMMYFUNCTION("(DMAX({{Data!$A$1:$M$1};filter(Data!$A$2:$M1000,Data!$A$2:$A1000=$A26 , Data!$B$2:$B1000 = $B26,Data!$C$2:$C1000 = $C26, Data!$D$2:$D1000 = G$1, Data!$E$2:$E1000 = G$2 )},$K$2  , $Q$22:$Q$23))"),"25798621")</f>
        <v>25798621</v>
      </c>
      <c r="H26" s="34" t="str">
        <f>IFERROR(__xludf.DUMMYFUNCTION("(DMAX({{Data!$A$1:$M$1};filter(Data!$A$2:$M1000,Data!$A$2:$A1000=$A26 , Data!$B$2:$B1000 = $B26,Data!$C$2:$C1000 = $C26, Data!$D$2:$D1000 = H$1, Data!$E$2:$E1000 = H$2 )},$K$2  , $Q$22:$Q$23))"),"25808006")</f>
        <v>25808006</v>
      </c>
      <c r="I26" s="18">
        <v>2.5808006E7</v>
      </c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6">
        <v>1000.0</v>
      </c>
      <c r="B27" s="16">
        <v>100.0</v>
      </c>
      <c r="C27" s="16">
        <v>4.0</v>
      </c>
      <c r="D27" s="34" t="str">
        <f>IFERROR(__xludf.DUMMYFUNCTION("(DMAX({{Data!$A$1:$M$1};filter(Data!$A$2:$M1000,Data!$A$2:$A1000=$A27 , Data!$B$2:$B1000 = $B27,Data!$C$2:$C1000 = $C27, Data!$D$2:$D1000 = D$1, Data!$E$2:$E1000 = D$2 )},$K$2  , $Q$22:$Q$23))"),"25819158")</f>
        <v>25819158</v>
      </c>
      <c r="E27" s="34" t="str">
        <f>IFERROR(__xludf.DUMMYFUNCTION("(DMAX({{Data!$A$1:$M$1};filter(Data!$A$2:$M1000,Data!$A$2:$A1000=$A27 , Data!$B$2:$B1000 = $B27,Data!$C$2:$C1000 = $C27, Data!$D$2:$D1000 = E$1, Data!$E$2:$E1000 = E$2 )},$K$2  , $Q$22:$Q$23))"),"25815870")</f>
        <v>25815870</v>
      </c>
      <c r="F27" s="34" t="str">
        <f>IFERROR(__xludf.DUMMYFUNCTION("(DMAX({{Data!$A$1:$M$1};filter(Data!$A$2:$M1000,Data!$A$2:$A1000=$A27 , Data!$B$2:$B1000 = $B27,Data!$C$2:$C1000 = $C27, Data!$D$2:$D1000 = F$1, Data!$E$2:$E1000 = F$2 )},$K$2  , $Q$22:$Q$23))"),"25816777")</f>
        <v>25816777</v>
      </c>
      <c r="G27" s="34" t="str">
        <f>IFERROR(__xludf.DUMMYFUNCTION("(DMAX({{Data!$A$1:$M$1};filter(Data!$A$2:$M1000,Data!$A$2:$A1000=$A27 , Data!$B$2:$B1000 = $B27,Data!$C$2:$C1000 = $C27, Data!$D$2:$D1000 = G$1, Data!$E$2:$E1000 = G$2 )},$K$2  , $Q$22:$Q$23))"),"25816751")</f>
        <v>25816751</v>
      </c>
      <c r="H27" s="34" t="str">
        <f>IFERROR(__xludf.DUMMYFUNCTION("(DMAX({{Data!$A$1:$M$1};filter(Data!$A$2:$M1000,Data!$A$2:$A1000=$A27 , Data!$B$2:$B1000 = $B27,Data!$C$2:$C1000 = $C27, Data!$D$2:$D1000 = H$1, Data!$E$2:$E1000 = H$2 )},$K$2  , $Q$22:$Q$23))"),"25821345")</f>
        <v>25821345</v>
      </c>
      <c r="I27" s="18">
        <v>2.5821345E7</v>
      </c>
      <c r="J27" s="28"/>
      <c r="K27" s="28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6">
        <v>1000.0</v>
      </c>
      <c r="B28" s="16">
        <v>100.0</v>
      </c>
      <c r="C28" s="16">
        <v>5.0</v>
      </c>
      <c r="D28" s="34" t="str">
        <f>IFERROR(__xludf.DUMMYFUNCTION("(DMAX({{Data!$A$1:$M$1};filter(Data!$A$2:$M1000,Data!$A$2:$A1000=$A28 , Data!$B$2:$B1000 = $B28,Data!$C$2:$C1000 = $C28, Data!$D$2:$D1000 = D$1, Data!$E$2:$E1000 = D$2 )},$K$2  , $Q$22:$Q$23))"),"25767280")</f>
        <v>25767280</v>
      </c>
      <c r="E28" s="34" t="str">
        <f>IFERROR(__xludf.DUMMYFUNCTION("(DMAX({{Data!$A$1:$M$1};filter(Data!$A$2:$M1000,Data!$A$2:$A1000=$A28 , Data!$B$2:$B1000 = $B28,Data!$C$2:$C1000 = $C28, Data!$D$2:$D1000 = E$1, Data!$E$2:$E1000 = E$2 )},$K$2  , $Q$22:$Q$23))"),"25774796")</f>
        <v>25774796</v>
      </c>
      <c r="F28" s="34" t="str">
        <f>IFERROR(__xludf.DUMMYFUNCTION("(DMAX({{Data!$A$1:$M$1};filter(Data!$A$2:$M1000,Data!$A$2:$A1000=$A28 , Data!$B$2:$B1000 = $B28,Data!$C$2:$C1000 = $C28, Data!$D$2:$D1000 = F$1, Data!$E$2:$E1000 = F$2 )},$K$2  , $Q$22:$Q$23))"),"25769906")</f>
        <v>25769906</v>
      </c>
      <c r="G28" s="34" t="str">
        <f>IFERROR(__xludf.DUMMYFUNCTION("(DMAX({{Data!$A$1:$M$1};filter(Data!$A$2:$M1000,Data!$A$2:$A1000=$A28 , Data!$B$2:$B1000 = $B28,Data!$C$2:$C1000 = $C28, Data!$D$2:$D1000 = G$1, Data!$E$2:$E1000 = G$2 )},$K$2  , $Q$22:$Q$23))"),"25770259")</f>
        <v>25770259</v>
      </c>
      <c r="H28" s="34" t="str">
        <f>IFERROR(__xludf.DUMMYFUNCTION("(DMAX({{Data!$A$1:$M$1};filter(Data!$A$2:$M1000,Data!$A$2:$A1000=$A28 , Data!$B$2:$B1000 = $B28,Data!$C$2:$C1000 = $C28, Data!$D$2:$D1000 = H$1, Data!$E$2:$E1000 = H$2 )},$K$2  , $Q$22:$Q$23))"),"25776481")</f>
        <v>25776481</v>
      </c>
      <c r="I28" s="18">
        <v>2.5776481E7</v>
      </c>
      <c r="J28" s="28"/>
      <c r="K28" s="28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28"/>
      <c r="B29" s="28"/>
      <c r="C29" s="28"/>
      <c r="D29" s="14"/>
      <c r="E29" s="12"/>
      <c r="F29" s="12"/>
      <c r="G29" s="12"/>
      <c r="H29" s="28"/>
      <c r="I29" s="28"/>
      <c r="J29" s="28"/>
      <c r="K29" s="28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3" t="s">
        <v>34</v>
      </c>
      <c r="B32" s="14"/>
      <c r="C32" s="14"/>
      <c r="D32" s="13"/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29" t="s">
        <v>0</v>
      </c>
      <c r="B33" s="29" t="s">
        <v>1</v>
      </c>
      <c r="C33" s="29" t="s">
        <v>2</v>
      </c>
      <c r="D33" s="10" t="s">
        <v>32</v>
      </c>
      <c r="E33" s="10" t="s">
        <v>33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26">
        <v>1000.0</v>
      </c>
      <c r="B34" s="26">
        <v>1.0</v>
      </c>
      <c r="C34" s="26">
        <v>1.0</v>
      </c>
      <c r="D34" s="30" t="str">
        <f t="shared" ref="D34:D58" si="1">E4/D4</f>
        <v>1.002541024</v>
      </c>
      <c r="E34" s="30" t="str">
        <f t="shared" ref="E34:E58" si="2">G4/F4</f>
        <v>1.000037964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26">
        <v>1000.0</v>
      </c>
      <c r="B35" s="26">
        <v>1.0</v>
      </c>
      <c r="C35" s="26">
        <v>2.0</v>
      </c>
      <c r="D35" s="30" t="str">
        <f t="shared" si="1"/>
        <v>1.002427267</v>
      </c>
      <c r="E35" s="30" t="str">
        <f t="shared" si="2"/>
        <v>0.9997194666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26">
        <v>1000.0</v>
      </c>
      <c r="B36" s="26">
        <v>1.0</v>
      </c>
      <c r="C36" s="26">
        <v>3.0</v>
      </c>
      <c r="D36" s="30" t="str">
        <f t="shared" si="1"/>
        <v>1.00528671</v>
      </c>
      <c r="E36" s="30" t="str">
        <f t="shared" si="2"/>
        <v>1.002739993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26">
        <v>1000.0</v>
      </c>
      <c r="B37" s="26">
        <v>1.0</v>
      </c>
      <c r="C37" s="26">
        <v>4.0</v>
      </c>
      <c r="D37" s="30" t="str">
        <f t="shared" si="1"/>
        <v>1.002811806</v>
      </c>
      <c r="E37" s="30" t="str">
        <f t="shared" si="2"/>
        <v>1.001053662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26">
        <v>1000.0</v>
      </c>
      <c r="B38" s="26">
        <v>1.0</v>
      </c>
      <c r="C38" s="26">
        <v>5.0</v>
      </c>
      <c r="D38" s="30" t="str">
        <f t="shared" si="1"/>
        <v>1.005122335</v>
      </c>
      <c r="E38" s="30" t="str">
        <f t="shared" si="2"/>
        <v>1.000820468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26">
        <v>1000.0</v>
      </c>
      <c r="B39" s="26">
        <v>5.0</v>
      </c>
      <c r="C39" s="26">
        <v>1.0</v>
      </c>
      <c r="D39" s="30" t="str">
        <f t="shared" si="1"/>
        <v>1.002460131</v>
      </c>
      <c r="E39" s="30" t="str">
        <f t="shared" si="2"/>
        <v>1.000270328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26">
        <v>1000.0</v>
      </c>
      <c r="B40" s="26">
        <v>5.0</v>
      </c>
      <c r="C40" s="26">
        <v>2.0</v>
      </c>
      <c r="D40" s="30" t="str">
        <f t="shared" si="1"/>
        <v>1.002601995</v>
      </c>
      <c r="E40" s="30" t="str">
        <f t="shared" si="2"/>
        <v>1.000246676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26">
        <v>1000.0</v>
      </c>
      <c r="B41" s="26">
        <v>5.0</v>
      </c>
      <c r="C41" s="26">
        <v>3.0</v>
      </c>
      <c r="D41" s="30" t="str">
        <f t="shared" si="1"/>
        <v>1.00380673</v>
      </c>
      <c r="E41" s="30" t="str">
        <f t="shared" si="2"/>
        <v>1.001028485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26">
        <v>1000.0</v>
      </c>
      <c r="B42" s="26">
        <v>5.0</v>
      </c>
      <c r="C42" s="26">
        <v>4.0</v>
      </c>
      <c r="D42" s="30" t="str">
        <f t="shared" si="1"/>
        <v>1.002405361</v>
      </c>
      <c r="E42" s="30" t="str">
        <f t="shared" si="2"/>
        <v>1.000863357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26">
        <v>1000.0</v>
      </c>
      <c r="B43" s="26">
        <v>5.0</v>
      </c>
      <c r="C43" s="26">
        <v>5.0</v>
      </c>
      <c r="D43" s="30" t="str">
        <f t="shared" si="1"/>
        <v>1.002463518</v>
      </c>
      <c r="E43" s="30" t="str">
        <f t="shared" si="2"/>
        <v>1.002005597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26">
        <v>1000.0</v>
      </c>
      <c r="B44" s="26">
        <v>10.0</v>
      </c>
      <c r="C44" s="26">
        <v>1.0</v>
      </c>
      <c r="D44" s="30" t="str">
        <f t="shared" si="1"/>
        <v>1.002472191</v>
      </c>
      <c r="E44" s="30" t="str">
        <f t="shared" si="2"/>
        <v>1.000415246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26">
        <v>1000.0</v>
      </c>
      <c r="B45" s="26">
        <v>10.0</v>
      </c>
      <c r="C45" s="26">
        <v>2.0</v>
      </c>
      <c r="D45" s="30" t="str">
        <f t="shared" si="1"/>
        <v>1.00274951</v>
      </c>
      <c r="E45" s="30" t="str">
        <f t="shared" si="2"/>
        <v>0.9999815924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26">
        <v>1000.0</v>
      </c>
      <c r="B46" s="26">
        <v>10.0</v>
      </c>
      <c r="C46" s="26">
        <v>3.0</v>
      </c>
      <c r="D46" s="30" t="str">
        <f t="shared" si="1"/>
        <v>1.002176525</v>
      </c>
      <c r="E46" s="30" t="str">
        <f t="shared" si="2"/>
        <v>1.000912719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26">
        <v>1000.0</v>
      </c>
      <c r="B47" s="26">
        <v>10.0</v>
      </c>
      <c r="C47" s="26">
        <v>4.0</v>
      </c>
      <c r="D47" s="30" t="str">
        <f t="shared" si="1"/>
        <v>1.000724123</v>
      </c>
      <c r="E47" s="30" t="str">
        <f t="shared" si="2"/>
        <v>1.000801495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26">
        <v>1000.0</v>
      </c>
      <c r="B48" s="26">
        <v>10.0</v>
      </c>
      <c r="C48" s="26">
        <v>5.0</v>
      </c>
      <c r="D48" s="30" t="str">
        <f t="shared" si="1"/>
        <v>1.000912629</v>
      </c>
      <c r="E48" s="30" t="str">
        <f t="shared" si="2"/>
        <v>1.000111535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26">
        <v>1000.0</v>
      </c>
      <c r="B49" s="26">
        <v>50.0</v>
      </c>
      <c r="C49" s="26">
        <v>1.0</v>
      </c>
      <c r="D49" s="30" t="str">
        <f t="shared" si="1"/>
        <v>1.000153709</v>
      </c>
      <c r="E49" s="30" t="str">
        <f t="shared" si="2"/>
        <v>1.00070273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26">
        <v>1000.0</v>
      </c>
      <c r="B50" s="26">
        <v>50.0</v>
      </c>
      <c r="C50" s="26">
        <v>2.0</v>
      </c>
      <c r="D50" s="30" t="str">
        <f t="shared" si="1"/>
        <v>1.000818171</v>
      </c>
      <c r="E50" s="30" t="str">
        <f t="shared" si="2"/>
        <v>1.000166329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26">
        <v>1000.0</v>
      </c>
      <c r="B51" s="26">
        <v>50.0</v>
      </c>
      <c r="C51" s="26">
        <v>3.0</v>
      </c>
      <c r="D51" s="30" t="str">
        <f t="shared" si="1"/>
        <v>1.000771595</v>
      </c>
      <c r="E51" s="30" t="str">
        <f t="shared" si="2"/>
        <v>0.9992584407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26">
        <v>1000.0</v>
      </c>
      <c r="B52" s="26">
        <v>50.0</v>
      </c>
      <c r="C52" s="26">
        <v>4.0</v>
      </c>
      <c r="D52" s="30" t="str">
        <f t="shared" si="1"/>
        <v>1.000728016</v>
      </c>
      <c r="E52" s="30" t="str">
        <f t="shared" si="2"/>
        <v>0.9998966312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26">
        <v>1000.0</v>
      </c>
      <c r="B53" s="26">
        <v>50.0</v>
      </c>
      <c r="C53" s="26">
        <v>5.0</v>
      </c>
      <c r="D53" s="30" t="str">
        <f t="shared" si="1"/>
        <v>0.999871469</v>
      </c>
      <c r="E53" s="30" t="str">
        <f t="shared" si="2"/>
        <v>0.9999710102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26">
        <v>1000.0</v>
      </c>
      <c r="B54" s="26">
        <v>100.0</v>
      </c>
      <c r="C54" s="26">
        <v>1.0</v>
      </c>
      <c r="D54" s="30" t="str">
        <f t="shared" si="1"/>
        <v>1.000388802</v>
      </c>
      <c r="E54" s="30" t="str">
        <f t="shared" si="2"/>
        <v>1.000161432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26">
        <v>1000.0</v>
      </c>
      <c r="B55" s="26">
        <v>100.0</v>
      </c>
      <c r="C55" s="26">
        <v>2.0</v>
      </c>
      <c r="D55" s="30" t="str">
        <f t="shared" si="1"/>
        <v>1.000249432</v>
      </c>
      <c r="E55" s="30" t="str">
        <f t="shared" si="2"/>
        <v>0.9998891337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26">
        <v>1000.0</v>
      </c>
      <c r="B56" s="26">
        <v>100.0</v>
      </c>
      <c r="C56" s="26">
        <v>3.0</v>
      </c>
      <c r="D56" s="30" t="str">
        <f t="shared" si="1"/>
        <v>1.00018932</v>
      </c>
      <c r="E56" s="30" t="str">
        <f t="shared" si="2"/>
        <v>0.999965697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26">
        <v>1000.0</v>
      </c>
      <c r="B57" s="26">
        <v>100.0</v>
      </c>
      <c r="C57" s="26">
        <v>4.0</v>
      </c>
      <c r="D57" s="30" t="str">
        <f t="shared" si="1"/>
        <v>0.9998726527</v>
      </c>
      <c r="E57" s="30" t="str">
        <f t="shared" si="2"/>
        <v>0.9999989929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26">
        <v>1000.0</v>
      </c>
      <c r="B58" s="26">
        <v>100.0</v>
      </c>
      <c r="C58" s="26">
        <v>5.0</v>
      </c>
      <c r="D58" s="30" t="str">
        <f t="shared" si="1"/>
        <v>1.000291688</v>
      </c>
      <c r="E58" s="30" t="str">
        <f t="shared" si="2"/>
        <v>1.000013698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</sheetData>
  <conditionalFormatting sqref="D4:H28">
    <cfRule type="cellIs" dxfId="0" priority="1" operator="equal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0"/>
    <col customWidth="1" min="2" max="2" width="7.29"/>
    <col customWidth="1" min="3" max="3" width="8.86"/>
  </cols>
  <sheetData>
    <row r="1">
      <c r="C1" s="10" t="s">
        <v>20</v>
      </c>
      <c r="D1" s="11" t="str">
        <f>IFERROR(__xludf.DUMMYFUNCTION("TRANSPOSE(UNIQUE(Data!D2:E1000))"),"bs_array")</f>
        <v>bs_array</v>
      </c>
      <c r="E1" s="11" t="s">
        <v>14</v>
      </c>
      <c r="F1" s="11" t="s">
        <v>17</v>
      </c>
      <c r="G1" s="11" t="s">
        <v>17</v>
      </c>
      <c r="H1" s="11" t="s">
        <v>18</v>
      </c>
      <c r="I1" s="12"/>
      <c r="J1" s="12"/>
      <c r="K1" s="13" t="s">
        <v>30</v>
      </c>
      <c r="L1" s="12"/>
      <c r="M1" s="12"/>
      <c r="N1" s="12"/>
      <c r="O1" s="12"/>
      <c r="P1" s="12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C2" s="10" t="s">
        <v>21</v>
      </c>
      <c r="D2" s="11" t="s">
        <v>15</v>
      </c>
      <c r="E2" s="11" t="s">
        <v>16</v>
      </c>
      <c r="F2" s="11" t="s">
        <v>15</v>
      </c>
      <c r="G2" s="11" t="s">
        <v>16</v>
      </c>
      <c r="H2" s="11" t="s">
        <v>16</v>
      </c>
      <c r="I2" s="12"/>
      <c r="J2" s="12"/>
      <c r="K2" s="13" t="s">
        <v>7</v>
      </c>
      <c r="L2" s="12"/>
      <c r="M2" s="12"/>
      <c r="N2" s="12"/>
      <c r="O2" s="12"/>
      <c r="P2" s="12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0" t="s">
        <v>0</v>
      </c>
      <c r="B3" s="10" t="s">
        <v>1</v>
      </c>
      <c r="C3" s="10" t="s">
        <v>2</v>
      </c>
      <c r="D3" s="15"/>
      <c r="E3" s="15"/>
      <c r="F3" s="15"/>
      <c r="G3" s="15"/>
      <c r="H3" s="15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6" t="str">
        <f>IFERROR(__xludf.DUMMYFUNCTION("UNIQUE(Data!A2:C1000)"),"1000")</f>
        <v>1000</v>
      </c>
      <c r="B4" s="16">
        <v>1.0</v>
      </c>
      <c r="C4" s="16">
        <v>1.0</v>
      </c>
      <c r="D4" s="31" t="str">
        <f>('F Max'!$I4 - 'F Max'!D4)/'F Max'!$I4</f>
        <v>0.2535%</v>
      </c>
      <c r="E4" s="31" t="str">
        <f>('F Max'!$I4 - 'F Max'!E4)/'F Max'!$I4</f>
        <v>0.0000%</v>
      </c>
      <c r="F4" s="31" t="str">
        <f>('F Max'!$I4 - 'F Max'!F4)/'F Max'!$I4</f>
        <v>0.1672%</v>
      </c>
      <c r="G4" s="31" t="str">
        <f>('F Max'!$I4 - 'F Max'!G4)/'F Max'!$I4</f>
        <v>0.1634%</v>
      </c>
      <c r="H4" s="31" t="str">
        <f>('F Max'!$I4 - 'F Max'!H4)/'F Max'!$I4</f>
        <v>0.3004%</v>
      </c>
      <c r="I4" s="18"/>
      <c r="J4" s="18"/>
      <c r="K4" s="18"/>
      <c r="L4" s="18"/>
      <c r="M4" s="18"/>
      <c r="N4" s="18"/>
      <c r="O4" s="18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6">
        <v>1000.0</v>
      </c>
      <c r="B5" s="16">
        <v>1.0</v>
      </c>
      <c r="C5" s="16">
        <v>2.0</v>
      </c>
      <c r="D5" s="31" t="str">
        <f>('F Max'!$I5 - 'F Max'!D5)/'F Max'!$I5</f>
        <v>0.2421%</v>
      </c>
      <c r="E5" s="31" t="str">
        <f>('F Max'!$I5 - 'F Max'!E5)/'F Max'!$I5</f>
        <v>0.0000%</v>
      </c>
      <c r="F5" s="31" t="str">
        <f>('F Max'!$I5 - 'F Max'!F5)/'F Max'!$I5</f>
        <v>0.0759%</v>
      </c>
      <c r="G5" s="31" t="str">
        <f>('F Max'!$I5 - 'F Max'!G5)/'F Max'!$I5</f>
        <v>0.1039%</v>
      </c>
      <c r="H5" s="31" t="str">
        <f>('F Max'!$I5 - 'F Max'!H5)/'F Max'!$I5</f>
        <v>0.3465%</v>
      </c>
      <c r="I5" s="18"/>
      <c r="J5" s="18"/>
      <c r="K5" s="18"/>
      <c r="L5" s="18"/>
      <c r="M5" s="18"/>
      <c r="N5" s="18"/>
      <c r="O5" s="18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6">
        <v>1000.0</v>
      </c>
      <c r="B6" s="16">
        <v>1.0</v>
      </c>
      <c r="C6" s="16">
        <v>3.0</v>
      </c>
      <c r="D6" s="31" t="str">
        <f>('F Max'!$I6 - 'F Max'!D6)/'F Max'!$I6</f>
        <v>0.5820%</v>
      </c>
      <c r="E6" s="31" t="str">
        <f>('F Max'!$I6 - 'F Max'!E6)/'F Max'!$I6</f>
        <v>0.0564%</v>
      </c>
      <c r="F6" s="31" t="str">
        <f>('F Max'!$I6 - 'F Max'!F6)/'F Max'!$I6</f>
        <v>0.2733%</v>
      </c>
      <c r="G6" s="31" t="str">
        <f>('F Max'!$I6 - 'F Max'!G6)/'F Max'!$I6</f>
        <v>0.0000%</v>
      </c>
      <c r="H6" s="31" t="str">
        <f>('F Max'!$I6 - 'F Max'!H6)/'F Max'!$I6</f>
        <v>0.2596%</v>
      </c>
      <c r="I6" s="18"/>
      <c r="J6" s="18"/>
      <c r="K6" s="18"/>
      <c r="L6" s="18"/>
      <c r="M6" s="18"/>
      <c r="N6" s="18"/>
      <c r="O6" s="1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6">
        <v>1000.0</v>
      </c>
      <c r="B7" s="16">
        <v>1.0</v>
      </c>
      <c r="C7" s="16">
        <v>4.0</v>
      </c>
      <c r="D7" s="31" t="str">
        <f>('F Max'!$I7 - 'F Max'!D7)/'F Max'!$I7</f>
        <v>0.3274%</v>
      </c>
      <c r="E7" s="31" t="str">
        <f>('F Max'!$I7 - 'F Max'!E7)/'F Max'!$I7</f>
        <v>0.0472%</v>
      </c>
      <c r="F7" s="31" t="str">
        <f>('F Max'!$I7 - 'F Max'!F7)/'F Max'!$I7</f>
        <v>0.2550%</v>
      </c>
      <c r="G7" s="31" t="str">
        <f>('F Max'!$I7 - 'F Max'!G7)/'F Max'!$I7</f>
        <v>0.1499%</v>
      </c>
      <c r="H7" s="31" t="str">
        <f>('F Max'!$I7 - 'F Max'!H7)/'F Max'!$I7</f>
        <v>0.0000%</v>
      </c>
      <c r="I7" s="18"/>
      <c r="J7" s="18"/>
      <c r="K7" s="18"/>
      <c r="L7" s="18"/>
      <c r="M7" s="18"/>
      <c r="N7" s="18"/>
      <c r="O7" s="18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9">
        <v>1000.0</v>
      </c>
      <c r="B8" s="19">
        <v>1.0</v>
      </c>
      <c r="C8" s="19">
        <v>5.0</v>
      </c>
      <c r="D8" s="31" t="str">
        <f>('F Max'!$I8 - 'F Max'!D8)/'F Max'!$I8</f>
        <v>0.5096%</v>
      </c>
      <c r="E8" s="31" t="str">
        <f>('F Max'!$I8 - 'F Max'!E8)/'F Max'!$I8</f>
        <v>0.0000%</v>
      </c>
      <c r="F8" s="31" t="str">
        <f>('F Max'!$I8 - 'F Max'!F8)/'F Max'!$I8</f>
        <v>0.2052%</v>
      </c>
      <c r="G8" s="31" t="str">
        <f>('F Max'!$I8 - 'F Max'!G8)/'F Max'!$I8</f>
        <v>0.1233%</v>
      </c>
      <c r="H8" s="31" t="str">
        <f>('F Max'!$I8 - 'F Max'!H8)/'F Max'!$I8</f>
        <v>0.3934%</v>
      </c>
      <c r="I8" s="18"/>
      <c r="J8" s="18"/>
      <c r="K8" s="18"/>
      <c r="L8" s="18"/>
      <c r="M8" s="18"/>
      <c r="N8" s="18"/>
      <c r="O8" s="18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6">
        <v>1000.0</v>
      </c>
      <c r="B9" s="16">
        <v>5.0</v>
      </c>
      <c r="C9" s="16">
        <v>1.0</v>
      </c>
      <c r="D9" s="31" t="str">
        <f>('F Max'!$I9 - 'F Max'!D9)/'F Max'!$I9</f>
        <v>0.2454%</v>
      </c>
      <c r="E9" s="31" t="str">
        <f>('F Max'!$I9 - 'F Max'!E9)/'F Max'!$I9</f>
        <v>0.0000%</v>
      </c>
      <c r="F9" s="31" t="str">
        <f>('F Max'!$I9 - 'F Max'!F9)/'F Max'!$I9</f>
        <v>0.0879%</v>
      </c>
      <c r="G9" s="31" t="str">
        <f>('F Max'!$I9 - 'F Max'!G9)/'F Max'!$I9</f>
        <v>0.0609%</v>
      </c>
      <c r="H9" s="31" t="str">
        <f>('F Max'!$I9 - 'F Max'!H9)/'F Max'!$I9</f>
        <v>0.0079%</v>
      </c>
      <c r="I9" s="18"/>
      <c r="J9" s="18"/>
      <c r="K9" s="18"/>
      <c r="L9" s="18"/>
      <c r="M9" s="18"/>
      <c r="N9" s="18"/>
      <c r="O9" s="18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22">
        <v>1000.0</v>
      </c>
      <c r="B10" s="22">
        <v>5.0</v>
      </c>
      <c r="C10" s="22">
        <v>2.0</v>
      </c>
      <c r="D10" s="31" t="str">
        <f>('F Max'!$I10 - 'F Max'!D10)/'F Max'!$I10</f>
        <v>0.2595%</v>
      </c>
      <c r="E10" s="31" t="str">
        <f>('F Max'!$I10 - 'F Max'!E10)/'F Max'!$I10</f>
        <v>0.0000%</v>
      </c>
      <c r="F10" s="31" t="str">
        <f>('F Max'!$I10 - 'F Max'!F10)/'F Max'!$I10</f>
        <v>0.0916%</v>
      </c>
      <c r="G10" s="31" t="str">
        <f>('F Max'!$I10 - 'F Max'!G10)/'F Max'!$I10</f>
        <v>0.0670%</v>
      </c>
      <c r="H10" s="31" t="str">
        <f>('F Max'!$I10 - 'F Max'!H10)/'F Max'!$I10</f>
        <v>0.1604%</v>
      </c>
      <c r="I10" s="18"/>
      <c r="J10" s="18"/>
      <c r="K10" s="18"/>
      <c r="L10" s="18"/>
      <c r="M10" s="18"/>
      <c r="N10" s="18"/>
      <c r="O10" s="18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6">
        <v>1000.0</v>
      </c>
      <c r="B11" s="16">
        <v>5.0</v>
      </c>
      <c r="C11" s="16">
        <v>3.0</v>
      </c>
      <c r="D11" s="31" t="str">
        <f>('F Max'!$I11 - 'F Max'!D11)/'F Max'!$I11</f>
        <v>0.3792%</v>
      </c>
      <c r="E11" s="31" t="str">
        <f>('F Max'!$I11 - 'F Max'!E11)/'F Max'!$I11</f>
        <v>0.0000%</v>
      </c>
      <c r="F11" s="31" t="str">
        <f>('F Max'!$I11 - 'F Max'!F11)/'F Max'!$I11</f>
        <v>0.2112%</v>
      </c>
      <c r="G11" s="31" t="str">
        <f>('F Max'!$I11 - 'F Max'!G11)/'F Max'!$I11</f>
        <v>0.1086%</v>
      </c>
      <c r="H11" s="31" t="str">
        <f>('F Max'!$I11 - 'F Max'!H11)/'F Max'!$I11</f>
        <v>0.1314%</v>
      </c>
      <c r="I11" s="18"/>
      <c r="J11" s="18"/>
      <c r="K11" s="18"/>
      <c r="L11" s="18"/>
      <c r="M11" s="18"/>
      <c r="N11" s="18"/>
      <c r="O11" s="18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6">
        <v>1000.0</v>
      </c>
      <c r="B12" s="16">
        <v>5.0</v>
      </c>
      <c r="C12" s="16">
        <v>4.0</v>
      </c>
      <c r="D12" s="31" t="str">
        <f>('F Max'!$I12 - 'F Max'!D12)/'F Max'!$I12</f>
        <v>0.2400%</v>
      </c>
      <c r="E12" s="31" t="str">
        <f>('F Max'!$I12 - 'F Max'!E12)/'F Max'!$I12</f>
        <v>0.0000%</v>
      </c>
      <c r="F12" s="31" t="str">
        <f>('F Max'!$I12 - 'F Max'!F12)/'F Max'!$I12</f>
        <v>0.2413%</v>
      </c>
      <c r="G12" s="31" t="str">
        <f>('F Max'!$I12 - 'F Max'!G12)/'F Max'!$I12</f>
        <v>0.1552%</v>
      </c>
      <c r="H12" s="31" t="str">
        <f>('F Max'!$I12 - 'F Max'!H12)/'F Max'!$I12</f>
        <v>0.1143%</v>
      </c>
      <c r="I12" s="18"/>
      <c r="J12" s="18"/>
      <c r="K12" s="18"/>
      <c r="L12" s="18"/>
      <c r="M12" s="18"/>
      <c r="N12" s="18"/>
      <c r="O12" s="18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6">
        <v>1000.0</v>
      </c>
      <c r="B13" s="16">
        <v>5.0</v>
      </c>
      <c r="C13" s="16">
        <v>5.0</v>
      </c>
      <c r="D13" s="31" t="str">
        <f>('F Max'!$I13 - 'F Max'!D13)/'F Max'!$I13</f>
        <v>0.3196%</v>
      </c>
      <c r="E13" s="31" t="str">
        <f>('F Max'!$I13 - 'F Max'!E13)/'F Max'!$I13</f>
        <v>0.0740%</v>
      </c>
      <c r="F13" s="31" t="str">
        <f>('F Max'!$I13 - 'F Max'!F13)/'F Max'!$I13</f>
        <v>0.2002%</v>
      </c>
      <c r="G13" s="31" t="str">
        <f>('F Max'!$I13 - 'F Max'!G13)/'F Max'!$I13</f>
        <v>0.0000%</v>
      </c>
      <c r="H13" s="31" t="str">
        <f>('F Max'!$I13 - 'F Max'!H13)/'F Max'!$I13</f>
        <v>0.1669%</v>
      </c>
      <c r="I13" s="18"/>
      <c r="J13" s="18"/>
      <c r="K13" s="18"/>
      <c r="L13" s="18"/>
      <c r="M13" s="18"/>
      <c r="N13" s="18"/>
      <c r="O13" s="18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6">
        <v>1000.0</v>
      </c>
      <c r="B14" s="16">
        <v>10.0</v>
      </c>
      <c r="C14" s="16">
        <v>1.0</v>
      </c>
      <c r="D14" s="31" t="str">
        <f>('F Max'!$I14 - 'F Max'!D14)/'F Max'!$I14</f>
        <v>0.2466%</v>
      </c>
      <c r="E14" s="31" t="str">
        <f>('F Max'!$I14 - 'F Max'!E14)/'F Max'!$I14</f>
        <v>0.0000%</v>
      </c>
      <c r="F14" s="31" t="str">
        <f>('F Max'!$I14 - 'F Max'!F14)/'F Max'!$I14</f>
        <v>0.1217%</v>
      </c>
      <c r="G14" s="31" t="str">
        <f>('F Max'!$I14 - 'F Max'!G14)/'F Max'!$I14</f>
        <v>0.0802%</v>
      </c>
      <c r="H14" s="31" t="str">
        <f>('F Max'!$I14 - 'F Max'!H14)/'F Max'!$I14</f>
        <v>0.0460%</v>
      </c>
      <c r="I14" s="18"/>
      <c r="J14" s="18"/>
      <c r="K14" s="18"/>
      <c r="L14" s="18"/>
      <c r="M14" s="18"/>
      <c r="N14" s="18"/>
      <c r="O14" s="18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6">
        <v>1000.0</v>
      </c>
      <c r="B15" s="16">
        <v>10.0</v>
      </c>
      <c r="C15" s="16">
        <v>2.0</v>
      </c>
      <c r="D15" s="31" t="str">
        <f>('F Max'!$I15 - 'F Max'!D15)/'F Max'!$I15</f>
        <v>0.2742%</v>
      </c>
      <c r="E15" s="31" t="str">
        <f>('F Max'!$I15 - 'F Max'!E15)/'F Max'!$I15</f>
        <v>0.0000%</v>
      </c>
      <c r="F15" s="31" t="str">
        <f>('F Max'!$I15 - 'F Max'!F15)/'F Max'!$I15</f>
        <v>0.1172%</v>
      </c>
      <c r="G15" s="31" t="str">
        <f>('F Max'!$I15 - 'F Max'!G15)/'F Max'!$I15</f>
        <v>0.1190%</v>
      </c>
      <c r="H15" s="31" t="str">
        <f>('F Max'!$I15 - 'F Max'!H15)/'F Max'!$I15</f>
        <v>0.1501%</v>
      </c>
      <c r="I15" s="18"/>
      <c r="J15" s="18"/>
      <c r="K15" s="18"/>
      <c r="L15" s="18"/>
      <c r="M15" s="18"/>
      <c r="N15" s="18"/>
      <c r="O15" s="18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6">
        <v>1000.0</v>
      </c>
      <c r="B16" s="16">
        <v>10.0</v>
      </c>
      <c r="C16" s="16">
        <v>3.0</v>
      </c>
      <c r="D16" s="31" t="str">
        <f>('F Max'!$I16 - 'F Max'!D16)/'F Max'!$I16</f>
        <v>0.2172%</v>
      </c>
      <c r="E16" s="31" t="str">
        <f>('F Max'!$I16 - 'F Max'!E16)/'F Max'!$I16</f>
        <v>0.0000%</v>
      </c>
      <c r="F16" s="31" t="str">
        <f>('F Max'!$I16 - 'F Max'!F16)/'F Max'!$I16</f>
        <v>0.1438%</v>
      </c>
      <c r="G16" s="31" t="str">
        <f>('F Max'!$I16 - 'F Max'!G16)/'F Max'!$I16</f>
        <v>0.0526%</v>
      </c>
      <c r="H16" s="31" t="str">
        <f>('F Max'!$I16 - 'F Max'!H16)/'F Max'!$I16</f>
        <v>0.0079%</v>
      </c>
      <c r="I16" s="18"/>
      <c r="J16" s="18"/>
      <c r="K16" s="18"/>
      <c r="L16" s="18"/>
      <c r="M16" s="18"/>
      <c r="N16" s="18"/>
      <c r="O16" s="18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6">
        <v>1000.0</v>
      </c>
      <c r="B17" s="16">
        <v>10.0</v>
      </c>
      <c r="C17" s="16">
        <v>4.0</v>
      </c>
      <c r="D17" s="31" t="str">
        <f>('F Max'!$I17 - 'F Max'!D17)/'F Max'!$I17</f>
        <v>0.0724%</v>
      </c>
      <c r="E17" s="31" t="str">
        <f>('F Max'!$I17 - 'F Max'!E17)/'F Max'!$I17</f>
        <v>0.0000%</v>
      </c>
      <c r="F17" s="31" t="str">
        <f>('F Max'!$I17 - 'F Max'!F17)/'F Max'!$I17</f>
        <v>0.1227%</v>
      </c>
      <c r="G17" s="31" t="str">
        <f>('F Max'!$I17 - 'F Max'!G17)/'F Max'!$I17</f>
        <v>0.0426%</v>
      </c>
      <c r="H17" s="31" t="str">
        <f>('F Max'!$I17 - 'F Max'!H17)/'F Max'!$I17</f>
        <v>0.0463%</v>
      </c>
      <c r="I17" s="18"/>
      <c r="J17" s="18"/>
      <c r="K17" s="18"/>
      <c r="L17" s="18"/>
      <c r="M17" s="18"/>
      <c r="N17" s="18"/>
      <c r="O17" s="18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6">
        <v>1000.0</v>
      </c>
      <c r="B18" s="16">
        <v>10.0</v>
      </c>
      <c r="C18" s="16">
        <v>5.0</v>
      </c>
      <c r="D18" s="31" t="str">
        <f>('F Max'!$I18 - 'F Max'!D18)/'F Max'!$I18</f>
        <v>0.0912%</v>
      </c>
      <c r="E18" s="31" t="str">
        <f>('F Max'!$I18 - 'F Max'!E18)/'F Max'!$I18</f>
        <v>0.0000%</v>
      </c>
      <c r="F18" s="31" t="str">
        <f>('F Max'!$I18 - 'F Max'!F18)/'F Max'!$I18</f>
        <v>0.0896%</v>
      </c>
      <c r="G18" s="31" t="str">
        <f>('F Max'!$I18 - 'F Max'!G18)/'F Max'!$I18</f>
        <v>0.0784%</v>
      </c>
      <c r="H18" s="31" t="str">
        <f>('F Max'!$I18 - 'F Max'!H18)/'F Max'!$I18</f>
        <v>0.0071%</v>
      </c>
      <c r="I18" s="18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1">
        <v>1000.0</v>
      </c>
      <c r="B19" s="11">
        <v>50.0</v>
      </c>
      <c r="C19" s="11">
        <v>1.0</v>
      </c>
      <c r="D19" s="31" t="str">
        <f>('F Max'!$I19 - 'F Max'!D19)/'F Max'!$I19</f>
        <v>0.0644%</v>
      </c>
      <c r="E19" s="31" t="str">
        <f>('F Max'!$I19 - 'F Max'!E19)/'F Max'!$I19</f>
        <v>0.0491%</v>
      </c>
      <c r="F19" s="31" t="str">
        <f>('F Max'!$I19 - 'F Max'!F19)/'F Max'!$I19</f>
        <v>0.1381%</v>
      </c>
      <c r="G19" s="31" t="str">
        <f>('F Max'!$I19 - 'F Max'!G19)/'F Max'!$I19</f>
        <v>0.0679%</v>
      </c>
      <c r="H19" s="31" t="str">
        <f>('F Max'!$I19 - 'F Max'!H19)/'F Max'!$I19</f>
        <v>0.0000%</v>
      </c>
      <c r="I19" s="1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26">
        <v>1000.0</v>
      </c>
      <c r="B20" s="26">
        <v>50.0</v>
      </c>
      <c r="C20" s="26">
        <v>2.0</v>
      </c>
      <c r="D20" s="31" t="str">
        <f>('F Max'!$I20 - 'F Max'!D20)/'F Max'!$I20</f>
        <v>0.0894%</v>
      </c>
      <c r="E20" s="31" t="str">
        <f>('F Max'!$I20 - 'F Max'!E20)/'F Max'!$I20</f>
        <v>0.0076%</v>
      </c>
      <c r="F20" s="31" t="str">
        <f>('F Max'!$I20 - 'F Max'!F20)/'F Max'!$I20</f>
        <v>0.0709%</v>
      </c>
      <c r="G20" s="31" t="str">
        <f>('F Max'!$I20 - 'F Max'!G20)/'F Max'!$I20</f>
        <v>0.0543%</v>
      </c>
      <c r="H20" s="31" t="str">
        <f>('F Max'!$I20 - 'F Max'!H20)/'F Max'!$I20</f>
        <v>0.0000%</v>
      </c>
      <c r="I20" s="1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26">
        <v>1000.0</v>
      </c>
      <c r="B21" s="26">
        <v>50.0</v>
      </c>
      <c r="C21" s="26">
        <v>3.0</v>
      </c>
      <c r="D21" s="31" t="str">
        <f>('F Max'!$I21 - 'F Max'!D21)/'F Max'!$I21</f>
        <v>0.1044%</v>
      </c>
      <c r="E21" s="31" t="str">
        <f>('F Max'!$I21 - 'F Max'!E21)/'F Max'!$I21</f>
        <v>0.0273%</v>
      </c>
      <c r="F21" s="31" t="str">
        <f>('F Max'!$I21 - 'F Max'!F21)/'F Max'!$I21</f>
        <v>0.0631%</v>
      </c>
      <c r="G21" s="31" t="str">
        <f>('F Max'!$I21 - 'F Max'!G21)/'F Max'!$I21</f>
        <v>0.1372%</v>
      </c>
      <c r="H21" s="31" t="str">
        <f>('F Max'!$I21 - 'F Max'!H21)/'F Max'!$I21</f>
        <v>0.0000%</v>
      </c>
      <c r="I21" s="1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6">
        <v>1000.0</v>
      </c>
      <c r="B22" s="26">
        <v>50.0</v>
      </c>
      <c r="C22" s="26">
        <v>4.0</v>
      </c>
      <c r="D22" s="31" t="str">
        <f>('F Max'!$I22 - 'F Max'!D22)/'F Max'!$I22</f>
        <v>0.1153%</v>
      </c>
      <c r="E22" s="31" t="str">
        <f>('F Max'!$I22 - 'F Max'!E22)/'F Max'!$I22</f>
        <v>0.0425%</v>
      </c>
      <c r="F22" s="31" t="str">
        <f>('F Max'!$I22 - 'F Max'!F22)/'F Max'!$I22</f>
        <v>0.0843%</v>
      </c>
      <c r="G22" s="31" t="str">
        <f>('F Max'!$I22 - 'F Max'!G22)/'F Max'!$I22</f>
        <v>0.0946%</v>
      </c>
      <c r="H22" s="31" t="str">
        <f>('F Max'!$I22 - 'F Max'!H22)/'F Max'!$I22</f>
        <v>0.0000%</v>
      </c>
      <c r="I22" s="1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26">
        <v>1000.0</v>
      </c>
      <c r="B23" s="26">
        <v>50.0</v>
      </c>
      <c r="C23" s="26">
        <v>5.0</v>
      </c>
      <c r="D23" s="31" t="str">
        <f>('F Max'!$I23 - 'F Max'!D23)/'F Max'!$I23</f>
        <v>0.0263%</v>
      </c>
      <c r="E23" s="31" t="str">
        <f>('F Max'!$I23 - 'F Max'!E23)/'F Max'!$I23</f>
        <v>0.0391%</v>
      </c>
      <c r="F23" s="31" t="str">
        <f>('F Max'!$I23 - 'F Max'!F23)/'F Max'!$I23</f>
        <v>0.0768%</v>
      </c>
      <c r="G23" s="31" t="str">
        <f>('F Max'!$I23 - 'F Max'!G23)/'F Max'!$I23</f>
        <v>0.0797%</v>
      </c>
      <c r="H23" s="31" t="str">
        <f>('F Max'!$I23 - 'F Max'!H23)/'F Max'!$I23</f>
        <v>0.0000%</v>
      </c>
      <c r="I23" s="1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1">
        <v>1000.0</v>
      </c>
      <c r="B24" s="11">
        <v>100.0</v>
      </c>
      <c r="C24" s="11">
        <v>1.0</v>
      </c>
      <c r="D24" s="31" t="str">
        <f>('F Max'!$I24 - 'F Max'!D24)/'F Max'!$I24</f>
        <v>0.0483%</v>
      </c>
      <c r="E24" s="31" t="str">
        <f>('F Max'!$I24 - 'F Max'!E24)/'F Max'!$I24</f>
        <v>0.0094%</v>
      </c>
      <c r="F24" s="31" t="str">
        <f>('F Max'!$I24 - 'F Max'!F24)/'F Max'!$I24</f>
        <v>0.0307%</v>
      </c>
      <c r="G24" s="31" t="str">
        <f>('F Max'!$I24 - 'F Max'!G24)/'F Max'!$I24</f>
        <v>0.0146%</v>
      </c>
      <c r="H24" s="31" t="str">
        <f>('F Max'!$I24 - 'F Max'!H24)/'F Max'!$I24</f>
        <v>0.0000%</v>
      </c>
      <c r="I24" s="18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6">
        <v>1000.0</v>
      </c>
      <c r="B25" s="27">
        <v>100.0</v>
      </c>
      <c r="C25" s="16">
        <v>2.0</v>
      </c>
      <c r="D25" s="31" t="str">
        <f>('F Max'!$I25 - 'F Max'!D25)/'F Max'!$I25</f>
        <v>0.0261%</v>
      </c>
      <c r="E25" s="31" t="str">
        <f>('F Max'!$I25 - 'F Max'!E25)/'F Max'!$I25</f>
        <v>0.0012%</v>
      </c>
      <c r="F25" s="31" t="str">
        <f>('F Max'!$I25 - 'F Max'!F25)/'F Max'!$I25</f>
        <v>0.0134%</v>
      </c>
      <c r="G25" s="31" t="str">
        <f>('F Max'!$I25 - 'F Max'!G25)/'F Max'!$I25</f>
        <v>0.0245%</v>
      </c>
      <c r="H25" s="31" t="str">
        <f>('F Max'!$I25 - 'F Max'!H25)/'F Max'!$I25</f>
        <v>0.0000%</v>
      </c>
      <c r="I25" s="18"/>
      <c r="J25" s="28"/>
      <c r="K25" s="28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6">
        <v>1000.0</v>
      </c>
      <c r="B26" s="16">
        <v>100.0</v>
      </c>
      <c r="C26" s="16">
        <v>3.0</v>
      </c>
      <c r="D26" s="31" t="str">
        <f>('F Max'!$I26 - 'F Max'!D26)/'F Max'!$I26</f>
        <v>0.0403%</v>
      </c>
      <c r="E26" s="31" t="str">
        <f>('F Max'!$I26 - 'F Max'!E26)/'F Max'!$I26</f>
        <v>0.0214%</v>
      </c>
      <c r="F26" s="31" t="str">
        <f>('F Max'!$I26 - 'F Max'!F26)/'F Max'!$I26</f>
        <v>0.0329%</v>
      </c>
      <c r="G26" s="31" t="str">
        <f>('F Max'!$I26 - 'F Max'!G26)/'F Max'!$I26</f>
        <v>0.0364%</v>
      </c>
      <c r="H26" s="31" t="str">
        <f>('F Max'!$I26 - 'F Max'!H26)/'F Max'!$I26</f>
        <v>0.0000%</v>
      </c>
      <c r="I26" s="18"/>
      <c r="J26" s="28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6">
        <v>1000.0</v>
      </c>
      <c r="B27" s="16">
        <v>100.0</v>
      </c>
      <c r="C27" s="16">
        <v>4.0</v>
      </c>
      <c r="D27" s="31" t="str">
        <f>('F Max'!$I27 - 'F Max'!D27)/'F Max'!$I27</f>
        <v>0.0085%</v>
      </c>
      <c r="E27" s="31" t="str">
        <f>('F Max'!$I27 - 'F Max'!E27)/'F Max'!$I27</f>
        <v>0.0212%</v>
      </c>
      <c r="F27" s="31" t="str">
        <f>('F Max'!$I27 - 'F Max'!F27)/'F Max'!$I27</f>
        <v>0.0177%</v>
      </c>
      <c r="G27" s="31" t="str">
        <f>('F Max'!$I27 - 'F Max'!G27)/'F Max'!$I27</f>
        <v>0.0178%</v>
      </c>
      <c r="H27" s="31" t="str">
        <f>('F Max'!$I27 - 'F Max'!H27)/'F Max'!$I27</f>
        <v>0.0000%</v>
      </c>
      <c r="I27" s="18"/>
      <c r="J27" s="28"/>
      <c r="K27" s="28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6">
        <v>1000.0</v>
      </c>
      <c r="B28" s="16">
        <v>100.0</v>
      </c>
      <c r="C28" s="16">
        <v>5.0</v>
      </c>
      <c r="D28" s="31" t="str">
        <f>('F Max'!$I28 - 'F Max'!D28)/'F Max'!$I28</f>
        <v>0.0357%</v>
      </c>
      <c r="E28" s="31" t="str">
        <f>('F Max'!$I28 - 'F Max'!E28)/'F Max'!$I28</f>
        <v>0.0065%</v>
      </c>
      <c r="F28" s="31" t="str">
        <f>('F Max'!$I28 - 'F Max'!F28)/'F Max'!$I28</f>
        <v>0.0255%</v>
      </c>
      <c r="G28" s="31" t="str">
        <f>('F Max'!$I28 - 'F Max'!G28)/'F Max'!$I28</f>
        <v>0.0241%</v>
      </c>
      <c r="H28" s="31" t="str">
        <f>('F Max'!$I28 - 'F Max'!H28)/'F Max'!$I28</f>
        <v>0.0000%</v>
      </c>
      <c r="I28" s="18"/>
      <c r="J28" s="28"/>
      <c r="K28" s="28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28"/>
      <c r="B29" s="28"/>
      <c r="C29" s="28"/>
      <c r="D29" s="14"/>
      <c r="E29" s="12"/>
      <c r="F29" s="12"/>
      <c r="G29" s="12"/>
      <c r="H29" s="28"/>
      <c r="I29" s="28"/>
      <c r="J29" s="28"/>
      <c r="K29" s="28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3" t="s">
        <v>34</v>
      </c>
      <c r="B32" s="14"/>
      <c r="C32" s="14"/>
      <c r="D32" s="13"/>
      <c r="E32" s="13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29" t="s">
        <v>0</v>
      </c>
      <c r="B33" s="29" t="s">
        <v>1</v>
      </c>
      <c r="C33" s="29" t="s">
        <v>2</v>
      </c>
      <c r="D33" s="10" t="s">
        <v>32</v>
      </c>
      <c r="E33" s="10" t="s">
        <v>33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26">
        <v>1000.0</v>
      </c>
      <c r="B34" s="26">
        <v>1.0</v>
      </c>
      <c r="C34" s="26">
        <v>1.0</v>
      </c>
      <c r="D34" s="33" t="str">
        <f t="shared" ref="D34:D58" si="1">E4/D4</f>
        <v>0.00</v>
      </c>
      <c r="E34" s="33" t="str">
        <f t="shared" ref="E34:E58" si="2">G4/F4</f>
        <v>0.98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26">
        <v>1000.0</v>
      </c>
      <c r="B35" s="26">
        <v>1.0</v>
      </c>
      <c r="C35" s="26">
        <v>2.0</v>
      </c>
      <c r="D35" s="33" t="str">
        <f t="shared" si="1"/>
        <v>0.00</v>
      </c>
      <c r="E35" s="33" t="str">
        <f t="shared" si="2"/>
        <v>1.37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26">
        <v>1000.0</v>
      </c>
      <c r="B36" s="26">
        <v>1.0</v>
      </c>
      <c r="C36" s="26">
        <v>3.0</v>
      </c>
      <c r="D36" s="33" t="str">
        <f t="shared" si="1"/>
        <v>0.10</v>
      </c>
      <c r="E36" s="33" t="str">
        <f t="shared" si="2"/>
        <v>0.00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26">
        <v>1000.0</v>
      </c>
      <c r="B37" s="26">
        <v>1.0</v>
      </c>
      <c r="C37" s="26">
        <v>4.0</v>
      </c>
      <c r="D37" s="33" t="str">
        <f t="shared" si="1"/>
        <v>0.14</v>
      </c>
      <c r="E37" s="33" t="str">
        <f t="shared" si="2"/>
        <v>0.59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26">
        <v>1000.0</v>
      </c>
      <c r="B38" s="26">
        <v>1.0</v>
      </c>
      <c r="C38" s="26">
        <v>5.0</v>
      </c>
      <c r="D38" s="33" t="str">
        <f t="shared" si="1"/>
        <v>0.00</v>
      </c>
      <c r="E38" s="33" t="str">
        <f t="shared" si="2"/>
        <v>0.60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26">
        <v>1000.0</v>
      </c>
      <c r="B39" s="26">
        <v>5.0</v>
      </c>
      <c r="C39" s="26">
        <v>1.0</v>
      </c>
      <c r="D39" s="33" t="str">
        <f t="shared" si="1"/>
        <v>0.00</v>
      </c>
      <c r="E39" s="33" t="str">
        <f t="shared" si="2"/>
        <v>0.69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26">
        <v>1000.0</v>
      </c>
      <c r="B40" s="26">
        <v>5.0</v>
      </c>
      <c r="C40" s="26">
        <v>2.0</v>
      </c>
      <c r="D40" s="33" t="str">
        <f t="shared" si="1"/>
        <v>0.00</v>
      </c>
      <c r="E40" s="33" t="str">
        <f t="shared" si="2"/>
        <v>0.73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26">
        <v>1000.0</v>
      </c>
      <c r="B41" s="26">
        <v>5.0</v>
      </c>
      <c r="C41" s="26">
        <v>3.0</v>
      </c>
      <c r="D41" s="33" t="str">
        <f t="shared" si="1"/>
        <v>0.00</v>
      </c>
      <c r="E41" s="33" t="str">
        <f t="shared" si="2"/>
        <v>0.51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26">
        <v>1000.0</v>
      </c>
      <c r="B42" s="26">
        <v>5.0</v>
      </c>
      <c r="C42" s="26">
        <v>4.0</v>
      </c>
      <c r="D42" s="33" t="str">
        <f t="shared" si="1"/>
        <v>0.00</v>
      </c>
      <c r="E42" s="33" t="str">
        <f t="shared" si="2"/>
        <v>0.64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26">
        <v>1000.0</v>
      </c>
      <c r="B43" s="26">
        <v>5.0</v>
      </c>
      <c r="C43" s="26">
        <v>5.0</v>
      </c>
      <c r="D43" s="33" t="str">
        <f t="shared" si="1"/>
        <v>0.23</v>
      </c>
      <c r="E43" s="33" t="str">
        <f t="shared" si="2"/>
        <v>0.00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26">
        <v>1000.0</v>
      </c>
      <c r="B44" s="26">
        <v>10.0</v>
      </c>
      <c r="C44" s="26">
        <v>1.0</v>
      </c>
      <c r="D44" s="33" t="str">
        <f t="shared" si="1"/>
        <v>0.00</v>
      </c>
      <c r="E44" s="33" t="str">
        <f t="shared" si="2"/>
        <v>0.66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26">
        <v>1000.0</v>
      </c>
      <c r="B45" s="26">
        <v>10.0</v>
      </c>
      <c r="C45" s="26">
        <v>2.0</v>
      </c>
      <c r="D45" s="33" t="str">
        <f t="shared" si="1"/>
        <v>0.00</v>
      </c>
      <c r="E45" s="33" t="str">
        <f t="shared" si="2"/>
        <v>1.02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26">
        <v>1000.0</v>
      </c>
      <c r="B46" s="26">
        <v>10.0</v>
      </c>
      <c r="C46" s="26">
        <v>3.0</v>
      </c>
      <c r="D46" s="33" t="str">
        <f t="shared" si="1"/>
        <v>0.00</v>
      </c>
      <c r="E46" s="33" t="str">
        <f t="shared" si="2"/>
        <v>0.37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26">
        <v>1000.0</v>
      </c>
      <c r="B47" s="26">
        <v>10.0</v>
      </c>
      <c r="C47" s="26">
        <v>4.0</v>
      </c>
      <c r="D47" s="33" t="str">
        <f t="shared" si="1"/>
        <v>0.00</v>
      </c>
      <c r="E47" s="33" t="str">
        <f t="shared" si="2"/>
        <v>0.35</v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26">
        <v>1000.0</v>
      </c>
      <c r="B48" s="26">
        <v>10.0</v>
      </c>
      <c r="C48" s="26">
        <v>5.0</v>
      </c>
      <c r="D48" s="33" t="str">
        <f t="shared" si="1"/>
        <v>0.00</v>
      </c>
      <c r="E48" s="33" t="str">
        <f t="shared" si="2"/>
        <v>0.88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26">
        <v>1000.0</v>
      </c>
      <c r="B49" s="26">
        <v>50.0</v>
      </c>
      <c r="C49" s="26">
        <v>1.0</v>
      </c>
      <c r="D49" s="33" t="str">
        <f t="shared" si="1"/>
        <v>0.76</v>
      </c>
      <c r="E49" s="33" t="str">
        <f t="shared" si="2"/>
        <v>0.49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26">
        <v>1000.0</v>
      </c>
      <c r="B50" s="26">
        <v>50.0</v>
      </c>
      <c r="C50" s="26">
        <v>2.0</v>
      </c>
      <c r="D50" s="33" t="str">
        <f t="shared" si="1"/>
        <v>0.09</v>
      </c>
      <c r="E50" s="33" t="str">
        <f t="shared" si="2"/>
        <v>0.77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26">
        <v>1000.0</v>
      </c>
      <c r="B51" s="26">
        <v>50.0</v>
      </c>
      <c r="C51" s="26">
        <v>3.0</v>
      </c>
      <c r="D51" s="33" t="str">
        <f t="shared" si="1"/>
        <v>0.26</v>
      </c>
      <c r="E51" s="33" t="str">
        <f t="shared" si="2"/>
        <v>2.17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26">
        <v>1000.0</v>
      </c>
      <c r="B52" s="26">
        <v>50.0</v>
      </c>
      <c r="C52" s="26">
        <v>4.0</v>
      </c>
      <c r="D52" s="33" t="str">
        <f t="shared" si="1"/>
        <v>0.37</v>
      </c>
      <c r="E52" s="33" t="str">
        <f t="shared" si="2"/>
        <v>1.12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26">
        <v>1000.0</v>
      </c>
      <c r="B53" s="26">
        <v>50.0</v>
      </c>
      <c r="C53" s="26">
        <v>5.0</v>
      </c>
      <c r="D53" s="33" t="str">
        <f t="shared" si="1"/>
        <v>1.49</v>
      </c>
      <c r="E53" s="33" t="str">
        <f t="shared" si="2"/>
        <v>1.04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26">
        <v>1000.0</v>
      </c>
      <c r="B54" s="26">
        <v>100.0</v>
      </c>
      <c r="C54" s="26">
        <v>1.0</v>
      </c>
      <c r="D54" s="33" t="str">
        <f t="shared" si="1"/>
        <v>0.19</v>
      </c>
      <c r="E54" s="33" t="str">
        <f t="shared" si="2"/>
        <v>0.48</v>
      </c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26">
        <v>1000.0</v>
      </c>
      <c r="B55" s="26">
        <v>100.0</v>
      </c>
      <c r="C55" s="26">
        <v>2.0</v>
      </c>
      <c r="D55" s="33" t="str">
        <f t="shared" si="1"/>
        <v>0.05</v>
      </c>
      <c r="E55" s="33" t="str">
        <f t="shared" si="2"/>
        <v>1.82</v>
      </c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26">
        <v>1000.0</v>
      </c>
      <c r="B56" s="26">
        <v>100.0</v>
      </c>
      <c r="C56" s="26">
        <v>3.0</v>
      </c>
      <c r="D56" s="33" t="str">
        <f t="shared" si="1"/>
        <v>0.53</v>
      </c>
      <c r="E56" s="33" t="str">
        <f t="shared" si="2"/>
        <v>1.10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26">
        <v>1000.0</v>
      </c>
      <c r="B57" s="26">
        <v>100.0</v>
      </c>
      <c r="C57" s="26">
        <v>4.0</v>
      </c>
      <c r="D57" s="33" t="str">
        <f t="shared" si="1"/>
        <v>2.50</v>
      </c>
      <c r="E57" s="33" t="str">
        <f t="shared" si="2"/>
        <v>1.01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26">
        <v>1000.0</v>
      </c>
      <c r="B58" s="26">
        <v>100.0</v>
      </c>
      <c r="C58" s="26">
        <v>5.0</v>
      </c>
      <c r="D58" s="33" t="str">
        <f t="shared" si="1"/>
        <v>0.18</v>
      </c>
      <c r="E58" s="33" t="str">
        <f t="shared" si="2"/>
        <v>0.95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</sheetData>
  <conditionalFormatting sqref="D4:H28">
    <cfRule type="cellIs" dxfId="0" priority="1" operator="equal">
      <formula>0</formula>
    </cfRule>
  </conditionalFormatting>
  <drawing r:id="rId1"/>
</worksheet>
</file>