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pold/Downloads/"/>
    </mc:Choice>
  </mc:AlternateContent>
  <xr:revisionPtr revIDLastSave="0" documentId="13_ncr:1_{C32E3ECA-92AD-4E44-A91F-BB96396BB179}" xr6:coauthVersionLast="47" xr6:coauthVersionMax="47" xr10:uidLastSave="{00000000-0000-0000-0000-000000000000}"/>
  <bookViews>
    <workbookView xWindow="-32920" yWindow="-340" windowWidth="29040" windowHeight="15720" xr2:uid="{DDCAE18C-AD3A-1B46-89A6-D77768DA5E7C}"/>
  </bookViews>
  <sheets>
    <sheet name="projekt_referenz" sheetId="1" r:id="rId1"/>
    <sheet name="k_det" sheetId="4" r:id="rId2"/>
    <sheet name="partner" sheetId="2" r:id="rId3"/>
    <sheet name="projekt_mengen" sheetId="5" r:id="rId4"/>
    <sheet name="hoai" sheetId="7" r:id="rId5"/>
    <sheet name="labels" sheetId="8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2" i="1" l="1" a="1"/>
  <c r="AT2" i="1"/>
  <c r="BO2" i="1"/>
  <c r="AT3" i="1" a="1"/>
  <c r="AT3" i="1"/>
  <c r="BO3" i="1"/>
  <c r="AT4" i="1" a="1"/>
  <c r="AT4" i="1"/>
  <c r="BO4" i="1"/>
  <c r="AT5" i="1" a="1"/>
  <c r="AT5" i="1"/>
  <c r="BO5" i="1"/>
  <c r="AT6" i="1" a="1"/>
  <c r="AT6" i="1"/>
  <c r="BO6" i="1"/>
  <c r="AT7" i="1" a="1"/>
  <c r="AT7" i="1"/>
  <c r="BO7" i="1"/>
  <c r="AT8" i="1" a="1"/>
  <c r="AT8" i="1"/>
  <c r="BO8" i="1"/>
  <c r="AT9" i="1" a="1"/>
  <c r="AT9" i="1"/>
  <c r="BO9" i="1"/>
  <c r="AT10" i="1" a="1"/>
  <c r="AT10" i="1"/>
  <c r="BO10" i="1"/>
  <c r="AT11" i="1" a="1"/>
  <c r="AT11" i="1"/>
  <c r="BO11" i="1"/>
  <c r="AT12" i="1" a="1"/>
  <c r="AT12" i="1"/>
  <c r="BO12" i="1"/>
  <c r="BO13" i="1"/>
  <c r="J2" i="4" a="1"/>
  <c r="J2" i="4"/>
  <c r="AU2" i="1" a="1"/>
  <c r="AU2" i="1"/>
  <c r="BP2" i="1"/>
  <c r="AU3" i="1" a="1"/>
  <c r="AU3" i="1"/>
  <c r="BP3" i="1"/>
  <c r="AU4" i="1" a="1"/>
  <c r="AU4" i="1"/>
  <c r="BP4" i="1"/>
  <c r="AU5" i="1" a="1"/>
  <c r="AU5" i="1"/>
  <c r="BP5" i="1"/>
  <c r="AU6" i="1" a="1"/>
  <c r="AU6" i="1"/>
  <c r="BP6" i="1"/>
  <c r="AU7" i="1" a="1"/>
  <c r="AU7" i="1"/>
  <c r="BP7" i="1"/>
  <c r="AU8" i="1" a="1"/>
  <c r="AU8" i="1"/>
  <c r="BP8" i="1"/>
  <c r="AU9" i="1" a="1"/>
  <c r="AU9" i="1"/>
  <c r="BP9" i="1"/>
  <c r="AU10" i="1" a="1"/>
  <c r="AU10" i="1"/>
  <c r="BP10" i="1"/>
  <c r="AU11" i="1" a="1"/>
  <c r="AU11" i="1"/>
  <c r="BP11" i="1"/>
  <c r="AU12" i="1" a="1"/>
  <c r="AU12" i="1"/>
  <c r="BP12" i="1"/>
  <c r="BP13" i="1"/>
  <c r="K2" i="4" a="1"/>
  <c r="K2" i="4"/>
  <c r="AV2" i="1" a="1"/>
  <c r="AV2" i="1"/>
  <c r="BQ2" i="1"/>
  <c r="AV3" i="1" a="1"/>
  <c r="AV3" i="1"/>
  <c r="BQ3" i="1"/>
  <c r="AV4" i="1" a="1"/>
  <c r="AV4" i="1"/>
  <c r="BQ4" i="1"/>
  <c r="AV5" i="1" a="1"/>
  <c r="AV5" i="1"/>
  <c r="BQ5" i="1"/>
  <c r="AV6" i="1" a="1"/>
  <c r="AV6" i="1"/>
  <c r="BQ6" i="1"/>
  <c r="AV7" i="1" a="1"/>
  <c r="AV7" i="1"/>
  <c r="BQ7" i="1"/>
  <c r="AV8" i="1" a="1"/>
  <c r="AV8" i="1"/>
  <c r="BQ8" i="1"/>
  <c r="AV9" i="1" a="1"/>
  <c r="AV9" i="1"/>
  <c r="BQ9" i="1"/>
  <c r="AV10" i="1" a="1"/>
  <c r="AV10" i="1"/>
  <c r="BQ10" i="1"/>
  <c r="AV11" i="1" a="1"/>
  <c r="AV11" i="1"/>
  <c r="BQ11" i="1"/>
  <c r="AV12" i="1" a="1"/>
  <c r="AV12" i="1"/>
  <c r="BQ12" i="1"/>
  <c r="BQ13" i="1"/>
  <c r="L2" i="4" a="1"/>
  <c r="AW2" i="1" a="1"/>
  <c r="AW2" i="1"/>
  <c r="BR2" i="1"/>
  <c r="AW3" i="1" a="1"/>
  <c r="AW3" i="1"/>
  <c r="BR3" i="1"/>
  <c r="AW4" i="1" a="1"/>
  <c r="AW4" i="1"/>
  <c r="BR4" i="1"/>
  <c r="AW5" i="1" a="1"/>
  <c r="AW5" i="1"/>
  <c r="BR5" i="1"/>
  <c r="AW6" i="1" a="1"/>
  <c r="AW6" i="1"/>
  <c r="BR6" i="1"/>
  <c r="AW7" i="1" a="1"/>
  <c r="AW7" i="1"/>
  <c r="BR7" i="1"/>
  <c r="AW8" i="1" a="1"/>
  <c r="AW8" i="1"/>
  <c r="BR8" i="1"/>
  <c r="AW9" i="1" a="1"/>
  <c r="AW9" i="1"/>
  <c r="BR9" i="1"/>
  <c r="AW10" i="1" a="1"/>
  <c r="AW10" i="1"/>
  <c r="BR10" i="1"/>
  <c r="AW11" i="1" a="1"/>
  <c r="AW11" i="1"/>
  <c r="BR11" i="1"/>
  <c r="AW12" i="1" a="1"/>
  <c r="AW12" i="1"/>
  <c r="BR12" i="1"/>
  <c r="BR13" i="1"/>
  <c r="M2" i="4" a="1"/>
  <c r="AX2" i="1" a="1"/>
  <c r="AX2" i="1"/>
  <c r="BS2" i="1"/>
  <c r="AX3" i="1" a="1"/>
  <c r="AX3" i="1"/>
  <c r="BS3" i="1"/>
  <c r="AX4" i="1" a="1"/>
  <c r="AX4" i="1"/>
  <c r="BS4" i="1"/>
  <c r="AX5" i="1" a="1"/>
  <c r="AX5" i="1"/>
  <c r="BS5" i="1"/>
  <c r="AX6" i="1" a="1"/>
  <c r="AX6" i="1"/>
  <c r="BS6" i="1"/>
  <c r="AX7" i="1" a="1"/>
  <c r="AX7" i="1"/>
  <c r="BS7" i="1"/>
  <c r="AX8" i="1" a="1"/>
  <c r="AX8" i="1"/>
  <c r="BS8" i="1"/>
  <c r="AX9" i="1" a="1"/>
  <c r="AX9" i="1"/>
  <c r="BS9" i="1"/>
  <c r="AX10" i="1" a="1"/>
  <c r="AX10" i="1"/>
  <c r="BS10" i="1"/>
  <c r="AX11" i="1" a="1"/>
  <c r="AX11" i="1"/>
  <c r="BS11" i="1"/>
  <c r="AX12" i="1" a="1"/>
  <c r="AX12" i="1"/>
  <c r="BS12" i="1"/>
  <c r="BS13" i="1"/>
  <c r="N2" i="4" a="1"/>
  <c r="AY3" i="1" a="1"/>
  <c r="AY3" i="1"/>
  <c r="BT3" i="1"/>
  <c r="AY4" i="1" a="1"/>
  <c r="AY4" i="1"/>
  <c r="BT4" i="1"/>
  <c r="AY5" i="1" a="1"/>
  <c r="AY5" i="1"/>
  <c r="BT5" i="1"/>
  <c r="AY6" i="1" a="1"/>
  <c r="AY6" i="1"/>
  <c r="BT6" i="1"/>
  <c r="AY7" i="1" a="1"/>
  <c r="AY7" i="1"/>
  <c r="BT7" i="1"/>
  <c r="AY8" i="1" a="1"/>
  <c r="AY8" i="1"/>
  <c r="BT8" i="1"/>
  <c r="AY9" i="1" a="1"/>
  <c r="AY9" i="1"/>
  <c r="BT9" i="1"/>
  <c r="AY10" i="1" a="1"/>
  <c r="AY10" i="1"/>
  <c r="BT10" i="1"/>
  <c r="AY11" i="1" a="1"/>
  <c r="AY11" i="1"/>
  <c r="BT11" i="1"/>
  <c r="AY12" i="1" a="1"/>
  <c r="AY12" i="1"/>
  <c r="BT12" i="1"/>
  <c r="BT13" i="1"/>
  <c r="O2" i="4" a="1"/>
  <c r="AZ2" i="1" a="1"/>
  <c r="AZ2" i="1"/>
  <c r="BU2" i="1"/>
  <c r="AZ3" i="1" a="1"/>
  <c r="AZ3" i="1"/>
  <c r="BU3" i="1"/>
  <c r="AZ4" i="1" a="1"/>
  <c r="AZ4" i="1"/>
  <c r="BU4" i="1"/>
  <c r="AZ5" i="1" a="1"/>
  <c r="AZ5" i="1"/>
  <c r="BU5" i="1"/>
  <c r="AZ7" i="1" a="1"/>
  <c r="AZ7" i="1"/>
  <c r="BU7" i="1"/>
  <c r="AZ8" i="1" a="1"/>
  <c r="AZ8" i="1"/>
  <c r="BU8" i="1"/>
  <c r="AZ9" i="1" a="1"/>
  <c r="AZ9" i="1"/>
  <c r="BU9" i="1"/>
  <c r="AZ10" i="1" a="1"/>
  <c r="AZ10" i="1"/>
  <c r="BU10" i="1"/>
  <c r="AZ11" i="1" a="1"/>
  <c r="AZ11" i="1"/>
  <c r="BU11" i="1"/>
  <c r="AZ12" i="1" a="1"/>
  <c r="AZ12" i="1"/>
  <c r="BU12" i="1"/>
  <c r="BU13" i="1"/>
  <c r="P2" i="4" a="1"/>
  <c r="BA2" i="1" a="1"/>
  <c r="BA2" i="1"/>
  <c r="BV2" i="1"/>
  <c r="BA3" i="1" a="1"/>
  <c r="BA3" i="1"/>
  <c r="BV3" i="1"/>
  <c r="BA4" i="1" a="1"/>
  <c r="BA4" i="1"/>
  <c r="BV4" i="1"/>
  <c r="BA5" i="1" a="1"/>
  <c r="BA5" i="1"/>
  <c r="BV5" i="1"/>
  <c r="BA6" i="1" a="1"/>
  <c r="BA6" i="1"/>
  <c r="BV6" i="1"/>
  <c r="BA7" i="1" a="1"/>
  <c r="BA7" i="1"/>
  <c r="BV7" i="1"/>
  <c r="BA8" i="1" a="1"/>
  <c r="BA8" i="1"/>
  <c r="BV8" i="1"/>
  <c r="BA9" i="1" a="1"/>
  <c r="BA9" i="1"/>
  <c r="BV9" i="1"/>
  <c r="BA10" i="1" a="1"/>
  <c r="BA10" i="1"/>
  <c r="BV10" i="1"/>
  <c r="BA11" i="1" a="1"/>
  <c r="BA11" i="1"/>
  <c r="BV11" i="1"/>
  <c r="BA12" i="1" a="1"/>
  <c r="BA12" i="1"/>
  <c r="BV12" i="1"/>
  <c r="BV13" i="1"/>
  <c r="Q2" i="4" a="1"/>
  <c r="BB2" i="1" a="1"/>
  <c r="BB2" i="1"/>
  <c r="BW2" i="1"/>
  <c r="BB3" i="1" a="1"/>
  <c r="BB3" i="1"/>
  <c r="BW3" i="1"/>
  <c r="BB4" i="1" a="1"/>
  <c r="BB4" i="1"/>
  <c r="BW4" i="1"/>
  <c r="BB5" i="1" a="1"/>
  <c r="BB5" i="1"/>
  <c r="BW5" i="1"/>
  <c r="BB6" i="1" a="1"/>
  <c r="BB6" i="1"/>
  <c r="BW6" i="1"/>
  <c r="BB7" i="1" a="1"/>
  <c r="BB7" i="1"/>
  <c r="BW7" i="1"/>
  <c r="BB8" i="1" a="1"/>
  <c r="BB8" i="1"/>
  <c r="BW8" i="1"/>
  <c r="BB9" i="1" a="1"/>
  <c r="BB9" i="1"/>
  <c r="BW9" i="1"/>
  <c r="BB10" i="1" a="1"/>
  <c r="BB10" i="1"/>
  <c r="BW10" i="1"/>
  <c r="BB11" i="1" a="1"/>
  <c r="BB11" i="1"/>
  <c r="BW11" i="1"/>
  <c r="BB12" i="1" a="1"/>
  <c r="BB12" i="1"/>
  <c r="BW12" i="1"/>
  <c r="BW13" i="1"/>
  <c r="R2" i="4" a="1"/>
  <c r="L2" i="4"/>
  <c r="M2" i="4"/>
  <c r="N2" i="4"/>
  <c r="O2" i="4"/>
  <c r="P2" i="4"/>
  <c r="Q2" i="4"/>
  <c r="R2" i="4"/>
  <c r="BD2" i="1" a="1"/>
  <c r="BD2" i="1"/>
  <c r="BY2" i="1"/>
  <c r="BD3" i="1" a="1"/>
  <c r="BD3" i="1"/>
  <c r="BY3" i="1"/>
  <c r="BD4" i="1" a="1"/>
  <c r="BD4" i="1"/>
  <c r="BY4" i="1"/>
  <c r="BD5" i="1" a="1"/>
  <c r="BD5" i="1"/>
  <c r="BY5" i="1"/>
  <c r="BD6" i="1" a="1"/>
  <c r="BD6" i="1"/>
  <c r="BY6" i="1"/>
  <c r="BD8" i="1" a="1"/>
  <c r="BD8" i="1"/>
  <c r="BY8" i="1"/>
  <c r="BD9" i="1" a="1"/>
  <c r="BD9" i="1"/>
  <c r="BY9" i="1"/>
  <c r="BD10" i="1" a="1"/>
  <c r="BD10" i="1"/>
  <c r="BY10" i="1"/>
  <c r="BD11" i="1" a="1"/>
  <c r="BD11" i="1"/>
  <c r="BY11" i="1"/>
  <c r="BD12" i="1" a="1"/>
  <c r="BD12" i="1"/>
  <c r="BY12" i="1"/>
  <c r="BY13" i="1"/>
  <c r="T2" i="4" a="1"/>
  <c r="T2" i="4"/>
  <c r="X2" i="4"/>
  <c r="AB2" i="4"/>
  <c r="G4" i="2" a="1"/>
  <c r="G4" i="2"/>
  <c r="H4" i="2" a="1"/>
  <c r="H4" i="2"/>
  <c r="I4" i="2"/>
  <c r="J4" i="2"/>
  <c r="AK2" i="1" a="1"/>
  <c r="AK2" i="1"/>
  <c r="BF2" i="1"/>
  <c r="AK4" i="1" a="1"/>
  <c r="AK4" i="1"/>
  <c r="BF4" i="1"/>
  <c r="AK5" i="1" a="1"/>
  <c r="AK5" i="1"/>
  <c r="BF5" i="1"/>
  <c r="AK6" i="1" a="1"/>
  <c r="AK6" i="1"/>
  <c r="BF6" i="1"/>
  <c r="AK7" i="1" a="1"/>
  <c r="AK7" i="1"/>
  <c r="BF7" i="1"/>
  <c r="AK8" i="1" a="1"/>
  <c r="AK8" i="1"/>
  <c r="BF8" i="1"/>
  <c r="AK9" i="1" a="1"/>
  <c r="AK9" i="1"/>
  <c r="BF9" i="1"/>
  <c r="AK10" i="1" a="1"/>
  <c r="AK10" i="1"/>
  <c r="BF10" i="1"/>
  <c r="AK11" i="1" a="1"/>
  <c r="AK11" i="1"/>
  <c r="BF11" i="1"/>
  <c r="AK12" i="1" a="1"/>
  <c r="AK12" i="1"/>
  <c r="BF12" i="1"/>
  <c r="BF13" i="1"/>
  <c r="A2" i="4"/>
  <c r="AL2" i="1" a="1"/>
  <c r="AL2" i="1"/>
  <c r="BG2" i="1"/>
  <c r="AL3" i="1" a="1"/>
  <c r="AL3" i="1"/>
  <c r="BG3" i="1"/>
  <c r="AL4" i="1" a="1"/>
  <c r="AL4" i="1"/>
  <c r="BG4" i="1"/>
  <c r="AL5" i="1" a="1"/>
  <c r="AL5" i="1"/>
  <c r="BG5" i="1"/>
  <c r="AL6" i="1" a="1"/>
  <c r="AL6" i="1"/>
  <c r="BG6" i="1"/>
  <c r="AL7" i="1" a="1"/>
  <c r="AL7" i="1"/>
  <c r="BG7" i="1"/>
  <c r="AL8" i="1" a="1"/>
  <c r="AL8" i="1"/>
  <c r="BG8" i="1"/>
  <c r="AL9" i="1" a="1"/>
  <c r="AL9" i="1"/>
  <c r="BG9" i="1"/>
  <c r="AL10" i="1" a="1"/>
  <c r="AL10" i="1"/>
  <c r="BG10" i="1"/>
  <c r="AL11" i="1" a="1"/>
  <c r="AL11" i="1"/>
  <c r="BG11" i="1"/>
  <c r="AL12" i="1" a="1"/>
  <c r="AL12" i="1"/>
  <c r="BG12" i="1"/>
  <c r="BG13" i="1"/>
  <c r="B2" i="4"/>
  <c r="BC2" i="1" a="1"/>
  <c r="BC2" i="1"/>
  <c r="BX2" i="1"/>
  <c r="BC3" i="1" a="1"/>
  <c r="BC3" i="1"/>
  <c r="BX3" i="1"/>
  <c r="BC5" i="1" a="1"/>
  <c r="BC5" i="1"/>
  <c r="BX5" i="1"/>
  <c r="BC6" i="1" a="1"/>
  <c r="BC6" i="1"/>
  <c r="BX6" i="1"/>
  <c r="BC7" i="1" a="1"/>
  <c r="BC7" i="1"/>
  <c r="BX7" i="1"/>
  <c r="BC8" i="1" a="1"/>
  <c r="BC8" i="1"/>
  <c r="BX8" i="1"/>
  <c r="BC9" i="1" a="1"/>
  <c r="BC9" i="1"/>
  <c r="BX9" i="1"/>
  <c r="BC11" i="1" a="1"/>
  <c r="BC11" i="1"/>
  <c r="BX11" i="1"/>
  <c r="BX13" i="1"/>
  <c r="S2" i="4"/>
  <c r="V2" i="4"/>
  <c r="Z2" i="4"/>
  <c r="G2" i="2" a="1"/>
  <c r="G2" i="2"/>
  <c r="H2" i="2" a="1"/>
  <c r="H2" i="2"/>
  <c r="I2" i="2"/>
  <c r="AM2" i="1" a="1"/>
  <c r="AM2" i="1"/>
  <c r="BH2" i="1"/>
  <c r="AM3" i="1" a="1"/>
  <c r="AM3" i="1"/>
  <c r="BH3" i="1"/>
  <c r="AM4" i="1" a="1"/>
  <c r="AM4" i="1"/>
  <c r="BH4" i="1"/>
  <c r="AM5" i="1" a="1"/>
  <c r="AM5" i="1"/>
  <c r="BH5" i="1"/>
  <c r="AM6" i="1" a="1"/>
  <c r="AM6" i="1"/>
  <c r="BH6" i="1"/>
  <c r="AM7" i="1" a="1"/>
  <c r="AM7" i="1"/>
  <c r="BH7" i="1"/>
  <c r="AM8" i="1" a="1"/>
  <c r="AM8" i="1"/>
  <c r="BH8" i="1"/>
  <c r="AM9" i="1" a="1"/>
  <c r="AM9" i="1"/>
  <c r="BH9" i="1"/>
  <c r="AM10" i="1" a="1"/>
  <c r="AM10" i="1"/>
  <c r="BH10" i="1"/>
  <c r="AM11" i="1" a="1"/>
  <c r="AM11" i="1"/>
  <c r="BH11" i="1"/>
  <c r="AM12" i="1" a="1"/>
  <c r="AM12" i="1"/>
  <c r="BH12" i="1"/>
  <c r="BH13" i="1"/>
  <c r="C2" i="4"/>
  <c r="AN2" i="1" a="1"/>
  <c r="AN2" i="1"/>
  <c r="BI2" i="1"/>
  <c r="AN3" i="1" a="1"/>
  <c r="AN3" i="1"/>
  <c r="BI3" i="1"/>
  <c r="AN4" i="1" a="1"/>
  <c r="AN4" i="1"/>
  <c r="BI4" i="1"/>
  <c r="AN5" i="1" a="1"/>
  <c r="AN5" i="1"/>
  <c r="BI5" i="1"/>
  <c r="AN6" i="1" a="1"/>
  <c r="AN6" i="1"/>
  <c r="BI6" i="1"/>
  <c r="AN7" i="1" a="1"/>
  <c r="AN7" i="1"/>
  <c r="BI7" i="1"/>
  <c r="AN8" i="1" a="1"/>
  <c r="AN8" i="1"/>
  <c r="BI8" i="1"/>
  <c r="AN9" i="1" a="1"/>
  <c r="AN9" i="1"/>
  <c r="BI9" i="1"/>
  <c r="AN10" i="1" a="1"/>
  <c r="AN10" i="1"/>
  <c r="BI10" i="1"/>
  <c r="AN11" i="1" a="1"/>
  <c r="AN11" i="1"/>
  <c r="BI11" i="1"/>
  <c r="AN12" i="1" a="1"/>
  <c r="AN12" i="1"/>
  <c r="BI12" i="1"/>
  <c r="BI13" i="1"/>
  <c r="D2" i="4"/>
  <c r="AO2" i="1" a="1"/>
  <c r="AO2" i="1"/>
  <c r="BJ2" i="1"/>
  <c r="AO3" i="1" a="1"/>
  <c r="AO3" i="1"/>
  <c r="BJ3" i="1"/>
  <c r="AO4" i="1" a="1"/>
  <c r="AO4" i="1"/>
  <c r="BJ4" i="1"/>
  <c r="AO5" i="1" a="1"/>
  <c r="AO5" i="1"/>
  <c r="BJ5" i="1"/>
  <c r="AO6" i="1" a="1"/>
  <c r="AO6" i="1"/>
  <c r="BJ6" i="1"/>
  <c r="AO7" i="1" a="1"/>
  <c r="AO7" i="1"/>
  <c r="BJ7" i="1"/>
  <c r="AO8" i="1" a="1"/>
  <c r="AO8" i="1"/>
  <c r="BJ8" i="1"/>
  <c r="AO9" i="1" a="1"/>
  <c r="AO9" i="1"/>
  <c r="BJ9" i="1"/>
  <c r="AO10" i="1" a="1"/>
  <c r="AO10" i="1"/>
  <c r="BJ10" i="1"/>
  <c r="AO11" i="1" a="1"/>
  <c r="AO11" i="1"/>
  <c r="BJ11" i="1"/>
  <c r="AO12" i="1" a="1"/>
  <c r="AO12" i="1"/>
  <c r="BJ12" i="1"/>
  <c r="BJ13" i="1"/>
  <c r="E2" i="4"/>
  <c r="AP2" i="1" a="1"/>
  <c r="AP2" i="1"/>
  <c r="BK2" i="1"/>
  <c r="AP3" i="1" a="1"/>
  <c r="AP3" i="1"/>
  <c r="BK3" i="1"/>
  <c r="AP4" i="1" a="1"/>
  <c r="AP4" i="1"/>
  <c r="BK4" i="1"/>
  <c r="AP5" i="1" a="1"/>
  <c r="AP5" i="1"/>
  <c r="BK5" i="1"/>
  <c r="AP6" i="1" a="1"/>
  <c r="AP6" i="1"/>
  <c r="BK6" i="1"/>
  <c r="AP7" i="1" a="1"/>
  <c r="AP7" i="1"/>
  <c r="BK7" i="1"/>
  <c r="AP8" i="1" a="1"/>
  <c r="AP8" i="1"/>
  <c r="BK8" i="1"/>
  <c r="AP9" i="1" a="1"/>
  <c r="AP9" i="1"/>
  <c r="BK9" i="1"/>
  <c r="AP10" i="1" a="1"/>
  <c r="AP10" i="1"/>
  <c r="BK10" i="1"/>
  <c r="AP11" i="1" a="1"/>
  <c r="AP11" i="1"/>
  <c r="BK11" i="1"/>
  <c r="AP12" i="1" a="1"/>
  <c r="AP12" i="1"/>
  <c r="BK12" i="1"/>
  <c r="BK13" i="1"/>
  <c r="F2" i="4"/>
  <c r="AQ2" i="1" a="1"/>
  <c r="AQ2" i="1"/>
  <c r="BL2" i="1"/>
  <c r="AQ3" i="1" a="1"/>
  <c r="AQ3" i="1"/>
  <c r="BL3" i="1"/>
  <c r="AQ4" i="1" a="1"/>
  <c r="AQ4" i="1"/>
  <c r="BL4" i="1"/>
  <c r="AQ5" i="1" a="1"/>
  <c r="AQ5" i="1"/>
  <c r="BL5" i="1"/>
  <c r="AQ6" i="1" a="1"/>
  <c r="AQ6" i="1"/>
  <c r="BL6" i="1"/>
  <c r="AQ7" i="1" a="1"/>
  <c r="AQ7" i="1"/>
  <c r="BL7" i="1"/>
  <c r="AQ8" i="1" a="1"/>
  <c r="AQ8" i="1"/>
  <c r="BL8" i="1"/>
  <c r="AQ9" i="1" a="1"/>
  <c r="AQ9" i="1"/>
  <c r="BL9" i="1"/>
  <c r="AQ10" i="1" a="1"/>
  <c r="AQ10" i="1"/>
  <c r="BL10" i="1"/>
  <c r="AQ11" i="1" a="1"/>
  <c r="AQ11" i="1"/>
  <c r="BL11" i="1"/>
  <c r="AQ12" i="1" a="1"/>
  <c r="AQ12" i="1"/>
  <c r="BL12" i="1"/>
  <c r="BL13" i="1"/>
  <c r="G2" i="4"/>
  <c r="AR2" i="1" a="1"/>
  <c r="AR2" i="1"/>
  <c r="BM2" i="1"/>
  <c r="AR3" i="1" a="1"/>
  <c r="AR3" i="1"/>
  <c r="BM3" i="1"/>
  <c r="AR4" i="1" a="1"/>
  <c r="AR4" i="1"/>
  <c r="BM4" i="1"/>
  <c r="AR5" i="1" a="1"/>
  <c r="AR5" i="1"/>
  <c r="BM5" i="1"/>
  <c r="AR6" i="1" a="1"/>
  <c r="AR6" i="1"/>
  <c r="BM6" i="1"/>
  <c r="AR7" i="1" a="1"/>
  <c r="AR7" i="1"/>
  <c r="BM7" i="1"/>
  <c r="AR8" i="1" a="1"/>
  <c r="AR8" i="1"/>
  <c r="BM8" i="1"/>
  <c r="AR9" i="1" a="1"/>
  <c r="AR9" i="1"/>
  <c r="BM9" i="1"/>
  <c r="AR10" i="1" a="1"/>
  <c r="AR10" i="1"/>
  <c r="BM10" i="1"/>
  <c r="AR11" i="1" a="1"/>
  <c r="AR11" i="1"/>
  <c r="BM11" i="1"/>
  <c r="AR12" i="1" a="1"/>
  <c r="AR12" i="1"/>
  <c r="BM12" i="1"/>
  <c r="BM13" i="1"/>
  <c r="H2" i="4" a="1"/>
  <c r="AS2" i="1" a="1"/>
  <c r="AS2" i="1"/>
  <c r="BN2" i="1"/>
  <c r="AS3" i="1" a="1"/>
  <c r="AS3" i="1"/>
  <c r="BN3" i="1"/>
  <c r="AS4" i="1" a="1"/>
  <c r="AS4" i="1"/>
  <c r="BN4" i="1"/>
  <c r="AS5" i="1" a="1"/>
  <c r="AS5" i="1"/>
  <c r="BN5" i="1"/>
  <c r="AS6" i="1" a="1"/>
  <c r="AS6" i="1"/>
  <c r="BN6" i="1"/>
  <c r="AS7" i="1" a="1"/>
  <c r="AS7" i="1"/>
  <c r="BN7" i="1"/>
  <c r="AS8" i="1" a="1"/>
  <c r="AS8" i="1"/>
  <c r="BN8" i="1"/>
  <c r="AS9" i="1" a="1"/>
  <c r="AS9" i="1"/>
  <c r="BN9" i="1"/>
  <c r="AS10" i="1" a="1"/>
  <c r="AS10" i="1"/>
  <c r="BN10" i="1"/>
  <c r="AS11" i="1" a="1"/>
  <c r="AS11" i="1"/>
  <c r="BN11" i="1"/>
  <c r="AS12" i="1" a="1"/>
  <c r="AS12" i="1"/>
  <c r="BN12" i="1"/>
  <c r="BN13" i="1"/>
  <c r="I2" i="4" a="1"/>
  <c r="H2" i="4"/>
  <c r="I2" i="4"/>
  <c r="W2" i="4"/>
  <c r="AA2" i="4"/>
  <c r="G3" i="2" a="1"/>
  <c r="G3" i="2"/>
  <c r="H3" i="2" a="1"/>
  <c r="H3" i="2"/>
  <c r="I3" i="2"/>
  <c r="BE2" i="1" a="1"/>
  <c r="BE2" i="1"/>
  <c r="BZ2" i="1"/>
  <c r="BE3" i="1" a="1"/>
  <c r="BE3" i="1"/>
  <c r="BZ3" i="1"/>
  <c r="BE4" i="1" a="1"/>
  <c r="BE4" i="1"/>
  <c r="BZ4" i="1"/>
  <c r="BE5" i="1" a="1"/>
  <c r="BE5" i="1"/>
  <c r="BZ5" i="1"/>
  <c r="BE6" i="1" a="1"/>
  <c r="BE6" i="1"/>
  <c r="BZ6" i="1"/>
  <c r="BE7" i="1" a="1"/>
  <c r="BE7" i="1"/>
  <c r="BZ7" i="1"/>
  <c r="BE8" i="1" a="1"/>
  <c r="BE8" i="1"/>
  <c r="BZ8" i="1"/>
  <c r="BE9" i="1" a="1"/>
  <c r="BE9" i="1"/>
  <c r="BZ9" i="1"/>
  <c r="BE10" i="1" a="1"/>
  <c r="BE10" i="1"/>
  <c r="BZ10" i="1"/>
  <c r="BE11" i="1" a="1"/>
  <c r="BE11" i="1"/>
  <c r="BZ11" i="1"/>
  <c r="BE12" i="1" a="1"/>
  <c r="BE12" i="1"/>
  <c r="BZ12" i="1"/>
  <c r="BZ13" i="1"/>
  <c r="U2" i="4" a="1"/>
  <c r="U2" i="4"/>
  <c r="AC2" i="4"/>
  <c r="G5" i="2" a="1"/>
  <c r="G5" i="2"/>
  <c r="Y2" i="4"/>
  <c r="H5" i="2" a="1"/>
  <c r="H5" i="2"/>
  <c r="I5" i="2"/>
  <c r="I6" i="2"/>
  <c r="L4" i="2"/>
  <c r="J2" i="2"/>
  <c r="L2" i="2"/>
  <c r="J3" i="2"/>
  <c r="L3" i="2"/>
  <c r="J5" i="2"/>
  <c r="L5" i="2"/>
  <c r="M2" i="2"/>
  <c r="O2" i="2"/>
  <c r="M3" i="2"/>
  <c r="O3" i="2"/>
  <c r="M4" i="2"/>
  <c r="O4" i="2"/>
  <c r="M5" i="2"/>
  <c r="O5" i="2"/>
  <c r="O6" i="2"/>
  <c r="L6" i="2"/>
  <c r="CA2" i="1"/>
  <c r="CA3" i="1"/>
  <c r="CA4" i="1"/>
  <c r="CA5" i="1"/>
  <c r="CA6" i="1"/>
  <c r="CA7" i="1"/>
  <c r="CA8" i="1"/>
  <c r="CA9" i="1"/>
  <c r="CA10" i="1"/>
  <c r="CA11" i="1"/>
  <c r="CA12" i="1"/>
  <c r="C14" i="7"/>
  <c r="C13" i="7"/>
  <c r="CA13" i="1"/>
  <c r="H2" i="1"/>
  <c r="BF3" i="1"/>
  <c r="H4" i="1"/>
  <c r="H5" i="1"/>
  <c r="H6" i="1"/>
  <c r="H7" i="1"/>
  <c r="H8" i="1"/>
  <c r="H9" i="1"/>
  <c r="H10" i="1"/>
  <c r="H11" i="1"/>
  <c r="H12" i="1"/>
  <c r="C11" i="7"/>
  <c r="H3" i="1"/>
  <c r="BX4" i="1"/>
  <c r="BX10" i="1"/>
  <c r="BX12" i="1"/>
  <c r="K2" i="2"/>
  <c r="K3" i="2"/>
  <c r="BT2" i="1"/>
  <c r="BU6" i="1"/>
  <c r="BY7" i="1"/>
  <c r="K4" i="2"/>
  <c r="AJ2" i="1"/>
  <c r="AJ3" i="1"/>
  <c r="AJ4" i="1"/>
  <c r="AJ5" i="1"/>
  <c r="AJ6" i="1"/>
  <c r="AJ7" i="1"/>
  <c r="AJ8" i="1"/>
  <c r="AJ9" i="1"/>
  <c r="AJ10" i="1"/>
  <c r="AJ11" i="1"/>
  <c r="AJ12" i="1"/>
  <c r="K5" i="2"/>
  <c r="K6" i="2"/>
  <c r="G6" i="2"/>
  <c r="H6" i="2"/>
  <c r="M6" i="2"/>
  <c r="N2" i="2"/>
  <c r="N3" i="2"/>
  <c r="N4" i="2"/>
  <c r="N5" i="2"/>
  <c r="N6" i="2"/>
  <c r="J6" i="2"/>
  <c r="BE13" i="1"/>
  <c r="AK13" i="1"/>
  <c r="AL13" i="1"/>
  <c r="BC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D13" i="1"/>
  <c r="I2" i="5"/>
  <c r="H2" i="5"/>
  <c r="K2" i="1"/>
  <c r="K3" i="1"/>
  <c r="K4" i="1"/>
  <c r="K5" i="1"/>
  <c r="K6" i="1"/>
  <c r="K7" i="1"/>
  <c r="K8" i="1"/>
  <c r="K9" i="1"/>
  <c r="K10" i="1"/>
  <c r="K11" i="1"/>
  <c r="K12" i="1"/>
  <c r="L2" i="1"/>
  <c r="L3" i="1"/>
  <c r="L4" i="1"/>
  <c r="L5" i="1"/>
  <c r="L6" i="1"/>
  <c r="L7" i="1"/>
  <c r="L8" i="1"/>
  <c r="L9" i="1"/>
  <c r="L10" i="1"/>
  <c r="L11" i="1"/>
  <c r="L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<sst xmlns="http://schemas.openxmlformats.org/spreadsheetml/2006/main" count="306" uniqueCount="224">
  <si>
    <t>bki_projektnummer</t>
  </si>
  <si>
    <t>jahr_kostenstand</t>
  </si>
  <si>
    <t>beschreibung</t>
  </si>
  <si>
    <t>nutzeinheiten</t>
  </si>
  <si>
    <t>bgf</t>
  </si>
  <si>
    <t>bki_objektdaten_band</t>
  </si>
  <si>
    <t>kg_200</t>
  </si>
  <si>
    <t>kg_310</t>
  </si>
  <si>
    <t>kg_320</t>
  </si>
  <si>
    <t>kg_330</t>
  </si>
  <si>
    <t>kg_340</t>
  </si>
  <si>
    <t>kg_350</t>
  </si>
  <si>
    <t>kg_360</t>
  </si>
  <si>
    <t>kg_390</t>
  </si>
  <si>
    <t>kg_410</t>
  </si>
  <si>
    <t>kg_420</t>
  </si>
  <si>
    <t>kg_430</t>
  </si>
  <si>
    <t>kg_440</t>
  </si>
  <si>
    <t>kg_450</t>
  </si>
  <si>
    <t>kg_460</t>
  </si>
  <si>
    <t>kg_480</t>
  </si>
  <si>
    <t>kg_490</t>
  </si>
  <si>
    <t>kg_500</t>
  </si>
  <si>
    <t>kg_600</t>
  </si>
  <si>
    <t>1300-0234</t>
  </si>
  <si>
    <t>N18</t>
  </si>
  <si>
    <t>Bürogebäude</t>
  </si>
  <si>
    <t>2022 Q1</t>
  </si>
  <si>
    <t>bri</t>
  </si>
  <si>
    <t>kg_380</t>
  </si>
  <si>
    <t>None</t>
  </si>
  <si>
    <t>1300-0271</t>
  </si>
  <si>
    <t>kosten_gesamt</t>
  </si>
  <si>
    <t>kg_470</t>
  </si>
  <si>
    <t>1300-0272</t>
  </si>
  <si>
    <t>1300-0273</t>
  </si>
  <si>
    <t>1300-0231</t>
  </si>
  <si>
    <t>N17</t>
  </si>
  <si>
    <t>2020 Q4</t>
  </si>
  <si>
    <t>Bürogebäude mit TG</t>
  </si>
  <si>
    <t>1300-0253</t>
  </si>
  <si>
    <t>standard</t>
  </si>
  <si>
    <t>Durchschnitt</t>
  </si>
  <si>
    <t>über Durchschnitt</t>
  </si>
  <si>
    <t>1300-0220</t>
  </si>
  <si>
    <t>N15</t>
  </si>
  <si>
    <t>Bürogebäude (Bank)</t>
  </si>
  <si>
    <t>2016 Q4</t>
  </si>
  <si>
    <t>1300-0225</t>
  </si>
  <si>
    <t>1300-0179</t>
  </si>
  <si>
    <t>N13</t>
  </si>
  <si>
    <t>Verwaltungsgebäude</t>
  </si>
  <si>
    <t>1300-0180</t>
  </si>
  <si>
    <t>Polizeigebäude</t>
  </si>
  <si>
    <t>1300-0213</t>
  </si>
  <si>
    <t>2015 Q2</t>
  </si>
  <si>
    <t>bri_bgf</t>
  </si>
  <si>
    <t>kosten300400_bgf</t>
  </si>
  <si>
    <t>kg_310_bgi</t>
  </si>
  <si>
    <t>kg_320_grf</t>
  </si>
  <si>
    <t>kg_350_def</t>
  </si>
  <si>
    <t>kg_340_iwf</t>
  </si>
  <si>
    <t>kg_330_awf</t>
  </si>
  <si>
    <t>kg_360_daf</t>
  </si>
  <si>
    <t>1300_0175</t>
  </si>
  <si>
    <t>N11</t>
  </si>
  <si>
    <t>2012 Q2</t>
  </si>
  <si>
    <t>kg_500_auf</t>
  </si>
  <si>
    <t>kg_700_anteil</t>
  </si>
  <si>
    <t>kosten_300+400</t>
  </si>
  <si>
    <t>kosten300+400_bgf</t>
  </si>
  <si>
    <t>faktor_baupreis</t>
  </si>
  <si>
    <t>index_quelle</t>
  </si>
  <si>
    <t>index_ziel</t>
  </si>
  <si>
    <t>kg_200_korrigiert</t>
  </si>
  <si>
    <t>kg_310_korrigiert</t>
  </si>
  <si>
    <t>kg_320_korrigiert</t>
  </si>
  <si>
    <t>kg_330_korrigiert</t>
  </si>
  <si>
    <t>kg_340_korrigiert</t>
  </si>
  <si>
    <t>kg_350_korrigiert</t>
  </si>
  <si>
    <t>kg_360_korrigiert</t>
  </si>
  <si>
    <t>kg_380_korrigiert</t>
  </si>
  <si>
    <t>kg_390_korrigiert</t>
  </si>
  <si>
    <t>kg_410_korrigiert</t>
  </si>
  <si>
    <t>kg_420_korrigiert</t>
  </si>
  <si>
    <t>kg_430_korrigiert</t>
  </si>
  <si>
    <t>kg_440_korrigiert</t>
  </si>
  <si>
    <t>kg_450_korrigiert</t>
  </si>
  <si>
    <t>kg_460_korrigiert</t>
  </si>
  <si>
    <t>kg_470_korrigiert</t>
  </si>
  <si>
    <t>kg_480_korrigiert</t>
  </si>
  <si>
    <t>kg_490_korrigiert</t>
  </si>
  <si>
    <t>kg_500_korrigiert</t>
  </si>
  <si>
    <t>kg_600_korrigiert</t>
  </si>
  <si>
    <t>Ergebnis</t>
  </si>
  <si>
    <t>kg_200_det</t>
  </si>
  <si>
    <t>kg_310_det</t>
  </si>
  <si>
    <t>kg_320_det</t>
  </si>
  <si>
    <t>kg_330_det</t>
  </si>
  <si>
    <t>kg_340_det</t>
  </si>
  <si>
    <t>kg_350_det</t>
  </si>
  <si>
    <t>kg_360_det</t>
  </si>
  <si>
    <t>kg_380_det</t>
  </si>
  <si>
    <t>kg_390_det</t>
  </si>
  <si>
    <t>kg_410_det</t>
  </si>
  <si>
    <t>kg_420_det</t>
  </si>
  <si>
    <t>kg_430_det</t>
  </si>
  <si>
    <t>kg_440_det</t>
  </si>
  <si>
    <t>kg_450_det</t>
  </si>
  <si>
    <t>kg_460_det</t>
  </si>
  <si>
    <t>kg_470_det</t>
  </si>
  <si>
    <t>kg_480_det</t>
  </si>
  <si>
    <t>kg_490_det</t>
  </si>
  <si>
    <t>kg_500_det</t>
  </si>
  <si>
    <t>kg_600_det</t>
  </si>
  <si>
    <t>kg_700_det</t>
  </si>
  <si>
    <t>kg_700_korrigiert</t>
  </si>
  <si>
    <t>partner</t>
  </si>
  <si>
    <t>partner1</t>
  </si>
  <si>
    <t>partner2</t>
  </si>
  <si>
    <t>partner3</t>
  </si>
  <si>
    <t>partner4</t>
  </si>
  <si>
    <t>gewerk</t>
  </si>
  <si>
    <t>erdbau</t>
  </si>
  <si>
    <t>rohbau_ausbau</t>
  </si>
  <si>
    <t>tga</t>
  </si>
  <si>
    <t>planung</t>
  </si>
  <si>
    <t>KG 300</t>
  </si>
  <si>
    <t>KG 400+600</t>
  </si>
  <si>
    <t>KG 700</t>
  </si>
  <si>
    <t>kg_700_anteil_p1</t>
  </si>
  <si>
    <t>kg_200_korrigiert_db</t>
  </si>
  <si>
    <t>kg_310_korrigiert_db</t>
  </si>
  <si>
    <t>kg_320_korrigiert_db</t>
  </si>
  <si>
    <t>kg_330_korrigiert_db</t>
  </si>
  <si>
    <t>kg_340_korrigiert_db</t>
  </si>
  <si>
    <t>kg_350_korrigiert_db</t>
  </si>
  <si>
    <t>kg_360_korrigiert_db</t>
  </si>
  <si>
    <t>kg_380_korrigiert_db</t>
  </si>
  <si>
    <t>kg_390_korrigiert_db</t>
  </si>
  <si>
    <t>kg_410_korrigiert_db</t>
  </si>
  <si>
    <t>kg_420_korrigiert_db</t>
  </si>
  <si>
    <t>kg_430_korrigiert_db</t>
  </si>
  <si>
    <t>kg_440_korrigiert_db</t>
  </si>
  <si>
    <t>kg_450_korrigiert_db</t>
  </si>
  <si>
    <t>kg_460_korrigiert_db</t>
  </si>
  <si>
    <t>kg_470_korrigiert_db</t>
  </si>
  <si>
    <t>kg_480_korrigiert_db</t>
  </si>
  <si>
    <t>kg_490_korrigiert_db</t>
  </si>
  <si>
    <t>kg_500_korrigiert_db</t>
  </si>
  <si>
    <t>kg_600_korrigiert_db</t>
  </si>
  <si>
    <t>kg_700_korrigiert_db</t>
  </si>
  <si>
    <t>kg_200_gr</t>
  </si>
  <si>
    <t>leistungsbereiche phase 1</t>
  </si>
  <si>
    <t>leistungsbereiche phase 2</t>
  </si>
  <si>
    <t>KG 200, 700</t>
  </si>
  <si>
    <t>bb</t>
  </si>
  <si>
    <t>db</t>
  </si>
  <si>
    <t>db_prob</t>
  </si>
  <si>
    <t>b</t>
  </si>
  <si>
    <t>bb_prob</t>
  </si>
  <si>
    <t>§ 34 Leistungsbild Gebäude und Innenräume</t>
  </si>
  <si>
    <t>I</t>
  </si>
  <si>
    <t>II</t>
  </si>
  <si>
    <t>-</t>
  </si>
  <si>
    <t>KG 700 LP 1-5</t>
  </si>
  <si>
    <t>KG 700 LP 8,9</t>
  </si>
  <si>
    <t>KG 310, 500</t>
  </si>
  <si>
    <t>kg_700_korrigiert_db_phase2</t>
  </si>
  <si>
    <t>k_phase1_det</t>
  </si>
  <si>
    <t>k_phase2_det</t>
  </si>
  <si>
    <t>k_det</t>
  </si>
  <si>
    <t>db_det</t>
  </si>
  <si>
    <t>p_det</t>
  </si>
  <si>
    <t>bb_det</t>
  </si>
  <si>
    <t>partner1_k_phase2_det</t>
  </si>
  <si>
    <t>partner2_k_phase2_det</t>
  </si>
  <si>
    <t>partner3_k_phase2_det</t>
  </si>
  <si>
    <t>partner4_k_phase2_det</t>
  </si>
  <si>
    <t>partner1_k_phase1_det</t>
  </si>
  <si>
    <t>partner2_k_phase1_det</t>
  </si>
  <si>
    <t>partner3_k_phase1_det</t>
  </si>
  <si>
    <t>partner4_k_phase1_det</t>
  </si>
  <si>
    <t>Außenwände</t>
  </si>
  <si>
    <t>Innenwände</t>
  </si>
  <si>
    <t>Decken</t>
  </si>
  <si>
    <t>Dächer</t>
  </si>
  <si>
    <t>Förderanlagen</t>
  </si>
  <si>
    <t>Außenanlagen</t>
  </si>
  <si>
    <t>Ausstattung</t>
  </si>
  <si>
    <t>KG 310</t>
  </si>
  <si>
    <t>KG 320</t>
  </si>
  <si>
    <t>KG 330</t>
  </si>
  <si>
    <t>KG 340</t>
  </si>
  <si>
    <t>KG 350</t>
  </si>
  <si>
    <t>KG 360</t>
  </si>
  <si>
    <t>KG 380</t>
  </si>
  <si>
    <t>KG 390</t>
  </si>
  <si>
    <t>KG 410</t>
  </si>
  <si>
    <t>KG 420</t>
  </si>
  <si>
    <t>KG 430</t>
  </si>
  <si>
    <t>KG 440</t>
  </si>
  <si>
    <t>KG 450</t>
  </si>
  <si>
    <t>KG 460</t>
  </si>
  <si>
    <t>KG 470</t>
  </si>
  <si>
    <t>KG 480</t>
  </si>
  <si>
    <t>KG 490</t>
  </si>
  <si>
    <t>KG 500</t>
  </si>
  <si>
    <t>KG 600</t>
  </si>
  <si>
    <t>Baugrube</t>
  </si>
  <si>
    <t>Gründung</t>
  </si>
  <si>
    <t>Einbauten</t>
  </si>
  <si>
    <t>Sonstiges</t>
  </si>
  <si>
    <t>Wärme</t>
  </si>
  <si>
    <t>Wasser, Gas</t>
  </si>
  <si>
    <t>RLT</t>
  </si>
  <si>
    <t>ELT</t>
  </si>
  <si>
    <t>GA</t>
  </si>
  <si>
    <t>Planung (Phase 2)</t>
  </si>
  <si>
    <t>text</t>
  </si>
  <si>
    <t>Nutzungsspez.</t>
  </si>
  <si>
    <t>Komm./IT</t>
  </si>
  <si>
    <t>title</t>
  </si>
  <si>
    <t>bki_objektnummer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</si>
</sst>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00"/>
    <numFmt numFmtId="165" formatCode="0.0"/>
    <numFmt numFmtId="166" formatCode="_-* #,##0.00\ _€_-;\-* #,##0.00\ _€_-;_-* &quot;-&quot;??\ _€_-;_-@_-"/>
    <numFmt numFmtId="167" formatCode="_-* #,##0.000_-;\-* #,##0.000_-;_-* &quot;-&quot;??_-;_-@_-"/>
    <numFmt numFmtId="168" formatCode="_-* #,##0.0000_-;\-* #,##0.0000_-;_-* &quot;-&quot;??_-;_-@_-"/>
    <numFmt numFmtId="169" formatCode="_-* #,##0_-;\-* #,##0_-;_-* &quot;-&quot;??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4" fontId="0" fillId="0" borderId="0" xfId="0" applyNumberFormat="1"/>
    <xf numFmtId="43" fontId="0" fillId="0" borderId="0" xfId="1" applyFont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0" xfId="1" applyNumberFormat="1" applyFont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44" fontId="0" fillId="4" borderId="0" xfId="0" applyNumberFormat="1" applyFill="1"/>
    <xf numFmtId="166" fontId="0" fillId="0" borderId="0" xfId="0" applyNumberFormat="1"/>
    <xf numFmtId="167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8" fontId="0" fillId="0" borderId="0" xfId="0" applyNumberFormat="1"/>
    <xf numFmtId="169" fontId="0" fillId="0" borderId="0" xfId="1" applyNumberFormat="1" applyFont="1"/>
    <xf numFmtId="169" fontId="0" fillId="0" borderId="0" xfId="0" applyNumberFormat="1"/>
    <xf numFmtId="2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3" fillId="2" borderId="8" xfId="0" applyFont="1" applyFill="1" applyBorder="1"/>
    <xf numFmtId="0" fontId="0" fillId="0" borderId="9" xfId="0" applyBorder="1"/>
    <xf numFmtId="0" fontId="0" fillId="0" borderId="10" xfId="0" applyBorder="1"/>
  </cellXfs>
  <cellStyles count="2">
    <cellStyle name="Komma" xfId="1" builtinId="3"/>
    <cellStyle name="Standard" xfId="0" builtinId="0"/>
  </cellStyles>
  <dxfs count="180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68" formatCode="_-* #,##0.0000_-;\-* #,##0.0000_-;_-* &quot;-&quot;??_-;_-@_-"/>
    </dxf>
    <dxf>
      <numFmt numFmtId="168" formatCode="_-* #,##0.0000_-;\-* #,##0.0000_-;_-* &quot;-&quot;??_-;_-@_-"/>
    </dxf>
    <dxf>
      <numFmt numFmtId="167" formatCode="_-* #,##0.000_-;\-* #,##0.000_-;_-* &quot;-&quot;??_-;_-@_-"/>
    </dxf>
    <dxf>
      <numFmt numFmtId="167" formatCode="_-* #,##0.000_-;\-* #,##0.00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8" formatCode="_-* #,##0.0000_-;\-* #,##0.0000_-;_-* &quot;-&quot;??_-;_-@_-"/>
    </dxf>
    <dxf>
      <numFmt numFmtId="168" formatCode="_-* #,##0.0000_-;\-* #,##0.000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169" formatCode="_-* #,##0_-;\-* #,##0_-;_-* &quot;-&quot;??_-;_-@_-"/>
    </dxf>
    <dxf>
      <numFmt numFmtId="0" formatCode="General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5" formatCode="_-* #,##0.00_-;\-* #,##0.00_-;_-* &quot;-&quot;??_-;_-@_-"/>
    </dxf>
    <dxf>
      <numFmt numFmtId="164" formatCode="0.000"/>
    </dxf>
    <dxf>
      <numFmt numFmtId="165" formatCode="0.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B79AC-5701-BA42-A9F3-FB43D8C21905}" name="Tabelle1" displayName="Tabelle1" ref="A1:CA13" totalsRowCount="1">
  <autoFilter ref="A1:CA12" xr:uid="{7A8B79AC-5701-BA42-A9F3-FB43D8C21905}"/>
  <tableColumns count="79">
    <tableColumn id="1" xr3:uid="{233B5FCE-3E14-6442-9338-0D8F907D8892}" name="bki_objektnummer" totalsRowLabel="Ergebnis"/>
    <tableColumn id="2" xr3:uid="{72D84F02-953F-2544-974C-B1E26E27D607}" name="bki_objektdaten_band"/>
    <tableColumn id="3" xr3:uid="{68F547DA-CE10-2B4D-8282-368773FA9BB1}" name="beschreibung"/>
    <tableColumn id="4" xr3:uid="{3D9552F5-E23E-A04E-A063-8A8668B4090D}" name="nutzeinheiten"/>
    <tableColumn id="5" xr3:uid="{3A0F5FD0-A027-9B41-92A4-4CC03F574D72}" name="jahr_kostenstand"/>
    <tableColumn id="35" xr3:uid="{5E7AC270-6296-4A48-9F8E-7C693858A364}" name="index_quelle" dataDxfId="179"/>
    <tableColumn id="34" xr3:uid="{F9E6E566-3233-584B-BF8C-5C9C7486A47D}" name="index_ziel" dataDxfId="178"/>
    <tableColumn id="15" xr3:uid="{AF1DF713-C61E-B743-B295-6BD998092740}" name="faktor_baupreis" dataDxfId="177">
      <calculatedColumnFormula>Tabelle1[[#This Row],[index_ziel]]/Tabelle1[[#This Row],[index_quelle]]</calculatedColumnFormula>
    </tableColumn>
    <tableColumn id="6" xr3:uid="{C6EEBF20-DEEB-0A45-B694-7AF8C4026297}" name="bgf" dataCellStyle="Komma"/>
    <tableColumn id="7" xr3:uid="{3353BF34-990E-3C4B-8E47-7D4FD9CE49E4}" name="bri" dataCellStyle="Komma"/>
    <tableColumn id="33" xr3:uid="{81BD88D3-7B99-A444-9E20-C16A48BCA504}" name="bri_bgf" dataDxfId="176" dataCellStyle="Komma">
      <calculatedColumnFormula>Tabelle1[[#This Row],[bri]]/Tabelle1[[#This Row],[bgf]]</calculatedColumnFormula>
    </tableColumn>
    <tableColumn id="28" xr3:uid="{6201178C-006A-2D4A-9D7D-BCF13F1FFE66}" name="kosten_300+400" dataDxfId="175">
      <calculatedColumnFormula>Tabelle1[[#This Row],[bgf]]*Tabelle1[[#This Row],[kosten300+400_bgf]]</calculatedColumnFormula>
    </tableColumn>
    <tableColumn id="29" xr3:uid="{393CBC0C-EA99-4F4F-9654-3CF45A04601A}" name="kosten300+400_bgf" dataDxfId="174"/>
    <tableColumn id="32" xr3:uid="{E63CAB4D-EF0E-C943-BF45-56E5FA6C8640}" name="standard" dataDxfId="173"/>
    <tableColumn id="57" xr3:uid="{D3A0DADC-D8D0-9C4D-AF0E-D0B3486297A0}" name="kg_700_anteil_p1" dataDxfId="21"/>
    <tableColumn id="8" xr3:uid="{482F2ACB-8C6A-BC43-B202-E6B1EF5B8128}" name="kg_200" dataDxfId="22"/>
    <tableColumn id="9" xr3:uid="{B9E34F29-0E7F-9A47-BAEC-B9262C062DB8}" name="kg_310" dataDxfId="20"/>
    <tableColumn id="10" xr3:uid="{15AC4714-C78C-AC4B-95D3-7224176D0EF8}" name="kg_320" dataDxfId="19"/>
    <tableColumn id="11" xr3:uid="{BF602ADE-AAD7-0E42-A8B2-2DEDEEF68D53}" name="kg_330" dataDxfId="18"/>
    <tableColumn id="12" xr3:uid="{04F5C50C-ABE6-EC4C-94B7-4CD26A600691}" name="kg_340" dataDxfId="17"/>
    <tableColumn id="13" xr3:uid="{36DF2BE2-1002-FF4B-9241-02230E57EC05}" name="kg_350" dataDxfId="16"/>
    <tableColumn id="14" xr3:uid="{556A1917-01A9-F94C-9199-1CB15F1D1A24}" name="kg_360" dataDxfId="15"/>
    <tableColumn id="16" xr3:uid="{057B7F9B-6949-4740-AE95-6C74DBE00A5D}" name="kg_380" dataDxfId="14"/>
    <tableColumn id="17" xr3:uid="{76A04CDD-4893-7241-920D-EE93F3855048}" name="kg_390" dataDxfId="12"/>
    <tableColumn id="18" xr3:uid="{1475029A-E1BB-2B4E-AC01-F49701CAAB4E}" name="kg_410" dataDxfId="13"/>
    <tableColumn id="19" xr3:uid="{CA47965F-ECC6-2E49-86FF-290D98FB06EB}" name="kg_420" dataDxfId="11"/>
    <tableColumn id="20" xr3:uid="{88FC2713-D81D-8F48-ABEC-30A59114FE27}" name="kg_430" dataDxfId="10"/>
    <tableColumn id="21" xr3:uid="{2C8A87CB-739C-AD4E-A40A-E791F8045B32}" name="kg_440" dataDxfId="9"/>
    <tableColumn id="22" xr3:uid="{D8477BCC-C394-974E-97F4-DA40E9E2C44F}" name="kg_450" dataDxfId="8"/>
    <tableColumn id="23" xr3:uid="{2E3FB29B-E3E2-CF4D-A570-CCF8636745D9}" name="kg_460" dataDxfId="7"/>
    <tableColumn id="31" xr3:uid="{7E887027-8B35-7F40-A57F-6B9F4AEB9C98}" name="kg_470" dataDxfId="6"/>
    <tableColumn id="24" xr3:uid="{37BC3592-15E2-6E49-9073-EC5BE20C58E8}" name="kg_480" dataDxfId="5"/>
    <tableColumn id="25" xr3:uid="{1DAD7403-21B7-0A47-912F-87E6A48A11EE}" name="kg_490" dataDxfId="4"/>
    <tableColumn id="26" xr3:uid="{4CC030C7-F712-7049-B738-484C54A903A3}" name="kg_500" dataDxfId="3"/>
    <tableColumn id="27" xr3:uid="{EBAC036E-48E8-1D4E-8707-72563028C266}" name="kg_600" dataDxfId="2"/>
    <tableColumn id="30" xr3:uid="{0997CF99-BBF2-E744-8E8D-A2FC1A48912D}" name="kg_700_anteil" dataDxfId="1">
      <calculatedColumnFormula>Tabelle1[[#This Row],[kg_700_anteil_p1]]*Tabelle1[[#This Row],[kosten300+400_bgf]]</calculatedColumnFormula>
    </tableColumn>
    <tableColumn id="36" xr3:uid="{DE0C3BCE-8F2D-9D40-9798-2A95ED76BF15}" name="kg_200_korrigiert" totalsRowFunction="average" dataDxfId="0" totalsRowDxfId="76">
      <calculatedColumnFormula array="1">IF(ISERROR(Tabelle1[[#This Row],[faktor_baupreis]:[faktor_baupreis]]*Tabelle1[[#This Row],[kg_200]]),"None",Tabelle1[[#This Row],[faktor_baupreis]:[faktor_baupreis]]*Tabelle1[[#This Row],[kg_200]]/1.19)</calculatedColumnFormula>
    </tableColumn>
    <tableColumn id="37" xr3:uid="{30BE042C-5F7E-784E-93DD-25229B9A6CF2}" name="kg_310_korrigiert" totalsRowFunction="average" dataDxfId="172" totalsRowDxfId="75">
      <calculatedColumnFormula array="1">IF(ISERROR(Tabelle1[[#This Row],[faktor_baupreis]:[faktor_baupreis]]*Tabelle1[[#This Row],[kg_310]]),"None",Tabelle1[[#This Row],[faktor_baupreis]:[faktor_baupreis]]*Tabelle1[[#This Row],[kg_310]]/1.19)</calculatedColumnFormula>
    </tableColumn>
    <tableColumn id="38" xr3:uid="{4C984E4C-64CE-2949-8EEA-B2E01B8AF2DE}" name="kg_320_korrigiert" totalsRowFunction="average" dataDxfId="171" totalsRowDxfId="74">
      <calculatedColumnFormula array="1">IF(ISERROR(Tabelle1[[#This Row],[faktor_baupreis]:[faktor_baupreis]]*Tabelle1[[#This Row],[kg_320]]),"None",Tabelle1[[#This Row],[faktor_baupreis]:[faktor_baupreis]]*Tabelle1[[#This Row],[kg_320]]/1.19)</calculatedColumnFormula>
    </tableColumn>
    <tableColumn id="39" xr3:uid="{65854383-CA97-5A44-86F2-9227336BEB0D}" name="kg_330_korrigiert" totalsRowFunction="average" dataDxfId="170" totalsRowDxfId="73">
      <calculatedColumnFormula array="1">IF(ISERROR(Tabelle1[[#This Row],[faktor_baupreis]:[faktor_baupreis]]*Tabelle1[[#This Row],[kg_330]]),"None",Tabelle1[[#This Row],[faktor_baupreis]:[faktor_baupreis]]*Tabelle1[[#This Row],[kg_330]]/1.19)</calculatedColumnFormula>
    </tableColumn>
    <tableColumn id="40" xr3:uid="{880BF165-F9D1-9D4C-BAE8-9FBF20F7793D}" name="kg_340_korrigiert" totalsRowFunction="average" dataDxfId="169" totalsRowDxfId="72">
      <calculatedColumnFormula array="1">IF(ISERROR(Tabelle1[[#This Row],[faktor_baupreis]:[faktor_baupreis]]*Tabelle1[[#This Row],[kg_340]]),"None",Tabelle1[[#This Row],[faktor_baupreis]:[faktor_baupreis]]*Tabelle1[[#This Row],[kg_340]]/1.19)</calculatedColumnFormula>
    </tableColumn>
    <tableColumn id="41" xr3:uid="{3BC3BD19-823D-A34B-8454-2D1170EAECA8}" name="kg_350_korrigiert" totalsRowFunction="average" dataDxfId="168" totalsRowDxfId="71">
      <calculatedColumnFormula array="1">IF(ISERROR(Tabelle1[[#This Row],[faktor_baupreis]:[faktor_baupreis]]*Tabelle1[[#This Row],[kg_350]]),"None",Tabelle1[[#This Row],[faktor_baupreis]:[faktor_baupreis]]*Tabelle1[[#This Row],[kg_350]]/1.19)</calculatedColumnFormula>
    </tableColumn>
    <tableColumn id="42" xr3:uid="{1B4D9131-E0A0-024E-B018-DB8738901427}" name="kg_360_korrigiert" totalsRowFunction="average" dataDxfId="167" totalsRowDxfId="70">
      <calculatedColumnFormula array="1">IF(ISERROR(Tabelle1[[#This Row],[faktor_baupreis]:[faktor_baupreis]]*Tabelle1[[#This Row],[kg_360]]),"None",Tabelle1[[#This Row],[faktor_baupreis]:[faktor_baupreis]]*Tabelle1[[#This Row],[kg_360]]/1.19)</calculatedColumnFormula>
    </tableColumn>
    <tableColumn id="43" xr3:uid="{9DE4CBE0-1DDC-FB43-80DD-D03EC7DA9358}" name="kg_380_korrigiert" totalsRowFunction="average" dataDxfId="166" totalsRowDxfId="69">
      <calculatedColumnFormula array="1">IF(ISERROR(Tabelle1[[#This Row],[faktor_baupreis]:[faktor_baupreis]]*Tabelle1[[#This Row],[kg_380]]),"None",Tabelle1[[#This Row],[faktor_baupreis]:[faktor_baupreis]]*Tabelle1[[#This Row],[kg_380]]/1.19)</calculatedColumnFormula>
    </tableColumn>
    <tableColumn id="44" xr3:uid="{4810D151-F61F-934D-8BF0-D28D4686F1DE}" name="kg_390_korrigiert" totalsRowFunction="average" dataDxfId="165" totalsRowDxfId="68">
      <calculatedColumnFormula array="1">IF(ISERROR(Tabelle1[[#This Row],[faktor_baupreis]:[faktor_baupreis]]*Tabelle1[[#This Row],[kg_390]]),"None",Tabelle1[[#This Row],[faktor_baupreis]:[faktor_baupreis]]*Tabelle1[[#This Row],[kg_390]]/1.19)</calculatedColumnFormula>
    </tableColumn>
    <tableColumn id="45" xr3:uid="{38CE660E-06F4-4741-96A0-77E35B868123}" name="kg_410_korrigiert" totalsRowFunction="average" dataDxfId="164" totalsRowDxfId="67">
      <calculatedColumnFormula array="1">IF(ISERROR(Tabelle1[[#This Row],[faktor_baupreis]:[faktor_baupreis]]*Tabelle1[[#This Row],[kg_410]]),"None",Tabelle1[[#This Row],[faktor_baupreis]:[faktor_baupreis]]*Tabelle1[[#This Row],[kg_410]]/1.19)</calculatedColumnFormula>
    </tableColumn>
    <tableColumn id="46" xr3:uid="{B2FF96DF-5E6A-0D40-B65A-74FC1930D0B0}" name="kg_420_korrigiert" totalsRowFunction="average" dataDxfId="163" totalsRowDxfId="66">
      <calculatedColumnFormula array="1">IF(ISERROR(Tabelle1[[#This Row],[faktor_baupreis]:[faktor_baupreis]]*Tabelle1[[#This Row],[kg_420]]),"None",Tabelle1[[#This Row],[faktor_baupreis]:[faktor_baupreis]]*Tabelle1[[#This Row],[kg_420]]/1.19)</calculatedColumnFormula>
    </tableColumn>
    <tableColumn id="47" xr3:uid="{D49FF535-082B-2F4C-82E8-773661CB97C6}" name="kg_430_korrigiert" totalsRowFunction="average" dataDxfId="162" totalsRowDxfId="65">
      <calculatedColumnFormula array="1">IF(ISERROR(Tabelle1[[#This Row],[faktor_baupreis]:[faktor_baupreis]]*Tabelle1[[#This Row],[kg_430]]),"None",Tabelle1[[#This Row],[faktor_baupreis]:[faktor_baupreis]]*Tabelle1[[#This Row],[kg_430]]/1.19)</calculatedColumnFormula>
    </tableColumn>
    <tableColumn id="48" xr3:uid="{A8564FF2-229B-1540-942B-D26920DAB245}" name="kg_440_korrigiert" totalsRowFunction="average" dataDxfId="161" totalsRowDxfId="64">
      <calculatedColumnFormula array="1">IF(ISERROR(Tabelle1[[#This Row],[faktor_baupreis]:[faktor_baupreis]]*Tabelle1[[#This Row],[kg_440]]),"None",Tabelle1[[#This Row],[faktor_baupreis]:[faktor_baupreis]]*Tabelle1[[#This Row],[kg_440]]/1.19)</calculatedColumnFormula>
    </tableColumn>
    <tableColumn id="49" xr3:uid="{01FF223F-7E88-6148-8C06-26383BD66F8B}" name="kg_450_korrigiert" totalsRowFunction="average" dataDxfId="160" totalsRowDxfId="63">
      <calculatedColumnFormula array="1">IF(ISERROR(Tabelle1[[#This Row],[faktor_baupreis]:[faktor_baupreis]]*Tabelle1[[#This Row],[kg_450]]),"None",Tabelle1[[#This Row],[faktor_baupreis]:[faktor_baupreis]]*Tabelle1[[#This Row],[kg_450]]/1.19)</calculatedColumnFormula>
    </tableColumn>
    <tableColumn id="50" xr3:uid="{F92A059D-8FCE-6445-BDA5-38D71E8B9374}" name="kg_460_korrigiert" totalsRowFunction="average" dataDxfId="159" totalsRowDxfId="62">
      <calculatedColumnFormula array="1">IF(ISERROR(Tabelle1[[#This Row],[faktor_baupreis]:[faktor_baupreis]]*Tabelle1[[#This Row],[kg_460]]),"None",Tabelle1[[#This Row],[faktor_baupreis]:[faktor_baupreis]]*Tabelle1[[#This Row],[kg_460]]/1.19)</calculatedColumnFormula>
    </tableColumn>
    <tableColumn id="51" xr3:uid="{5DEB4777-EDE1-2246-AA03-398099F6A350}" name="kg_470_korrigiert" totalsRowFunction="average" dataDxfId="158" totalsRowDxfId="61">
      <calculatedColumnFormula array="1">IF(ISERROR(Tabelle1[[#This Row],[faktor_baupreis]:[faktor_baupreis]]*Tabelle1[[#This Row],[kg_470]]),"None",Tabelle1[[#This Row],[faktor_baupreis]:[faktor_baupreis]]*Tabelle1[[#This Row],[kg_470]]/1.19)</calculatedColumnFormula>
    </tableColumn>
    <tableColumn id="52" xr3:uid="{0B70EDEC-7FF9-6C4F-B1B9-2584D2087D36}" name="kg_480_korrigiert" totalsRowFunction="average" dataDxfId="157" totalsRowDxfId="60">
      <calculatedColumnFormula array="1">IF(ISERROR(Tabelle1[[#This Row],[faktor_baupreis]:[faktor_baupreis]]*Tabelle1[[#This Row],[kg_480]]),"None",Tabelle1[[#This Row],[faktor_baupreis]:[faktor_baupreis]]*Tabelle1[[#This Row],[kg_480]]/1.19)</calculatedColumnFormula>
    </tableColumn>
    <tableColumn id="53" xr3:uid="{C48A0E8F-76CA-D146-99F5-847431FEC2D8}" name="kg_490_korrigiert" totalsRowFunction="average" dataDxfId="156" totalsRowDxfId="59">
      <calculatedColumnFormula array="1">IF(ISERROR(Tabelle1[[#This Row],[faktor_baupreis]:[faktor_baupreis]]*Tabelle1[[#This Row],[kg_490]]),"None",Tabelle1[[#This Row],[faktor_baupreis]:[faktor_baupreis]]*Tabelle1[[#This Row],[kg_490]]/1.19)</calculatedColumnFormula>
    </tableColumn>
    <tableColumn id="54" xr3:uid="{05605AD9-D164-4B49-9EC0-7AAED7EAD87F}" name="kg_500_korrigiert" totalsRowFunction="average" dataDxfId="155" totalsRowDxfId="58">
      <calculatedColumnFormula array="1">IF(ISERROR(Tabelle1[[#This Row],[faktor_baupreis]:[faktor_baupreis]]*Tabelle1[[#This Row],[kg_500]]),"None",Tabelle1[[#This Row],[faktor_baupreis]:[faktor_baupreis]]*Tabelle1[[#This Row],[kg_500]]/1.19)</calculatedColumnFormula>
    </tableColumn>
    <tableColumn id="55" xr3:uid="{1F2663CA-81F4-B646-8131-902FDFF167D1}" name="kg_600_korrigiert" totalsRowFunction="average" dataDxfId="154" totalsRowDxfId="57">
      <calculatedColumnFormula array="1">IF(ISERROR(Tabelle1[[#This Row],[faktor_baupreis]:[faktor_baupreis]]*Tabelle1[[#This Row],[kg_600]]),"None",Tabelle1[[#This Row],[faktor_baupreis]:[faktor_baupreis]]*Tabelle1[[#This Row],[kg_600]]/1.19)</calculatedColumnFormula>
    </tableColumn>
    <tableColumn id="56" xr3:uid="{3676C3EA-5053-A14F-82E6-803F82C64A13}" name="kg_700_korrigiert" totalsRowFunction="average" dataDxfId="40" totalsRowDxfId="56">
      <calculatedColumnFormula array="1">IF(ISERROR(Tabelle1[[#This Row],[faktor_baupreis]:[faktor_baupreis]]*Tabelle1[[#This Row],[kg_700_anteil]]),"None",Tabelle1[[#This Row],[faktor_baupreis]:[faktor_baupreis]]*Tabelle1[[#This Row],[kg_700_anteil]]/1.19)</calculatedColumnFormula>
    </tableColumn>
    <tableColumn id="58" xr3:uid="{C3D15E94-0F0E-F740-B1C5-3419233CD035}" name="kg_200_korrigiert_db" totalsRowFunction="average" dataDxfId="42" totalsRowDxfId="41">
      <calculatedColumnFormula>IF(ISERROR(Tabelle1[[#This Row],[kg_200_korrigiert]]/(1+partner!$E$2)),"None",Tabelle1[[#This Row],[kg_200_korrigiert]]/(1+partner!$E$2))</calculatedColumnFormula>
    </tableColumn>
    <tableColumn id="59" xr3:uid="{BA8A70BF-6082-314D-B2E5-8294D3B03387}" name="kg_310_korrigiert_db" totalsRowFunction="average" dataDxfId="39" totalsRowDxfId="38">
      <calculatedColumnFormula>IF(ISERROR(Tabelle1[[#This Row],[kg_310_korrigiert]]/(1+partner!$E$2)),"None",Tabelle1[[#This Row],[kg_310_korrigiert]]/(1+partner!$E$2))</calculatedColumnFormula>
    </tableColumn>
    <tableColumn id="60" xr3:uid="{8462EE37-CF04-C549-8689-35689EBAF079}" name="kg_320_korrigiert_db" totalsRowFunction="average" dataDxfId="37" totalsRowDxfId="36">
      <calculatedColumnFormula>IF(ISERROR(Tabelle1[[#This Row],[kg_320_korrigiert]]/(1+partner!$E$3)),"None",Tabelle1[[#This Row],[kg_320_korrigiert]]/(1+partner!$E$3))</calculatedColumnFormula>
    </tableColumn>
    <tableColumn id="61" xr3:uid="{93E56D91-7BD0-9147-BAE9-A235A3DBF5C9}" name="kg_330_korrigiert_db" totalsRowFunction="average" dataDxfId="35" totalsRowDxfId="34">
      <calculatedColumnFormula>IF(ISERROR(Tabelle1[[#This Row],[kg_330_korrigiert]]/(1+partner!$E$3)),"None",Tabelle1[[#This Row],[kg_330_korrigiert]]/(1+partner!$E$3))</calculatedColumnFormula>
    </tableColumn>
    <tableColumn id="62" xr3:uid="{6C90A6BB-85B4-C240-898B-5E5B07408FC6}" name="kg_340_korrigiert_db" totalsRowFunction="average" dataDxfId="33" totalsRowDxfId="32">
      <calculatedColumnFormula>IF(ISERROR(Tabelle1[[#This Row],[kg_340_korrigiert]]/(1+partner!$E$3)),"None",Tabelle1[[#This Row],[kg_340_korrigiert]]/(1+partner!$E$3))</calculatedColumnFormula>
    </tableColumn>
    <tableColumn id="63" xr3:uid="{D315E83F-8848-7242-9F21-B3ED636FC000}" name="kg_350_korrigiert_db" totalsRowFunction="average" dataDxfId="31" totalsRowDxfId="30">
      <calculatedColumnFormula>IF(ISERROR(Tabelle1[[#This Row],[kg_350_korrigiert]]/(1+partner!$E$3)),"None",Tabelle1[[#This Row],[kg_350_korrigiert]]/(1+partner!$E$3))</calculatedColumnFormula>
    </tableColumn>
    <tableColumn id="64" xr3:uid="{453E91FF-7CBE-D14A-9057-E0AA6BB8D0A5}" name="kg_360_korrigiert_db" totalsRowFunction="average" dataDxfId="29" totalsRowDxfId="28">
      <calculatedColumnFormula>IF(ISERROR(Tabelle1[[#This Row],[kg_360_korrigiert]]/(1+partner!$E$3)),"None",Tabelle1[[#This Row],[kg_360_korrigiert]]/(1+partner!$E$3))</calculatedColumnFormula>
    </tableColumn>
    <tableColumn id="65" xr3:uid="{E0B07316-54E7-E74D-A74B-1F3B3F995E50}" name="kg_380_korrigiert_db" totalsRowFunction="average" dataDxfId="27" totalsRowDxfId="26">
      <calculatedColumnFormula>IF(ISERROR(Tabelle1[[#This Row],[kg_380_korrigiert]]/(1+partner!$E$3)),"None",Tabelle1[[#This Row],[kg_380_korrigiert]]/(1+partner!$E$3))</calculatedColumnFormula>
    </tableColumn>
    <tableColumn id="66" xr3:uid="{88C75610-ABEF-DC4E-BB4A-0775F63D370A}" name="kg_390_korrigiert_db" totalsRowFunction="average" dataDxfId="25" totalsRowDxfId="24">
      <calculatedColumnFormula>IF(ISERROR(Tabelle1[[#This Row],[kg_390_korrigiert]]/(1+partner!$E$3)),"None",Tabelle1[[#This Row],[kg_390_korrigiert]]/(1+partner!$E$3))</calculatedColumnFormula>
    </tableColumn>
    <tableColumn id="67" xr3:uid="{5AEAD482-5AA5-C848-B9C4-AB4AE6727E4F}" name="kg_410_korrigiert_db" totalsRowFunction="average" dataDxfId="23" totalsRowDxfId="55">
      <calculatedColumnFormula>IF(ISERROR(Tabelle1[[#This Row],[kg_410_korrigiert]]/(1+partner!$E$4)),"None",Tabelle1[[#This Row],[kg_410_korrigiert]]/(1+partner!$E$4))</calculatedColumnFormula>
    </tableColumn>
    <tableColumn id="68" xr3:uid="{ABCDACA7-E79A-6F44-8106-ECF33B05230F}" name="kg_420_korrigiert_db" totalsRowFunction="average" dataDxfId="88" totalsRowDxfId="54">
      <calculatedColumnFormula>IF(ISERROR(Tabelle1[[#This Row],[kg_420_korrigiert]]/(1+partner!$E$4)),"None",Tabelle1[[#This Row],[kg_420_korrigiert]]/(1+partner!$E$4))</calculatedColumnFormula>
    </tableColumn>
    <tableColumn id="69" xr3:uid="{8AA8E208-D704-244A-A088-525BD46ED0CE}" name="kg_430_korrigiert_db" totalsRowFunction="average" dataDxfId="87" totalsRowDxfId="53">
      <calculatedColumnFormula>IF(ISERROR(Tabelle1[[#This Row],[kg_430_korrigiert]]/(1+partner!$E$4)),"None",Tabelle1[[#This Row],[kg_430_korrigiert]]/(1+partner!$E$4))</calculatedColumnFormula>
    </tableColumn>
    <tableColumn id="70" xr3:uid="{1CA9C011-650C-7A48-9B21-C9EABF0CCDAC}" name="kg_440_korrigiert_db" totalsRowFunction="average" dataDxfId="86" totalsRowDxfId="52">
      <calculatedColumnFormula>IF(ISERROR(Tabelle1[[#This Row],[kg_440_korrigiert]]/(1+partner!$E$4)),"None",Tabelle1[[#This Row],[kg_440_korrigiert]]/(1+partner!$E$4))</calculatedColumnFormula>
    </tableColumn>
    <tableColumn id="71" xr3:uid="{DCC65A7F-E8F8-7544-A15B-45A3FF7F0DBC}" name="kg_450_korrigiert_db" totalsRowFunction="average" dataDxfId="85" totalsRowDxfId="51">
      <calculatedColumnFormula>IF(ISERROR(Tabelle1[[#This Row],[kg_450_korrigiert]]/(1+partner!$E$4)),"None",Tabelle1[[#This Row],[kg_450_korrigiert]]/(1+partner!$E$4))</calculatedColumnFormula>
    </tableColumn>
    <tableColumn id="72" xr3:uid="{4EE72203-4622-634F-8AD8-064F8FC2E2EA}" name="kg_460_korrigiert_db" totalsRowFunction="average" dataDxfId="84" totalsRowDxfId="50">
      <calculatedColumnFormula>IF(ISERROR(Tabelle1[[#This Row],[kg_460_korrigiert]]/(1+partner!$E$4)),"None",Tabelle1[[#This Row],[kg_460_korrigiert]]/(1+partner!$E$4))</calculatedColumnFormula>
    </tableColumn>
    <tableColumn id="73" xr3:uid="{7F6466AD-071D-564A-89C9-9E644B9C06F1}" name="kg_470_korrigiert_db" totalsRowFunction="average" dataDxfId="83" totalsRowDxfId="49">
      <calculatedColumnFormula>IF(ISERROR(Tabelle1[[#This Row],[kg_470_korrigiert]]/(1+partner!$E$4)),"None",Tabelle1[[#This Row],[kg_470_korrigiert]]/(1+partner!$E$4))</calculatedColumnFormula>
    </tableColumn>
    <tableColumn id="74" xr3:uid="{084CFAB8-14FC-A346-A2BA-6D53058B5F14}" name="kg_480_korrigiert_db" totalsRowFunction="average" dataDxfId="82" totalsRowDxfId="48">
      <calculatedColumnFormula>IF(ISERROR(Tabelle1[[#This Row],[kg_480_korrigiert]]/(1+partner!$E$4)),"None",Tabelle1[[#This Row],[kg_480_korrigiert]]/(1+partner!$E$4))</calculatedColumnFormula>
    </tableColumn>
    <tableColumn id="75" xr3:uid="{C0719B14-B99E-2542-9BCA-BD4E8ADF8589}" name="kg_490_korrigiert_db" totalsRowFunction="average" dataDxfId="81" totalsRowDxfId="47">
      <calculatedColumnFormula>IF(ISERROR(Tabelle1[[#This Row],[kg_490_korrigiert]]/(1+partner!$E$4)),"None",Tabelle1[[#This Row],[kg_490_korrigiert]]/(1+partner!$E$4))</calculatedColumnFormula>
    </tableColumn>
    <tableColumn id="76" xr3:uid="{5D5EB268-ED0A-A54B-B5C9-97AC5C24531B}" name="kg_500_korrigiert_db" totalsRowFunction="average" dataDxfId="80" totalsRowDxfId="46">
      <calculatedColumnFormula>IF(ISERROR(Tabelle1[[#This Row],[kg_500_korrigiert]]/(1+partner!$E$2)),"None",Tabelle1[[#This Row],[kg_500_korrigiert]]/(1+partner!$E$2))</calculatedColumnFormula>
    </tableColumn>
    <tableColumn id="77" xr3:uid="{0603F089-60FA-844D-8CA8-A2D11A3B39C1}" name="kg_600_korrigiert_db" totalsRowFunction="average" dataDxfId="79" totalsRowDxfId="45">
      <calculatedColumnFormula>IF(ISERROR(Tabelle1[[#This Row],[kg_600_korrigiert]]/(1+partner!$E$4)),"None",Tabelle1[[#This Row],[kg_600_korrigiert]]/(1+partner!$E$4))</calculatedColumnFormula>
    </tableColumn>
    <tableColumn id="78" xr3:uid="{D3DDD465-4A5D-E348-93CD-F3D046570976}" name="kg_700_korrigiert_db" totalsRowFunction="average" dataDxfId="78" totalsRowDxfId="44">
      <calculatedColumnFormula>IF(ISERROR(Tabelle1[[#This Row],[kg_700_korrigiert]]/(1+partner!$E$5)),"None",Tabelle1[[#This Row],[kg_700_korrigiert]]/(1+partner!$E$5))</calculatedColumnFormula>
    </tableColumn>
    <tableColumn id="79" xr3:uid="{698F38D1-A04D-DD4A-8578-F9ECE74112BD}" name="kg_700_korrigiert_db_phase2" totalsRowFunction="average" dataDxfId="77" totalsRowDxfId="43">
      <calculatedColumnFormula>IF(ISERROR(Tabelle1[[#This Row],[kg_700_korrigiert]]/(1+partner!$E$5)),"None",Tabelle1[[#This Row],[kg_700_korrigiert]]/(1+partner!$E$5)*hoai!$C$14)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C6CC2F-5F75-354F-BB11-85988B98C343}" name="Tabelle3" displayName="Tabelle3" ref="A1:AC2" totalsRowShown="0" headerRowDxfId="153" dataDxfId="152" dataCellStyle="Komma">
  <autoFilter ref="A1:AC2" xr:uid="{EAC6CC2F-5F75-354F-BB11-85988B98C343}"/>
  <tableColumns count="29">
    <tableColumn id="1" xr3:uid="{28978619-D396-5149-B332-7D4C953D5144}" name="kg_200_det" dataDxfId="151" dataCellStyle="Komma">
      <calculatedColumnFormula>Tabelle1[[#Totals],[kg_200_korrigiert_db]]*Tabelle2[[#This Row],[kg_200_gr]]</calculatedColumnFormula>
    </tableColumn>
    <tableColumn id="2" xr3:uid="{FDA09A31-B277-6D4C-A5D8-F1A4A043BD21}" name="kg_310_det" dataDxfId="150" dataCellStyle="Komma">
      <calculatedColumnFormula>Tabelle1[[#Totals],[kg_310_korrigiert_db]]*Tabelle2[[#This Row],[kg_310_bgi]]</calculatedColumnFormula>
    </tableColumn>
    <tableColumn id="3" xr3:uid="{628E91F1-0730-3E4A-BA4A-D504CCC8558F}" name="kg_320_det" dataDxfId="149" dataCellStyle="Komma">
      <calculatedColumnFormula>Tabelle1[[#Totals],[kg_320_korrigiert_db]]*Tabelle2[[#This Row],[kg_320_grf]]</calculatedColumnFormula>
    </tableColumn>
    <tableColumn id="4" xr3:uid="{456E04E8-5674-854E-85B0-0FD102BC825F}" name="kg_330_det" dataDxfId="148" dataCellStyle="Komma">
      <calculatedColumnFormula>Tabelle1[[#Totals],[kg_330_korrigiert_db]]*Tabelle2[[#This Row],[kg_330_awf]]</calculatedColumnFormula>
    </tableColumn>
    <tableColumn id="5" xr3:uid="{202BBE0B-3BD9-0744-972C-9FDEDC092479}" name="kg_340_det" dataDxfId="147" dataCellStyle="Komma">
      <calculatedColumnFormula>Tabelle1[[#Totals],[kg_340_korrigiert_db]]*Tabelle2[[#This Row],[kg_340_iwf]]</calculatedColumnFormula>
    </tableColumn>
    <tableColumn id="6" xr3:uid="{B4E8E39A-147C-F745-982F-FA278A144489}" name="kg_350_det" dataDxfId="146" dataCellStyle="Komma">
      <calculatedColumnFormula>Tabelle1[[#Totals],[kg_350_korrigiert_db]]*Tabelle2[[#This Row],[kg_350_def]]</calculatedColumnFormula>
    </tableColumn>
    <tableColumn id="7" xr3:uid="{26078A23-8FB5-9B40-A342-9149B27335CC}" name="kg_360_det" dataDxfId="145" dataCellStyle="Komma">
      <calculatedColumnFormula>Tabelle1[[#Totals],[kg_360_korrigiert_db]]*Tabelle2[[#This Row],[kg_360_daf]]</calculatedColumnFormula>
    </tableColumn>
    <tableColumn id="8" xr3:uid="{F970D7B4-30D9-B74F-BD08-1D3CA6C14012}" name="kg_380_det" dataDxfId="144" dataCellStyle="Komma">
      <calculatedColumnFormula array="1">Tabelle1[[#Totals],[kg_380_korrigiert_db]]*Tabelle2[[#This Row],[bgf]:[bgf]]</calculatedColumnFormula>
    </tableColumn>
    <tableColumn id="9" xr3:uid="{63B8347E-D824-9249-949C-B01B1839DCD9}" name="kg_390_det" dataDxfId="143" dataCellStyle="Komma">
      <calculatedColumnFormula array="1">Tabelle1[[#Totals],[kg_390_korrigiert_db]]*Tabelle2[[#This Row],[bgf]:[bgf]]</calculatedColumnFormula>
    </tableColumn>
    <tableColumn id="10" xr3:uid="{F36D64FE-6855-2047-85F7-1044445B8A61}" name="kg_410_det" dataDxfId="142" dataCellStyle="Komma">
      <calculatedColumnFormula array="1">Tabelle1[[#Totals],[kg_410_korrigiert_db]]*Tabelle2[[#This Row],[bgf]:[bgf]]</calculatedColumnFormula>
    </tableColumn>
    <tableColumn id="11" xr3:uid="{5D6802B7-DF2D-6B4E-AE94-DD6D5176A0CF}" name="kg_420_det" dataDxfId="141" dataCellStyle="Komma">
      <calculatedColumnFormula array="1">Tabelle1[[#Totals],[kg_420_korrigiert_db]]*Tabelle2[[#This Row],[bgf]:[bgf]]</calculatedColumnFormula>
    </tableColumn>
    <tableColumn id="12" xr3:uid="{CF738171-DD36-9543-B264-8A9177C4C3D5}" name="kg_430_det" dataDxfId="140" dataCellStyle="Komma">
      <calculatedColumnFormula array="1">Tabelle1[[#Totals],[kg_430_korrigiert_db]]*Tabelle2[[#This Row],[bgf]:[bgf]]</calculatedColumnFormula>
    </tableColumn>
    <tableColumn id="13" xr3:uid="{200E3713-B235-D240-8350-B84D2B3667A9}" name="kg_440_det" dataDxfId="139" dataCellStyle="Komma">
      <calculatedColumnFormula array="1">Tabelle1[[#Totals],[kg_440_korrigiert_db]]*Tabelle2[[#This Row],[bgf]:[bgf]]</calculatedColumnFormula>
    </tableColumn>
    <tableColumn id="14" xr3:uid="{343D3269-CBBC-5E49-8A49-7CCF32AB46A2}" name="kg_450_det" dataDxfId="138" dataCellStyle="Komma">
      <calculatedColumnFormula array="1">Tabelle1[[#Totals],[kg_450_korrigiert_db]]*Tabelle2[[#This Row],[bgf]:[bgf]]</calculatedColumnFormula>
    </tableColumn>
    <tableColumn id="15" xr3:uid="{27497BA3-7194-8647-87FF-A7BEBA6FA43C}" name="kg_460_det" dataDxfId="137" dataCellStyle="Komma">
      <calculatedColumnFormula array="1">Tabelle1[[#Totals],[kg_460_korrigiert_db]]*Tabelle2[[#This Row],[bgf]:[bgf]]</calculatedColumnFormula>
    </tableColumn>
    <tableColumn id="16" xr3:uid="{CF9FA6ED-7570-8544-9B7C-3FD80622BEFC}" name="kg_470_det" dataDxfId="136" dataCellStyle="Komma">
      <calculatedColumnFormula array="1">Tabelle1[[#Totals],[kg_470_korrigiert_db]]*Tabelle2[[#This Row],[bgf]:[bgf]]</calculatedColumnFormula>
    </tableColumn>
    <tableColumn id="17" xr3:uid="{61A0028A-4838-D54B-B5D1-C8B0AD397D1E}" name="kg_480_det" dataDxfId="135" dataCellStyle="Komma">
      <calculatedColumnFormula array="1">Tabelle1[[#Totals],[kg_480_korrigiert_db]]*Tabelle2[[#This Row],[bgf]:[bgf]]</calculatedColumnFormula>
    </tableColumn>
    <tableColumn id="18" xr3:uid="{72A60B40-5113-A84E-A3FF-1A331149DA36}" name="kg_490_det" dataDxfId="134" dataCellStyle="Komma">
      <calculatedColumnFormula array="1">Tabelle1[[#Totals],[kg_490_korrigiert_db]]*Tabelle2[[#This Row],[bgf]:[bgf]]</calculatedColumnFormula>
    </tableColumn>
    <tableColumn id="19" xr3:uid="{6F9FF896-CABB-AC44-8109-AD80B5C95D9E}" name="kg_500_det" dataDxfId="133" dataCellStyle="Komma">
      <calculatedColumnFormula>Tabelle1[[#Totals],[kg_500_korrigiert_db]]*Tabelle2[[#This Row],[kg_500_auf]]</calculatedColumnFormula>
    </tableColumn>
    <tableColumn id="20" xr3:uid="{AFEE9752-47E6-4543-B247-88BC155990B4}" name="kg_600_det" dataDxfId="132" dataCellStyle="Komma">
      <calculatedColumnFormula array="1">Tabelle1[[#Totals],[kg_600_korrigiert_db]]*Tabelle2[[#This Row],[bgf]:[bgf]]</calculatedColumnFormula>
    </tableColumn>
    <tableColumn id="25" xr3:uid="{09B29E9C-9157-F749-91B5-8FE93C64A2FD}" name="kg_700_det" dataDxfId="131" dataCellStyle="Komma">
      <calculatedColumnFormula array="1">Tabelle1[[#Totals],[kg_700_korrigiert_db]]*Tabelle2[[#This Row],[bgf]:[bgf]]</calculatedColumnFormula>
    </tableColumn>
    <tableColumn id="21" xr3:uid="{B3549634-1D3B-9746-A5ED-679A45741612}" name="partner1_k_phase2_det" dataDxfId="130" dataCellStyle="Komma">
      <calculatedColumnFormula>Tabelle3[[#This Row],[kg_310_det]]+Tabelle3[[#This Row],[kg_500_det]]</calculatedColumnFormula>
    </tableColumn>
    <tableColumn id="22" xr3:uid="{3F15AAC2-F61E-6A46-AA07-4A69D770A3F2}" name="partner2_k_phase2_det" dataDxfId="129" dataCellStyle="Komma">
      <calculatedColumnFormula>SUM(Tabelle3[[#This Row],[kg_320_det]:[kg_390_det]])</calculatedColumnFormula>
    </tableColumn>
    <tableColumn id="23" xr3:uid="{BD6FC723-BA78-2242-B6E8-58104B183661}" name="partner3_k_phase2_det" dataDxfId="128" dataCellStyle="Komma">
      <calculatedColumnFormula>SUM(Tabelle3[[#This Row],[kg_410_det]:[kg_490_det]])+Tabelle3[[#This Row],[kg_600_det]]</calculatedColumnFormula>
    </tableColumn>
    <tableColumn id="24" xr3:uid="{8F482597-473E-BA4A-87A1-56D69AC9CE8D}" name="partner4_k_phase2_det" dataDxfId="127" dataCellStyle="Komma">
      <calculatedColumnFormula>Tabelle3[[#This Row],[kg_700_det]]*hoai!C14</calculatedColumnFormula>
    </tableColumn>
    <tableColumn id="26" xr3:uid="{2C26D4BB-36CD-614F-BF80-51F911B49B64}" name="partner1_k_phase1_det" dataDxfId="126" dataCellStyle="Komma">
      <calculatedColumnFormula>Tabelle3[[#This Row],[kg_200_det]]+0.05*Tabelle3[[#This Row],[partner1_k_phase2_det]]</calculatedColumnFormula>
    </tableColumn>
    <tableColumn id="27" xr3:uid="{237A3D72-DB93-7A41-9FEC-C94129D2EF98}" name="partner2_k_phase1_det" dataDxfId="125" dataCellStyle="Komma">
      <calculatedColumnFormula>0.05*Tabelle3[[#This Row],[partner2_k_phase2_det]]</calculatedColumnFormula>
    </tableColumn>
    <tableColumn id="28" xr3:uid="{B3B08F0F-191C-3846-A0F3-6F2A21E3E4AE}" name="partner3_k_phase1_det" dataDxfId="124" dataCellStyle="Komma">
      <calculatedColumnFormula>0.05*Tabelle3[[#This Row],[partner3_k_phase2_det]]</calculatedColumnFormula>
    </tableColumn>
    <tableColumn id="29" xr3:uid="{57F66C8F-87D5-9E4F-A9AE-24726264BB91}" name="partner4_k_phase1_det" dataDxfId="123" dataCellStyle="Komma">
      <calculatedColumnFormula>Tabelle3[[#This Row],[kg_700_det]]*hoai!C13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DACA22-3C60-114A-96D1-9385A16930D2}" name="Tabelle4" displayName="Tabelle4" ref="A1:O6" totalsRowCount="1">
  <autoFilter ref="A1:O5" xr:uid="{FBDACA22-3C60-114A-96D1-9385A16930D2}"/>
  <tableColumns count="15">
    <tableColumn id="1" xr3:uid="{FAD8B74E-6191-0E44-AF77-E596C0C437D5}" name="partner" totalsRowLabel="Ergebnis"/>
    <tableColumn id="2" xr3:uid="{D74AF63A-151A-0A48-88FE-3B2173DE09AA}" name="gewerk"/>
    <tableColumn id="9" xr3:uid="{B719D0ED-9B40-C34F-AE54-7A88EDC10E2D}" name="leistungsbereiche phase 1"/>
    <tableColumn id="12" xr3:uid="{B7879396-DD09-C741-88B0-BE000CBCCDDD}" name="leistungsbereiche phase 2"/>
    <tableColumn id="3" xr3:uid="{1B109654-5AB0-2348-BCF0-16DCC277C1B4}" name="db"/>
    <tableColumn id="4" xr3:uid="{A1A97222-6B9F-364B-B28D-03D931F1F5DD}" name="bb"/>
    <tableColumn id="6" xr3:uid="{26CB1D41-B5B7-BD4E-833D-81FC74404B63}" name="k_phase1_det" totalsRowFunction="sum" totalsRowDxfId="122"/>
    <tableColumn id="5" xr3:uid="{E1EF834B-5B37-F741-B470-8766BAB38589}" name="k_phase2_det" totalsRowFunction="sum" dataDxfId="121" totalsRowDxfId="120">
      <calculatedColumnFormula>Tabelle3[[#This Row],[partner1_k_phase2_det]]/(1+Tabelle4[[#This Row],[db]])</calculatedColumnFormula>
    </tableColumn>
    <tableColumn id="7" xr3:uid="{834BB490-5323-F443-A54A-97ACA111DDD2}" name="k_det" totalsRowFunction="sum" dataDxfId="119" totalsRowDxfId="118">
      <calculatedColumnFormula>Tabelle4[[#This Row],[k_phase1_det]]+Tabelle4[[#This Row],[k_phase2_det]]</calculatedColumnFormula>
    </tableColumn>
    <tableColumn id="17" xr3:uid="{80012847-BA64-BE41-9A5C-F7AFC24DA18D}" name="db_det" totalsRowFunction="sum" dataDxfId="117" totalsRowDxfId="116">
      <calculatedColumnFormula>Tabelle4[[#This Row],[k_det]]*Tabelle4[[#This Row],[db]]</calculatedColumnFormula>
    </tableColumn>
    <tableColumn id="8" xr3:uid="{DCFF8313-116B-124E-B00F-6A0C537CED06}" name="p_det" totalsRowFunction="sum" dataDxfId="115" totalsRowDxfId="114">
      <calculatedColumnFormula>Tabelle4[[#This Row],[k_det]]+Tabelle4[[#This Row],[db_det]]</calculatedColumnFormula>
    </tableColumn>
    <tableColumn id="15" xr3:uid="{EB05D701-CE98-4C40-9E8B-09AC6F76962D}" name="db_prob" totalsRowFunction="sum" dataDxfId="113" totalsRowDxfId="112">
      <calculatedColumnFormula>Tabelle4[[#This Row],[db_det]]/Tabelle4[[#Totals],[k_det]]</calculatedColumnFormula>
    </tableColumn>
    <tableColumn id="14" xr3:uid="{16D08AD3-50CD-704B-80B9-35F3D42191B7}" name="bb_det" totalsRowFunction="sum" dataDxfId="111" totalsRowDxfId="110">
      <calculatedColumnFormula>Tabelle4[[#This Row],[k_det]]*Tabelle4[[#This Row],[bb]]</calculatedColumnFormula>
    </tableColumn>
    <tableColumn id="16" xr3:uid="{D2B924A4-3489-B147-9534-C4B3774FD105}" name="b" totalsRowFunction="sum" dataDxfId="109" totalsRowDxfId="108">
      <calculatedColumnFormula>Tabelle4[[#This Row],[bb_det]]/Tabelle4[[#Totals],[bb_det]]</calculatedColumnFormula>
    </tableColumn>
    <tableColumn id="13" xr3:uid="{52D14DEB-ACB2-DC48-A822-09F98D140BDC}" name="bb_prob" totalsRowFunction="sum" dataDxfId="107" totalsRowDxfId="106">
      <calculatedColumnFormula>Tabelle4[[#This Row],[bb_det]]/Tabelle4[[#Totals],[k_det]]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5EC0F5-4F92-114E-B37E-AA8B90A83DFB}" name="Tabelle2" displayName="Tabelle2" ref="A1:S2" totalsRowShown="0" headerRowDxfId="105" headerRowBorderDxfId="104" tableBorderDxfId="103">
  <autoFilter ref="A1:S2" xr:uid="{FF5EC0F5-4F92-114E-B37E-AA8B90A83DFB}"/>
  <tableColumns count="19">
    <tableColumn id="1" xr3:uid="{AD90D1A8-A96A-DE47-9A2E-D4D8AD793F97}" name="bki_projektnummer"/>
    <tableColumn id="2" xr3:uid="{0A7A493F-0B82-9A4F-B9E6-AA720BB69A93}" name="bki_objektdaten_band"/>
    <tableColumn id="3" xr3:uid="{7F340D71-DA30-764C-AE3A-5C0B76F5FB74}" name="beschreibung"/>
    <tableColumn id="4" xr3:uid="{1252BC8C-250A-A24E-BACD-A966A0FEF124}" name="nutzeinheiten"/>
    <tableColumn id="5" xr3:uid="{6C747CC9-E808-6341-9B3F-D9C0A7F70D17}" name="jahr_kostenstand"/>
    <tableColumn id="6" xr3:uid="{F992F63E-9436-0344-B70D-4CE4B70FC3EE}" name="bgf" dataDxfId="102" dataCellStyle="Komma"/>
    <tableColumn id="7" xr3:uid="{ECD171FA-55D4-7F41-B3D9-806DC22BA26C}" name="bri" dataDxfId="101" dataCellStyle="Komma"/>
    <tableColumn id="9" xr3:uid="{A63462D5-F38D-1548-867B-A341F5CE0952}" name="bri_bgf" dataDxfId="100" dataCellStyle="Komma">
      <calculatedColumnFormula>Tabelle2[[#This Row],[bri]]/Tabelle2[[#This Row],[bgf]]</calculatedColumnFormula>
    </tableColumn>
    <tableColumn id="8" xr3:uid="{A21C647F-8A8A-584C-A146-B6F6ED0CB142}" name="kosten_gesamt" dataDxfId="99" dataCellStyle="Komma">
      <calculatedColumnFormula>Tabelle2[[#This Row],[kosten300400_bgf]]*Tabelle2[[#This Row],[bgf]]</calculatedColumnFormula>
    </tableColumn>
    <tableColumn id="10" xr3:uid="{FA1F1D31-589A-E84B-A6B3-F07DE0E4A285}" name="kosten300400_bgf" dataDxfId="98" dataCellStyle="Komma"/>
    <tableColumn id="11" xr3:uid="{00DA1405-D3E1-7349-A193-29DE4320906F}" name="standard" dataDxfId="97" dataCellStyle="Komma"/>
    <tableColumn id="12" xr3:uid="{477D166C-24D4-FD4A-960C-7E792C355222}" name="kg_200_gr" dataDxfId="96" dataCellStyle="Komma"/>
    <tableColumn id="13" xr3:uid="{B73E50F6-D1BE-7A4B-8376-F3B184074EDB}" name="kg_310_bgi" dataDxfId="95" dataCellStyle="Komma"/>
    <tableColumn id="14" xr3:uid="{8FC473D5-4D4C-534F-BEA7-2BC3901CB297}" name="kg_320_grf" dataDxfId="94" dataCellStyle="Komma"/>
    <tableColumn id="15" xr3:uid="{85371205-A3EB-074B-B398-70CAC9A9D8D2}" name="kg_330_awf" dataDxfId="93" dataCellStyle="Komma"/>
    <tableColumn id="16" xr3:uid="{10D9FC73-44BA-C24B-BF1F-2419B1902072}" name="kg_340_iwf" dataDxfId="92" dataCellStyle="Komma"/>
    <tableColumn id="17" xr3:uid="{9C625A40-2BE8-D94A-B773-A668B61C13D8}" name="kg_350_def" dataDxfId="91" dataCellStyle="Komma"/>
    <tableColumn id="18" xr3:uid="{B32AD31A-7489-AE44-B158-DD13389C2FE2}" name="kg_360_daf" dataDxfId="90" dataCellStyle="Komma"/>
    <tableColumn id="34" xr3:uid="{BF7441CB-552D-1448-AA14-C6FD3B420E60}" name="kg_500_auf" dataDxfId="89" dataCellStyle="K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AB7CFB-C93D-4D40-BAE6-19966C9B8E3F}" name="Tabelle5" displayName="Tabelle5" ref="A1:B21" totalsRowShown="0">
  <autoFilter ref="A1:B21" xr:uid="{DFAB7CFB-C93D-4D40-BAE6-19966C9B8E3F}"/>
  <tableColumns count="2">
    <tableColumn id="1" xr3:uid="{24BE3EC2-F712-4A54-AD5E-7B6CE3C59273}" name="title"/>
    <tableColumn id="2" xr3:uid="{7FE58476-BDEF-44B6-933D-58FE40DBEE73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F26F-9BA1-1143-BE43-063353DD48AD}">
  <dimension ref="A1:CA29"/>
  <sheetViews>
    <sheetView tabSelected="1" topLeftCell="V1" zoomScale="110" workbookViewId="0">
      <selection activeCell="AB23" sqref="AB23"/>
    </sheetView>
  </sheetViews>
  <sheetFormatPr baseColWidth="10" defaultRowHeight="16" x14ac:dyDescent="0.2"/>
  <cols>
    <col min="1" max="2" width="21.6640625" customWidth="1"/>
    <col min="3" max="3" width="20" customWidth="1"/>
    <col min="4" max="4" width="14.6640625" customWidth="1"/>
    <col min="5" max="5" width="21.6640625" customWidth="1"/>
    <col min="6" max="6" width="8" customWidth="1"/>
    <col min="7" max="7" width="7.83203125" customWidth="1"/>
    <col min="8" max="9" width="11" bestFit="1" customWidth="1"/>
    <col min="10" max="10" width="11" customWidth="1"/>
    <col min="11" max="11" width="17.6640625" customWidth="1"/>
    <col min="12" max="12" width="15.5" customWidth="1"/>
    <col min="13" max="13" width="11" customWidth="1"/>
    <col min="14" max="14" width="11" bestFit="1" customWidth="1"/>
    <col min="15" max="15" width="11" customWidth="1"/>
    <col min="16" max="29" width="11" bestFit="1" customWidth="1"/>
    <col min="30" max="30" width="11" customWidth="1"/>
    <col min="31" max="34" width="11" bestFit="1" customWidth="1"/>
    <col min="37" max="56" width="12.33203125" customWidth="1"/>
  </cols>
  <sheetData>
    <row r="1" spans="1:79" x14ac:dyDescent="0.2">
      <c r="A1" t="s">
        <v>223</v>
      </c>
      <c r="B1" t="s">
        <v>5</v>
      </c>
      <c r="C1" t="s">
        <v>2</v>
      </c>
      <c r="D1" t="s">
        <v>3</v>
      </c>
      <c r="E1" t="s">
        <v>1</v>
      </c>
      <c r="F1" t="s">
        <v>72</v>
      </c>
      <c r="G1" t="s">
        <v>73</v>
      </c>
      <c r="H1" t="s">
        <v>71</v>
      </c>
      <c r="I1" t="s">
        <v>4</v>
      </c>
      <c r="J1" t="s">
        <v>28</v>
      </c>
      <c r="K1" t="s">
        <v>56</v>
      </c>
      <c r="L1" t="s">
        <v>69</v>
      </c>
      <c r="M1" t="s">
        <v>70</v>
      </c>
      <c r="N1" t="s">
        <v>41</v>
      </c>
      <c r="O1" t="s">
        <v>130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29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33</v>
      </c>
      <c r="AF1" t="s">
        <v>20</v>
      </c>
      <c r="AG1" t="s">
        <v>21</v>
      </c>
      <c r="AH1" t="s">
        <v>22</v>
      </c>
      <c r="AI1" t="s">
        <v>23</v>
      </c>
      <c r="AJ1" t="s">
        <v>68</v>
      </c>
      <c r="AK1" s="6" t="s">
        <v>74</v>
      </c>
      <c r="AL1" s="6" t="s">
        <v>75</v>
      </c>
      <c r="AM1" s="6" t="s">
        <v>76</v>
      </c>
      <c r="AN1" s="6" t="s">
        <v>77</v>
      </c>
      <c r="AO1" s="6" t="s">
        <v>78</v>
      </c>
      <c r="AP1" s="6" t="s">
        <v>79</v>
      </c>
      <c r="AQ1" s="6" t="s">
        <v>80</v>
      </c>
      <c r="AR1" s="6" t="s">
        <v>81</v>
      </c>
      <c r="AS1" s="6" t="s">
        <v>82</v>
      </c>
      <c r="AT1" s="6" t="s">
        <v>83</v>
      </c>
      <c r="AU1" s="6" t="s">
        <v>84</v>
      </c>
      <c r="AV1" s="6" t="s">
        <v>85</v>
      </c>
      <c r="AW1" s="6" t="s">
        <v>86</v>
      </c>
      <c r="AX1" s="6" t="s">
        <v>87</v>
      </c>
      <c r="AY1" s="6" t="s">
        <v>88</v>
      </c>
      <c r="AZ1" s="6" t="s">
        <v>89</v>
      </c>
      <c r="BA1" s="6" t="s">
        <v>90</v>
      </c>
      <c r="BB1" s="6" t="s">
        <v>91</v>
      </c>
      <c r="BC1" s="6" t="s">
        <v>92</v>
      </c>
      <c r="BD1" s="6" t="s">
        <v>93</v>
      </c>
      <c r="BE1" s="6" t="s">
        <v>116</v>
      </c>
      <c r="BF1" s="12" t="s">
        <v>131</v>
      </c>
      <c r="BG1" s="12" t="s">
        <v>132</v>
      </c>
      <c r="BH1" s="13" t="s">
        <v>133</v>
      </c>
      <c r="BI1" s="13" t="s">
        <v>134</v>
      </c>
      <c r="BJ1" s="13" t="s">
        <v>135</v>
      </c>
      <c r="BK1" s="13" t="s">
        <v>136</v>
      </c>
      <c r="BL1" s="13" t="s">
        <v>137</v>
      </c>
      <c r="BM1" s="13" t="s">
        <v>138</v>
      </c>
      <c r="BN1" s="13" t="s">
        <v>139</v>
      </c>
      <c r="BO1" s="14" t="s">
        <v>140</v>
      </c>
      <c r="BP1" s="14" t="s">
        <v>141</v>
      </c>
      <c r="BQ1" s="14" t="s">
        <v>142</v>
      </c>
      <c r="BR1" s="14" t="s">
        <v>143</v>
      </c>
      <c r="BS1" s="14" t="s">
        <v>144</v>
      </c>
      <c r="BT1" s="14" t="s">
        <v>145</v>
      </c>
      <c r="BU1" s="14" t="s">
        <v>146</v>
      </c>
      <c r="BV1" s="14" t="s">
        <v>147</v>
      </c>
      <c r="BW1" s="14" t="s">
        <v>148</v>
      </c>
      <c r="BX1" s="12" t="s">
        <v>149</v>
      </c>
      <c r="BY1" s="14" t="s">
        <v>150</v>
      </c>
      <c r="BZ1" s="15" t="s">
        <v>151</v>
      </c>
      <c r="CA1" s="15" t="s">
        <v>168</v>
      </c>
    </row>
    <row r="2" spans="1:79" x14ac:dyDescent="0.2">
      <c r="A2" t="s">
        <v>24</v>
      </c>
      <c r="B2" t="s">
        <v>25</v>
      </c>
      <c r="C2" t="s">
        <v>26</v>
      </c>
      <c r="D2">
        <v>38</v>
      </c>
      <c r="E2" t="s">
        <v>27</v>
      </c>
      <c r="F2" s="8">
        <v>108.8</v>
      </c>
      <c r="G2" s="8">
        <v>132.6</v>
      </c>
      <c r="H2" s="7">
        <f>Tabelle1[[#This Row],[index_ziel]]/Tabelle1[[#This Row],[index_quelle]]</f>
        <v>1.21875</v>
      </c>
      <c r="I2" s="2">
        <v>1224</v>
      </c>
      <c r="J2" s="2">
        <v>4593</v>
      </c>
      <c r="K2" s="2">
        <f>Tabelle1[[#This Row],[bri]]/Tabelle1[[#This Row],[bgf]]</f>
        <v>3.7524509803921569</v>
      </c>
      <c r="L2" s="1">
        <f>Tabelle1[[#This Row],[bgf]]*Tabelle1[[#This Row],[kosten300+400_bgf]]</f>
        <v>2627928</v>
      </c>
      <c r="M2" s="1">
        <v>2147</v>
      </c>
      <c r="N2" s="1" t="s">
        <v>43</v>
      </c>
      <c r="O2">
        <v>0.25</v>
      </c>
      <c r="P2" s="1">
        <v>2.09</v>
      </c>
      <c r="Q2" s="1">
        <v>41.21</v>
      </c>
      <c r="R2" s="1">
        <v>337.44</v>
      </c>
      <c r="S2" s="1">
        <v>656.5</v>
      </c>
      <c r="T2" s="1">
        <v>457.71</v>
      </c>
      <c r="U2" s="1">
        <v>411.88</v>
      </c>
      <c r="V2" s="1">
        <v>458.01</v>
      </c>
      <c r="W2" s="1">
        <v>17.36</v>
      </c>
      <c r="X2" s="1">
        <v>45.45</v>
      </c>
      <c r="Y2" s="1">
        <v>71.56</v>
      </c>
      <c r="Z2" s="1">
        <v>146.49</v>
      </c>
      <c r="AA2" s="1">
        <v>117.17</v>
      </c>
      <c r="AB2" s="1">
        <v>198.81</v>
      </c>
      <c r="AC2" s="1">
        <v>76.03</v>
      </c>
      <c r="AD2" s="1">
        <v>2.58</v>
      </c>
      <c r="AE2" s="1" t="s">
        <v>30</v>
      </c>
      <c r="AF2" s="1">
        <v>21.94</v>
      </c>
      <c r="AG2" s="1">
        <v>17.899999999999999</v>
      </c>
      <c r="AH2" s="1">
        <v>107.55</v>
      </c>
      <c r="AI2" s="1">
        <v>12.12</v>
      </c>
      <c r="AJ2" s="1">
        <f>Tabelle1[[#This Row],[kg_700_anteil_p1]]*Tabelle1[[#This Row],[kosten300+400_bgf]]</f>
        <v>536.75</v>
      </c>
      <c r="AK2" s="1" cm="1">
        <f t="array" ref="AK2">IF(ISERROR(Tabelle1[[#This Row],[faktor_baupreis]:[faktor_baupreis]]*Tabelle1[[#This Row],[kg_200]]),"None",Tabelle1[[#This Row],[faktor_baupreis]:[faktor_baupreis]]*Tabelle1[[#This Row],[kg_200]]/1.19)</f>
        <v>2.1404936974789917</v>
      </c>
      <c r="AL2" s="1" cm="1">
        <f t="array" ref="AL2">IF(ISERROR(Tabelle1[[#This Row],[faktor_baupreis]:[faktor_baupreis]]*Tabelle1[[#This Row],[kg_310]]),"None",Tabelle1[[#This Row],[faktor_baupreis]:[faktor_baupreis]]*Tabelle1[[#This Row],[kg_310]]/1.19)</f>
        <v>42.205619747899163</v>
      </c>
      <c r="AM2" s="1" cm="1">
        <f t="array" ref="AM2">IF(ISERROR(Tabelle1[[#This Row],[faktor_baupreis]:[faktor_baupreis]]*Tabelle1[[#This Row],[kg_320]]),"None",Tabelle1[[#This Row],[faktor_baupreis]:[faktor_baupreis]]*Tabelle1[[#This Row],[kg_320]]/1.19)</f>
        <v>345.5924369747899</v>
      </c>
      <c r="AN2" s="1" cm="1">
        <f t="array" ref="AN2">IF(ISERROR(Tabelle1[[#This Row],[faktor_baupreis]:[faktor_baupreis]]*Tabelle1[[#This Row],[kg_330]]),"None",Tabelle1[[#This Row],[faktor_baupreis]:[faktor_baupreis]]*Tabelle1[[#This Row],[kg_330]]/1.19)</f>
        <v>672.36081932773118</v>
      </c>
      <c r="AO2" s="1" cm="1">
        <f t="array" ref="AO2">IF(ISERROR(Tabelle1[[#This Row],[faktor_baupreis]:[faktor_baupreis]]*Tabelle1[[#This Row],[kg_340]]),"None",Tabelle1[[#This Row],[faktor_baupreis]:[faktor_baupreis]]*Tabelle1[[#This Row],[kg_340]]/1.19)</f>
        <v>468.76811974789916</v>
      </c>
      <c r="AP2" s="1" cm="1">
        <f t="array" ref="AP2">IF(ISERROR(Tabelle1[[#This Row],[faktor_baupreis]:[faktor_baupreis]]*Tabelle1[[#This Row],[kg_350]]),"None",Tabelle1[[#This Row],[faktor_baupreis]:[faktor_baupreis]]*Tabelle1[[#This Row],[kg_350]]/1.19)</f>
        <v>421.83088235294116</v>
      </c>
      <c r="AQ2" s="1" cm="1">
        <f t="array" ref="AQ2">IF(ISERROR(Tabelle1[[#This Row],[faktor_baupreis]:[faktor_baupreis]]*Tabelle1[[#This Row],[kg_360]]),"None",Tabelle1[[#This Row],[faktor_baupreis]:[faktor_baupreis]]*Tabelle1[[#This Row],[kg_360]]/1.19)</f>
        <v>469.07536764705884</v>
      </c>
      <c r="AR2" s="1" cm="1">
        <f t="array" ref="AR2">IF(ISERROR(Tabelle1[[#This Row],[faktor_baupreis]:[faktor_baupreis]]*Tabelle1[[#This Row],[kg_380]]),"None",Tabelle1[[#This Row],[faktor_baupreis]:[faktor_baupreis]]*Tabelle1[[#This Row],[kg_380]]/1.19)</f>
        <v>17.77941176470588</v>
      </c>
      <c r="AS2" s="1" cm="1">
        <f t="array" ref="AS2">IF(ISERROR(Tabelle1[[#This Row],[faktor_baupreis]:[faktor_baupreis]]*Tabelle1[[#This Row],[kg_390]]),"None",Tabelle1[[#This Row],[faktor_baupreis]:[faktor_baupreis]]*Tabelle1[[#This Row],[kg_390]]/1.19)</f>
        <v>46.548056722689083</v>
      </c>
      <c r="AT2" s="1" cm="1">
        <f t="array" ref="AT2">IF(ISERROR(Tabelle1[[#This Row],[faktor_baupreis]:[faktor_baupreis]]*Tabelle1[[#This Row],[kg_410]]),"None",Tabelle1[[#This Row],[faktor_baupreis]:[faktor_baupreis]]*Tabelle1[[#This Row],[kg_410]]/1.19)</f>
        <v>73.288865546218489</v>
      </c>
      <c r="AU2" s="1" cm="1">
        <f t="array" ref="AU2">IF(ISERROR(Tabelle1[[#This Row],[faktor_baupreis]:[faktor_baupreis]]*Tabelle1[[#This Row],[kg_420]]),"None",Tabelle1[[#This Row],[faktor_baupreis]:[faktor_baupreis]]*Tabelle1[[#This Row],[kg_420]]/1.19)</f>
        <v>150.02914915966389</v>
      </c>
      <c r="AV2" s="1" cm="1">
        <f t="array" ref="AV2">IF(ISERROR(Tabelle1[[#This Row],[faktor_baupreis]:[faktor_baupreis]]*Tabelle1[[#This Row],[kg_430]]),"None",Tabelle1[[#This Row],[faktor_baupreis]:[faktor_baupreis]]*Tabelle1[[#This Row],[kg_430]]/1.19)</f>
        <v>120.00078781512606</v>
      </c>
      <c r="AW2" s="1" cm="1">
        <f t="array" ref="AW2">IF(ISERROR(Tabelle1[[#This Row],[faktor_baupreis]:[faktor_baupreis]]*Tabelle1[[#This Row],[kg_440]]),"None",Tabelle1[[#This Row],[faktor_baupreis]:[faktor_baupreis]]*Tabelle1[[#This Row],[kg_440]]/1.19)</f>
        <v>203.61318277310926</v>
      </c>
      <c r="AX2" s="1" cm="1">
        <f t="array" ref="AX2">IF(ISERROR(Tabelle1[[#This Row],[faktor_baupreis]:[faktor_baupreis]]*Tabelle1[[#This Row],[kg_450]]),"None",Tabelle1[[#This Row],[faktor_baupreis]:[faktor_baupreis]]*Tabelle1[[#This Row],[kg_450]]/1.19)</f>
        <v>77.86685924369749</v>
      </c>
      <c r="AY2" s="9" t="s">
        <v>30</v>
      </c>
      <c r="AZ2" s="1" t="str" cm="1">
        <f t="array" ref="AZ2">IF(ISERROR(Tabelle1[[#This Row],[faktor_baupreis]:[faktor_baupreis]]*Tabelle1[[#This Row],[kg_470]]),"None",Tabelle1[[#This Row],[faktor_baupreis]:[faktor_baupreis]]*Tabelle1[[#This Row],[kg_470]]/1.19)</f>
        <v>None</v>
      </c>
      <c r="BA2" s="1" cm="1">
        <f t="array" ref="BA2">IF(ISERROR(Tabelle1[[#This Row],[faktor_baupreis]:[faktor_baupreis]]*Tabelle1[[#This Row],[kg_480]]),"None",Tabelle1[[#This Row],[faktor_baupreis]:[faktor_baupreis]]*Tabelle1[[#This Row],[kg_480]]/1.19)</f>
        <v>22.470063025210088</v>
      </c>
      <c r="BB2" s="1" cm="1">
        <f t="array" ref="BB2">IF(ISERROR(Tabelle1[[#This Row],[faktor_baupreis]:[faktor_baupreis]]*Tabelle1[[#This Row],[kg_490]]),"None",Tabelle1[[#This Row],[faktor_baupreis]:[faktor_baupreis]]*Tabelle1[[#This Row],[kg_490]]/1.19)</f>
        <v>18.332457983193276</v>
      </c>
      <c r="BC2" s="1" cm="1">
        <f t="array" ref="BC2">IF(ISERROR(Tabelle1[[#This Row],[faktor_baupreis]:[faktor_baupreis]]*Tabelle1[[#This Row],[kg_500]]),"None",Tabelle1[[#This Row],[faktor_baupreis]:[faktor_baupreis]]*Tabelle1[[#This Row],[kg_500]]/1.19)</f>
        <v>110.1483718487395</v>
      </c>
      <c r="BD2" s="1" cm="1">
        <f t="array" ref="BD2">IF(ISERROR(Tabelle1[[#This Row],[faktor_baupreis]:[faktor_baupreis]]*Tabelle1[[#This Row],[kg_600]]),"None",Tabelle1[[#This Row],[faktor_baupreis]:[faktor_baupreis]]*Tabelle1[[#This Row],[kg_600]]/1.19)</f>
        <v>12.41281512605042</v>
      </c>
      <c r="BE2" s="1" cm="1">
        <f t="array" ref="BE2">IF(ISERROR(Tabelle1[[#This Row],[faktor_baupreis]:[faktor_baupreis]]*Tabelle1[[#This Row],[kg_700_anteil]]),"None",Tabelle1[[#This Row],[faktor_baupreis]:[faktor_baupreis]]*Tabelle1[[#This Row],[kg_700_anteil]]/1.19)</f>
        <v>549.7176995798319</v>
      </c>
      <c r="BF2" s="1">
        <f>IF(ISERROR(Tabelle1[[#This Row],[kg_200_korrigiert]]/(1+partner!$E$2)),"None",Tabelle1[[#This Row],[kg_200_korrigiert]]/(1+partner!$E$2))</f>
        <v>1.813977709727959</v>
      </c>
      <c r="BG2" s="1">
        <f>IF(ISERROR(Tabelle1[[#This Row],[kg_310_korrigiert]]/(1+partner!$E$2)),"None",Tabelle1[[#This Row],[kg_310_korrigiert]]/(1+partner!$E$2))</f>
        <v>35.767474362626409</v>
      </c>
      <c r="BH2" s="1">
        <f>IF(ISERROR(Tabelle1[[#This Row],[kg_320_korrigiert]]/(1+partner!$E$3)),"None",Tabelle1[[#This Row],[kg_320_korrigiert]]/(1+partner!$E$3))</f>
        <v>297.92451463343957</v>
      </c>
      <c r="BI2" s="1">
        <f>IF(ISERROR(Tabelle1[[#This Row],[kg_330_korrigiert]]/(1+partner!$E$3)),"None",Tabelle1[[#This Row],[kg_330_korrigiert]]/(1+partner!$E$3))</f>
        <v>579.62139597218209</v>
      </c>
      <c r="BJ2" s="1">
        <f>IF(ISERROR(Tabelle1[[#This Row],[kg_340_korrigiert]]/(1+partner!$E$3)),"None",Tabelle1[[#This Row],[kg_340_korrigiert]]/(1+partner!$E$3))</f>
        <v>404.11044805853379</v>
      </c>
      <c r="BK2" s="1">
        <f>IF(ISERROR(Tabelle1[[#This Row],[kg_350_korrigiert]]/(1+partner!$E$3)),"None",Tabelle1[[#This Row],[kg_350_korrigiert]]/(1+partner!$E$3))</f>
        <v>363.64731237322519</v>
      </c>
      <c r="BL2" s="1">
        <f>IF(ISERROR(Tabelle1[[#This Row],[kg_360_korrigiert]]/(1+partner!$E$3)),"None",Tabelle1[[#This Row],[kg_360_korrigiert]]/(1+partner!$E$3))</f>
        <v>404.37531693711969</v>
      </c>
      <c r="BM2" s="1">
        <f>IF(ISERROR(Tabelle1[[#This Row],[kg_380_korrigiert]]/(1+partner!$E$3)),"None",Tabelle1[[#This Row],[kg_380_korrigiert]]/(1+partner!$E$3))</f>
        <v>15.327079107505071</v>
      </c>
      <c r="BN2" s="1">
        <f>IF(ISERROR(Tabelle1[[#This Row],[kg_390_korrigiert]]/(1+partner!$E$3)),"None",Tabelle1[[#This Row],[kg_390_korrigiert]]/(1+partner!$E$3))</f>
        <v>40.127635105766451</v>
      </c>
      <c r="BO2" s="1">
        <f>IF(ISERROR(Tabelle1[[#This Row],[kg_410_korrigiert]]/(1+partner!$E$4)),"None",Tabelle1[[#This Row],[kg_410_korrigiert]]/(1+partner!$E$4))</f>
        <v>63.729448301059563</v>
      </c>
      <c r="BP2" s="1">
        <f>IF(ISERROR(Tabelle1[[#This Row],[kg_420_korrigiert]]/(1+partner!$E$4)),"None",Tabelle1[[#This Row],[kg_420_korrigiert]]/(1+partner!$E$4))</f>
        <v>130.46012970405556</v>
      </c>
      <c r="BQ2" s="1">
        <f>IF(ISERROR(Tabelle1[[#This Row],[kg_430_korrigiert]]/(1+partner!$E$4)),"None",Tabelle1[[#This Row],[kg_430_korrigiert]]/(1+partner!$E$4))</f>
        <v>104.34851114358788</v>
      </c>
      <c r="BR2" s="1">
        <f>IF(ISERROR(Tabelle1[[#This Row],[kg_440_korrigiert]]/(1+partner!$E$4)),"None",Tabelle1[[#This Row],[kg_440_korrigiert]]/(1+partner!$E$4))</f>
        <v>177.05494154183415</v>
      </c>
      <c r="BS2" s="1">
        <f>IF(ISERROR(Tabelle1[[#This Row],[kg_450_korrigiert]]/(1+partner!$E$4)),"None",Tabelle1[[#This Row],[kg_450_korrigiert]]/(1+partner!$E$4))</f>
        <v>67.710312385823912</v>
      </c>
      <c r="BT2" s="1" t="str">
        <f>IF(ISERROR(Tabelle1[[#This Row],[kg_460_korrigiert]]/(1+partner!$E$4)),"None",Tabelle1[[#This Row],[kg_460_korrigiert]]/(1+partner!$E$4))</f>
        <v>None</v>
      </c>
      <c r="BU2" s="1" t="str">
        <f>IF(ISERROR(Tabelle1[[#This Row],[kg_470_korrigiert]]/(1+partner!$E$4)),"None",Tabelle1[[#This Row],[kg_470_korrigiert]]/(1+partner!$E$4))</f>
        <v>None</v>
      </c>
      <c r="BV2" s="1">
        <f>IF(ISERROR(Tabelle1[[#This Row],[kg_480_korrigiert]]/(1+partner!$E$4)),"None",Tabelle1[[#This Row],[kg_480_korrigiert]]/(1+partner!$E$4))</f>
        <v>19.53918523931312</v>
      </c>
      <c r="BW2" s="1">
        <f>IF(ISERROR(Tabelle1[[#This Row],[kg_490_korrigiert]]/(1+partner!$E$4)),"None",Tabelle1[[#This Row],[kg_490_korrigiert]]/(1+partner!$E$4))</f>
        <v>15.941267811472414</v>
      </c>
      <c r="BX2" s="1">
        <f>IF(ISERROR(Tabelle1[[#This Row],[kg_500_korrigiert]]/(1+partner!$E$2)),"None",Tabelle1[[#This Row],[kg_500_korrigiert]]/(1+partner!$E$2))</f>
        <v>93.346077837914834</v>
      </c>
      <c r="BY2" s="1">
        <f>IF(ISERROR(Tabelle1[[#This Row],[kg_600_korrigiert]]/(1+partner!$E$4)),"None",Tabelle1[[#This Row],[kg_600_korrigiert]]/(1+partner!$E$4))</f>
        <v>10.793752283522105</v>
      </c>
      <c r="BZ2" s="1">
        <f>IF(ISERROR(Tabelle1[[#This Row],[kg_700_korrigiert]]/(1+partner!$E$5)),"None",Tabelle1[[#This Row],[kg_700_korrigiert]]/(1+partner!$E$5))</f>
        <v>305.3987219887955</v>
      </c>
      <c r="CA2" s="1">
        <f>IF(ISERROR(Tabelle1[[#This Row],[kg_700_korrigiert]]/(1+partner!$E$5)),"None",Tabelle1[[#This Row],[kg_700_korrigiert]]/(1+partner!$E$5)*hoai!$C$14)</f>
        <v>103.83556547619048</v>
      </c>
    </row>
    <row r="3" spans="1:79" x14ac:dyDescent="0.2">
      <c r="A3" t="s">
        <v>31</v>
      </c>
      <c r="B3" t="s">
        <v>25</v>
      </c>
      <c r="C3" t="s">
        <v>39</v>
      </c>
      <c r="D3">
        <v>350</v>
      </c>
      <c r="E3" t="s">
        <v>27</v>
      </c>
      <c r="F3" s="8">
        <v>108.8</v>
      </c>
      <c r="G3" s="8">
        <v>132.6</v>
      </c>
      <c r="H3" s="7">
        <f>Tabelle1[[#This Row],[index_ziel]]/Tabelle1[[#This Row],[index_quelle]]</f>
        <v>1.21875</v>
      </c>
      <c r="I3" s="2">
        <v>8385</v>
      </c>
      <c r="J3" s="2">
        <v>30073</v>
      </c>
      <c r="K3" s="2">
        <f>Tabelle1[[#This Row],[bri]]/Tabelle1[[#This Row],[bgf]]</f>
        <v>3.5865235539654146</v>
      </c>
      <c r="L3" s="1">
        <f>Tabelle1[[#This Row],[bgf]]*Tabelle1[[#This Row],[kosten300+400_bgf]]</f>
        <v>22169940</v>
      </c>
      <c r="M3" s="1">
        <v>2644</v>
      </c>
      <c r="N3" s="1" t="s">
        <v>43</v>
      </c>
      <c r="O3">
        <v>0.25</v>
      </c>
      <c r="P3" s="1">
        <v>167.65</v>
      </c>
      <c r="Q3" s="1">
        <v>135.08000000000001</v>
      </c>
      <c r="R3" s="1">
        <v>539.82000000000005</v>
      </c>
      <c r="S3" s="1">
        <v>1368.13</v>
      </c>
      <c r="T3" s="1">
        <v>391.42</v>
      </c>
      <c r="U3" s="1">
        <v>402.37</v>
      </c>
      <c r="V3" s="1">
        <v>614.74</v>
      </c>
      <c r="W3" s="1">
        <v>2.67</v>
      </c>
      <c r="X3" s="1">
        <v>239.86</v>
      </c>
      <c r="Y3" s="1">
        <v>78.42</v>
      </c>
      <c r="Z3" s="1">
        <v>144.91</v>
      </c>
      <c r="AA3" s="1">
        <v>194.54</v>
      </c>
      <c r="AB3" s="1">
        <v>151.47999999999999</v>
      </c>
      <c r="AC3" s="1">
        <v>60.63</v>
      </c>
      <c r="AD3" s="1">
        <v>30.93</v>
      </c>
      <c r="AE3" s="1">
        <v>2.77</v>
      </c>
      <c r="AF3" s="1">
        <v>127.6</v>
      </c>
      <c r="AG3" s="1">
        <v>5.19</v>
      </c>
      <c r="AH3" s="1">
        <v>278.25</v>
      </c>
      <c r="AI3" s="1">
        <v>1.62</v>
      </c>
      <c r="AJ3" s="1">
        <f>Tabelle1[[#This Row],[kg_700_anteil_p1]]*Tabelle1[[#This Row],[kosten300+400_bgf]]</f>
        <v>661</v>
      </c>
      <c r="AK3" s="9" t="s">
        <v>30</v>
      </c>
      <c r="AL3" s="1" cm="1">
        <f t="array" ref="AL3">IF(ISERROR(Tabelle1[[#This Row],[faktor_baupreis]:[faktor_baupreis]]*Tabelle1[[#This Row],[kg_310]]),"None",Tabelle1[[#This Row],[faktor_baupreis]:[faktor_baupreis]]*Tabelle1[[#This Row],[kg_310]]/1.19)</f>
        <v>138.343487394958</v>
      </c>
      <c r="AM3" s="1" cm="1">
        <f t="array" ref="AM3">IF(ISERROR(Tabelle1[[#This Row],[faktor_baupreis]:[faktor_baupreis]]*Tabelle1[[#This Row],[kg_320]]),"None",Tabelle1[[#This Row],[faktor_baupreis]:[faktor_baupreis]]*Tabelle1[[#This Row],[kg_320]]/1.19)</f>
        <v>552.86186974789928</v>
      </c>
      <c r="AN3" s="1" cm="1">
        <f t="array" ref="AN3">IF(ISERROR(Tabelle1[[#This Row],[faktor_baupreis]:[faktor_baupreis]]*Tabelle1[[#This Row],[kg_330]]),"None",Tabelle1[[#This Row],[faktor_baupreis]:[faktor_baupreis]]*Tabelle1[[#This Row],[kg_330]]/1.19)</f>
        <v>1401.1835609243699</v>
      </c>
      <c r="AO3" s="1" cm="1">
        <f t="array" ref="AO3">IF(ISERROR(Tabelle1[[#This Row],[faktor_baupreis]:[faktor_baupreis]]*Tabelle1[[#This Row],[kg_340]]),"None",Tabelle1[[#This Row],[faktor_baupreis]:[faktor_baupreis]]*Tabelle1[[#This Row],[kg_340]]/1.19)</f>
        <v>400.87657563025215</v>
      </c>
      <c r="AP3" s="1" cm="1">
        <f t="array" ref="AP3">IF(ISERROR(Tabelle1[[#This Row],[faktor_baupreis]:[faktor_baupreis]]*Tabelle1[[#This Row],[kg_350]]),"None",Tabelle1[[#This Row],[faktor_baupreis]:[faktor_baupreis]]*Tabelle1[[#This Row],[kg_350]]/1.19)</f>
        <v>412.09112394957987</v>
      </c>
      <c r="AQ3" s="1" cm="1">
        <f t="array" ref="AQ3">IF(ISERROR(Tabelle1[[#This Row],[faktor_baupreis]:[faktor_baupreis]]*Tabelle1[[#This Row],[kg_360]]),"None",Tabelle1[[#This Row],[faktor_baupreis]:[faktor_baupreis]]*Tabelle1[[#This Row],[kg_360]]/1.19)</f>
        <v>629.59191176470597</v>
      </c>
      <c r="AR3" s="1" cm="1">
        <f t="array" ref="AR3">IF(ISERROR(Tabelle1[[#This Row],[faktor_baupreis]:[faktor_baupreis]]*Tabelle1[[#This Row],[kg_380]]),"None",Tabelle1[[#This Row],[faktor_baupreis]:[faktor_baupreis]]*Tabelle1[[#This Row],[kg_380]]/1.19)</f>
        <v>2.7345063025210083</v>
      </c>
      <c r="AS3" s="1" cm="1">
        <f t="array" ref="AS3">IF(ISERROR(Tabelle1[[#This Row],[faktor_baupreis]:[faktor_baupreis]]*Tabelle1[[#This Row],[kg_390]]),"None",Tabelle1[[#This Row],[faktor_baupreis]:[faktor_baupreis]]*Tabelle1[[#This Row],[kg_390]]/1.19)</f>
        <v>245.65493697478996</v>
      </c>
      <c r="AT3" s="1" cm="1">
        <f t="array" ref="AT3">IF(ISERROR(Tabelle1[[#This Row],[faktor_baupreis]:[faktor_baupreis]]*Tabelle1[[#This Row],[kg_410]]),"None",Tabelle1[[#This Row],[faktor_baupreis]:[faktor_baupreis]]*Tabelle1[[#This Row],[kg_410]]/1.19)</f>
        <v>80.314600840336141</v>
      </c>
      <c r="AU3" s="1" cm="1">
        <f t="array" ref="AU3">IF(ISERROR(Tabelle1[[#This Row],[faktor_baupreis]:[faktor_baupreis]]*Tabelle1[[#This Row],[kg_420]]),"None",Tabelle1[[#This Row],[faktor_baupreis]:[faktor_baupreis]]*Tabelle1[[#This Row],[kg_420]]/1.19)</f>
        <v>148.4109768907563</v>
      </c>
      <c r="AV3" s="1" cm="1">
        <f t="array" ref="AV3">IF(ISERROR(Tabelle1[[#This Row],[faktor_baupreis]:[faktor_baupreis]]*Tabelle1[[#This Row],[kg_430]]),"None",Tabelle1[[#This Row],[faktor_baupreis]:[faktor_baupreis]]*Tabelle1[[#This Row],[kg_430]]/1.19)</f>
        <v>199.24002100840335</v>
      </c>
      <c r="AW3" s="1" cm="1">
        <f t="array" ref="AW3">IF(ISERROR(Tabelle1[[#This Row],[faktor_baupreis]:[faktor_baupreis]]*Tabelle1[[#This Row],[kg_440]]),"None",Tabelle1[[#This Row],[faktor_baupreis]:[faktor_baupreis]]*Tabelle1[[#This Row],[kg_440]]/1.19)</f>
        <v>155.13970588235293</v>
      </c>
      <c r="AX3" s="1" cm="1">
        <f t="array" ref="AX3">IF(ISERROR(Tabelle1[[#This Row],[faktor_baupreis]:[faktor_baupreis]]*Tabelle1[[#This Row],[kg_450]]),"None",Tabelle1[[#This Row],[faktor_baupreis]:[faktor_baupreis]]*Tabelle1[[#This Row],[kg_450]]/1.19)</f>
        <v>62.094800420168077</v>
      </c>
      <c r="AY3" s="1" cm="1">
        <f t="array" ref="AY3">IF(ISERROR(Tabelle1[[#This Row],[faktor_baupreis]:[faktor_baupreis]]*Tabelle1[[#This Row],[kg_460]]),"None",Tabelle1[[#This Row],[faktor_baupreis]:[faktor_baupreis]]*Tabelle1[[#This Row],[kg_460]]/1.19)</f>
        <v>31.677258403361346</v>
      </c>
      <c r="AZ3" s="1" cm="1">
        <f t="array" ref="AZ3">IF(ISERROR(Tabelle1[[#This Row],[faktor_baupreis]:[faktor_baupreis]]*Tabelle1[[#This Row],[kg_470]]),"None",Tabelle1[[#This Row],[faktor_baupreis]:[faktor_baupreis]]*Tabelle1[[#This Row],[kg_470]]/1.19)</f>
        <v>2.8369222689075633</v>
      </c>
      <c r="BA3" s="1" cm="1">
        <f t="array" ref="BA3">IF(ISERROR(Tabelle1[[#This Row],[faktor_baupreis]:[faktor_baupreis]]*Tabelle1[[#This Row],[kg_480]]),"None",Tabelle1[[#This Row],[faktor_baupreis]:[faktor_baupreis]]*Tabelle1[[#This Row],[kg_480]]/1.19)</f>
        <v>130.6827731092437</v>
      </c>
      <c r="BB3" s="1" cm="1">
        <f t="array" ref="BB3">IF(ISERROR(Tabelle1[[#This Row],[faktor_baupreis]:[faktor_baupreis]]*Tabelle1[[#This Row],[kg_490]]),"None",Tabelle1[[#This Row],[faktor_baupreis]:[faktor_baupreis]]*Tabelle1[[#This Row],[kg_490]]/1.19)</f>
        <v>5.3153886554621854</v>
      </c>
      <c r="BC3" s="1" cm="1">
        <f t="array" ref="BC3">IF(ISERROR(Tabelle1[[#This Row],[faktor_baupreis]:[faktor_baupreis]]*Tabelle1[[#This Row],[kg_500]]),"None",Tabelle1[[#This Row],[faktor_baupreis]:[faktor_baupreis]]*Tabelle1[[#This Row],[kg_500]]/1.19)</f>
        <v>284.97242647058823</v>
      </c>
      <c r="BD3" s="1" cm="1">
        <f t="array" ref="BD3">IF(ISERROR(Tabelle1[[#This Row],[faktor_baupreis]:[faktor_baupreis]]*Tabelle1[[#This Row],[kg_600]]),"None",Tabelle1[[#This Row],[faktor_baupreis]:[faktor_baupreis]]*Tabelle1[[#This Row],[kg_600]]/1.19)</f>
        <v>1.6591386554621852</v>
      </c>
      <c r="BE3" s="1" cm="1">
        <f t="array" ref="BE3">IF(ISERROR(Tabelle1[[#This Row],[faktor_baupreis]:[faktor_baupreis]]*Tabelle1[[#This Row],[kg_700_anteil]]),"None",Tabelle1[[#This Row],[faktor_baupreis]:[faktor_baupreis]]*Tabelle1[[#This Row],[kg_700_anteil]]/1.19)</f>
        <v>676.96953781512605</v>
      </c>
      <c r="BF3" s="1" t="str">
        <f>IF(ISERROR(Tabelle1[[#This Row],[kg_200_korrigiert]]/(1+partner!$E$2)),"None",Tabelle1[[#This Row],[kg_200_korrigiert]]/(1+partner!$E$2))</f>
        <v>None</v>
      </c>
      <c r="BG3" s="1">
        <f>IF(ISERROR(Tabelle1[[#This Row],[kg_310_korrigiert]]/(1+partner!$E$2)),"None",Tabelle1[[#This Row],[kg_310_korrigiert]]/(1+partner!$E$2))</f>
        <v>117.24024355504916</v>
      </c>
      <c r="BH3" s="1">
        <f>IF(ISERROR(Tabelle1[[#This Row],[kg_320_korrigiert]]/(1+partner!$E$3)),"None",Tabelle1[[#This Row],[kg_320_korrigiert]]/(1+partner!$E$3))</f>
        <v>476.60506012749943</v>
      </c>
      <c r="BI3" s="1">
        <f>IF(ISERROR(Tabelle1[[#This Row],[kg_330_korrigiert]]/(1+partner!$E$3)),"None",Tabelle1[[#This Row],[kg_330_korrigiert]]/(1+partner!$E$3))</f>
        <v>1207.9168628658363</v>
      </c>
      <c r="BJ3" s="1">
        <f>IF(ISERROR(Tabelle1[[#This Row],[kg_340_korrigiert]]/(1+partner!$E$3)),"None",Tabelle1[[#This Row],[kg_340_korrigiert]]/(1+partner!$E$3))</f>
        <v>345.58325485366566</v>
      </c>
      <c r="BK3" s="1">
        <f>IF(ISERROR(Tabelle1[[#This Row],[kg_350_korrigiert]]/(1+partner!$E$3)),"None",Tabelle1[[#This Row],[kg_350_korrigiert]]/(1+partner!$E$3))</f>
        <v>355.25096892205164</v>
      </c>
      <c r="BL3" s="1">
        <f>IF(ISERROR(Tabelle1[[#This Row],[kg_360_korrigiert]]/(1+partner!$E$3)),"None",Tabelle1[[#This Row],[kg_360_korrigiert]]/(1+partner!$E$3))</f>
        <v>542.75164807302247</v>
      </c>
      <c r="BM3" s="1">
        <f>IF(ISERROR(Tabelle1[[#This Row],[kg_380_korrigiert]]/(1+partner!$E$3)),"None",Tabelle1[[#This Row],[kg_380_korrigiert]]/(1+partner!$E$3))</f>
        <v>2.3573330194146624</v>
      </c>
      <c r="BN3" s="1">
        <f>IF(ISERROR(Tabelle1[[#This Row],[kg_390_korrigiert]]/(1+partner!$E$3)),"None",Tabelle1[[#This Row],[kg_390_korrigiert]]/(1+partner!$E$3))</f>
        <v>211.77149739206033</v>
      </c>
      <c r="BO3" s="1">
        <f>IF(ISERROR(Tabelle1[[#This Row],[kg_410_korrigiert]]/(1+partner!$E$4)),"None",Tabelle1[[#This Row],[kg_410_korrigiert]]/(1+partner!$E$4))</f>
        <v>69.838783339422733</v>
      </c>
      <c r="BP3" s="1">
        <f>IF(ISERROR(Tabelle1[[#This Row],[kg_420_korrigiert]]/(1+partner!$E$4)),"None",Tabelle1[[#This Row],[kg_420_korrigiert]]/(1+partner!$E$4))</f>
        <v>129.05302338326635</v>
      </c>
      <c r="BQ3" s="1">
        <f>IF(ISERROR(Tabelle1[[#This Row],[kg_430_korrigiert]]/(1+partner!$E$4)),"None",Tabelle1[[#This Row],[kg_430_korrigiert]]/(1+partner!$E$4))</f>
        <v>173.25219218122032</v>
      </c>
      <c r="BR3" s="1">
        <f>IF(ISERROR(Tabelle1[[#This Row],[kg_440_korrigiert]]/(1+partner!$E$4)),"None",Tabelle1[[#This Row],[kg_440_korrigiert]]/(1+partner!$E$4))</f>
        <v>134.90409207161125</v>
      </c>
      <c r="BS3" s="1">
        <f>IF(ISERROR(Tabelle1[[#This Row],[kg_450_korrigiert]]/(1+partner!$E$4)),"None",Tabelle1[[#This Row],[kg_450_korrigiert]]/(1+partner!$E$4))</f>
        <v>53.995478626233115</v>
      </c>
      <c r="BT3" s="1">
        <f>IF(ISERROR(Tabelle1[[#This Row],[kg_460_korrigiert]]/(1+partner!$E$4)),"None",Tabelle1[[#This Row],[kg_460_korrigiert]]/(1+partner!$E$4))</f>
        <v>27.545442089879433</v>
      </c>
      <c r="BU3" s="1">
        <f>IF(ISERROR(Tabelle1[[#This Row],[kg_470_korrigiert]]/(1+partner!$E$4)),"None",Tabelle1[[#This Row],[kg_470_korrigiert]]/(1+partner!$E$4))</f>
        <v>2.466888929484838</v>
      </c>
      <c r="BV3" s="1">
        <f>IF(ISERROR(Tabelle1[[#This Row],[kg_480_korrigiert]]/(1+partner!$E$4)),"None",Tabelle1[[#This Row],[kg_480_korrigiert]]/(1+partner!$E$4))</f>
        <v>113.63719400803801</v>
      </c>
      <c r="BW3" s="1">
        <f>IF(ISERROR(Tabelle1[[#This Row],[kg_490_korrigiert]]/(1+partner!$E$4)),"None",Tabelle1[[#This Row],[kg_490_korrigiert]]/(1+partner!$E$4))</f>
        <v>4.6220770917062488</v>
      </c>
      <c r="BX3" s="1">
        <f>IF(ISERROR(Tabelle1[[#This Row],[kg_500_korrigiert]]/(1+partner!$E$2)),"None",Tabelle1[[#This Row],[kg_500_korrigiert]]/(1+partner!$E$2))</f>
        <v>241.502056331007</v>
      </c>
      <c r="BY3" s="1">
        <f>IF(ISERROR(Tabelle1[[#This Row],[kg_600_korrigiert]]/(1+partner!$E$4)),"None",Tabelle1[[#This Row],[kg_600_korrigiert]]/(1+partner!$E$4))</f>
        <v>1.4427292656192916</v>
      </c>
      <c r="BZ3" s="1">
        <f>IF(ISERROR(Tabelle1[[#This Row],[kg_700_korrigiert]]/(1+partner!$E$5)),"None",Tabelle1[[#This Row],[kg_700_korrigiert]]/(1+partner!$E$5))</f>
        <v>376.09418767507003</v>
      </c>
      <c r="CA3" s="1">
        <f>IF(ISERROR(Tabelle1[[#This Row],[kg_700_korrigiert]]/(1+partner!$E$5)),"None",Tabelle1[[#This Row],[kg_700_korrigiert]]/(1+partner!$E$5)*hoai!$C$14)</f>
        <v>127.87202380952382</v>
      </c>
    </row>
    <row r="4" spans="1:79" x14ac:dyDescent="0.2">
      <c r="A4" t="s">
        <v>34</v>
      </c>
      <c r="B4" t="s">
        <v>25</v>
      </c>
      <c r="C4" t="s">
        <v>26</v>
      </c>
      <c r="D4">
        <v>10</v>
      </c>
      <c r="E4" t="s">
        <v>27</v>
      </c>
      <c r="F4" s="8">
        <v>108.8</v>
      </c>
      <c r="G4" s="8">
        <v>132.6</v>
      </c>
      <c r="H4" s="7">
        <f>Tabelle1[[#This Row],[index_ziel]]/Tabelle1[[#This Row],[index_quelle]]</f>
        <v>1.21875</v>
      </c>
      <c r="I4" s="2">
        <v>402</v>
      </c>
      <c r="J4" s="2">
        <v>1439</v>
      </c>
      <c r="K4" s="2">
        <f>Tabelle1[[#This Row],[bri]]/Tabelle1[[#This Row],[bgf]]</f>
        <v>3.5796019900497513</v>
      </c>
      <c r="L4" s="1">
        <f>Tabelle1[[#This Row],[bgf]]*Tabelle1[[#This Row],[kosten300+400_bgf]]</f>
        <v>959172</v>
      </c>
      <c r="M4" s="1">
        <v>2386</v>
      </c>
      <c r="N4" s="1" t="s">
        <v>42</v>
      </c>
      <c r="O4">
        <v>0.25</v>
      </c>
      <c r="P4" s="1">
        <v>11.53</v>
      </c>
      <c r="Q4" s="1">
        <v>56.15</v>
      </c>
      <c r="R4" s="1">
        <v>338.12</v>
      </c>
      <c r="S4" s="1">
        <v>576.02</v>
      </c>
      <c r="T4" s="1">
        <v>284.37</v>
      </c>
      <c r="U4" s="1">
        <v>471.31</v>
      </c>
      <c r="V4" s="1">
        <v>506.25</v>
      </c>
      <c r="W4" s="1" t="s">
        <v>30</v>
      </c>
      <c r="X4" s="1">
        <v>146.19999999999999</v>
      </c>
      <c r="Y4" s="1">
        <v>103.94</v>
      </c>
      <c r="Z4" s="1">
        <v>192.4</v>
      </c>
      <c r="AA4" s="1">
        <v>12.3</v>
      </c>
      <c r="AB4" s="1">
        <v>276.13</v>
      </c>
      <c r="AC4" s="1">
        <v>49.86</v>
      </c>
      <c r="AD4" s="1" t="s">
        <v>30</v>
      </c>
      <c r="AE4" s="1" t="s">
        <v>30</v>
      </c>
      <c r="AF4" s="1" t="s">
        <v>30</v>
      </c>
      <c r="AG4" s="1" t="s">
        <v>30</v>
      </c>
      <c r="AH4" s="1">
        <v>5.62</v>
      </c>
      <c r="AI4" s="1">
        <v>0.99</v>
      </c>
      <c r="AJ4" s="1">
        <f>Tabelle1[[#This Row],[kg_700_anteil_p1]]*Tabelle1[[#This Row],[kosten300+400_bgf]]</f>
        <v>596.5</v>
      </c>
      <c r="AK4" s="1" cm="1">
        <f t="array" ref="AK4">IF(ISERROR(Tabelle1[[#This Row],[faktor_baupreis]:[faktor_baupreis]]*Tabelle1[[#This Row],[kg_200]]),"None",Tabelle1[[#This Row],[faktor_baupreis]:[faktor_baupreis]]*Tabelle1[[#This Row],[kg_200]]/1.19)</f>
        <v>11.808560924369747</v>
      </c>
      <c r="AL4" s="1" cm="1">
        <f t="array" ref="AL4">IF(ISERROR(Tabelle1[[#This Row],[faktor_baupreis]:[faktor_baupreis]]*Tabelle1[[#This Row],[kg_310]]),"None",Tabelle1[[#This Row],[faktor_baupreis]:[faktor_baupreis]]*Tabelle1[[#This Row],[kg_310]]/1.19)</f>
        <v>57.506565126050418</v>
      </c>
      <c r="AM4" s="1" cm="1">
        <f t="array" ref="AM4">IF(ISERROR(Tabelle1[[#This Row],[faktor_baupreis]:[faktor_baupreis]]*Tabelle1[[#This Row],[kg_320]]),"None",Tabelle1[[#This Row],[faktor_baupreis]:[faktor_baupreis]]*Tabelle1[[#This Row],[kg_320]]/1.19)</f>
        <v>346.28886554621852</v>
      </c>
      <c r="AN4" s="1" cm="1">
        <f t="array" ref="AN4">IF(ISERROR(Tabelle1[[#This Row],[faktor_baupreis]:[faktor_baupreis]]*Tabelle1[[#This Row],[kg_330]]),"None",Tabelle1[[#This Row],[faktor_baupreis]:[faktor_baupreis]]*Tabelle1[[#This Row],[kg_330]]/1.19)</f>
        <v>589.9364495798319</v>
      </c>
      <c r="AO4" s="1" cm="1">
        <f t="array" ref="AO4">IF(ISERROR(Tabelle1[[#This Row],[faktor_baupreis]:[faktor_baupreis]]*Tabelle1[[#This Row],[kg_340]]),"None",Tabelle1[[#This Row],[faktor_baupreis]:[faktor_baupreis]]*Tabelle1[[#This Row],[kg_340]]/1.19)</f>
        <v>291.2402836134454</v>
      </c>
      <c r="AP4" s="1" cm="1">
        <f t="array" ref="AP4">IF(ISERROR(Tabelle1[[#This Row],[faktor_baupreis]:[faktor_baupreis]]*Tabelle1[[#This Row],[kg_350]]),"None",Tabelle1[[#This Row],[faktor_baupreis]:[faktor_baupreis]]*Tabelle1[[#This Row],[kg_350]]/1.19)</f>
        <v>482.69669117647061</v>
      </c>
      <c r="AQ4" s="1" cm="1">
        <f t="array" ref="AQ4">IF(ISERROR(Tabelle1[[#This Row],[faktor_baupreis]:[faktor_baupreis]]*Tabelle1[[#This Row],[kg_360]]),"None",Tabelle1[[#This Row],[faktor_baupreis]:[faktor_baupreis]]*Tabelle1[[#This Row],[kg_360]]/1.19)</f>
        <v>518.48082983193285</v>
      </c>
      <c r="AR4" s="1" t="str" cm="1">
        <f t="array" ref="AR4">IF(ISERROR(Tabelle1[[#This Row],[faktor_baupreis]:[faktor_baupreis]]*Tabelle1[[#This Row],[kg_380]]),"None",Tabelle1[[#This Row],[faktor_baupreis]:[faktor_baupreis]]*Tabelle1[[#This Row],[kg_380]]/1.19)</f>
        <v>None</v>
      </c>
      <c r="AS4" s="1" cm="1">
        <f t="array" ref="AS4">IF(ISERROR(Tabelle1[[#This Row],[faktor_baupreis]:[faktor_baupreis]]*Tabelle1[[#This Row],[kg_390]]),"None",Tabelle1[[#This Row],[faktor_baupreis]:[faktor_baupreis]]*Tabelle1[[#This Row],[kg_390]]/1.19)</f>
        <v>149.73214285714283</v>
      </c>
      <c r="AT4" s="1" cm="1">
        <f t="array" ref="AT4">IF(ISERROR(Tabelle1[[#This Row],[faktor_baupreis]:[faktor_baupreis]]*Tabelle1[[#This Row],[kg_410]]),"None",Tabelle1[[#This Row],[faktor_baupreis]:[faktor_baupreis]]*Tabelle1[[#This Row],[kg_410]]/1.19)</f>
        <v>106.45115546218487</v>
      </c>
      <c r="AU4" s="1" cm="1">
        <f t="array" ref="AU4">IF(ISERROR(Tabelle1[[#This Row],[faktor_baupreis]:[faktor_baupreis]]*Tabelle1[[#This Row],[kg_420]]),"None",Tabelle1[[#This Row],[faktor_baupreis]:[faktor_baupreis]]*Tabelle1[[#This Row],[kg_420]]/1.19)</f>
        <v>197.04831932773112</v>
      </c>
      <c r="AV4" s="1" cm="1">
        <f t="array" ref="AV4">IF(ISERROR(Tabelle1[[#This Row],[faktor_baupreis]:[faktor_baupreis]]*Tabelle1[[#This Row],[kg_430]]),"None",Tabelle1[[#This Row],[faktor_baupreis]:[faktor_baupreis]]*Tabelle1[[#This Row],[kg_430]]/1.19)</f>
        <v>12.59716386554622</v>
      </c>
      <c r="AW4" s="1" cm="1">
        <f t="array" ref="AW4">IF(ISERROR(Tabelle1[[#This Row],[faktor_baupreis]:[faktor_baupreis]]*Tabelle1[[#This Row],[kg_440]]),"None",Tabelle1[[#This Row],[faktor_baupreis]:[faktor_baupreis]]*Tabelle1[[#This Row],[kg_440]]/1.19)</f>
        <v>282.80120798319331</v>
      </c>
      <c r="AX4" s="1" cm="1">
        <f t="array" ref="AX4">IF(ISERROR(Tabelle1[[#This Row],[faktor_baupreis]:[faktor_baupreis]]*Tabelle1[[#This Row],[kg_450]]),"None",Tabelle1[[#This Row],[faktor_baupreis]:[faktor_baupreis]]*Tabelle1[[#This Row],[kg_450]]/1.19)</f>
        <v>51.064600840336134</v>
      </c>
      <c r="AY4" s="1" t="str" cm="1">
        <f t="array" ref="AY4">IF(ISERROR(Tabelle1[[#This Row],[faktor_baupreis]:[faktor_baupreis]]*Tabelle1[[#This Row],[kg_460]]),"None",Tabelle1[[#This Row],[faktor_baupreis]:[faktor_baupreis]]*Tabelle1[[#This Row],[kg_460]]/1.19)</f>
        <v>None</v>
      </c>
      <c r="AZ4" s="1" t="str" cm="1">
        <f t="array" ref="AZ4">IF(ISERROR(Tabelle1[[#This Row],[faktor_baupreis]:[faktor_baupreis]]*Tabelle1[[#This Row],[kg_470]]),"None",Tabelle1[[#This Row],[faktor_baupreis]:[faktor_baupreis]]*Tabelle1[[#This Row],[kg_470]]/1.19)</f>
        <v>None</v>
      </c>
      <c r="BA4" s="1" t="str" cm="1">
        <f t="array" ref="BA4">IF(ISERROR(Tabelle1[[#This Row],[faktor_baupreis]:[faktor_baupreis]]*Tabelle1[[#This Row],[kg_480]]),"None",Tabelle1[[#This Row],[faktor_baupreis]:[faktor_baupreis]]*Tabelle1[[#This Row],[kg_480]]/1.19)</f>
        <v>None</v>
      </c>
      <c r="BB4" s="1" t="str" cm="1">
        <f t="array" ref="BB4">IF(ISERROR(Tabelle1[[#This Row],[faktor_baupreis]:[faktor_baupreis]]*Tabelle1[[#This Row],[kg_490]]),"None",Tabelle1[[#This Row],[faktor_baupreis]:[faktor_baupreis]]*Tabelle1[[#This Row],[kg_490]]/1.19)</f>
        <v>None</v>
      </c>
      <c r="BC4" s="9" t="s">
        <v>30</v>
      </c>
      <c r="BD4" s="1" cm="1">
        <f t="array" ref="BD4">IF(ISERROR(Tabelle1[[#This Row],[faktor_baupreis]:[faktor_baupreis]]*Tabelle1[[#This Row],[kg_600]]),"None",Tabelle1[[#This Row],[faktor_baupreis]:[faktor_baupreis]]*Tabelle1[[#This Row],[kg_600]]/1.19)</f>
        <v>1.0139180672268908</v>
      </c>
      <c r="BE4" s="1" cm="1">
        <f t="array" ref="BE4">IF(ISERROR(Tabelle1[[#This Row],[faktor_baupreis]:[faktor_baupreis]]*Tabelle1[[#This Row],[kg_700_anteil]]),"None",Tabelle1[[#This Row],[faktor_baupreis]:[faktor_baupreis]]*Tabelle1[[#This Row],[kg_700_anteil]]/1.19)</f>
        <v>610.91123949579833</v>
      </c>
      <c r="BF4" s="1">
        <f>IF(ISERROR(Tabelle1[[#This Row],[kg_200_korrigiert]]/(1+partner!$E$2)),"None",Tabelle1[[#This Row],[kg_200_korrigiert]]/(1+partner!$E$2))</f>
        <v>10.007255020652329</v>
      </c>
      <c r="BG4" s="1">
        <f>IF(ISERROR(Tabelle1[[#This Row],[kg_310_korrigiert]]/(1+partner!$E$2)),"None",Tabelle1[[#This Row],[kg_310_korrigiert]]/(1+partner!$E$2))</f>
        <v>48.73437722546646</v>
      </c>
      <c r="BH4" s="1">
        <f>IF(ISERROR(Tabelle1[[#This Row],[kg_320_korrigiert]]/(1+partner!$E$3)),"None",Tabelle1[[#This Row],[kg_320_korrigiert]]/(1+partner!$E$3))</f>
        <v>298.52488409156769</v>
      </c>
      <c r="BI4" s="1">
        <f>IF(ISERROR(Tabelle1[[#This Row],[kg_330_korrigiert]]/(1+partner!$E$3)),"None",Tabelle1[[#This Row],[kg_330_korrigiert]]/(1+partner!$E$3))</f>
        <v>508.56590481019992</v>
      </c>
      <c r="BJ4" s="1">
        <f>IF(ISERROR(Tabelle1[[#This Row],[kg_340_korrigiert]]/(1+partner!$E$3)),"None",Tabelle1[[#This Row],[kg_340_korrigiert]]/(1+partner!$E$3))</f>
        <v>251.06921001159088</v>
      </c>
      <c r="BK4" s="1">
        <f>IF(ISERROR(Tabelle1[[#This Row],[kg_350_korrigiert]]/(1+partner!$E$3)),"None",Tabelle1[[#This Row],[kg_350_korrigiert]]/(1+partner!$E$3))</f>
        <v>416.11783722109539</v>
      </c>
      <c r="BL4" s="1">
        <f>IF(ISERROR(Tabelle1[[#This Row],[kg_360_korrigiert]]/(1+partner!$E$3)),"None",Tabelle1[[#This Row],[kg_360_korrigiert]]/(1+partner!$E$3))</f>
        <v>446.96623261373526</v>
      </c>
      <c r="BM4" s="1" t="str">
        <f>IF(ISERROR(Tabelle1[[#This Row],[kg_380_korrigiert]]/(1+partner!$E$3)),"None",Tabelle1[[#This Row],[kg_380_korrigiert]]/(1+partner!$E$3))</f>
        <v>None</v>
      </c>
      <c r="BN4" s="1">
        <f>IF(ISERROR(Tabelle1[[#This Row],[kg_390_korrigiert]]/(1+partner!$E$3)),"None",Tabelle1[[#This Row],[kg_390_korrigiert]]/(1+partner!$E$3))</f>
        <v>129.07943349753694</v>
      </c>
      <c r="BO4" s="1">
        <f>IF(ISERROR(Tabelle1[[#This Row],[kg_410_korrigiert]]/(1+partner!$E$4)),"None",Tabelle1[[#This Row],[kg_410_korrigiert]]/(1+partner!$E$4))</f>
        <v>92.566222141030337</v>
      </c>
      <c r="BP4" s="1">
        <f>IF(ISERROR(Tabelle1[[#This Row],[kg_420_korrigiert]]/(1+partner!$E$4)),"None",Tabelle1[[#This Row],[kg_420_korrigiert]]/(1+partner!$E$4))</f>
        <v>171.3463646328097</v>
      </c>
      <c r="BQ4" s="1">
        <f>IF(ISERROR(Tabelle1[[#This Row],[kg_430_korrigiert]]/(1+partner!$E$4)),"None",Tabelle1[[#This Row],[kg_430_korrigiert]]/(1+partner!$E$4))</f>
        <v>10.954055535257583</v>
      </c>
      <c r="BR4" s="1">
        <f>IF(ISERROR(Tabelle1[[#This Row],[kg_440_korrigiert]]/(1+partner!$E$4)),"None",Tabelle1[[#This Row],[kg_440_korrigiert]]/(1+partner!$E$4))</f>
        <v>245.91409389842897</v>
      </c>
      <c r="BS4" s="1">
        <f>IF(ISERROR(Tabelle1[[#This Row],[kg_450_korrigiert]]/(1+partner!$E$4)),"None",Tabelle1[[#This Row],[kg_450_korrigiert]]/(1+partner!$E$4))</f>
        <v>44.404000730727077</v>
      </c>
      <c r="BT4" s="1" t="str">
        <f>IF(ISERROR(Tabelle1[[#This Row],[kg_460_korrigiert]]/(1+partner!$E$4)),"None",Tabelle1[[#This Row],[kg_460_korrigiert]]/(1+partner!$E$4))</f>
        <v>None</v>
      </c>
      <c r="BU4" s="1" t="str">
        <f>IF(ISERROR(Tabelle1[[#This Row],[kg_470_korrigiert]]/(1+partner!$E$4)),"None",Tabelle1[[#This Row],[kg_470_korrigiert]]/(1+partner!$E$4))</f>
        <v>None</v>
      </c>
      <c r="BV4" s="1" t="str">
        <f>IF(ISERROR(Tabelle1[[#This Row],[kg_480_korrigiert]]/(1+partner!$E$4)),"None",Tabelle1[[#This Row],[kg_480_korrigiert]]/(1+partner!$E$4))</f>
        <v>None</v>
      </c>
      <c r="BW4" s="1" t="str">
        <f>IF(ISERROR(Tabelle1[[#This Row],[kg_490_korrigiert]]/(1+partner!$E$4)),"None",Tabelle1[[#This Row],[kg_490_korrigiert]]/(1+partner!$E$4))</f>
        <v>None</v>
      </c>
      <c r="BX4" s="1" t="str">
        <f>IF(ISERROR(Tabelle1[[#This Row],[kg_500_korrigiert]]/(1+partner!$E$2)),"None",Tabelle1[[#This Row],[kg_500_korrigiert]]/(1+partner!$E$2))</f>
        <v>None</v>
      </c>
      <c r="BY4" s="1">
        <f>IF(ISERROR(Tabelle1[[#This Row],[kg_600_korrigiert]]/(1+partner!$E$4)),"None",Tabelle1[[#This Row],[kg_600_korrigiert]]/(1+partner!$E$4))</f>
        <v>0.88166788454512257</v>
      </c>
      <c r="BZ4" s="1">
        <f>IF(ISERROR(Tabelle1[[#This Row],[kg_700_korrigiert]]/(1+partner!$E$5)),"None",Tabelle1[[#This Row],[kg_700_korrigiert]]/(1+partner!$E$5))</f>
        <v>339.39513305322129</v>
      </c>
      <c r="CA4" s="1">
        <f>IF(ISERROR(Tabelle1[[#This Row],[kg_700_korrigiert]]/(1+partner!$E$5)),"None",Tabelle1[[#This Row],[kg_700_korrigiert]]/(1+partner!$E$5)*hoai!$C$14)</f>
        <v>115.39434523809524</v>
      </c>
    </row>
    <row r="5" spans="1:79" x14ac:dyDescent="0.2">
      <c r="A5" t="s">
        <v>35</v>
      </c>
      <c r="B5" t="s">
        <v>25</v>
      </c>
      <c r="C5" t="s">
        <v>26</v>
      </c>
      <c r="D5">
        <v>6</v>
      </c>
      <c r="E5" t="s">
        <v>27</v>
      </c>
      <c r="F5" s="8">
        <v>108.8</v>
      </c>
      <c r="G5" s="8">
        <v>132.6</v>
      </c>
      <c r="H5" s="7">
        <f>Tabelle1[[#This Row],[index_ziel]]/Tabelle1[[#This Row],[index_quelle]]</f>
        <v>1.21875</v>
      </c>
      <c r="I5" s="2">
        <v>237</v>
      </c>
      <c r="J5" s="2">
        <v>776</v>
      </c>
      <c r="K5" s="2">
        <f>Tabelle1[[#This Row],[bri]]/Tabelle1[[#This Row],[bgf]]</f>
        <v>3.2742616033755274</v>
      </c>
      <c r="L5" s="1">
        <f>Tabelle1[[#This Row],[bgf]]*Tabelle1[[#This Row],[kosten300+400_bgf]]</f>
        <v>542967</v>
      </c>
      <c r="M5" s="1">
        <v>2291</v>
      </c>
      <c r="N5" s="1" t="s">
        <v>43</v>
      </c>
      <c r="O5">
        <v>0.25</v>
      </c>
      <c r="P5" s="1">
        <v>15.45</v>
      </c>
      <c r="Q5" s="1">
        <v>97.12</v>
      </c>
      <c r="R5" s="1">
        <v>419.81</v>
      </c>
      <c r="S5" s="1">
        <v>596.71</v>
      </c>
      <c r="T5" s="1">
        <v>285.27</v>
      </c>
      <c r="U5" s="1">
        <v>404.5</v>
      </c>
      <c r="V5" s="1">
        <v>415.14</v>
      </c>
      <c r="W5" s="1" t="s">
        <v>30</v>
      </c>
      <c r="X5" s="1">
        <v>120.06</v>
      </c>
      <c r="Y5" s="1">
        <v>81.55</v>
      </c>
      <c r="Z5" s="1">
        <v>202.94</v>
      </c>
      <c r="AA5" s="1" t="s">
        <v>30</v>
      </c>
      <c r="AB5" s="1">
        <v>100.57</v>
      </c>
      <c r="AC5" s="1">
        <v>16.93</v>
      </c>
      <c r="AD5" s="1" t="s">
        <v>30</v>
      </c>
      <c r="AE5" s="1" t="s">
        <v>30</v>
      </c>
      <c r="AF5" s="1" t="s">
        <v>30</v>
      </c>
      <c r="AG5" s="1" t="s">
        <v>30</v>
      </c>
      <c r="AH5" s="1">
        <v>496.96</v>
      </c>
      <c r="AI5" s="1" t="s">
        <v>30</v>
      </c>
      <c r="AJ5" s="1">
        <f>Tabelle1[[#This Row],[kg_700_anteil_p1]]*Tabelle1[[#This Row],[kosten300+400_bgf]]</f>
        <v>572.75</v>
      </c>
      <c r="AK5" s="1" cm="1">
        <f t="array" ref="AK5">IF(ISERROR(Tabelle1[[#This Row],[faktor_baupreis]:[faktor_baupreis]]*Tabelle1[[#This Row],[kg_200]]),"None",Tabelle1[[#This Row],[faktor_baupreis]:[faktor_baupreis]]*Tabelle1[[#This Row],[kg_200]]/1.19)</f>
        <v>15.823266806722689</v>
      </c>
      <c r="AL5" s="1" cm="1">
        <f t="array" ref="AL5">IF(ISERROR(Tabelle1[[#This Row],[faktor_baupreis]:[faktor_baupreis]]*Tabelle1[[#This Row],[kg_310]]),"None",Tabelle1[[#This Row],[faktor_baupreis]:[faktor_baupreis]]*Tabelle1[[#This Row],[kg_310]]/1.19)</f>
        <v>99.466386554621863</v>
      </c>
      <c r="AM5" s="1" cm="1">
        <f t="array" ref="AM5">IF(ISERROR(Tabelle1[[#This Row],[faktor_baupreis]:[faktor_baupreis]]*Tabelle1[[#This Row],[kg_320]]),"None",Tabelle1[[#This Row],[faktor_baupreis]:[faktor_baupreis]]*Tabelle1[[#This Row],[kg_320]]/1.19)</f>
        <v>429.95246848739498</v>
      </c>
      <c r="AN5" s="1" cm="1">
        <f t="array" ref="AN5">IF(ISERROR(Tabelle1[[#This Row],[faktor_baupreis]:[faktor_baupreis]]*Tabelle1[[#This Row],[kg_330]]),"None",Tabelle1[[#This Row],[faktor_baupreis]:[faktor_baupreis]]*Tabelle1[[#This Row],[kg_330]]/1.19)</f>
        <v>611.12631302521015</v>
      </c>
      <c r="AO5" s="1" cm="1">
        <f t="array" ref="AO5">IF(ISERROR(Tabelle1[[#This Row],[faktor_baupreis]:[faktor_baupreis]]*Tabelle1[[#This Row],[kg_340]]),"None",Tabelle1[[#This Row],[faktor_baupreis]:[faktor_baupreis]]*Tabelle1[[#This Row],[kg_340]]/1.19)</f>
        <v>292.16202731092437</v>
      </c>
      <c r="AP5" s="1" cm="1">
        <f t="array" ref="AP5">IF(ISERROR(Tabelle1[[#This Row],[faktor_baupreis]:[faktor_baupreis]]*Tabelle1[[#This Row],[kg_350]]),"None",Tabelle1[[#This Row],[faktor_baupreis]:[faktor_baupreis]]*Tabelle1[[#This Row],[kg_350]]/1.19)</f>
        <v>414.27258403361344</v>
      </c>
      <c r="AQ5" s="1" cm="1">
        <f t="array" ref="AQ5">IF(ISERROR(Tabelle1[[#This Row],[faktor_baupreis]:[faktor_baupreis]]*Tabelle1[[#This Row],[kg_360]]),"None",Tabelle1[[#This Row],[faktor_baupreis]:[faktor_baupreis]]*Tabelle1[[#This Row],[kg_360]]/1.19)</f>
        <v>425.16964285714283</v>
      </c>
      <c r="AR5" s="1" t="str" cm="1">
        <f t="array" ref="AR5">IF(ISERROR(Tabelle1[[#This Row],[faktor_baupreis]:[faktor_baupreis]]*Tabelle1[[#This Row],[kg_380]]),"None",Tabelle1[[#This Row],[faktor_baupreis]:[faktor_baupreis]]*Tabelle1[[#This Row],[kg_380]]/1.19)</f>
        <v>None</v>
      </c>
      <c r="AS5" s="1" cm="1">
        <f t="array" ref="AS5">IF(ISERROR(Tabelle1[[#This Row],[faktor_baupreis]:[faktor_baupreis]]*Tabelle1[[#This Row],[kg_390]]),"None",Tabelle1[[#This Row],[faktor_baupreis]:[faktor_baupreis]]*Tabelle1[[#This Row],[kg_390]]/1.19)</f>
        <v>122.96060924369749</v>
      </c>
      <c r="AT5" s="1" cm="1">
        <f t="array" ref="AT5">IF(ISERROR(Tabelle1[[#This Row],[faktor_baupreis]:[faktor_baupreis]]*Tabelle1[[#This Row],[kg_410]]),"None",Tabelle1[[#This Row],[faktor_baupreis]:[faktor_baupreis]]*Tabelle1[[#This Row],[kg_410]]/1.19)</f>
        <v>83.52022058823529</v>
      </c>
      <c r="AU5" s="1" cm="1">
        <f t="array" ref="AU5">IF(ISERROR(Tabelle1[[#This Row],[faktor_baupreis]:[faktor_baupreis]]*Tabelle1[[#This Row],[kg_420]]),"None",Tabelle1[[#This Row],[faktor_baupreis]:[faktor_baupreis]]*Tabelle1[[#This Row],[kg_420]]/1.19)</f>
        <v>207.84296218487395</v>
      </c>
      <c r="AV5" s="1" t="str" cm="1">
        <f t="array" ref="AV5">IF(ISERROR(Tabelle1[[#This Row],[faktor_baupreis]:[faktor_baupreis]]*Tabelle1[[#This Row],[kg_430]]),"None",Tabelle1[[#This Row],[faktor_baupreis]:[faktor_baupreis]]*Tabelle1[[#This Row],[kg_430]]/1.19)</f>
        <v>None</v>
      </c>
      <c r="AW5" s="1" cm="1">
        <f t="array" ref="AW5">IF(ISERROR(Tabelle1[[#This Row],[faktor_baupreis]:[faktor_baupreis]]*Tabelle1[[#This Row],[kg_440]]),"None",Tabelle1[[#This Row],[faktor_baupreis]:[faktor_baupreis]]*Tabelle1[[#This Row],[kg_440]]/1.19)</f>
        <v>102.99973739495798</v>
      </c>
      <c r="AX5" s="1" cm="1">
        <f t="array" ref="AX5">IF(ISERROR(Tabelle1[[#This Row],[faktor_baupreis]:[faktor_baupreis]]*Tabelle1[[#This Row],[kg_450]]),"None",Tabelle1[[#This Row],[faktor_baupreis]:[faktor_baupreis]]*Tabelle1[[#This Row],[kg_450]]/1.19)</f>
        <v>17.339023109243698</v>
      </c>
      <c r="AY5" s="1" t="str" cm="1">
        <f t="array" ref="AY5">IF(ISERROR(Tabelle1[[#This Row],[faktor_baupreis]:[faktor_baupreis]]*Tabelle1[[#This Row],[kg_460]]),"None",Tabelle1[[#This Row],[faktor_baupreis]:[faktor_baupreis]]*Tabelle1[[#This Row],[kg_460]]/1.19)</f>
        <v>None</v>
      </c>
      <c r="AZ5" s="1" t="str" cm="1">
        <f t="array" ref="AZ5">IF(ISERROR(Tabelle1[[#This Row],[faktor_baupreis]:[faktor_baupreis]]*Tabelle1[[#This Row],[kg_470]]),"None",Tabelle1[[#This Row],[faktor_baupreis]:[faktor_baupreis]]*Tabelle1[[#This Row],[kg_470]]/1.19)</f>
        <v>None</v>
      </c>
      <c r="BA5" s="1" t="str" cm="1">
        <f t="array" ref="BA5">IF(ISERROR(Tabelle1[[#This Row],[faktor_baupreis]:[faktor_baupreis]]*Tabelle1[[#This Row],[kg_480]]),"None",Tabelle1[[#This Row],[faktor_baupreis]:[faktor_baupreis]]*Tabelle1[[#This Row],[kg_480]]/1.19)</f>
        <v>None</v>
      </c>
      <c r="BB5" s="1" t="str" cm="1">
        <f t="array" ref="BB5">IF(ISERROR(Tabelle1[[#This Row],[faktor_baupreis]:[faktor_baupreis]]*Tabelle1[[#This Row],[kg_490]]),"None",Tabelle1[[#This Row],[faktor_baupreis]:[faktor_baupreis]]*Tabelle1[[#This Row],[kg_490]]/1.19)</f>
        <v>None</v>
      </c>
      <c r="BC5" s="1" cm="1">
        <f t="array" ref="BC5">IF(ISERROR(Tabelle1[[#This Row],[faktor_baupreis]:[faktor_baupreis]]*Tabelle1[[#This Row],[kg_500]]),"None",Tabelle1[[#This Row],[faktor_baupreis]:[faktor_baupreis]]*Tabelle1[[#This Row],[kg_500]]/1.19)</f>
        <v>508.96638655462186</v>
      </c>
      <c r="BD5" s="1" t="str" cm="1">
        <f t="array" ref="BD5">IF(ISERROR(Tabelle1[[#This Row],[faktor_baupreis]:[faktor_baupreis]]*Tabelle1[[#This Row],[kg_600]]),"None",Tabelle1[[#This Row],[faktor_baupreis]:[faktor_baupreis]]*Tabelle1[[#This Row],[kg_600]]/1.19)</f>
        <v>None</v>
      </c>
      <c r="BE5" s="1" cm="1">
        <f t="array" ref="BE5">IF(ISERROR(Tabelle1[[#This Row],[faktor_baupreis]:[faktor_baupreis]]*Tabelle1[[#This Row],[kg_700_anteil]]),"None",Tabelle1[[#This Row],[faktor_baupreis]:[faktor_baupreis]]*Tabelle1[[#This Row],[kg_700_anteil]]/1.19)</f>
        <v>586.58744747899163</v>
      </c>
      <c r="BF5" s="1">
        <f>IF(ISERROR(Tabelle1[[#This Row],[kg_200_korrigiert]]/(1+partner!$E$2)),"None",Tabelle1[[#This Row],[kg_200_korrigiert]]/(1+partner!$E$2))</f>
        <v>13.409548141290415</v>
      </c>
      <c r="BG5" s="1">
        <f>IF(ISERROR(Tabelle1[[#This Row],[kg_310_korrigiert]]/(1+partner!$E$2)),"None",Tabelle1[[#This Row],[kg_310_korrigiert]]/(1+partner!$E$2))</f>
        <v>84.293547927645648</v>
      </c>
      <c r="BH5" s="1">
        <f>IF(ISERROR(Tabelle1[[#This Row],[kg_320_korrigiert]]/(1+partner!$E$3)),"None",Tabelle1[[#This Row],[kg_320_korrigiert]]/(1+partner!$E$3))</f>
        <v>370.64867973051292</v>
      </c>
      <c r="BI5" s="1">
        <f>IF(ISERROR(Tabelle1[[#This Row],[kg_330_korrigiert]]/(1+partner!$E$3)),"None",Tabelle1[[#This Row],[kg_330_korrigiert]]/(1+partner!$E$3))</f>
        <v>526.8330284700088</v>
      </c>
      <c r="BJ5" s="1">
        <f>IF(ISERROR(Tabelle1[[#This Row],[kg_340_korrigiert]]/(1+partner!$E$3)),"None",Tabelle1[[#This Row],[kg_340_korrigiert]]/(1+partner!$E$3))</f>
        <v>251.86381664734861</v>
      </c>
      <c r="BK5" s="1">
        <f>IF(ISERROR(Tabelle1[[#This Row],[kg_350_korrigiert]]/(1+partner!$E$3)),"None",Tabelle1[[#This Row],[kg_350_korrigiert]]/(1+partner!$E$3))</f>
        <v>357.1315379600116</v>
      </c>
      <c r="BL5" s="1">
        <f>IF(ISERROR(Tabelle1[[#This Row],[kg_360_korrigiert]]/(1+partner!$E$3)),"None",Tabelle1[[#This Row],[kg_360_korrigiert]]/(1+partner!$E$3))</f>
        <v>366.52555418719214</v>
      </c>
      <c r="BM5" s="1" t="str">
        <f>IF(ISERROR(Tabelle1[[#This Row],[kg_380_korrigiert]]/(1+partner!$E$3)),"None",Tabelle1[[#This Row],[kg_380_korrigiert]]/(1+partner!$E$3))</f>
        <v>None</v>
      </c>
      <c r="BN5" s="1">
        <f>IF(ISERROR(Tabelle1[[#This Row],[kg_390_korrigiert]]/(1+partner!$E$3)),"None",Tabelle1[[#This Row],[kg_390_korrigiert]]/(1+partner!$E$3))</f>
        <v>106.00052521008405</v>
      </c>
      <c r="BO5" s="1">
        <f>IF(ISERROR(Tabelle1[[#This Row],[kg_410_korrigiert]]/(1+partner!$E$4)),"None",Tabelle1[[#This Row],[kg_410_korrigiert]]/(1+partner!$E$4))</f>
        <v>72.626278772378512</v>
      </c>
      <c r="BP5" s="1">
        <f>IF(ISERROR(Tabelle1[[#This Row],[kg_420_korrigiert]]/(1+partner!$E$4)),"None",Tabelle1[[#This Row],[kg_420_korrigiert]]/(1+partner!$E$4))</f>
        <v>180.73301059554259</v>
      </c>
      <c r="BQ5" s="1" t="str">
        <f>IF(ISERROR(Tabelle1[[#This Row],[kg_430_korrigiert]]/(1+partner!$E$4)),"None",Tabelle1[[#This Row],[kg_430_korrigiert]]/(1+partner!$E$4))</f>
        <v>None</v>
      </c>
      <c r="BR5" s="1">
        <f>IF(ISERROR(Tabelle1[[#This Row],[kg_440_korrigiert]]/(1+partner!$E$4)),"None",Tabelle1[[#This Row],[kg_440_korrigiert]]/(1+partner!$E$4))</f>
        <v>89.564989039093902</v>
      </c>
      <c r="BS5" s="1">
        <f>IF(ISERROR(Tabelle1[[#This Row],[kg_450_korrigiert]]/(1+partner!$E$4)),"None",Tabelle1[[#This Row],[kg_450_korrigiert]]/(1+partner!$E$4))</f>
        <v>15.077411399342347</v>
      </c>
      <c r="BT5" s="1" t="str">
        <f>IF(ISERROR(Tabelle1[[#This Row],[kg_460_korrigiert]]/(1+partner!$E$4)),"None",Tabelle1[[#This Row],[kg_460_korrigiert]]/(1+partner!$E$4))</f>
        <v>None</v>
      </c>
      <c r="BU5" s="1" t="str">
        <f>IF(ISERROR(Tabelle1[[#This Row],[kg_470_korrigiert]]/(1+partner!$E$4)),"None",Tabelle1[[#This Row],[kg_470_korrigiert]]/(1+partner!$E$4))</f>
        <v>None</v>
      </c>
      <c r="BV5" s="1" t="str">
        <f>IF(ISERROR(Tabelle1[[#This Row],[kg_480_korrigiert]]/(1+partner!$E$4)),"None",Tabelle1[[#This Row],[kg_480_korrigiert]]/(1+partner!$E$4))</f>
        <v>None</v>
      </c>
      <c r="BW5" s="1" t="str">
        <f>IF(ISERROR(Tabelle1[[#This Row],[kg_490_korrigiert]]/(1+partner!$E$4)),"None",Tabelle1[[#This Row],[kg_490_korrigiert]]/(1+partner!$E$4))</f>
        <v>None</v>
      </c>
      <c r="BX5" s="1">
        <f>IF(ISERROR(Tabelle1[[#This Row],[kg_500_korrigiert]]/(1+partner!$E$2)),"None",Tabelle1[[#This Row],[kg_500_korrigiert]]/(1+partner!$E$2))</f>
        <v>431.32744623273044</v>
      </c>
      <c r="BY5" s="1" t="str">
        <f>IF(ISERROR(Tabelle1[[#This Row],[kg_600_korrigiert]]/(1+partner!$E$4)),"None",Tabelle1[[#This Row],[kg_600_korrigiert]]/(1+partner!$E$4))</f>
        <v>None</v>
      </c>
      <c r="BZ5" s="1">
        <f>IF(ISERROR(Tabelle1[[#This Row],[kg_700_korrigiert]]/(1+partner!$E$5)),"None",Tabelle1[[#This Row],[kg_700_korrigiert]]/(1+partner!$E$5))</f>
        <v>325.88191526610643</v>
      </c>
      <c r="CA5" s="1">
        <f>IF(ISERROR(Tabelle1[[#This Row],[kg_700_korrigiert]]/(1+partner!$E$5)),"None",Tabelle1[[#This Row],[kg_700_korrigiert]]/(1+partner!$E$5)*hoai!$C$14)</f>
        <v>110.79985119047619</v>
      </c>
    </row>
    <row r="6" spans="1:79" x14ac:dyDescent="0.2">
      <c r="A6" t="s">
        <v>36</v>
      </c>
      <c r="B6" t="s">
        <v>37</v>
      </c>
      <c r="C6" t="s">
        <v>26</v>
      </c>
      <c r="D6">
        <v>95</v>
      </c>
      <c r="E6" t="s">
        <v>38</v>
      </c>
      <c r="F6" s="8">
        <v>93.3</v>
      </c>
      <c r="G6" s="8">
        <v>132.6</v>
      </c>
      <c r="H6" s="7">
        <f>Tabelle1[[#This Row],[index_ziel]]/Tabelle1[[#This Row],[index_quelle]]</f>
        <v>1.4212218649517685</v>
      </c>
      <c r="I6" s="2">
        <v>4490</v>
      </c>
      <c r="J6" s="2">
        <v>16002</v>
      </c>
      <c r="K6" s="2">
        <f>Tabelle1[[#This Row],[bri]]/Tabelle1[[#This Row],[bgf]]</f>
        <v>3.5639198218262806</v>
      </c>
      <c r="L6" s="1">
        <f>Tabelle1[[#This Row],[bgf]]*Tabelle1[[#This Row],[kosten300+400_bgf]]</f>
        <v>8733050</v>
      </c>
      <c r="M6" s="1">
        <v>1945</v>
      </c>
      <c r="N6" s="1" t="s">
        <v>42</v>
      </c>
      <c r="O6">
        <v>0.25</v>
      </c>
      <c r="P6" s="1">
        <v>0.49</v>
      </c>
      <c r="Q6" s="1">
        <v>164.22</v>
      </c>
      <c r="R6" s="1">
        <v>463.55</v>
      </c>
      <c r="S6" s="1">
        <v>756.23</v>
      </c>
      <c r="T6" s="1">
        <v>345.76</v>
      </c>
      <c r="U6" s="1">
        <v>394.06</v>
      </c>
      <c r="V6" s="1">
        <v>601.5</v>
      </c>
      <c r="W6" s="1">
        <v>33.82</v>
      </c>
      <c r="X6" s="1">
        <v>114.06</v>
      </c>
      <c r="Y6" s="1">
        <v>27.33</v>
      </c>
      <c r="Z6" s="1">
        <v>99.06</v>
      </c>
      <c r="AA6" s="1">
        <v>67.55</v>
      </c>
      <c r="AB6" s="1">
        <v>133.94</v>
      </c>
      <c r="AC6" s="1">
        <v>58.14</v>
      </c>
      <c r="AD6" s="1">
        <v>11.95</v>
      </c>
      <c r="AE6" s="1">
        <v>20.49</v>
      </c>
      <c r="AF6" s="1">
        <v>31.9</v>
      </c>
      <c r="AG6" s="1" t="s">
        <v>30</v>
      </c>
      <c r="AH6" s="1">
        <v>31.06</v>
      </c>
      <c r="AI6" s="1">
        <v>5.6</v>
      </c>
      <c r="AJ6" s="1">
        <f>Tabelle1[[#This Row],[kg_700_anteil_p1]]*Tabelle1[[#This Row],[kosten300+400_bgf]]</f>
        <v>486.25</v>
      </c>
      <c r="AK6" s="1" cm="1">
        <f t="array" ref="AK6">IF(ISERROR(Tabelle1[[#This Row],[faktor_baupreis]:[faktor_baupreis]]*Tabelle1[[#This Row],[kg_200]]),"None",Tabelle1[[#This Row],[faktor_baupreis]:[faktor_baupreis]]*Tabelle1[[#This Row],[kg_200]]/1.19)</f>
        <v>0.58520900321543412</v>
      </c>
      <c r="AL6" s="1" cm="1">
        <f t="array" ref="AL6">IF(ISERROR(Tabelle1[[#This Row],[faktor_baupreis]:[faktor_baupreis]]*Tabelle1[[#This Row],[kg_310]]),"None",Tabelle1[[#This Row],[faktor_baupreis]:[faktor_baupreis]]*Tabelle1[[#This Row],[kg_310]]/1.19)</f>
        <v>196.12861736334406</v>
      </c>
      <c r="AM6" s="1" cm="1">
        <f t="array" ref="AM6">IF(ISERROR(Tabelle1[[#This Row],[faktor_baupreis]:[faktor_baupreis]]*Tabelle1[[#This Row],[kg_320]]),"None",Tabelle1[[#This Row],[faktor_baupreis]:[faktor_baupreis]]*Tabelle1[[#This Row],[kg_320]]/1.19)</f>
        <v>553.61966008268269</v>
      </c>
      <c r="AN6" s="1" cm="1">
        <f t="array" ref="AN6">IF(ISERROR(Tabelle1[[#This Row],[faktor_baupreis]:[faktor_baupreis]]*Tabelle1[[#This Row],[kg_330]]),"None",Tabelle1[[#This Row],[faktor_baupreis]:[faktor_baupreis]]*Tabelle1[[#This Row],[kg_330]]/1.19)</f>
        <v>903.16858061552591</v>
      </c>
      <c r="AO6" s="1" cm="1">
        <f t="array" ref="AO6">IF(ISERROR(Tabelle1[[#This Row],[faktor_baupreis]:[faktor_baupreis]]*Tabelle1[[#This Row],[kg_340]]),"None",Tabelle1[[#This Row],[faktor_baupreis]:[faktor_baupreis]]*Tabelle1[[#This Row],[kg_340]]/1.19)</f>
        <v>412.94258153422146</v>
      </c>
      <c r="AP6" s="1" cm="1">
        <f t="array" ref="AP6">IF(ISERROR(Tabelle1[[#This Row],[faktor_baupreis]:[faktor_baupreis]]*Tabelle1[[#This Row],[kg_350]]),"None",Tabelle1[[#This Row],[faktor_baupreis]:[faktor_baupreis]]*Tabelle1[[#This Row],[kg_350]]/1.19)</f>
        <v>470.6274689940285</v>
      </c>
      <c r="AQ6" s="1" cm="1">
        <f t="array" ref="AQ6">IF(ISERROR(Tabelle1[[#This Row],[faktor_baupreis]:[faktor_baupreis]]*Tabelle1[[#This Row],[kg_360]]),"None",Tabelle1[[#This Row],[faktor_baupreis]:[faktor_baupreis]]*Tabelle1[[#This Row],[kg_360]]/1.19)</f>
        <v>718.37390904915026</v>
      </c>
      <c r="AR6" s="1" cm="1">
        <f t="array" ref="AR6">IF(ISERROR(Tabelle1[[#This Row],[faktor_baupreis]:[faktor_baupreis]]*Tabelle1[[#This Row],[kg_380]]),"None",Tabelle1[[#This Row],[faktor_baupreis]:[faktor_baupreis]]*Tabelle1[[#This Row],[kg_380]]/1.19)</f>
        <v>40.391364262746905</v>
      </c>
      <c r="AS6" s="1" cm="1">
        <f t="array" ref="AS6">IF(ISERROR(Tabelle1[[#This Row],[faktor_baupreis]:[faktor_baupreis]]*Tabelle1[[#This Row],[kg_390]]),"None",Tabelle1[[#This Row],[faktor_baupreis]:[faktor_baupreis]]*Tabelle1[[#This Row],[kg_390]]/1.19)</f>
        <v>136.22232429949472</v>
      </c>
      <c r="AT6" s="1" cm="1">
        <f t="array" ref="AT6">IF(ISERROR(Tabelle1[[#This Row],[faktor_baupreis]:[faktor_baupreis]]*Tabelle1[[#This Row],[kg_410]]),"None",Tabelle1[[#This Row],[faktor_baupreis]:[faktor_baupreis]]*Tabelle1[[#This Row],[kg_410]]/1.19)</f>
        <v>32.640330730362884</v>
      </c>
      <c r="AU6" s="1" cm="1">
        <f t="array" ref="AU6">IF(ISERROR(Tabelle1[[#This Row],[faktor_baupreis]:[faktor_baupreis]]*Tabelle1[[#This Row],[kg_420]]),"None",Tabelle1[[#This Row],[faktor_baupreis]:[faktor_baupreis]]*Tabelle1[[#This Row],[kg_420]]/1.19)</f>
        <v>118.30776297657329</v>
      </c>
      <c r="AV6" s="1" cm="1">
        <f t="array" ref="AV6">IF(ISERROR(Tabelle1[[#This Row],[faktor_baupreis]:[faktor_baupreis]]*Tabelle1[[#This Row],[kg_430]]),"None",Tabelle1[[#This Row],[faktor_baupreis]:[faktor_baupreis]]*Tabelle1[[#This Row],[kg_430]]/1.19)</f>
        <v>80.675241157556272</v>
      </c>
      <c r="AW6" s="1" cm="1">
        <f t="array" ref="AW6">IF(ISERROR(Tabelle1[[#This Row],[faktor_baupreis]:[faktor_baupreis]]*Tabelle1[[#This Row],[kg_440]]),"None",Tabelle1[[#This Row],[faktor_baupreis]:[faktor_baupreis]]*Tabelle1[[#This Row],[kg_440]]/1.19)</f>
        <v>159.96508957280662</v>
      </c>
      <c r="AX6" s="1" cm="1">
        <f t="array" ref="AX6">IF(ISERROR(Tabelle1[[#This Row],[faktor_baupreis]:[faktor_baupreis]]*Tabelle1[[#This Row],[kg_450]]),"None",Tabelle1[[#This Row],[faktor_baupreis]:[faktor_baupreis]]*Tabelle1[[#This Row],[kg_450]]/1.19)</f>
        <v>69.436839687643555</v>
      </c>
      <c r="AY6" s="1" cm="1">
        <f t="array" ref="AY6">IF(ISERROR(Tabelle1[[#This Row],[faktor_baupreis]:[faktor_baupreis]]*Tabelle1[[#This Row],[kg_460]]),"None",Tabelle1[[#This Row],[faktor_baupreis]:[faktor_baupreis]]*Tabelle1[[#This Row],[kg_460]]/1.19)</f>
        <v>14.271933853927424</v>
      </c>
      <c r="AZ6" s="9" t="s">
        <v>30</v>
      </c>
      <c r="BA6" s="1" cm="1">
        <f t="array" ref="BA6">IF(ISERROR(Tabelle1[[#This Row],[faktor_baupreis]:[faktor_baupreis]]*Tabelle1[[#This Row],[kg_480]]),"None",Tabelle1[[#This Row],[faktor_baupreis]:[faktor_baupreis]]*Tabelle1[[#This Row],[kg_480]]/1.19)</f>
        <v>38.098300413412957</v>
      </c>
      <c r="BB6" s="1" t="str" cm="1">
        <f t="array" ref="BB6">IF(ISERROR(Tabelle1[[#This Row],[faktor_baupreis]:[faktor_baupreis]]*Tabelle1[[#This Row],[kg_490]]),"None",Tabelle1[[#This Row],[faktor_baupreis]:[faktor_baupreis]]*Tabelle1[[#This Row],[kg_490]]/1.19)</f>
        <v>None</v>
      </c>
      <c r="BC6" s="1" cm="1">
        <f t="array" ref="BC6">IF(ISERROR(Tabelle1[[#This Row],[faktor_baupreis]:[faktor_baupreis]]*Tabelle1[[#This Row],[kg_500]]),"None",Tabelle1[[#This Row],[faktor_baupreis]:[faktor_baupreis]]*Tabelle1[[#This Row],[kg_500]]/1.19)</f>
        <v>37.09508497932935</v>
      </c>
      <c r="BD6" s="1" cm="1">
        <f t="array" ref="BD6">IF(ISERROR(Tabelle1[[#This Row],[faktor_baupreis]:[faktor_baupreis]]*Tabelle1[[#This Row],[kg_600]]),"None",Tabelle1[[#This Row],[faktor_baupreis]:[faktor_baupreis]]*Tabelle1[[#This Row],[kg_600]]/1.19)</f>
        <v>6.688102893890675</v>
      </c>
      <c r="BE6" s="1" cm="1">
        <f t="array" ref="BE6">IF(ISERROR(Tabelle1[[#This Row],[faktor_baupreis]:[faktor_baupreis]]*Tabelle1[[#This Row],[kg_700_anteil]]),"None",Tabelle1[[#This Row],[faktor_baupreis]:[faktor_baupreis]]*Tabelle1[[#This Row],[kg_700_anteil]]/1.19)</f>
        <v>580.73036288470371</v>
      </c>
      <c r="BF6" s="1">
        <f>IF(ISERROR(Tabelle1[[#This Row],[kg_200_korrigiert]]/(1+partner!$E$2)),"None",Tabelle1[[#This Row],[kg_200_korrigiert]]/(1+partner!$E$2))</f>
        <v>0.49593983323341878</v>
      </c>
      <c r="BG6" s="1">
        <f>IF(ISERROR(Tabelle1[[#This Row],[kg_310_korrigiert]]/(1+partner!$E$2)),"None",Tabelle1[[#This Row],[kg_310_korrigiert]]/(1+partner!$E$2))</f>
        <v>166.21069268080007</v>
      </c>
      <c r="BH6" s="1">
        <f>IF(ISERROR(Tabelle1[[#This Row],[kg_320_korrigiert]]/(1+partner!$E$3)),"None",Tabelle1[[#This Row],[kg_320_korrigiert]]/(1+partner!$E$3))</f>
        <v>477.2583276574851</v>
      </c>
      <c r="BI6" s="1">
        <f>IF(ISERROR(Tabelle1[[#This Row],[kg_330_korrigiert]]/(1+partner!$E$3)),"None",Tabelle1[[#This Row],[kg_330_korrigiert]]/(1+partner!$E$3))</f>
        <v>778.59360397890168</v>
      </c>
      <c r="BJ6" s="1">
        <f>IF(ISERROR(Tabelle1[[#This Row],[kg_340_korrigiert]]/(1+partner!$E$3)),"None",Tabelle1[[#This Row],[kg_340_korrigiert]]/(1+partner!$E$3))</f>
        <v>355.98498408122543</v>
      </c>
      <c r="BK6" s="1">
        <f>IF(ISERROR(Tabelle1[[#This Row],[kg_350_korrigiert]]/(1+partner!$E$3)),"None",Tabelle1[[#This Row],[kg_350_korrigiert]]/(1+partner!$E$3))</f>
        <v>405.71333533967976</v>
      </c>
      <c r="BL6" s="1">
        <f>IF(ISERROR(Tabelle1[[#This Row],[kg_360_korrigiert]]/(1+partner!$E$3)),"None",Tabelle1[[#This Row],[kg_360_korrigiert]]/(1+partner!$E$3))</f>
        <v>619.28785262857787</v>
      </c>
      <c r="BM6" s="1">
        <f>IF(ISERROR(Tabelle1[[#This Row],[kg_380_korrigiert]]/(1+partner!$E$3)),"None",Tabelle1[[#This Row],[kg_380_korrigiert]]/(1+partner!$E$3))</f>
        <v>34.820141605816296</v>
      </c>
      <c r="BN6" s="1">
        <f>IF(ISERROR(Tabelle1[[#This Row],[kg_390_korrigiert]]/(1+partner!$E$3)),"None",Tabelle1[[#This Row],[kg_390_korrigiert]]/(1+partner!$E$3))</f>
        <v>117.43303818921959</v>
      </c>
      <c r="BO6" s="1">
        <f>IF(ISERROR(Tabelle1[[#This Row],[kg_410_korrigiert]]/(1+partner!$E$4)),"None",Tabelle1[[#This Row],[kg_410_korrigiert]]/(1+partner!$E$4))</f>
        <v>28.382896287272075</v>
      </c>
      <c r="BP6" s="1">
        <f>IF(ISERROR(Tabelle1[[#This Row],[kg_420_korrigiert]]/(1+partner!$E$4)),"None",Tabelle1[[#This Row],[kg_420_korrigiert]]/(1+partner!$E$4))</f>
        <v>102.87631563180287</v>
      </c>
      <c r="BQ6" s="1">
        <f>IF(ISERROR(Tabelle1[[#This Row],[kg_430_korrigiert]]/(1+partner!$E$4)),"None",Tabelle1[[#This Row],[kg_430_korrigiert]]/(1+partner!$E$4))</f>
        <v>70.152383615266331</v>
      </c>
      <c r="BR6" s="1">
        <f>IF(ISERROR(Tabelle1[[#This Row],[kg_440_korrigiert]]/(1+partner!$E$4)),"None",Tabelle1[[#This Row],[kg_440_korrigiert]]/(1+partner!$E$4))</f>
        <v>139.10007788939708</v>
      </c>
      <c r="BS6" s="1">
        <f>IF(ISERROR(Tabelle1[[#This Row],[kg_450_korrigiert]]/(1+partner!$E$4)),"None",Tabelle1[[#This Row],[kg_450_korrigiert]]/(1+partner!$E$4))</f>
        <v>60.379860597950923</v>
      </c>
      <c r="BT6" s="1">
        <f>IF(ISERROR(Tabelle1[[#This Row],[kg_460_korrigiert]]/(1+partner!$E$4)),"None",Tabelle1[[#This Row],[kg_460_korrigiert]]/(1+partner!$E$4))</f>
        <v>12.410377264284717</v>
      </c>
      <c r="BU6" s="1" t="str">
        <f>IF(ISERROR(Tabelle1[[#This Row],[kg_470_korrigiert]]/(1+partner!$E$4)),"None",Tabelle1[[#This Row],[kg_470_korrigiert]]/(1+partner!$E$4))</f>
        <v>None</v>
      </c>
      <c r="BV6" s="1">
        <f>IF(ISERROR(Tabelle1[[#This Row],[kg_480_korrigiert]]/(1+partner!$E$4)),"None",Tabelle1[[#This Row],[kg_480_korrigiert]]/(1+partner!$E$4))</f>
        <v>33.12895688122866</v>
      </c>
      <c r="BW6" s="1" t="str">
        <f>IF(ISERROR(Tabelle1[[#This Row],[kg_490_korrigiert]]/(1+partner!$E$4)),"None",Tabelle1[[#This Row],[kg_490_korrigiert]]/(1+partner!$E$4))</f>
        <v>None</v>
      </c>
      <c r="BX6" s="1">
        <f>IF(ISERROR(Tabelle1[[#This Row],[kg_500_korrigiert]]/(1+partner!$E$2)),"None",Tabelle1[[#This Row],[kg_500_korrigiert]]/(1+partner!$E$2))</f>
        <v>31.436512694346909</v>
      </c>
      <c r="BY6" s="1">
        <f>IF(ISERROR(Tabelle1[[#This Row],[kg_600_korrigiert]]/(1+partner!$E$4)),"None",Tabelle1[[#This Row],[kg_600_korrigiert]]/(1+partner!$E$4))</f>
        <v>5.8157416468614569</v>
      </c>
      <c r="BZ6" s="1">
        <f>IF(ISERROR(Tabelle1[[#This Row],[kg_700_korrigiert]]/(1+partner!$E$5)),"None",Tabelle1[[#This Row],[kg_700_korrigiert]]/(1+partner!$E$5))</f>
        <v>322.62797938039097</v>
      </c>
      <c r="CA6" s="1">
        <f>IF(ISERROR(Tabelle1[[#This Row],[kg_700_korrigiert]]/(1+partner!$E$5)),"None",Tabelle1[[#This Row],[kg_700_korrigiert]]/(1+partner!$E$5)*hoai!$C$14)</f>
        <v>109.69351298933293</v>
      </c>
    </row>
    <row r="7" spans="1:79" x14ac:dyDescent="0.2">
      <c r="A7" t="s">
        <v>40</v>
      </c>
      <c r="B7" t="s">
        <v>37</v>
      </c>
      <c r="C7" t="s">
        <v>26</v>
      </c>
      <c r="D7">
        <v>40</v>
      </c>
      <c r="E7" t="s">
        <v>38</v>
      </c>
      <c r="F7" s="8">
        <v>93.3</v>
      </c>
      <c r="G7" s="8">
        <v>132.6</v>
      </c>
      <c r="H7" s="7">
        <f>Tabelle1[[#This Row],[index_ziel]]/Tabelle1[[#This Row],[index_quelle]]</f>
        <v>1.4212218649517685</v>
      </c>
      <c r="I7" s="2">
        <v>1143</v>
      </c>
      <c r="J7" s="2">
        <v>4306</v>
      </c>
      <c r="K7" s="2">
        <f>Tabelle1[[#This Row],[bri]]/Tabelle1[[#This Row],[bgf]]</f>
        <v>3.7672790901137359</v>
      </c>
      <c r="L7" s="1">
        <f>Tabelle1[[#This Row],[bgf]]*Tabelle1[[#This Row],[kosten300+400_bgf]]</f>
        <v>3168396</v>
      </c>
      <c r="M7" s="1">
        <v>2772</v>
      </c>
      <c r="N7" s="1" t="s">
        <v>42</v>
      </c>
      <c r="O7">
        <v>0.25</v>
      </c>
      <c r="P7" s="1">
        <v>27.51</v>
      </c>
      <c r="Q7" s="1">
        <v>84.17</v>
      </c>
      <c r="R7" s="1">
        <v>530.6</v>
      </c>
      <c r="S7" s="1">
        <v>909.47</v>
      </c>
      <c r="T7" s="1">
        <v>344.64</v>
      </c>
      <c r="U7" s="1">
        <v>638.63</v>
      </c>
      <c r="V7" s="1">
        <v>727.2</v>
      </c>
      <c r="W7" s="1">
        <v>37.700000000000003</v>
      </c>
      <c r="X7" s="1">
        <v>139.47999999999999</v>
      </c>
      <c r="Y7" s="1">
        <v>75.44</v>
      </c>
      <c r="Z7" s="1">
        <v>66.22</v>
      </c>
      <c r="AA7" s="1">
        <v>260.45</v>
      </c>
      <c r="AB7" s="1">
        <v>188.64</v>
      </c>
      <c r="AC7" s="1">
        <v>44.12</v>
      </c>
      <c r="AD7" s="1">
        <v>38.17</v>
      </c>
      <c r="AE7" s="1" t="s">
        <v>30</v>
      </c>
      <c r="AF7" s="1">
        <v>51.69</v>
      </c>
      <c r="AG7" s="1" t="s">
        <v>30</v>
      </c>
      <c r="AH7" s="1">
        <v>295.99</v>
      </c>
      <c r="AI7" s="1">
        <v>207.82</v>
      </c>
      <c r="AJ7" s="1">
        <f>Tabelle1[[#This Row],[kg_700_anteil_p1]]*Tabelle1[[#This Row],[kosten300+400_bgf]]</f>
        <v>693</v>
      </c>
      <c r="AK7" s="1" cm="1">
        <f t="array" ref="AK7">IF(ISERROR(Tabelle1[[#This Row],[faktor_baupreis]:[faktor_baupreis]]*Tabelle1[[#This Row],[kg_200]]),"None",Tabelle1[[#This Row],[faktor_baupreis]:[faktor_baupreis]]*Tabelle1[[#This Row],[kg_200]]/1.19)</f>
        <v>32.855305466237944</v>
      </c>
      <c r="AL7" s="1" cm="1">
        <f t="array" ref="AL7">IF(ISERROR(Tabelle1[[#This Row],[faktor_baupreis]:[faktor_baupreis]]*Tabelle1[[#This Row],[kg_310]]),"None",Tabelle1[[#This Row],[faktor_baupreis]:[faktor_baupreis]]*Tabelle1[[#This Row],[kg_310]]/1.19)</f>
        <v>100.52457510335324</v>
      </c>
      <c r="AM7" s="1" cm="1">
        <f t="array" ref="AM7">IF(ISERROR(Tabelle1[[#This Row],[faktor_baupreis]:[faktor_baupreis]]*Tabelle1[[#This Row],[kg_320]]),"None",Tabelle1[[#This Row],[faktor_baupreis]:[faktor_baupreis]]*Tabelle1[[#This Row],[kg_320]]/1.19)</f>
        <v>633.69774919614156</v>
      </c>
      <c r="AN7" s="1" cm="1">
        <f t="array" ref="AN7">IF(ISERROR(Tabelle1[[#This Row],[faktor_baupreis]:[faktor_baupreis]]*Tabelle1[[#This Row],[kg_330]]),"None",Tabelle1[[#This Row],[faktor_baupreis]:[faktor_baupreis]]*Tabelle1[[#This Row],[kg_330]]/1.19)</f>
        <v>1086.1837390904916</v>
      </c>
      <c r="AO7" s="1" cm="1">
        <f t="array" ref="AO7">IF(ISERROR(Tabelle1[[#This Row],[faktor_baupreis]:[faktor_baupreis]]*Tabelle1[[#This Row],[kg_340]]),"None",Tabelle1[[#This Row],[faktor_baupreis]:[faktor_baupreis]]*Tabelle1[[#This Row],[kg_340]]/1.19)</f>
        <v>411.60496095544329</v>
      </c>
      <c r="AP7" s="1" cm="1">
        <f t="array" ref="AP7">IF(ISERROR(Tabelle1[[#This Row],[faktor_baupreis]:[faktor_baupreis]]*Tabelle1[[#This Row],[kg_350]]),"None",Tabelle1[[#This Row],[faktor_baupreis]:[faktor_baupreis]]*Tabelle1[[#This Row],[kg_350]]/1.19)</f>
        <v>762.71841984382172</v>
      </c>
      <c r="AQ7" s="1" cm="1">
        <f t="array" ref="AQ7">IF(ISERROR(Tabelle1[[#This Row],[faktor_baupreis]:[faktor_baupreis]]*Tabelle1[[#This Row],[kg_360]]),"None",Tabelle1[[#This Row],[faktor_baupreis]:[faktor_baupreis]]*Tabelle1[[#This Row],[kg_360]]/1.19)</f>
        <v>868.49793293523203</v>
      </c>
      <c r="AR7" s="1" cm="1">
        <f t="array" ref="AR7">IF(ISERROR(Tabelle1[[#This Row],[faktor_baupreis]:[faktor_baupreis]]*Tabelle1[[#This Row],[kg_380]]),"None",Tabelle1[[#This Row],[faktor_baupreis]:[faktor_baupreis]]*Tabelle1[[#This Row],[kg_380]]/1.19)</f>
        <v>45.025264124942588</v>
      </c>
      <c r="AS7" s="1" cm="1">
        <f t="array" ref="AS7">IF(ISERROR(Tabelle1[[#This Row],[faktor_baupreis]:[faktor_baupreis]]*Tabelle1[[#This Row],[kg_390]]),"None",Tabelle1[[#This Row],[faktor_baupreis]:[faktor_baupreis]]*Tabelle1[[#This Row],[kg_390]]/1.19)</f>
        <v>166.5815342214056</v>
      </c>
      <c r="AT7" s="1" cm="1">
        <f t="array" ref="AT7">IF(ISERROR(Tabelle1[[#This Row],[faktor_baupreis]:[faktor_baupreis]]*Tabelle1[[#This Row],[kg_410]]),"None",Tabelle1[[#This Row],[faktor_baupreis]:[faktor_baupreis]]*Tabelle1[[#This Row],[kg_410]]/1.19)</f>
        <v>90.098300413412957</v>
      </c>
      <c r="AU7" s="1" cm="1">
        <f t="array" ref="AU7">IF(ISERROR(Tabelle1[[#This Row],[faktor_baupreis]:[faktor_baupreis]]*Tabelle1[[#This Row],[kg_420]]),"None",Tabelle1[[#This Row],[faktor_baupreis]:[faktor_baupreis]]*Tabelle1[[#This Row],[kg_420]]/1.19)</f>
        <v>79.086816720257247</v>
      </c>
      <c r="AV7" s="1" cm="1">
        <f t="array" ref="AV7">IF(ISERROR(Tabelle1[[#This Row],[faktor_baupreis]:[faktor_baupreis]]*Tabelle1[[#This Row],[kg_430]]),"None",Tabelle1[[#This Row],[faktor_baupreis]:[faktor_baupreis]]*Tabelle1[[#This Row],[kg_430]]/1.19)</f>
        <v>311.05649977032613</v>
      </c>
      <c r="AW7" s="1" cm="1">
        <f t="array" ref="AW7">IF(ISERROR(Tabelle1[[#This Row],[faktor_baupreis]:[faktor_baupreis]]*Tabelle1[[#This Row],[kg_440]]),"None",Tabelle1[[#This Row],[faktor_baupreis]:[faktor_baupreis]]*Tabelle1[[#This Row],[kg_440]]/1.19)</f>
        <v>225.29352319706018</v>
      </c>
      <c r="AX7" s="1" cm="1">
        <f t="array" ref="AX7">IF(ISERROR(Tabelle1[[#This Row],[faktor_baupreis]:[faktor_baupreis]]*Tabelle1[[#This Row],[kg_450]]),"None",Tabelle1[[#This Row],[faktor_baupreis]:[faktor_baupreis]]*Tabelle1[[#This Row],[kg_450]]/1.19)</f>
        <v>52.692696371152962</v>
      </c>
      <c r="AY7" s="1" cm="1">
        <f t="array" ref="AY7">IF(ISERROR(Tabelle1[[#This Row],[faktor_baupreis]:[faktor_baupreis]]*Tabelle1[[#This Row],[kg_460]]),"None",Tabelle1[[#This Row],[faktor_baupreis]:[faktor_baupreis]]*Tabelle1[[#This Row],[kg_460]]/1.19)</f>
        <v>45.586587046394129</v>
      </c>
      <c r="AZ7" s="1" t="str" cm="1">
        <f t="array" ref="AZ7">IF(ISERROR(Tabelle1[[#This Row],[faktor_baupreis]:[faktor_baupreis]]*Tabelle1[[#This Row],[kg_470]]),"None",Tabelle1[[#This Row],[faktor_baupreis]:[faktor_baupreis]]*Tabelle1[[#This Row],[kg_470]]/1.19)</f>
        <v>None</v>
      </c>
      <c r="BA7" s="1" cm="1">
        <f t="array" ref="BA7">IF(ISERROR(Tabelle1[[#This Row],[faktor_baupreis]:[faktor_baupreis]]*Tabelle1[[#This Row],[kg_480]]),"None",Tabelle1[[#This Row],[faktor_baupreis]:[faktor_baupreis]]*Tabelle1[[#This Row],[kg_480]]/1.19)</f>
        <v>61.733578318787316</v>
      </c>
      <c r="BB7" s="1" t="str" cm="1">
        <f t="array" ref="BB7">IF(ISERROR(Tabelle1[[#This Row],[faktor_baupreis]:[faktor_baupreis]]*Tabelle1[[#This Row],[kg_490]]),"None",Tabelle1[[#This Row],[faktor_baupreis]:[faktor_baupreis]]*Tabelle1[[#This Row],[kg_490]]/1.19)</f>
        <v>None</v>
      </c>
      <c r="BC7" s="1" cm="1">
        <f t="array" ref="BC7">IF(ISERROR(Tabelle1[[#This Row],[faktor_baupreis]:[faktor_baupreis]]*Tabelle1[[#This Row],[kg_500]]),"None",Tabelle1[[#This Row],[faktor_baupreis]:[faktor_baupreis]]*Tabelle1[[#This Row],[kg_500]]/1.19)</f>
        <v>353.50206706476803</v>
      </c>
      <c r="BD7" s="9" t="s">
        <v>30</v>
      </c>
      <c r="BE7" s="1" cm="1">
        <f t="array" ref="BE7">IF(ISERROR(Tabelle1[[#This Row],[faktor_baupreis]:[faktor_baupreis]]*Tabelle1[[#This Row],[kg_700_anteil]]),"None",Tabelle1[[#This Row],[faktor_baupreis]:[faktor_baupreis]]*Tabelle1[[#This Row],[kg_700_anteil]]/1.19)</f>
        <v>827.65273311897113</v>
      </c>
      <c r="BF7" s="1">
        <f>IF(ISERROR(Tabelle1[[#This Row],[kg_200_korrigiert]]/(1+partner!$E$2)),"None",Tabelle1[[#This Row],[kg_200_korrigiert]]/(1+partner!$E$2))</f>
        <v>27.843479208676225</v>
      </c>
      <c r="BG7" s="1">
        <f>IF(ISERROR(Tabelle1[[#This Row],[kg_310_korrigiert]]/(1+partner!$E$2)),"None",Tabelle1[[#This Row],[kg_310_korrigiert]]/(1+partner!$E$2))</f>
        <v>85.190317884197668</v>
      </c>
      <c r="BH7" s="1">
        <f>IF(ISERROR(Tabelle1[[#This Row],[kg_320_korrigiert]]/(1+partner!$E$3)),"None",Tabelle1[[#This Row],[kg_320_korrigiert]]/(1+partner!$E$3))</f>
        <v>546.29116310012205</v>
      </c>
      <c r="BI7" s="1">
        <f>IF(ISERROR(Tabelle1[[#This Row],[kg_330_korrigiert]]/(1+partner!$E$3)),"None",Tabelle1[[#This Row],[kg_330_korrigiert]]/(1+partner!$E$3))</f>
        <v>936.36529231938937</v>
      </c>
      <c r="BJ7" s="1">
        <f>IF(ISERROR(Tabelle1[[#This Row],[kg_340_korrigiert]]/(1+partner!$E$3)),"None",Tabelle1[[#This Row],[kg_340_korrigiert]]/(1+partner!$E$3))</f>
        <v>354.83186289262358</v>
      </c>
      <c r="BK7" s="1">
        <f>IF(ISERROR(Tabelle1[[#This Row],[kg_350_korrigiert]]/(1+partner!$E$3)),"None",Tabelle1[[#This Row],[kg_350_korrigiert]]/(1+partner!$E$3))</f>
        <v>657.51587917570839</v>
      </c>
      <c r="BL7" s="1">
        <f>IF(ISERROR(Tabelle1[[#This Row],[kg_360_korrigiert]]/(1+partner!$E$3)),"None",Tabelle1[[#This Row],[kg_360_korrigiert]]/(1+partner!$E$3))</f>
        <v>748.705114599338</v>
      </c>
      <c r="BM7" s="1">
        <f>IF(ISERROR(Tabelle1[[#This Row],[kg_380_korrigiert]]/(1+partner!$E$3)),"None",Tabelle1[[#This Row],[kg_380_korrigiert]]/(1+partner!$E$3))</f>
        <v>38.814882866329818</v>
      </c>
      <c r="BN7" s="1">
        <f>IF(ISERROR(Tabelle1[[#This Row],[kg_390_korrigiert]]/(1+partner!$E$3)),"None",Tabelle1[[#This Row],[kg_390_korrigiert]]/(1+partner!$E$3))</f>
        <v>143.6047708805221</v>
      </c>
      <c r="BO7" s="1">
        <f>IF(ISERROR(Tabelle1[[#This Row],[kg_410_korrigiert]]/(1+partner!$E$4)),"None",Tabelle1[[#This Row],[kg_410_korrigiert]]/(1+partner!$E$4))</f>
        <v>78.346348185576488</v>
      </c>
      <c r="BP7" s="1">
        <f>IF(ISERROR(Tabelle1[[#This Row],[kg_420_korrigiert]]/(1+partner!$E$4)),"None",Tabelle1[[#This Row],[kg_420_korrigiert]]/(1+partner!$E$4))</f>
        <v>68.771144974136746</v>
      </c>
      <c r="BQ7" s="1">
        <f>IF(ISERROR(Tabelle1[[#This Row],[kg_430_korrigiert]]/(1+partner!$E$4)),"None",Tabelle1[[#This Row],[kg_430_korrigiert]]/(1+partner!$E$4))</f>
        <v>270.48391284376186</v>
      </c>
      <c r="BR7" s="1">
        <f>IF(ISERROR(Tabelle1[[#This Row],[kg_440_korrigiert]]/(1+partner!$E$4)),"None",Tabelle1[[#This Row],[kg_440_korrigiert]]/(1+partner!$E$4))</f>
        <v>195.90741147570452</v>
      </c>
      <c r="BS7" s="1">
        <f>IF(ISERROR(Tabelle1[[#This Row],[kg_450_korrigiert]]/(1+partner!$E$4)),"None",Tabelle1[[#This Row],[kg_450_korrigiert]]/(1+partner!$E$4))</f>
        <v>45.819735974915623</v>
      </c>
      <c r="BT7" s="1">
        <f>IF(ISERROR(Tabelle1[[#This Row],[kg_460_korrigiert]]/(1+partner!$E$4)),"None",Tabelle1[[#This Row],[kg_460_korrigiert]]/(1+partner!$E$4))</f>
        <v>39.640510475125332</v>
      </c>
      <c r="BU7" s="1" t="str">
        <f>IF(ISERROR(Tabelle1[[#This Row],[kg_470_korrigiert]]/(1+partner!$E$4)),"None",Tabelle1[[#This Row],[kg_470_korrigiert]]/(1+partner!$E$4))</f>
        <v>None</v>
      </c>
      <c r="BV7" s="1">
        <f>IF(ISERROR(Tabelle1[[#This Row],[kg_480_korrigiert]]/(1+partner!$E$4)),"None",Tabelle1[[#This Row],[kg_480_korrigiert]]/(1+partner!$E$4))</f>
        <v>53.681372451119408</v>
      </c>
      <c r="BW7" s="1" t="str">
        <f>IF(ISERROR(Tabelle1[[#This Row],[kg_490_korrigiert]]/(1+partner!$E$4)),"None",Tabelle1[[#This Row],[kg_490_korrigiert]]/(1+partner!$E$4))</f>
        <v>None</v>
      </c>
      <c r="BX7" s="1">
        <f>IF(ISERROR(Tabelle1[[#This Row],[kg_500_korrigiert]]/(1+partner!$E$2)),"None",Tabelle1[[#This Row],[kg_500_korrigiert]]/(1+partner!$E$2))</f>
        <v>299.57802293624411</v>
      </c>
      <c r="BY7" s="1" t="str">
        <f>IF(ISERROR(Tabelle1[[#This Row],[kg_600_korrigiert]]/(1+partner!$E$4)),"None",Tabelle1[[#This Row],[kg_600_korrigiert]]/(1+partner!$E$4))</f>
        <v>None</v>
      </c>
      <c r="BZ7" s="1">
        <f>IF(ISERROR(Tabelle1[[#This Row],[kg_700_korrigiert]]/(1+partner!$E$5)),"None",Tabelle1[[#This Row],[kg_700_korrigiert]]/(1+partner!$E$5))</f>
        <v>459.80707395498393</v>
      </c>
      <c r="CA7" s="1">
        <f>IF(ISERROR(Tabelle1[[#This Row],[kg_700_korrigiert]]/(1+partner!$E$5)),"None",Tabelle1[[#This Row],[kg_700_korrigiert]]/(1+partner!$E$5)*hoai!$C$14)</f>
        <v>156.33440514469456</v>
      </c>
    </row>
    <row r="8" spans="1:79" x14ac:dyDescent="0.2">
      <c r="A8" t="s">
        <v>44</v>
      </c>
      <c r="B8" t="s">
        <v>45</v>
      </c>
      <c r="C8" t="s">
        <v>46</v>
      </c>
      <c r="D8">
        <v>26</v>
      </c>
      <c r="E8" t="s">
        <v>47</v>
      </c>
      <c r="F8" s="8">
        <v>80.8</v>
      </c>
      <c r="G8" s="8">
        <v>132.6</v>
      </c>
      <c r="H8" s="7">
        <f>Tabelle1[[#This Row],[index_ziel]]/Tabelle1[[#This Row],[index_quelle]]</f>
        <v>1.641089108910891</v>
      </c>
      <c r="I8" s="2">
        <v>1842</v>
      </c>
      <c r="J8" s="2">
        <v>6918</v>
      </c>
      <c r="K8" s="2">
        <f>Tabelle1[[#This Row],[bri]]/Tabelle1[[#This Row],[bgf]]</f>
        <v>3.7557003257328989</v>
      </c>
      <c r="L8" s="1">
        <f>Tabelle1[[#This Row],[bgf]]*Tabelle1[[#This Row],[kosten300+400_bgf]]</f>
        <v>4371066</v>
      </c>
      <c r="M8" s="1">
        <v>2373</v>
      </c>
      <c r="N8" s="1" t="s">
        <v>43</v>
      </c>
      <c r="O8">
        <v>0.25</v>
      </c>
      <c r="P8" s="1">
        <v>6.97</v>
      </c>
      <c r="Q8" s="1">
        <v>90.23</v>
      </c>
      <c r="R8" s="1">
        <v>301.33999999999997</v>
      </c>
      <c r="S8" s="1">
        <v>1124.1600000000001</v>
      </c>
      <c r="T8" s="1">
        <v>330.91</v>
      </c>
      <c r="U8" s="1">
        <v>402.07</v>
      </c>
      <c r="V8" s="1">
        <v>801.25</v>
      </c>
      <c r="W8" s="1">
        <v>21.44</v>
      </c>
      <c r="X8" s="1">
        <v>139.81</v>
      </c>
      <c r="Y8" s="1">
        <v>44.14</v>
      </c>
      <c r="Z8" s="1">
        <v>142.79</v>
      </c>
      <c r="AA8" s="1">
        <v>89.4</v>
      </c>
      <c r="AB8" s="1">
        <v>159.58000000000001</v>
      </c>
      <c r="AC8" s="1">
        <v>53.2</v>
      </c>
      <c r="AD8" s="1">
        <v>22.75</v>
      </c>
      <c r="AE8" s="1">
        <v>1.3</v>
      </c>
      <c r="AF8" s="1">
        <v>83.57</v>
      </c>
      <c r="AG8" s="1" t="s">
        <v>30</v>
      </c>
      <c r="AH8" s="1">
        <v>469.09</v>
      </c>
      <c r="AI8" s="1">
        <v>4.09</v>
      </c>
      <c r="AJ8" s="1">
        <f>Tabelle1[[#This Row],[kg_700_anteil_p1]]*Tabelle1[[#This Row],[kosten300+400_bgf]]</f>
        <v>593.25</v>
      </c>
      <c r="AK8" s="1" cm="1">
        <f t="array" ref="AK8">IF(ISERROR(Tabelle1[[#This Row],[faktor_baupreis]:[faktor_baupreis]]*Tabelle1[[#This Row],[kg_200]]),"None",Tabelle1[[#This Row],[faktor_baupreis]:[faktor_baupreis]]*Tabelle1[[#This Row],[kg_200]]/1.19)</f>
        <v>9.6120933521923622</v>
      </c>
      <c r="AL8" s="1" cm="1">
        <f t="array" ref="AL8">IF(ISERROR(Tabelle1[[#This Row],[faktor_baupreis]:[faktor_baupreis]]*Tabelle1[[#This Row],[kg_310]]),"None",Tabelle1[[#This Row],[faktor_baupreis]:[faktor_baupreis]]*Tabelle1[[#This Row],[kg_310]]/1.19)</f>
        <v>124.4331683168317</v>
      </c>
      <c r="AM8" s="1" cm="1">
        <f t="array" ref="AM8">IF(ISERROR(Tabelle1[[#This Row],[faktor_baupreis]:[faktor_baupreis]]*Tabelle1[[#This Row],[kg_320]]),"None",Tabelle1[[#This Row],[faktor_baupreis]:[faktor_baupreis]]*Tabelle1[[#This Row],[kg_320]]/1.19)</f>
        <v>415.56789250353603</v>
      </c>
      <c r="AN8" s="1" cm="1">
        <f t="array" ref="AN8">IF(ISERROR(Tabelle1[[#This Row],[faktor_baupreis]:[faktor_baupreis]]*Tabelle1[[#This Row],[kg_330]]),"None",Tabelle1[[#This Row],[faktor_baupreis]:[faktor_baupreis]]*Tabelle1[[#This Row],[kg_330]]/1.19)</f>
        <v>1550.2913719943424</v>
      </c>
      <c r="AO8" s="1" cm="1">
        <f t="array" ref="AO8">IF(ISERROR(Tabelle1[[#This Row],[faktor_baupreis]:[faktor_baupreis]]*Tabelle1[[#This Row],[kg_340]]),"None",Tabelle1[[#This Row],[faktor_baupreis]:[faktor_baupreis]]*Tabelle1[[#This Row],[kg_340]]/1.19)</f>
        <v>456.34688826025467</v>
      </c>
      <c r="AP8" s="1" cm="1">
        <f t="array" ref="AP8">IF(ISERROR(Tabelle1[[#This Row],[faktor_baupreis]:[faktor_baupreis]]*Tabelle1[[#This Row],[kg_350]]),"None",Tabelle1[[#This Row],[faktor_baupreis]:[faktor_baupreis]]*Tabelle1[[#This Row],[kg_350]]/1.19)</f>
        <v>554.48125884016974</v>
      </c>
      <c r="AQ8" s="1" cm="1">
        <f t="array" ref="AQ8">IF(ISERROR(Tabelle1[[#This Row],[faktor_baupreis]:[faktor_baupreis]]*Tabelle1[[#This Row],[kg_360]]),"None",Tabelle1[[#This Row],[faktor_baupreis]:[faktor_baupreis]]*Tabelle1[[#This Row],[kg_360]]/1.19)</f>
        <v>1104.9770155586989</v>
      </c>
      <c r="AR8" s="1" cm="1">
        <f t="array" ref="AR8">IF(ISERROR(Tabelle1[[#This Row],[faktor_baupreis]:[faktor_baupreis]]*Tabelle1[[#This Row],[kg_380]]),"None",Tabelle1[[#This Row],[faktor_baupreis]:[faktor_baupreis]]*Tabelle1[[#This Row],[kg_380]]/1.19)</f>
        <v>29.567185289957571</v>
      </c>
      <c r="AS8" s="1" cm="1">
        <f t="array" ref="AS8">IF(ISERROR(Tabelle1[[#This Row],[faktor_baupreis]:[faktor_baupreis]]*Tabelle1[[#This Row],[kg_390]]),"None",Tabelle1[[#This Row],[faktor_baupreis]:[faktor_baupreis]]*Tabelle1[[#This Row],[kg_390]]/1.19)</f>
        <v>192.80728429985857</v>
      </c>
      <c r="AT8" s="1" cm="1">
        <f t="array" ref="AT8">IF(ISERROR(Tabelle1[[#This Row],[faktor_baupreis]:[faktor_baupreis]]*Tabelle1[[#This Row],[kg_410]]),"None",Tabelle1[[#This Row],[faktor_baupreis]:[faktor_baupreis]]*Tabelle1[[#This Row],[kg_410]]/1.19)</f>
        <v>60.871994342291373</v>
      </c>
      <c r="AU8" s="1" cm="1">
        <f t="array" ref="AU8">IF(ISERROR(Tabelle1[[#This Row],[faktor_baupreis]:[faktor_baupreis]]*Tabelle1[[#This Row],[kg_420]]),"None",Tabelle1[[#This Row],[faktor_baupreis]:[faktor_baupreis]]*Tabelle1[[#This Row],[kg_420]]/1.19)</f>
        <v>196.91690240452616</v>
      </c>
      <c r="AV8" s="1" cm="1">
        <f t="array" ref="AV8">IF(ISERROR(Tabelle1[[#This Row],[faktor_baupreis]:[faktor_baupreis]]*Tabelle1[[#This Row],[kg_430]]),"None",Tabelle1[[#This Row],[faktor_baupreis]:[faktor_baupreis]]*Tabelle1[[#This Row],[kg_430]]/1.19)</f>
        <v>123.2885431400283</v>
      </c>
      <c r="AW8" s="1" cm="1">
        <f t="array" ref="AW8">IF(ISERROR(Tabelle1[[#This Row],[faktor_baupreis]:[faktor_baupreis]]*Tabelle1[[#This Row],[kg_440]]),"None",Tabelle1[[#This Row],[faktor_baupreis]:[faktor_baupreis]]*Tabelle1[[#This Row],[kg_440]]/1.19)</f>
        <v>220.07142857142858</v>
      </c>
      <c r="AX8" s="1" cm="1">
        <f t="array" ref="AX8">IF(ISERROR(Tabelle1[[#This Row],[faktor_baupreis]:[faktor_baupreis]]*Tabelle1[[#This Row],[kg_450]]),"None",Tabelle1[[#This Row],[faktor_baupreis]:[faktor_baupreis]]*Tabelle1[[#This Row],[kg_450]]/1.19)</f>
        <v>73.366336633663366</v>
      </c>
      <c r="AY8" s="1" cm="1">
        <f t="array" ref="AY8">IF(ISERROR(Tabelle1[[#This Row],[faktor_baupreis]:[faktor_baupreis]]*Tabelle1[[#This Row],[kg_460]]),"None",Tabelle1[[#This Row],[faktor_baupreis]:[faktor_baupreis]]*Tabelle1[[#This Row],[kg_460]]/1.19)</f>
        <v>31.373762376237622</v>
      </c>
      <c r="AZ8" s="1" cm="1">
        <f t="array" ref="AZ8">IF(ISERROR(Tabelle1[[#This Row],[faktor_baupreis]:[faktor_baupreis]]*Tabelle1[[#This Row],[kg_470]]),"None",Tabelle1[[#This Row],[faktor_baupreis]:[faktor_baupreis]]*Tabelle1[[#This Row],[kg_470]]/1.19)</f>
        <v>1.7927864214992928</v>
      </c>
      <c r="BA8" s="1" cm="1">
        <f t="array" ref="BA8">IF(ISERROR(Tabelle1[[#This Row],[faktor_baupreis]:[faktor_baupreis]]*Tabelle1[[#This Row],[kg_480]]),"None",Tabelle1[[#This Row],[faktor_baupreis]:[faktor_baupreis]]*Tabelle1[[#This Row],[kg_480]]/1.19)</f>
        <v>115.248585572843</v>
      </c>
      <c r="BB8" s="1" t="str" cm="1">
        <f t="array" ref="BB8">IF(ISERROR(Tabelle1[[#This Row],[faktor_baupreis]:[faktor_baupreis]]*Tabelle1[[#This Row],[kg_490]]),"None",Tabelle1[[#This Row],[faktor_baupreis]:[faktor_baupreis]]*Tabelle1[[#This Row],[kg_490]]/1.19)</f>
        <v>None</v>
      </c>
      <c r="BC8" s="1" cm="1">
        <f t="array" ref="BC8">IF(ISERROR(Tabelle1[[#This Row],[faktor_baupreis]:[faktor_baupreis]]*Tabelle1[[#This Row],[kg_500]]),"None",Tabelle1[[#This Row],[faktor_baupreis]:[faktor_baupreis]]*Tabelle1[[#This Row],[kg_500]]/1.19)</f>
        <v>646.90629420084861</v>
      </c>
      <c r="BD8" s="1" cm="1">
        <f t="array" ref="BD8">IF(ISERROR(Tabelle1[[#This Row],[faktor_baupreis]:[faktor_baupreis]]*Tabelle1[[#This Row],[kg_600]]),"None",Tabelle1[[#This Row],[faktor_baupreis]:[faktor_baupreis]]*Tabelle1[[#This Row],[kg_600]]/1.19)</f>
        <v>5.6403818953323901</v>
      </c>
      <c r="BE8" s="1" cm="1">
        <f t="array" ref="BE8">IF(ISERROR(Tabelle1[[#This Row],[faktor_baupreis]:[faktor_baupreis]]*Tabelle1[[#This Row],[kg_700_anteil]]),"None",Tabelle1[[#This Row],[faktor_baupreis]:[faktor_baupreis]]*Tabelle1[[#This Row],[kg_700_anteil]]/1.19)</f>
        <v>818.13118811881179</v>
      </c>
      <c r="BF8" s="1">
        <f>IF(ISERROR(Tabelle1[[#This Row],[kg_200_korrigiert]]/(1+partner!$E$2)),"None",Tabelle1[[#This Row],[kg_200_korrigiert]]/(1+partner!$E$2))</f>
        <v>8.145841823891832</v>
      </c>
      <c r="BG8" s="1">
        <f>IF(ISERROR(Tabelle1[[#This Row],[kg_310_korrigiert]]/(1+partner!$E$2)),"None",Tabelle1[[#This Row],[kg_310_korrigiert]]/(1+partner!$E$2))</f>
        <v>105.45183755663703</v>
      </c>
      <c r="BH8" s="1">
        <f>IF(ISERROR(Tabelle1[[#This Row],[kg_320_korrigiert]]/(1+partner!$E$3)),"None",Tabelle1[[#This Row],[kg_320_korrigiert]]/(1+partner!$E$3))</f>
        <v>358.24818319270349</v>
      </c>
      <c r="BI8" s="1">
        <f>IF(ISERROR(Tabelle1[[#This Row],[kg_330_korrigiert]]/(1+partner!$E$3)),"None",Tabelle1[[#This Row],[kg_330_korrigiert]]/(1+partner!$E$3))</f>
        <v>1336.4580793054677</v>
      </c>
      <c r="BJ8" s="1">
        <f>IF(ISERROR(Tabelle1[[#This Row],[kg_340_korrigiert]]/(1+partner!$E$3)),"None",Tabelle1[[#This Row],[kg_340_korrigiert]]/(1+partner!$E$3))</f>
        <v>393.40248987952992</v>
      </c>
      <c r="BK8" s="1">
        <f>IF(ISERROR(Tabelle1[[#This Row],[kg_350_korrigiert]]/(1+partner!$E$3)),"None",Tabelle1[[#This Row],[kg_350_korrigiert]]/(1+partner!$E$3))</f>
        <v>478.00108520704293</v>
      </c>
      <c r="BL8" s="1">
        <f>IF(ISERROR(Tabelle1[[#This Row],[kg_360_korrigiert]]/(1+partner!$E$3)),"None",Tabelle1[[#This Row],[kg_360_korrigiert]]/(1+partner!$E$3))</f>
        <v>952.56639272301641</v>
      </c>
      <c r="BM8" s="1">
        <f>IF(ISERROR(Tabelle1[[#This Row],[kg_380_korrigiert]]/(1+partner!$E$3)),"None",Tabelle1[[#This Row],[kg_380_korrigiert]]/(1+partner!$E$3))</f>
        <v>25.48895283617032</v>
      </c>
      <c r="BN8" s="1">
        <f>IF(ISERROR(Tabelle1[[#This Row],[kg_390_korrigiert]]/(1+partner!$E$3)),"None",Tabelle1[[#This Row],[kg_390_korrigiert]]/(1+partner!$E$3))</f>
        <v>166.21317612056774</v>
      </c>
      <c r="BO8" s="1">
        <f>IF(ISERROR(Tabelle1[[#This Row],[kg_410_korrigiert]]/(1+partner!$E$4)),"None",Tabelle1[[#This Row],[kg_410_korrigiert]]/(1+partner!$E$4))</f>
        <v>52.932168993296848</v>
      </c>
      <c r="BP8" s="1">
        <f>IF(ISERROR(Tabelle1[[#This Row],[kg_420_korrigiert]]/(1+partner!$E$4)),"None",Tabelle1[[#This Row],[kg_420_korrigiert]]/(1+partner!$E$4))</f>
        <v>171.23208904741406</v>
      </c>
      <c r="BQ8" s="1">
        <f>IF(ISERROR(Tabelle1[[#This Row],[kg_430_korrigiert]]/(1+partner!$E$4)),"None",Tabelle1[[#This Row],[kg_430_korrigiert]]/(1+partner!$E$4))</f>
        <v>107.20742881741592</v>
      </c>
      <c r="BR8" s="1">
        <f>IF(ISERROR(Tabelle1[[#This Row],[kg_440_korrigiert]]/(1+partner!$E$4)),"None",Tabelle1[[#This Row],[kg_440_korrigiert]]/(1+partner!$E$4))</f>
        <v>191.36645962732922</v>
      </c>
      <c r="BS8" s="1">
        <f>IF(ISERROR(Tabelle1[[#This Row],[kg_450_korrigiert]]/(1+partner!$E$4)),"None",Tabelle1[[#This Row],[kg_450_korrigiert]]/(1+partner!$E$4))</f>
        <v>63.796814464055103</v>
      </c>
      <c r="BT8" s="1">
        <f>IF(ISERROR(Tabelle1[[#This Row],[kg_460_korrigiert]]/(1+partner!$E$4)),"None",Tabelle1[[#This Row],[kg_460_korrigiert]]/(1+partner!$E$4))</f>
        <v>27.281532501076196</v>
      </c>
      <c r="BU8" s="1">
        <f>IF(ISERROR(Tabelle1[[#This Row],[kg_470_korrigiert]]/(1+partner!$E$4)),"None",Tabelle1[[#This Row],[kg_470_korrigiert]]/(1+partner!$E$4))</f>
        <v>1.5589447143472113</v>
      </c>
      <c r="BV8" s="1">
        <f>IF(ISERROR(Tabelle1[[#This Row],[kg_480_korrigiert]]/(1+partner!$E$4)),"None",Tabelle1[[#This Row],[kg_480_korrigiert]]/(1+partner!$E$4))</f>
        <v>100.21616136768957</v>
      </c>
      <c r="BW8" s="1" t="str">
        <f>IF(ISERROR(Tabelle1[[#This Row],[kg_490_korrigiert]]/(1+partner!$E$4)),"None",Tabelle1[[#This Row],[kg_490_korrigiert]]/(1+partner!$E$4))</f>
        <v>None</v>
      </c>
      <c r="BX8" s="1">
        <f>IF(ISERROR(Tabelle1[[#This Row],[kg_500_korrigiert]]/(1+partner!$E$2)),"None",Tabelle1[[#This Row],[kg_500_korrigiert]]/(1+partner!$E$2))</f>
        <v>548.22567305156667</v>
      </c>
      <c r="BY8" s="1">
        <f>IF(ISERROR(Tabelle1[[#This Row],[kg_600_korrigiert]]/(1+partner!$E$4)),"None",Tabelle1[[#This Row],[kg_600_korrigiert]]/(1+partner!$E$4))</f>
        <v>4.9046799089846873</v>
      </c>
      <c r="BZ8" s="1">
        <f>IF(ISERROR(Tabelle1[[#This Row],[kg_700_korrigiert]]/(1+partner!$E$5)),"None",Tabelle1[[#This Row],[kg_700_korrigiert]]/(1+partner!$E$5))</f>
        <v>454.51732673267321</v>
      </c>
      <c r="CA8" s="1">
        <f>IF(ISERROR(Tabelle1[[#This Row],[kg_700_korrigiert]]/(1+partner!$E$5)),"None",Tabelle1[[#This Row],[kg_700_korrigiert]]/(1+partner!$E$5)*hoai!$C$14)</f>
        <v>154.5358910891089</v>
      </c>
    </row>
    <row r="9" spans="1:79" x14ac:dyDescent="0.2">
      <c r="A9" t="s">
        <v>48</v>
      </c>
      <c r="B9" t="s">
        <v>45</v>
      </c>
      <c r="C9" t="s">
        <v>26</v>
      </c>
      <c r="D9">
        <v>44</v>
      </c>
      <c r="E9" t="s">
        <v>47</v>
      </c>
      <c r="F9" s="8">
        <v>80.8</v>
      </c>
      <c r="G9" s="8">
        <v>132.6</v>
      </c>
      <c r="H9" s="7">
        <f>Tabelle1[[#This Row],[index_ziel]]/Tabelle1[[#This Row],[index_quelle]]</f>
        <v>1.641089108910891</v>
      </c>
      <c r="I9" s="2">
        <v>1784</v>
      </c>
      <c r="J9" s="2">
        <v>6484</v>
      </c>
      <c r="K9" s="2">
        <f>Tabelle1[[#This Row],[bri]]/Tabelle1[[#This Row],[bgf]]</f>
        <v>3.6345291479820627</v>
      </c>
      <c r="L9" s="1">
        <f>Tabelle1[[#This Row],[bgf]]*Tabelle1[[#This Row],[kosten300+400_bgf]]</f>
        <v>3830248</v>
      </c>
      <c r="M9" s="1">
        <v>2147</v>
      </c>
      <c r="N9" s="1" t="s">
        <v>43</v>
      </c>
      <c r="O9">
        <v>0.25</v>
      </c>
      <c r="P9" s="1">
        <v>16.05</v>
      </c>
      <c r="Q9" s="1">
        <v>16.64</v>
      </c>
      <c r="R9" s="1">
        <v>468.95</v>
      </c>
      <c r="S9" s="1">
        <v>589.22</v>
      </c>
      <c r="T9" s="1">
        <v>258.89</v>
      </c>
      <c r="U9" s="1">
        <v>391.81</v>
      </c>
      <c r="V9" s="1">
        <v>458.58</v>
      </c>
      <c r="W9" s="1">
        <v>6.84</v>
      </c>
      <c r="X9" s="1">
        <v>84.12</v>
      </c>
      <c r="Y9" s="1">
        <v>75.84</v>
      </c>
      <c r="Z9" s="1">
        <v>147.34</v>
      </c>
      <c r="AA9" s="1">
        <v>142.4</v>
      </c>
      <c r="AB9" s="1">
        <v>197.45</v>
      </c>
      <c r="AC9" s="1">
        <v>108.86</v>
      </c>
      <c r="AD9" s="1">
        <v>29.42</v>
      </c>
      <c r="AE9" s="1" t="s">
        <v>30</v>
      </c>
      <c r="AF9" s="1">
        <v>8.83</v>
      </c>
      <c r="AG9" s="1">
        <v>0.44</v>
      </c>
      <c r="AH9" s="1">
        <v>15.88</v>
      </c>
      <c r="AI9" s="1">
        <v>6.37</v>
      </c>
      <c r="AJ9" s="1">
        <f>Tabelle1[[#This Row],[kg_700_anteil_p1]]*Tabelle1[[#This Row],[kosten300+400_bgf]]</f>
        <v>536.75</v>
      </c>
      <c r="AK9" s="1" cm="1">
        <f t="array" ref="AK9">IF(ISERROR(Tabelle1[[#This Row],[faktor_baupreis]:[faktor_baupreis]]*Tabelle1[[#This Row],[kg_200]]),"None",Tabelle1[[#This Row],[faktor_baupreis]:[faktor_baupreis]]*Tabelle1[[#This Row],[kg_200]]/1.19)</f>
        <v>22.134016973125885</v>
      </c>
      <c r="AL9" s="1" cm="1">
        <f t="array" ref="AL9">IF(ISERROR(Tabelle1[[#This Row],[faktor_baupreis]:[faktor_baupreis]]*Tabelle1[[#This Row],[kg_310]]),"None",Tabelle1[[#This Row],[faktor_baupreis]:[faktor_baupreis]]*Tabelle1[[#This Row],[kg_310]]/1.19)</f>
        <v>22.947666195190948</v>
      </c>
      <c r="AM9" s="1" cm="1">
        <f t="array" ref="AM9">IF(ISERROR(Tabelle1[[#This Row],[faktor_baupreis]:[faktor_baupreis]]*Tabelle1[[#This Row],[kg_320]]),"None",Tabelle1[[#This Row],[faktor_baupreis]:[faktor_baupreis]]*Tabelle1[[#This Row],[kg_320]]/1.19)</f>
        <v>646.71322489391798</v>
      </c>
      <c r="AN9" s="1" cm="1">
        <f t="array" ref="AN9">IF(ISERROR(Tabelle1[[#This Row],[faktor_baupreis]:[faktor_baupreis]]*Tabelle1[[#This Row],[kg_330]]),"None",Tabelle1[[#This Row],[faktor_baupreis]:[faktor_baupreis]]*Tabelle1[[#This Row],[kg_330]]/1.19)</f>
        <v>812.57355021216415</v>
      </c>
      <c r="AO9" s="1" cm="1">
        <f t="array" ref="AO9">IF(ISERROR(Tabelle1[[#This Row],[faktor_baupreis]:[faktor_baupreis]]*Tabelle1[[#This Row],[kg_340]]),"None",Tabelle1[[#This Row],[faktor_baupreis]:[faktor_baupreis]]*Tabelle1[[#This Row],[kg_340]]/1.19)</f>
        <v>357.02652050919374</v>
      </c>
      <c r="AP9" s="1" cm="1">
        <f t="array" ref="AP9">IF(ISERROR(Tabelle1[[#This Row],[faktor_baupreis]:[faktor_baupreis]]*Tabelle1[[#This Row],[kg_350]]),"None",Tabelle1[[#This Row],[faktor_baupreis]:[faktor_baupreis]]*Tabelle1[[#This Row],[kg_350]]/1.19)</f>
        <v>540.33203677510608</v>
      </c>
      <c r="AQ9" s="1" cm="1">
        <f t="array" ref="AQ9">IF(ISERROR(Tabelle1[[#This Row],[faktor_baupreis]:[faktor_baupreis]]*Tabelle1[[#This Row],[kg_360]]),"None",Tabelle1[[#This Row],[faktor_baupreis]:[faktor_baupreis]]*Tabelle1[[#This Row],[kg_360]]/1.19)</f>
        <v>632.41230551626586</v>
      </c>
      <c r="AR9" s="1" cm="1">
        <f t="array" ref="AR9">IF(ISERROR(Tabelle1[[#This Row],[faktor_baupreis]:[faktor_baupreis]]*Tabelle1[[#This Row],[kg_380]]),"None",Tabelle1[[#This Row],[faktor_baupreis]:[faktor_baupreis]]*Tabelle1[[#This Row],[kg_380]]/1.19)</f>
        <v>9.4328147100424324</v>
      </c>
      <c r="AS9" s="1" cm="1">
        <f t="array" ref="AS9">IF(ISERROR(Tabelle1[[#This Row],[faktor_baupreis]:[faktor_baupreis]]*Tabelle1[[#This Row],[kg_390]]),"None",Tabelle1[[#This Row],[faktor_baupreis]:[faktor_baupreis]]*Tabelle1[[#This Row],[kg_390]]/1.19)</f>
        <v>116.00707213578501</v>
      </c>
      <c r="AT9" s="1" cm="1">
        <f t="array" ref="AT9">IF(ISERROR(Tabelle1[[#This Row],[faktor_baupreis]:[faktor_baupreis]]*Tabelle1[[#This Row],[kg_410]]),"None",Tabelle1[[#This Row],[faktor_baupreis]:[faktor_baupreis]]*Tabelle1[[#This Row],[kg_410]]/1.19)</f>
        <v>104.58840169731259</v>
      </c>
      <c r="AU9" s="1" cm="1">
        <f t="array" ref="AU9">IF(ISERROR(Tabelle1[[#This Row],[faktor_baupreis]:[faktor_baupreis]]*Tabelle1[[#This Row],[kg_420]]),"None",Tabelle1[[#This Row],[faktor_baupreis]:[faktor_baupreis]]*Tabelle1[[#This Row],[kg_420]]/1.19)</f>
        <v>203.19165487977369</v>
      </c>
      <c r="AV9" s="1" cm="1">
        <f t="array" ref="AV9">IF(ISERROR(Tabelle1[[#This Row],[faktor_baupreis]:[faktor_baupreis]]*Tabelle1[[#This Row],[kg_430]]),"None",Tabelle1[[#This Row],[faktor_baupreis]:[faktor_baupreis]]*Tabelle1[[#This Row],[kg_430]]/1.19)</f>
        <v>196.3790664780764</v>
      </c>
      <c r="AW9" s="1" cm="1">
        <f t="array" ref="AW9">IF(ISERROR(Tabelle1[[#This Row],[faktor_baupreis]:[faktor_baupreis]]*Tabelle1[[#This Row],[kg_440]]),"None",Tabelle1[[#This Row],[faktor_baupreis]:[faktor_baupreis]]*Tabelle1[[#This Row],[kg_440]]/1.19)</f>
        <v>272.29667609618099</v>
      </c>
      <c r="AX9" s="1" cm="1">
        <f t="array" ref="AX9">IF(ISERROR(Tabelle1[[#This Row],[faktor_baupreis]:[faktor_baupreis]]*Tabelle1[[#This Row],[kg_450]]),"None",Tabelle1[[#This Row],[faktor_baupreis]:[faktor_baupreis]]*Tabelle1[[#This Row],[kg_450]]/1.19)</f>
        <v>150.12517680339462</v>
      </c>
      <c r="AY9" s="1" cm="1">
        <f t="array" ref="AY9">IF(ISERROR(Tabelle1[[#This Row],[faktor_baupreis]:[faktor_baupreis]]*Tabelle1[[#This Row],[kg_460]]),"None",Tabelle1[[#This Row],[faktor_baupreis]:[faktor_baupreis]]*Tabelle1[[#This Row],[kg_460]]/1.19)</f>
        <v>40.572135785007077</v>
      </c>
      <c r="AZ9" s="1" t="str" cm="1">
        <f t="array" ref="AZ9">IF(ISERROR(Tabelle1[[#This Row],[faktor_baupreis]:[faktor_baupreis]]*Tabelle1[[#This Row],[kg_470]]),"None",Tabelle1[[#This Row],[faktor_baupreis]:[faktor_baupreis]]*Tabelle1[[#This Row],[kg_470]]/1.19)</f>
        <v>None</v>
      </c>
      <c r="BA9" s="1" cm="1">
        <f t="array" ref="BA9">IF(ISERROR(Tabelle1[[#This Row],[faktor_baupreis]:[faktor_baupreis]]*Tabelle1[[#This Row],[kg_480]]),"None",Tabelle1[[#This Row],[faktor_baupreis]:[faktor_baupreis]]*Tabelle1[[#This Row],[kg_480]]/1.19)</f>
        <v>12.177157001414427</v>
      </c>
      <c r="BB9" s="1" cm="1">
        <f t="array" ref="BB9">IF(ISERROR(Tabelle1[[#This Row],[faktor_baupreis]:[faktor_baupreis]]*Tabelle1[[#This Row],[kg_490]]),"None",Tabelle1[[#This Row],[faktor_baupreis]:[faktor_baupreis]]*Tabelle1[[#This Row],[kg_490]]/1.19)</f>
        <v>0.60678925035360676</v>
      </c>
      <c r="BC9" s="1" cm="1">
        <f t="array" ref="BC9">IF(ISERROR(Tabelle1[[#This Row],[faktor_baupreis]:[faktor_baupreis]]*Tabelle1[[#This Row],[kg_500]]),"None",Tabelle1[[#This Row],[faktor_baupreis]:[faktor_baupreis]]*Tabelle1[[#This Row],[kg_500]]/1.19)</f>
        <v>21.899575671852901</v>
      </c>
      <c r="BD9" s="1" cm="1">
        <f t="array" ref="BD9">IF(ISERROR(Tabelle1[[#This Row],[faktor_baupreis]:[faktor_baupreis]]*Tabelle1[[#This Row],[kg_600]]),"None",Tabelle1[[#This Row],[faktor_baupreis]:[faktor_baupreis]]*Tabelle1[[#This Row],[kg_600]]/1.19)</f>
        <v>8.7846534653465351</v>
      </c>
      <c r="BE9" s="1" cm="1">
        <f t="array" ref="BE9">IF(ISERROR(Tabelle1[[#This Row],[faktor_baupreis]:[faktor_baupreis]]*Tabelle1[[#This Row],[kg_700_anteil]]),"None",Tabelle1[[#This Row],[faktor_baupreis]:[faktor_baupreis]]*Tabelle1[[#This Row],[kg_700_anteil]]/1.19)</f>
        <v>740.21393210749648</v>
      </c>
      <c r="BF9" s="1">
        <f>IF(ISERROR(Tabelle1[[#This Row],[kg_200_korrigiert]]/(1+partner!$E$2)),"None",Tabelle1[[#This Row],[kg_200_korrigiert]]/(1+partner!$E$2))</f>
        <v>18.757641502649054</v>
      </c>
      <c r="BG9" s="1">
        <f>IF(ISERROR(Tabelle1[[#This Row],[kg_310_korrigiert]]/(1+partner!$E$2)),"None",Tabelle1[[#This Row],[kg_310_korrigiert]]/(1+partner!$E$2))</f>
        <v>19.447174741687245</v>
      </c>
      <c r="BH9" s="1">
        <f>IF(ISERROR(Tabelle1[[#This Row],[kg_320_korrigiert]]/(1+partner!$E$3)),"None",Tabelle1[[#This Row],[kg_320_korrigiert]]/(1+partner!$E$3))</f>
        <v>557.51140077061893</v>
      </c>
      <c r="BI9" s="1">
        <f>IF(ISERROR(Tabelle1[[#This Row],[kg_330_korrigiert]]/(1+partner!$E$3)),"None",Tabelle1[[#This Row],[kg_330_korrigiert]]/(1+partner!$E$3))</f>
        <v>700.49443983807259</v>
      </c>
      <c r="BJ9" s="1">
        <f>IF(ISERROR(Tabelle1[[#This Row],[kg_340_korrigiert]]/(1+partner!$E$3)),"None",Tabelle1[[#This Row],[kg_340_korrigiert]]/(1+partner!$E$3))</f>
        <v>307.78148319758083</v>
      </c>
      <c r="BK9" s="1">
        <f>IF(ISERROR(Tabelle1[[#This Row],[kg_350_korrigiert]]/(1+partner!$E$3)),"None",Tabelle1[[#This Row],[kg_350_korrigiert]]/(1+partner!$E$3))</f>
        <v>465.80347997853977</v>
      </c>
      <c r="BL9" s="1">
        <f>IF(ISERROR(Tabelle1[[#This Row],[kg_360_korrigiert]]/(1+partner!$E$3)),"None",Tabelle1[[#This Row],[kg_360_korrigiert]]/(1+partner!$E$3))</f>
        <v>545.18302199678101</v>
      </c>
      <c r="BM9" s="1">
        <f>IF(ISERROR(Tabelle1[[#This Row],[kg_380_korrigiert]]/(1+partner!$E$3)),"None",Tabelle1[[#This Row],[kg_380_korrigiert]]/(1+partner!$E$3))</f>
        <v>8.1317368190020982</v>
      </c>
      <c r="BN9" s="1">
        <f>IF(ISERROR(Tabelle1[[#This Row],[kg_390_korrigiert]]/(1+partner!$E$3)),"None",Tabelle1[[#This Row],[kg_390_korrigiert]]/(1+partner!$E$3))</f>
        <v>100.00609666878019</v>
      </c>
      <c r="BO9" s="1">
        <f>IF(ISERROR(Tabelle1[[#This Row],[kg_410_korrigiert]]/(1+partner!$E$4)),"None",Tabelle1[[#This Row],[kg_410_korrigiert]]/(1+partner!$E$4))</f>
        <v>90.9464362585327</v>
      </c>
      <c r="BP9" s="1">
        <f>IF(ISERROR(Tabelle1[[#This Row],[kg_420_korrigiert]]/(1+partner!$E$4)),"None",Tabelle1[[#This Row],[kg_420_korrigiert]]/(1+partner!$E$4))</f>
        <v>176.68839554762931</v>
      </c>
      <c r="BQ9" s="1">
        <f>IF(ISERROR(Tabelle1[[#This Row],[kg_430_korrigiert]]/(1+partner!$E$4)),"None",Tabelle1[[#This Row],[kg_430_korrigiert]]/(1+partner!$E$4))</f>
        <v>170.76440563310993</v>
      </c>
      <c r="BR9" s="1">
        <f>IF(ISERROR(Tabelle1[[#This Row],[kg_440_korrigiert]]/(1+partner!$E$4)),"None",Tabelle1[[#This Row],[kg_440_korrigiert]]/(1+partner!$E$4))</f>
        <v>236.77971834450523</v>
      </c>
      <c r="BS9" s="1">
        <f>IF(ISERROR(Tabelle1[[#This Row],[kg_450_korrigiert]]/(1+partner!$E$4)),"None",Tabelle1[[#This Row],[kg_450_korrigiert]]/(1+partner!$E$4))</f>
        <v>130.54363200295185</v>
      </c>
      <c r="BT9" s="1">
        <f>IF(ISERROR(Tabelle1[[#This Row],[kg_460_korrigiert]]/(1+partner!$E$4)),"None",Tabelle1[[#This Row],[kg_460_korrigiert]]/(1+partner!$E$4))</f>
        <v>35.280118073919198</v>
      </c>
      <c r="BU9" s="1" t="str">
        <f>IF(ISERROR(Tabelle1[[#This Row],[kg_470_korrigiert]]/(1+partner!$E$4)),"None",Tabelle1[[#This Row],[kg_470_korrigiert]]/(1+partner!$E$4))</f>
        <v>None</v>
      </c>
      <c r="BV9" s="1">
        <f>IF(ISERROR(Tabelle1[[#This Row],[kg_480_korrigiert]]/(1+partner!$E$4)),"None",Tabelle1[[#This Row],[kg_480_korrigiert]]/(1+partner!$E$4))</f>
        <v>10.588832175142981</v>
      </c>
      <c r="BW9" s="1">
        <f>IF(ISERROR(Tabelle1[[#This Row],[kg_490_korrigiert]]/(1+partner!$E$4)),"None",Tabelle1[[#This Row],[kg_490_korrigiert]]/(1+partner!$E$4))</f>
        <v>0.52764282639444071</v>
      </c>
      <c r="BX9" s="1">
        <f>IF(ISERROR(Tabelle1[[#This Row],[kg_500_korrigiert]]/(1+partner!$E$2)),"None",Tabelle1[[#This Row],[kg_500_korrigiert]]/(1+partner!$E$2))</f>
        <v>18.558962433773647</v>
      </c>
      <c r="BY9" s="1">
        <f>IF(ISERROR(Tabelle1[[#This Row],[kg_600_korrigiert]]/(1+partner!$E$4)),"None",Tabelle1[[#This Row],[kg_600_korrigiert]]/(1+partner!$E$4))</f>
        <v>7.6388291003013356</v>
      </c>
      <c r="BZ9" s="1">
        <f>IF(ISERROR(Tabelle1[[#This Row],[kg_700_korrigiert]]/(1+partner!$E$5)),"None",Tabelle1[[#This Row],[kg_700_korrigiert]]/(1+partner!$E$5))</f>
        <v>411.22996228194245</v>
      </c>
      <c r="CA9" s="1">
        <f>IF(ISERROR(Tabelle1[[#This Row],[kg_700_korrigiert]]/(1+partner!$E$5)),"None",Tabelle1[[#This Row],[kg_700_korrigiert]]/(1+partner!$E$5)*hoai!$C$14)</f>
        <v>139.81818717586043</v>
      </c>
    </row>
    <row r="10" spans="1:79" x14ac:dyDescent="0.2">
      <c r="A10" t="s">
        <v>49</v>
      </c>
      <c r="B10" t="s">
        <v>50</v>
      </c>
      <c r="C10" t="s">
        <v>51</v>
      </c>
      <c r="D10">
        <v>455</v>
      </c>
      <c r="E10" t="s">
        <v>55</v>
      </c>
      <c r="F10" s="8">
        <v>78.5</v>
      </c>
      <c r="G10" s="8">
        <v>132.6</v>
      </c>
      <c r="H10" s="7">
        <f>Tabelle1[[#This Row],[index_ziel]]/Tabelle1[[#This Row],[index_quelle]]</f>
        <v>1.6891719745222928</v>
      </c>
      <c r="I10" s="2">
        <v>11097</v>
      </c>
      <c r="J10" s="2">
        <v>37260</v>
      </c>
      <c r="K10" s="2">
        <f>Tabelle1[[#This Row],[bri]]/Tabelle1[[#This Row],[bgf]]</f>
        <v>3.3576642335766422</v>
      </c>
      <c r="L10" s="1">
        <f>Tabelle1[[#This Row],[bgf]]*Tabelle1[[#This Row],[kosten300+400_bgf]]</f>
        <v>16035165</v>
      </c>
      <c r="M10" s="1">
        <v>1445</v>
      </c>
      <c r="N10" s="1" t="s">
        <v>42</v>
      </c>
      <c r="O10">
        <v>0.25</v>
      </c>
      <c r="P10" s="1">
        <v>0.54</v>
      </c>
      <c r="Q10" s="1">
        <v>16.440000000000001</v>
      </c>
      <c r="R10" s="1">
        <v>257.08999999999997</v>
      </c>
      <c r="S10" s="1">
        <v>509.49</v>
      </c>
      <c r="T10" s="1">
        <v>289.05</v>
      </c>
      <c r="U10" s="1">
        <v>273.2</v>
      </c>
      <c r="V10" s="1">
        <v>321.39</v>
      </c>
      <c r="W10" s="1">
        <v>18</v>
      </c>
      <c r="X10" s="1">
        <v>69.64</v>
      </c>
      <c r="Y10" s="1">
        <v>44.13</v>
      </c>
      <c r="Z10" s="1">
        <v>79.47</v>
      </c>
      <c r="AA10" s="1">
        <v>72.44</v>
      </c>
      <c r="AB10" s="1">
        <v>115.43</v>
      </c>
      <c r="AC10" s="1">
        <v>41.19</v>
      </c>
      <c r="AD10" s="1">
        <v>21.19</v>
      </c>
      <c r="AE10" s="1" t="s">
        <v>30</v>
      </c>
      <c r="AF10" s="1" t="s">
        <v>30</v>
      </c>
      <c r="AG10" s="1" t="s">
        <v>30</v>
      </c>
      <c r="AH10" s="1">
        <v>855.68</v>
      </c>
      <c r="AI10" s="1">
        <v>4.29</v>
      </c>
      <c r="AJ10" s="1">
        <f>Tabelle1[[#This Row],[kg_700_anteil_p1]]*Tabelle1[[#This Row],[kosten300+400_bgf]]</f>
        <v>361.25</v>
      </c>
      <c r="AK10" s="1" cm="1">
        <f t="array" ref="AK10">IF(ISERROR(Tabelle1[[#This Row],[faktor_baupreis]:[faktor_baupreis]]*Tabelle1[[#This Row],[kg_200]]),"None",Tabelle1[[#This Row],[faktor_baupreis]:[faktor_baupreis]]*Tabelle1[[#This Row],[kg_200]]/1.19)</f>
        <v>0.76651501364877161</v>
      </c>
      <c r="AL10" s="1" cm="1">
        <f t="array" ref="AL10">IF(ISERROR(Tabelle1[[#This Row],[faktor_baupreis]:[faktor_baupreis]]*Tabelle1[[#This Row],[kg_310]]),"None",Tabelle1[[#This Row],[faktor_baupreis]:[faktor_baupreis]]*Tabelle1[[#This Row],[kg_310]]/1.19)</f>
        <v>23.336123748862605</v>
      </c>
      <c r="AM10" s="1" cm="1">
        <f t="array" ref="AM10">IF(ISERROR(Tabelle1[[#This Row],[faktor_baupreis]:[faktor_baupreis]]*Tabelle1[[#This Row],[kg_320]]),"None",Tabelle1[[#This Row],[faktor_baupreis]:[faktor_baupreis]]*Tabelle1[[#This Row],[kg_320]]/1.19)</f>
        <v>364.93212010919012</v>
      </c>
      <c r="AN10" s="1" cm="1">
        <f t="array" ref="AN10">IF(ISERROR(Tabelle1[[#This Row],[faktor_baupreis]:[faktor_baupreis]]*Tabelle1[[#This Row],[kg_330]]),"None",Tabelle1[[#This Row],[faktor_baupreis]:[faktor_baupreis]]*Tabelle1[[#This Row],[kg_330]]/1.19)</f>
        <v>723.20691537761604</v>
      </c>
      <c r="AO10" s="1" cm="1">
        <f t="array" ref="AO10">IF(ISERROR(Tabelle1[[#This Row],[faktor_baupreis]:[faktor_baupreis]]*Tabelle1[[#This Row],[kg_340]]),"None",Tabelle1[[#This Row],[faktor_baupreis]:[faktor_baupreis]]*Tabelle1[[#This Row],[kg_340]]/1.19)</f>
        <v>410.29845313921749</v>
      </c>
      <c r="AP10" s="1" cm="1">
        <f t="array" ref="AP10">IF(ISERROR(Tabelle1[[#This Row],[faktor_baupreis]:[faktor_baupreis]]*Tabelle1[[#This Row],[kg_350]]),"None",Tabelle1[[#This Row],[faktor_baupreis]:[faktor_baupreis]]*Tabelle1[[#This Row],[kg_350]]/1.19)</f>
        <v>387.79981801637848</v>
      </c>
      <c r="AQ10" s="1" cm="1">
        <f t="array" ref="AQ10">IF(ISERROR(Tabelle1[[#This Row],[faktor_baupreis]:[faktor_baupreis]]*Tabelle1[[#This Row],[kg_360]]),"None",Tabelle1[[#This Row],[faktor_baupreis]:[faktor_baupreis]]*Tabelle1[[#This Row],[kg_360]]/1.19)</f>
        <v>456.20418562329382</v>
      </c>
      <c r="AR10" s="1" cm="1">
        <f t="array" ref="AR10">IF(ISERROR(Tabelle1[[#This Row],[faktor_baupreis]:[faktor_baupreis]]*Tabelle1[[#This Row],[kg_380]]),"None",Tabelle1[[#This Row],[faktor_baupreis]:[faktor_baupreis]]*Tabelle1[[#This Row],[kg_380]]/1.19)</f>
        <v>25.550500454959053</v>
      </c>
      <c r="AS10" s="1" cm="1">
        <f t="array" ref="AS10">IF(ISERROR(Tabelle1[[#This Row],[faktor_baupreis]:[faktor_baupreis]]*Tabelle1[[#This Row],[kg_390]]),"None",Tabelle1[[#This Row],[faktor_baupreis]:[faktor_baupreis]]*Tabelle1[[#This Row],[kg_390]]/1.19)</f>
        <v>98.852047315741586</v>
      </c>
      <c r="AT10" s="1" cm="1">
        <f t="array" ref="AT10">IF(ISERROR(Tabelle1[[#This Row],[faktor_baupreis]:[faktor_baupreis]]*Tabelle1[[#This Row],[kg_410]]),"None",Tabelle1[[#This Row],[faktor_baupreis]:[faktor_baupreis]]*Tabelle1[[#This Row],[kg_410]]/1.19)</f>
        <v>62.641310282074606</v>
      </c>
      <c r="AU10" s="1" cm="1">
        <f t="array" ref="AU10">IF(ISERROR(Tabelle1[[#This Row],[faktor_baupreis]:[faktor_baupreis]]*Tabelle1[[#This Row],[kg_420]]),"None",Tabelle1[[#This Row],[faktor_baupreis]:[faktor_baupreis]]*Tabelle1[[#This Row],[kg_420]]/1.19)</f>
        <v>112.80545950864423</v>
      </c>
      <c r="AV10" s="1" cm="1">
        <f t="array" ref="AV10">IF(ISERROR(Tabelle1[[#This Row],[faktor_baupreis]:[faktor_baupreis]]*Tabelle1[[#This Row],[kg_430]]),"None",Tabelle1[[#This Row],[faktor_baupreis]:[faktor_baupreis]]*Tabelle1[[#This Row],[kg_430]]/1.19)</f>
        <v>102.8265696087352</v>
      </c>
      <c r="AW10" s="1" cm="1">
        <f t="array" ref="AW10">IF(ISERROR(Tabelle1[[#This Row],[faktor_baupreis]:[faktor_baupreis]]*Tabelle1[[#This Row],[kg_440]]),"None",Tabelle1[[#This Row],[faktor_baupreis]:[faktor_baupreis]]*Tabelle1[[#This Row],[kg_440]]/1.19)</f>
        <v>163.84968152866244</v>
      </c>
      <c r="AX10" s="1" cm="1">
        <f t="array" ref="AX10">IF(ISERROR(Tabelle1[[#This Row],[faktor_baupreis]:[faktor_baupreis]]*Tabelle1[[#This Row],[kg_450]]),"None",Tabelle1[[#This Row],[faktor_baupreis]:[faktor_baupreis]]*Tabelle1[[#This Row],[kg_450]]/1.19)</f>
        <v>58.468061874431299</v>
      </c>
      <c r="AY10" s="1" cm="1">
        <f t="array" ref="AY10">IF(ISERROR(Tabelle1[[#This Row],[faktor_baupreis]:[faktor_baupreis]]*Tabelle1[[#This Row],[kg_460]]),"None",Tabelle1[[#This Row],[faktor_baupreis]:[faktor_baupreis]]*Tabelle1[[#This Row],[kg_460]]/1.19)</f>
        <v>30.078616924476801</v>
      </c>
      <c r="AZ10" s="1" t="str" cm="1">
        <f t="array" ref="AZ10">IF(ISERROR(Tabelle1[[#This Row],[faktor_baupreis]:[faktor_baupreis]]*Tabelle1[[#This Row],[kg_470]]),"None",Tabelle1[[#This Row],[faktor_baupreis]:[faktor_baupreis]]*Tabelle1[[#This Row],[kg_470]]/1.19)</f>
        <v>None</v>
      </c>
      <c r="BA10" s="1" t="str" cm="1">
        <f t="array" ref="BA10">IF(ISERROR(Tabelle1[[#This Row],[faktor_baupreis]:[faktor_baupreis]]*Tabelle1[[#This Row],[kg_480]]),"None",Tabelle1[[#This Row],[faktor_baupreis]:[faktor_baupreis]]*Tabelle1[[#This Row],[kg_480]]/1.19)</f>
        <v>None</v>
      </c>
      <c r="BB10" s="1" t="str" cm="1">
        <f t="array" ref="BB10">IF(ISERROR(Tabelle1[[#This Row],[faktor_baupreis]:[faktor_baupreis]]*Tabelle1[[#This Row],[kg_490]]),"None",Tabelle1[[#This Row],[faktor_baupreis]:[faktor_baupreis]]*Tabelle1[[#This Row],[kg_490]]/1.19)</f>
        <v>None</v>
      </c>
      <c r="BC10" s="9" t="s">
        <v>30</v>
      </c>
      <c r="BD10" s="1" cm="1">
        <f t="array" ref="BD10">IF(ISERROR(Tabelle1[[#This Row],[faktor_baupreis]:[faktor_baupreis]]*Tabelle1[[#This Row],[kg_600]]),"None",Tabelle1[[#This Row],[faktor_baupreis]:[faktor_baupreis]]*Tabelle1[[#This Row],[kg_600]]/1.19)</f>
        <v>6.0895359417652406</v>
      </c>
      <c r="BE10" s="1" cm="1">
        <f t="array" ref="BE10">IF(ISERROR(Tabelle1[[#This Row],[faktor_baupreis]:[faktor_baupreis]]*Tabelle1[[#This Row],[kg_700_anteil]]),"None",Tabelle1[[#This Row],[faktor_baupreis]:[faktor_baupreis]]*Tabelle1[[#This Row],[kg_700_anteil]]/1.19)</f>
        <v>512.78434940855323</v>
      </c>
      <c r="BF10" s="1">
        <f>IF(ISERROR(Tabelle1[[#This Row],[kg_200_korrigiert]]/(1+partner!$E$2)),"None",Tabelle1[[#This Row],[kg_200_korrigiert]]/(1+partner!$E$2))</f>
        <v>0.64958899461760311</v>
      </c>
      <c r="BG10" s="1">
        <f>IF(ISERROR(Tabelle1[[#This Row],[kg_310_korrigiert]]/(1+partner!$E$2)),"None",Tabelle1[[#This Row],[kg_310_korrigiert]]/(1+partner!$E$2))</f>
        <v>19.776376058358139</v>
      </c>
      <c r="BH10" s="1">
        <f>IF(ISERROR(Tabelle1[[#This Row],[kg_320_korrigiert]]/(1+partner!$E$3)),"None",Tabelle1[[#This Row],[kg_320_korrigiert]]/(1+partner!$E$3))</f>
        <v>314.59665526654322</v>
      </c>
      <c r="BI10" s="1">
        <f>IF(ISERROR(Tabelle1[[#This Row],[kg_330_korrigiert]]/(1+partner!$E$3)),"None",Tabelle1[[#This Row],[kg_330_korrigiert]]/(1+partner!$E$3))</f>
        <v>623.45423739449666</v>
      </c>
      <c r="BJ10" s="1">
        <f>IF(ISERROR(Tabelle1[[#This Row],[kg_340_korrigiert]]/(1+partner!$E$3)),"None",Tabelle1[[#This Row],[kg_340_korrigiert]]/(1+partner!$E$3))</f>
        <v>353.70556305104958</v>
      </c>
      <c r="BK10" s="1">
        <f>IF(ISERROR(Tabelle1[[#This Row],[kg_350_korrigiert]]/(1+partner!$E$3)),"None",Tabelle1[[#This Row],[kg_350_korrigiert]]/(1+partner!$E$3))</f>
        <v>334.31018794515387</v>
      </c>
      <c r="BL10" s="1">
        <f>IF(ISERROR(Tabelle1[[#This Row],[kg_360_korrigiert]]/(1+partner!$E$3)),"None",Tabelle1[[#This Row],[kg_360_korrigiert]]/(1+partner!$E$3))</f>
        <v>393.27947036490849</v>
      </c>
      <c r="BM10" s="1">
        <f>IF(ISERROR(Tabelle1[[#This Row],[kg_380_korrigiert]]/(1+partner!$E$3)),"None",Tabelle1[[#This Row],[kg_380_korrigiert]]/(1+partner!$E$3))</f>
        <v>22.026293495654357</v>
      </c>
      <c r="BN10" s="1">
        <f>IF(ISERROR(Tabelle1[[#This Row],[kg_390_korrigiert]]/(1+partner!$E$3)),"None",Tabelle1[[#This Row],[kg_390_korrigiert]]/(1+partner!$E$3))</f>
        <v>85.217282168742756</v>
      </c>
      <c r="BO10" s="1">
        <f>IF(ISERROR(Tabelle1[[#This Row],[kg_410_korrigiert]]/(1+partner!$E$4)),"None",Tabelle1[[#This Row],[kg_410_korrigiert]]/(1+partner!$E$4))</f>
        <v>54.470704593108358</v>
      </c>
      <c r="BP10" s="1">
        <f>IF(ISERROR(Tabelle1[[#This Row],[kg_420_korrigiert]]/(1+partner!$E$4)),"None",Tabelle1[[#This Row],[kg_420_korrigiert]]/(1+partner!$E$4))</f>
        <v>98.091703920560207</v>
      </c>
      <c r="BQ10" s="1">
        <f>IF(ISERROR(Tabelle1[[#This Row],[kg_430_korrigiert]]/(1+partner!$E$4)),"None",Tabelle1[[#This Row],[kg_430_korrigiert]]/(1+partner!$E$4))</f>
        <v>89.414408355421912</v>
      </c>
      <c r="BR10" s="1">
        <f>IF(ISERROR(Tabelle1[[#This Row],[kg_440_korrigiert]]/(1+partner!$E$4)),"None",Tabelle1[[#This Row],[kg_440_korrigiert]]/(1+partner!$E$4))</f>
        <v>142.47798393796737</v>
      </c>
      <c r="BS10" s="1">
        <f>IF(ISERROR(Tabelle1[[#This Row],[kg_450_korrigiert]]/(1+partner!$E$4)),"None",Tabelle1[[#This Row],[kg_450_korrigiert]]/(1+partner!$E$4))</f>
        <v>50.841792934288094</v>
      </c>
      <c r="BT10" s="1">
        <f>IF(ISERROR(Tabelle1[[#This Row],[kg_460_korrigiert]]/(1+partner!$E$4)),"None",Tabelle1[[#This Row],[kg_460_korrigiert]]/(1+partner!$E$4))</f>
        <v>26.155319064762438</v>
      </c>
      <c r="BU10" s="1" t="str">
        <f>IF(ISERROR(Tabelle1[[#This Row],[kg_470_korrigiert]]/(1+partner!$E$4)),"None",Tabelle1[[#This Row],[kg_470_korrigiert]]/(1+partner!$E$4))</f>
        <v>None</v>
      </c>
      <c r="BV10" s="1" t="str">
        <f>IF(ISERROR(Tabelle1[[#This Row],[kg_480_korrigiert]]/(1+partner!$E$4)),"None",Tabelle1[[#This Row],[kg_480_korrigiert]]/(1+partner!$E$4))</f>
        <v>None</v>
      </c>
      <c r="BW10" s="1" t="str">
        <f>IF(ISERROR(Tabelle1[[#This Row],[kg_490_korrigiert]]/(1+partner!$E$4)),"None",Tabelle1[[#This Row],[kg_490_korrigiert]]/(1+partner!$E$4))</f>
        <v>None</v>
      </c>
      <c r="BX10" s="1" t="str">
        <f>IF(ISERROR(Tabelle1[[#This Row],[kg_500_korrigiert]]/(1+partner!$E$2)),"None",Tabelle1[[#This Row],[kg_500_korrigiert]]/(1+partner!$E$2))</f>
        <v>None</v>
      </c>
      <c r="BY10" s="1">
        <f>IF(ISERROR(Tabelle1[[#This Row],[kg_600_korrigiert]]/(1+partner!$E$4)),"None",Tabelle1[[#This Row],[kg_600_korrigiert]]/(1+partner!$E$4))</f>
        <v>5.2952486450132534</v>
      </c>
      <c r="BZ10" s="1">
        <f>IF(ISERROR(Tabelle1[[#This Row],[kg_700_korrigiert]]/(1+partner!$E$5)),"None",Tabelle1[[#This Row],[kg_700_korrigiert]]/(1+partner!$E$5))</f>
        <v>284.88019411586288</v>
      </c>
      <c r="CA10" s="1">
        <f>IF(ISERROR(Tabelle1[[#This Row],[kg_700_korrigiert]]/(1+partner!$E$5)),"None",Tabelle1[[#This Row],[kg_700_korrigiert]]/(1+partner!$E$5)*hoai!$C$14)</f>
        <v>96.859265999393386</v>
      </c>
    </row>
    <row r="11" spans="1:79" x14ac:dyDescent="0.2">
      <c r="A11" t="s">
        <v>52</v>
      </c>
      <c r="B11" t="s">
        <v>50</v>
      </c>
      <c r="C11" t="s">
        <v>53</v>
      </c>
      <c r="D11">
        <v>183</v>
      </c>
      <c r="E11" t="s">
        <v>55</v>
      </c>
      <c r="F11" s="8">
        <v>78.5</v>
      </c>
      <c r="G11" s="8">
        <v>132.6</v>
      </c>
      <c r="H11" s="7">
        <f>Tabelle1[[#This Row],[index_ziel]]/Tabelle1[[#This Row],[index_quelle]]</f>
        <v>1.6891719745222928</v>
      </c>
      <c r="I11" s="2">
        <v>3680</v>
      </c>
      <c r="J11" s="2">
        <v>13555</v>
      </c>
      <c r="K11" s="2">
        <f>Tabelle1[[#This Row],[bri]]/Tabelle1[[#This Row],[bgf]]</f>
        <v>3.683423913043478</v>
      </c>
      <c r="L11" s="1">
        <f>Tabelle1[[#This Row],[bgf]]*Tabelle1[[#This Row],[kosten300+400_bgf]]</f>
        <v>6325920</v>
      </c>
      <c r="M11" s="1">
        <v>1719</v>
      </c>
      <c r="N11" s="1" t="s">
        <v>42</v>
      </c>
      <c r="O11">
        <v>0.25</v>
      </c>
      <c r="P11" s="1">
        <v>21.46</v>
      </c>
      <c r="Q11" s="1">
        <v>30.95</v>
      </c>
      <c r="R11" s="1">
        <v>727.77</v>
      </c>
      <c r="S11" s="1">
        <v>391.83</v>
      </c>
      <c r="T11" s="1">
        <v>247.98</v>
      </c>
      <c r="U11" s="1">
        <v>283.92</v>
      </c>
      <c r="V11" s="1">
        <v>313.85000000000002</v>
      </c>
      <c r="W11" s="1">
        <v>1.7</v>
      </c>
      <c r="X11" s="1">
        <v>21.22</v>
      </c>
      <c r="Y11" s="1">
        <v>57.41</v>
      </c>
      <c r="Z11" s="1">
        <v>96.42</v>
      </c>
      <c r="AA11" s="1">
        <v>47.09</v>
      </c>
      <c r="AB11" s="1">
        <v>69.099999999999994</v>
      </c>
      <c r="AC11" s="1">
        <v>120.13</v>
      </c>
      <c r="AD11" s="1" t="s">
        <v>30</v>
      </c>
      <c r="AE11" s="1">
        <v>1.86</v>
      </c>
      <c r="AF11" s="1" t="s">
        <v>30</v>
      </c>
      <c r="AG11" s="1" t="s">
        <v>30</v>
      </c>
      <c r="AH11" s="1">
        <v>20.21</v>
      </c>
      <c r="AI11" s="1">
        <v>12.95</v>
      </c>
      <c r="AJ11" s="1">
        <f>Tabelle1[[#This Row],[kg_700_anteil_p1]]*Tabelle1[[#This Row],[kosten300+400_bgf]]</f>
        <v>429.75</v>
      </c>
      <c r="AK11" s="1" cm="1">
        <f t="array" ref="AK11">IF(ISERROR(Tabelle1[[#This Row],[faktor_baupreis]:[faktor_baupreis]]*Tabelle1[[#This Row],[kg_200]]),"None",Tabelle1[[#This Row],[faktor_baupreis]:[faktor_baupreis]]*Tabelle1[[#This Row],[kg_200]]/1.19)</f>
        <v>30.46187443130118</v>
      </c>
      <c r="AL11" s="1" cm="1">
        <f t="array" ref="AL11">IF(ISERROR(Tabelle1[[#This Row],[faktor_baupreis]:[faktor_baupreis]]*Tabelle1[[#This Row],[kg_310]]),"None",Tabelle1[[#This Row],[faktor_baupreis]:[faktor_baupreis]]*Tabelle1[[#This Row],[kg_310]]/1.19)</f>
        <v>43.932666060054586</v>
      </c>
      <c r="AM11" s="1" cm="1">
        <f t="array" ref="AM11">IF(ISERROR(Tabelle1[[#This Row],[faktor_baupreis]:[faktor_baupreis]]*Tabelle1[[#This Row],[kg_320]]),"None",Tabelle1[[#This Row],[faktor_baupreis]:[faktor_baupreis]]*Tabelle1[[#This Row],[kg_320]]/1.19)</f>
        <v>1033.0493175614195</v>
      </c>
      <c r="AN11" s="1" cm="1">
        <f t="array" ref="AN11">IF(ISERROR(Tabelle1[[#This Row],[faktor_baupreis]:[faktor_baupreis]]*Tabelle1[[#This Row],[kg_330]]),"None",Tabelle1[[#This Row],[faktor_baupreis]:[faktor_baupreis]]*Tabelle1[[#This Row],[kg_330]]/1.19)</f>
        <v>556.19181073703362</v>
      </c>
      <c r="AO11" s="1" cm="1">
        <f t="array" ref="AO11">IF(ISERROR(Tabelle1[[#This Row],[faktor_baupreis]:[faktor_baupreis]]*Tabelle1[[#This Row],[kg_340]]),"None",Tabelle1[[#This Row],[faktor_baupreis]:[faktor_baupreis]]*Tabelle1[[#This Row],[kg_340]]/1.19)</f>
        <v>352.00072793448589</v>
      </c>
      <c r="AP11" s="1" cm="1">
        <f t="array" ref="AP11">IF(ISERROR(Tabelle1[[#This Row],[faktor_baupreis]:[faktor_baupreis]]*Tabelle1[[#This Row],[kg_350]]),"None",Tabelle1[[#This Row],[faktor_baupreis]:[faktor_baupreis]]*Tabelle1[[#This Row],[kg_350]]/1.19)</f>
        <v>403.01656050955415</v>
      </c>
      <c r="AQ11" s="1" cm="1">
        <f t="array" ref="AQ11">IF(ISERROR(Tabelle1[[#This Row],[faktor_baupreis]:[faktor_baupreis]]*Tabelle1[[#This Row],[kg_360]]),"None",Tabelle1[[#This Row],[faktor_baupreis]:[faktor_baupreis]]*Tabelle1[[#This Row],[kg_360]]/1.19)</f>
        <v>445.50136487716105</v>
      </c>
      <c r="AR11" s="1" cm="1">
        <f t="array" ref="AR11">IF(ISERROR(Tabelle1[[#This Row],[faktor_baupreis]:[faktor_baupreis]]*Tabelle1[[#This Row],[kg_380]]),"None",Tabelle1[[#This Row],[faktor_baupreis]:[faktor_baupreis]]*Tabelle1[[#This Row],[kg_380]]/1.19)</f>
        <v>2.4131028207461327</v>
      </c>
      <c r="AS11" s="1" cm="1">
        <f t="array" ref="AS11">IF(ISERROR(Tabelle1[[#This Row],[faktor_baupreis]:[faktor_baupreis]]*Tabelle1[[#This Row],[kg_390]]),"None",Tabelle1[[#This Row],[faktor_baupreis]:[faktor_baupreis]]*Tabelle1[[#This Row],[kg_390]]/1.19)</f>
        <v>30.121201091901725</v>
      </c>
      <c r="AT11" s="1" cm="1">
        <f t="array" ref="AT11">IF(ISERROR(Tabelle1[[#This Row],[faktor_baupreis]:[faktor_baupreis]]*Tabelle1[[#This Row],[kg_410]]),"None",Tabelle1[[#This Row],[faktor_baupreis]:[faktor_baupreis]]*Tabelle1[[#This Row],[kg_410]]/1.19)</f>
        <v>81.491901728844397</v>
      </c>
      <c r="AU11" s="1" cm="1">
        <f t="array" ref="AU11">IF(ISERROR(Tabelle1[[#This Row],[faktor_baupreis]:[faktor_baupreis]]*Tabelle1[[#This Row],[kg_420]]),"None",Tabelle1[[#This Row],[faktor_baupreis]:[faktor_baupreis]]*Tabelle1[[#This Row],[kg_420]]/1.19)</f>
        <v>136.86551410373065</v>
      </c>
      <c r="AV11" s="1" cm="1">
        <f t="array" ref="AV11">IF(ISERROR(Tabelle1[[#This Row],[faktor_baupreis]:[faktor_baupreis]]*Tabelle1[[#This Row],[kg_430]]),"None",Tabelle1[[#This Row],[faktor_baupreis]:[faktor_baupreis]]*Tabelle1[[#This Row],[kg_430]]/1.19)</f>
        <v>66.842948134667878</v>
      </c>
      <c r="AW11" s="1" cm="1">
        <f t="array" ref="AW11">IF(ISERROR(Tabelle1[[#This Row],[faktor_baupreis]:[faktor_baupreis]]*Tabelle1[[#This Row],[kg_440]]),"None",Tabelle1[[#This Row],[faktor_baupreis]:[faktor_baupreis]]*Tabelle1[[#This Row],[kg_440]]/1.19)</f>
        <v>98.085532302092801</v>
      </c>
      <c r="AX11" s="1" cm="1">
        <f t="array" ref="AX11">IF(ISERROR(Tabelle1[[#This Row],[faktor_baupreis]:[faktor_baupreis]]*Tabelle1[[#This Row],[kg_450]]),"None",Tabelle1[[#This Row],[faktor_baupreis]:[faktor_baupreis]]*Tabelle1[[#This Row],[kg_450]]/1.19)</f>
        <v>170.5212010919017</v>
      </c>
      <c r="AY11" s="1" t="str" cm="1">
        <f t="array" ref="AY11">IF(ISERROR(Tabelle1[[#This Row],[faktor_baupreis]:[faktor_baupreis]]*Tabelle1[[#This Row],[kg_460]]),"None",Tabelle1[[#This Row],[faktor_baupreis]:[faktor_baupreis]]*Tabelle1[[#This Row],[kg_460]]/1.19)</f>
        <v>None</v>
      </c>
      <c r="AZ11" s="1" cm="1">
        <f t="array" ref="AZ11">IF(ISERROR(Tabelle1[[#This Row],[faktor_baupreis]:[faktor_baupreis]]*Tabelle1[[#This Row],[kg_470]]),"None",Tabelle1[[#This Row],[faktor_baupreis]:[faktor_baupreis]]*Tabelle1[[#This Row],[kg_470]]/1.19)</f>
        <v>2.6402183803457691</v>
      </c>
      <c r="BA11" s="1" t="str" cm="1">
        <f t="array" ref="BA11">IF(ISERROR(Tabelle1[[#This Row],[faktor_baupreis]:[faktor_baupreis]]*Tabelle1[[#This Row],[kg_480]]),"None",Tabelle1[[#This Row],[faktor_baupreis]:[faktor_baupreis]]*Tabelle1[[#This Row],[kg_480]]/1.19)</f>
        <v>None</v>
      </c>
      <c r="BB11" s="1" t="str" cm="1">
        <f t="array" ref="BB11">IF(ISERROR(Tabelle1[[#This Row],[faktor_baupreis]:[faktor_baupreis]]*Tabelle1[[#This Row],[kg_490]]),"None",Tabelle1[[#This Row],[faktor_baupreis]:[faktor_baupreis]]*Tabelle1[[#This Row],[kg_490]]/1.19)</f>
        <v>None</v>
      </c>
      <c r="BC11" s="1" cm="1">
        <f t="array" ref="BC11">IF(ISERROR(Tabelle1[[#This Row],[faktor_baupreis]:[faktor_baupreis]]*Tabelle1[[#This Row],[kg_500]]),"None",Tabelle1[[#This Row],[faktor_baupreis]:[faktor_baupreis]]*Tabelle1[[#This Row],[kg_500]]/1.19)</f>
        <v>28.687534121929023</v>
      </c>
      <c r="BD11" s="1" cm="1">
        <f t="array" ref="BD11">IF(ISERROR(Tabelle1[[#This Row],[faktor_baupreis]:[faktor_baupreis]]*Tabelle1[[#This Row],[kg_600]]),"None",Tabelle1[[#This Row],[faktor_baupreis]:[faktor_baupreis]]*Tabelle1[[#This Row],[kg_600]]/1.19)</f>
        <v>18.382165605095537</v>
      </c>
      <c r="BE11" s="1" cm="1">
        <f t="array" ref="BE11">IF(ISERROR(Tabelle1[[#This Row],[faktor_baupreis]:[faktor_baupreis]]*Tabelle1[[#This Row],[kg_700_anteil]]),"None",Tabelle1[[#This Row],[faktor_baupreis]:[faktor_baupreis]]*Tabelle1[[#This Row],[kg_700_anteil]]/1.19)</f>
        <v>610.01819836214736</v>
      </c>
      <c r="BF11" s="1">
        <f>IF(ISERROR(Tabelle1[[#This Row],[kg_200_korrigiert]]/(1+partner!$E$2)),"None",Tabelle1[[#This Row],[kg_200_korrigiert]]/(1+partner!$E$2))</f>
        <v>25.815147823136595</v>
      </c>
      <c r="BG11" s="1">
        <f>IF(ISERROR(Tabelle1[[#This Row],[kg_310_korrigiert]]/(1+partner!$E$2)),"None",Tabelle1[[#This Row],[kg_310_korrigiert]]/(1+partner!$E$2))</f>
        <v>37.231072932249653</v>
      </c>
      <c r="BH11" s="1">
        <f>IF(ISERROR(Tabelle1[[#This Row],[kg_320_korrigiert]]/(1+partner!$E$3)),"None",Tabelle1[[#This Row],[kg_320_korrigiert]]/(1+partner!$E$3))</f>
        <v>890.55975651846506</v>
      </c>
      <c r="BI11" s="1">
        <f>IF(ISERROR(Tabelle1[[#This Row],[kg_330_korrigiert]]/(1+partner!$E$3)),"None",Tabelle1[[#This Row],[kg_330_korrigiert]]/(1+partner!$E$3))</f>
        <v>479.4756989112359</v>
      </c>
      <c r="BJ11" s="1">
        <f>IF(ISERROR(Tabelle1[[#This Row],[kg_340_korrigiert]]/(1+partner!$E$3)),"None",Tabelle1[[#This Row],[kg_340_korrigiert]]/(1+partner!$E$3))</f>
        <v>303.44890339179818</v>
      </c>
      <c r="BK11" s="1">
        <f>IF(ISERROR(Tabelle1[[#This Row],[kg_350_korrigiert]]/(1+partner!$E$3)),"None",Tabelle1[[#This Row],[kg_350_korrigiert]]/(1+partner!$E$3))</f>
        <v>347.42806940478806</v>
      </c>
      <c r="BL11" s="1">
        <f>IF(ISERROR(Tabelle1[[#This Row],[kg_360_korrigiert]]/(1+partner!$E$3)),"None",Tabelle1[[#This Row],[kg_360_korrigiert]]/(1+partner!$E$3))</f>
        <v>384.05290075617336</v>
      </c>
      <c r="BM11" s="1">
        <f>IF(ISERROR(Tabelle1[[#This Row],[kg_380_korrigiert]]/(1+partner!$E$3)),"None",Tabelle1[[#This Row],[kg_380_korrigiert]]/(1+partner!$E$3))</f>
        <v>2.0802610523673559</v>
      </c>
      <c r="BN11" s="1">
        <f>IF(ISERROR(Tabelle1[[#This Row],[kg_390_korrigiert]]/(1+partner!$E$3)),"None",Tabelle1[[#This Row],[kg_390_korrigiert]]/(1+partner!$E$3))</f>
        <v>25.966552665432523</v>
      </c>
      <c r="BO11" s="1">
        <f>IF(ISERROR(Tabelle1[[#This Row],[kg_410_korrigiert]]/(1+partner!$E$4)),"None",Tabelle1[[#This Row],[kg_410_korrigiert]]/(1+partner!$E$4))</f>
        <v>70.862523242473401</v>
      </c>
      <c r="BP11" s="1">
        <f>IF(ISERROR(Tabelle1[[#This Row],[kg_420_korrigiert]]/(1+partner!$E$4)),"None",Tabelle1[[#This Row],[kg_420_korrigiert]]/(1+partner!$E$4))</f>
        <v>119.01349052498318</v>
      </c>
      <c r="BQ11" s="1">
        <f>IF(ISERROR(Tabelle1[[#This Row],[kg_430_korrigiert]]/(1+partner!$E$4)),"None",Tabelle1[[#This Row],[kg_430_korrigiert]]/(1+partner!$E$4))</f>
        <v>58.124302725798159</v>
      </c>
      <c r="BR11" s="1">
        <f>IF(ISERROR(Tabelle1[[#This Row],[kg_440_korrigiert]]/(1+partner!$E$4)),"None",Tabelle1[[#This Row],[kg_440_korrigiert]]/(1+partner!$E$4))</f>
        <v>85.291767219211138</v>
      </c>
      <c r="BS11" s="1">
        <f>IF(ISERROR(Tabelle1[[#This Row],[kg_450_korrigiert]]/(1+partner!$E$4)),"None",Tabelle1[[#This Row],[kg_450_korrigiert]]/(1+partner!$E$4))</f>
        <v>148.27930529730583</v>
      </c>
      <c r="BT11" s="1" t="str">
        <f>IF(ISERROR(Tabelle1[[#This Row],[kg_460_korrigiert]]/(1+partner!$E$4)),"None",Tabelle1[[#This Row],[kg_460_korrigiert]]/(1+partner!$E$4))</f>
        <v>None</v>
      </c>
      <c r="BU11" s="1">
        <f>IF(ISERROR(Tabelle1[[#This Row],[kg_470_korrigiert]]/(1+partner!$E$4)),"None",Tabelle1[[#This Row],[kg_470_korrigiert]]/(1+partner!$E$4))</f>
        <v>2.2958420698658863</v>
      </c>
      <c r="BV11" s="1" t="str">
        <f>IF(ISERROR(Tabelle1[[#This Row],[kg_480_korrigiert]]/(1+partner!$E$4)),"None",Tabelle1[[#This Row],[kg_480_korrigiert]]/(1+partner!$E$4))</f>
        <v>None</v>
      </c>
      <c r="BW11" s="1" t="str">
        <f>IF(ISERROR(Tabelle1[[#This Row],[kg_490_korrigiert]]/(1+partner!$E$4)),"None",Tabelle1[[#This Row],[kg_490_korrigiert]]/(1+partner!$E$4))</f>
        <v>None</v>
      </c>
      <c r="BX11" s="1">
        <f>IF(ISERROR(Tabelle1[[#This Row],[kg_500_korrigiert]]/(1+partner!$E$2)),"None",Tabelle1[[#This Row],[kg_500_korrigiert]]/(1+partner!$E$2))</f>
        <v>24.311469594855105</v>
      </c>
      <c r="BY11" s="1">
        <f>IF(ISERROR(Tabelle1[[#This Row],[kg_600_korrigiert]]/(1+partner!$E$4)),"None",Tabelle1[[#This Row],[kg_600_korrigiert]]/(1+partner!$E$4))</f>
        <v>15.984491830517859</v>
      </c>
      <c r="BZ11" s="1">
        <f>IF(ISERROR(Tabelle1[[#This Row],[kg_700_korrigiert]]/(1+partner!$E$5)),"None",Tabelle1[[#This Row],[kg_700_korrigiert]]/(1+partner!$E$5))</f>
        <v>338.89899909008187</v>
      </c>
      <c r="CA11" s="1">
        <f>IF(ISERROR(Tabelle1[[#This Row],[kg_700_korrigiert]]/(1+partner!$E$5)),"None",Tabelle1[[#This Row],[kg_700_korrigiert]]/(1+partner!$E$5)*hoai!$C$14)</f>
        <v>115.22565969062785</v>
      </c>
    </row>
    <row r="12" spans="1:79" x14ac:dyDescent="0.2">
      <c r="A12" t="s">
        <v>54</v>
      </c>
      <c r="B12" t="s">
        <v>50</v>
      </c>
      <c r="C12" t="s">
        <v>26</v>
      </c>
      <c r="D12">
        <v>18</v>
      </c>
      <c r="E12" t="s">
        <v>55</v>
      </c>
      <c r="F12" s="8">
        <v>78.5</v>
      </c>
      <c r="G12" s="8">
        <v>132.6</v>
      </c>
      <c r="H12" s="7">
        <f>Tabelle1[[#This Row],[index_ziel]]/Tabelle1[[#This Row],[index_quelle]]</f>
        <v>1.6891719745222928</v>
      </c>
      <c r="I12" s="2">
        <v>515</v>
      </c>
      <c r="J12" s="2">
        <v>2031</v>
      </c>
      <c r="K12" s="2">
        <f>Tabelle1[[#This Row],[bri]]/Tabelle1[[#This Row],[bgf]]</f>
        <v>3.9436893203883496</v>
      </c>
      <c r="L12" s="1">
        <f>Tabelle1[[#This Row],[bgf]]*Tabelle1[[#This Row],[kosten300+400_bgf]]</f>
        <v>715335</v>
      </c>
      <c r="M12" s="1">
        <v>1389</v>
      </c>
      <c r="N12" s="1" t="s">
        <v>42</v>
      </c>
      <c r="O12">
        <v>0.25</v>
      </c>
      <c r="P12" s="1" t="s">
        <v>30</v>
      </c>
      <c r="Q12" s="1">
        <v>50.05</v>
      </c>
      <c r="R12" s="1">
        <v>320.64</v>
      </c>
      <c r="S12" s="1">
        <v>443.88</v>
      </c>
      <c r="T12" s="1">
        <v>154.07</v>
      </c>
      <c r="U12" s="1" t="s">
        <v>30</v>
      </c>
      <c r="V12" s="1">
        <v>250.11</v>
      </c>
      <c r="W12" s="1" t="s">
        <v>30</v>
      </c>
      <c r="X12" s="1">
        <v>42.21</v>
      </c>
      <c r="Y12" s="1">
        <v>41.21</v>
      </c>
      <c r="Z12" s="1">
        <v>123.25</v>
      </c>
      <c r="AA12" s="1">
        <v>7.63</v>
      </c>
      <c r="AB12" s="1">
        <v>71.430000000000007</v>
      </c>
      <c r="AC12" s="1">
        <v>48.29</v>
      </c>
      <c r="AD12" s="1" t="s">
        <v>30</v>
      </c>
      <c r="AE12" s="1">
        <v>0.98</v>
      </c>
      <c r="AF12" s="1" t="s">
        <v>30</v>
      </c>
      <c r="AG12" s="1" t="s">
        <v>30</v>
      </c>
      <c r="AH12" s="1">
        <v>3.71</v>
      </c>
      <c r="AI12" s="1">
        <v>5.33</v>
      </c>
      <c r="AJ12" s="1">
        <f>Tabelle1[[#This Row],[kg_700_anteil_p1]]*Tabelle1[[#This Row],[kosten300+400_bgf]]</f>
        <v>347.25</v>
      </c>
      <c r="AK12" s="1" t="str" cm="1">
        <f t="array" ref="AK12">IF(ISERROR(Tabelle1[[#This Row],[faktor_baupreis]:[faktor_baupreis]]*Tabelle1[[#This Row],[kg_200]]),"None",Tabelle1[[#This Row],[faktor_baupreis]:[faktor_baupreis]]*Tabelle1[[#This Row],[kg_200]]/1.19)</f>
        <v>None</v>
      </c>
      <c r="AL12" s="1" cm="1">
        <f t="array" ref="AL12">IF(ISERROR(Tabelle1[[#This Row],[faktor_baupreis]:[faktor_baupreis]]*Tabelle1[[#This Row],[kg_310]]),"None",Tabelle1[[#This Row],[faktor_baupreis]:[faktor_baupreis]]*Tabelle1[[#This Row],[kg_310]]/1.19)</f>
        <v>71.044585987261129</v>
      </c>
      <c r="AM12" s="1" cm="1">
        <f t="array" ref="AM12">IF(ISERROR(Tabelle1[[#This Row],[faktor_baupreis]:[faktor_baupreis]]*Tabelle1[[#This Row],[kg_320]]),"None",Tabelle1[[#This Row],[faktor_baupreis]:[faktor_baupreis]]*Tabelle1[[#This Row],[kg_320]]/1.19)</f>
        <v>455.13958143767059</v>
      </c>
      <c r="AN12" s="1" cm="1">
        <f t="array" ref="AN12">IF(ISERROR(Tabelle1[[#This Row],[faktor_baupreis]:[faktor_baupreis]]*Tabelle1[[#This Row],[kg_330]]),"None",Tabelle1[[#This Row],[faktor_baupreis]:[faktor_baupreis]]*Tabelle1[[#This Row],[kg_330]]/1.19)</f>
        <v>630.07534121929029</v>
      </c>
      <c r="AO12" s="1" cm="1">
        <f t="array" ref="AO12">IF(ISERROR(Tabelle1[[#This Row],[faktor_baupreis]:[faktor_baupreis]]*Tabelle1[[#This Row],[kg_340]]),"None",Tabelle1[[#This Row],[faktor_baupreis]:[faktor_baupreis]]*Tabelle1[[#This Row],[kg_340]]/1.19)</f>
        <v>218.69808917197449</v>
      </c>
      <c r="AP12" s="1" t="str" cm="1">
        <f t="array" ref="AP12">IF(ISERROR(Tabelle1[[#This Row],[faktor_baupreis]:[faktor_baupreis]]*Tabelle1[[#This Row],[kg_350]]),"None",Tabelle1[[#This Row],[faktor_baupreis]:[faktor_baupreis]]*Tabelle1[[#This Row],[kg_350]]/1.19)</f>
        <v>None</v>
      </c>
      <c r="AQ12" s="1" cm="1">
        <f t="array" ref="AQ12">IF(ISERROR(Tabelle1[[#This Row],[faktor_baupreis]:[faktor_baupreis]]*Tabelle1[[#This Row],[kg_360]]),"None",Tabelle1[[#This Row],[faktor_baupreis]:[faktor_baupreis]]*Tabelle1[[#This Row],[kg_360]]/1.19)</f>
        <v>355.02420382165604</v>
      </c>
      <c r="AR12" s="1" t="str" cm="1">
        <f t="array" ref="AR12">IF(ISERROR(Tabelle1[[#This Row],[faktor_baupreis]:[faktor_baupreis]]*Tabelle1[[#This Row],[kg_380]]),"None",Tabelle1[[#This Row],[faktor_baupreis]:[faktor_baupreis]]*Tabelle1[[#This Row],[kg_380]]/1.19)</f>
        <v>None</v>
      </c>
      <c r="AS12" s="1" cm="1">
        <f t="array" ref="AS12">IF(ISERROR(Tabelle1[[#This Row],[faktor_baupreis]:[faktor_baupreis]]*Tabelle1[[#This Row],[kg_390]]),"None",Tabelle1[[#This Row],[faktor_baupreis]:[faktor_baupreis]]*Tabelle1[[#This Row],[kg_390]]/1.19)</f>
        <v>59.91592356687898</v>
      </c>
      <c r="AT12" s="1" cm="1">
        <f t="array" ref="AT12">IF(ISERROR(Tabelle1[[#This Row],[faktor_baupreis]:[faktor_baupreis]]*Tabelle1[[#This Row],[kg_410]]),"None",Tabelle1[[#This Row],[faktor_baupreis]:[faktor_baupreis]]*Tabelle1[[#This Row],[kg_410]]/1.19)</f>
        <v>58.496451319381258</v>
      </c>
      <c r="AU12" s="1" cm="1">
        <f t="array" ref="AU12">IF(ISERROR(Tabelle1[[#This Row],[faktor_baupreis]:[faktor_baupreis]]*Tabelle1[[#This Row],[kg_420]]),"None",Tabelle1[[#This Row],[faktor_baupreis]:[faktor_baupreis]]*Tabelle1[[#This Row],[kg_420]]/1.19)</f>
        <v>174.94995450409462</v>
      </c>
      <c r="AV12" s="1" cm="1">
        <f t="array" ref="AV12">IF(ISERROR(Tabelle1[[#This Row],[faktor_baupreis]:[faktor_baupreis]]*Tabelle1[[#This Row],[kg_430]]),"None",Tabelle1[[#This Row],[faktor_baupreis]:[faktor_baupreis]]*Tabelle1[[#This Row],[kg_430]]/1.19)</f>
        <v>10.830573248407642</v>
      </c>
      <c r="AW12" s="1" cm="1">
        <f t="array" ref="AW12">IF(ISERROR(Tabelle1[[#This Row],[faktor_baupreis]:[faktor_baupreis]]*Tabelle1[[#This Row],[kg_440]]),"None",Tabelle1[[#This Row],[faktor_baupreis]:[faktor_baupreis]]*Tabelle1[[#This Row],[kg_440]]/1.19)</f>
        <v>101.39290263876252</v>
      </c>
      <c r="AX12" s="1" cm="1">
        <f t="array" ref="AX12">IF(ISERROR(Tabelle1[[#This Row],[faktor_baupreis]:[faktor_baupreis]]*Tabelle1[[#This Row],[kg_450]]),"None",Tabelle1[[#This Row],[faktor_baupreis]:[faktor_baupreis]]*Tabelle1[[#This Row],[kg_450]]/1.19)</f>
        <v>68.546314831665143</v>
      </c>
      <c r="AY12" s="1" t="str" cm="1">
        <f t="array" ref="AY12">IF(ISERROR(Tabelle1[[#This Row],[faktor_baupreis]:[faktor_baupreis]]*Tabelle1[[#This Row],[kg_460]]),"None",Tabelle1[[#This Row],[faktor_baupreis]:[faktor_baupreis]]*Tabelle1[[#This Row],[kg_460]]/1.19)</f>
        <v>None</v>
      </c>
      <c r="AZ12" s="1" cm="1">
        <f t="array" ref="AZ12">IF(ISERROR(Tabelle1[[#This Row],[faktor_baupreis]:[faktor_baupreis]]*Tabelle1[[#This Row],[kg_470]]),"None",Tabelle1[[#This Row],[faktor_baupreis]:[faktor_baupreis]]*Tabelle1[[#This Row],[kg_470]]/1.19)</f>
        <v>1.3910828025477706</v>
      </c>
      <c r="BA12" s="1" t="str" cm="1">
        <f t="array" ref="BA12">IF(ISERROR(Tabelle1[[#This Row],[faktor_baupreis]:[faktor_baupreis]]*Tabelle1[[#This Row],[kg_480]]),"None",Tabelle1[[#This Row],[faktor_baupreis]:[faktor_baupreis]]*Tabelle1[[#This Row],[kg_480]]/1.19)</f>
        <v>None</v>
      </c>
      <c r="BB12" s="1" t="str" cm="1">
        <f t="array" ref="BB12">IF(ISERROR(Tabelle1[[#This Row],[faktor_baupreis]:[faktor_baupreis]]*Tabelle1[[#This Row],[kg_490]]),"None",Tabelle1[[#This Row],[faktor_baupreis]:[faktor_baupreis]]*Tabelle1[[#This Row],[kg_490]]/1.19)</f>
        <v>None</v>
      </c>
      <c r="BC12" s="9" t="s">
        <v>30</v>
      </c>
      <c r="BD12" s="1" cm="1">
        <f t="array" ref="BD12">IF(ISERROR(Tabelle1[[#This Row],[faktor_baupreis]:[faktor_baupreis]]*Tabelle1[[#This Row],[kg_600]]),"None",Tabelle1[[#This Row],[faktor_baupreis]:[faktor_baupreis]]*Tabelle1[[#This Row],[kg_600]]/1.19)</f>
        <v>7.5657870791628747</v>
      </c>
      <c r="BE12" s="1" cm="1">
        <f t="array" ref="BE12">IF(ISERROR(Tabelle1[[#This Row],[faktor_baupreis]:[faktor_baupreis]]*Tabelle1[[#This Row],[kg_700_anteil]]),"None",Tabelle1[[#This Row],[faktor_baupreis]:[faktor_baupreis]]*Tabelle1[[#This Row],[kg_700_anteil]]/1.19)</f>
        <v>492.91173794358502</v>
      </c>
      <c r="BF12" s="1" t="str">
        <f>IF(ISERROR(Tabelle1[[#This Row],[kg_200_korrigiert]]/(1+partner!$E$2)),"None",Tabelle1[[#This Row],[kg_200_korrigiert]]/(1+partner!$E$2))</f>
        <v>None</v>
      </c>
      <c r="BG12" s="1">
        <f>IF(ISERROR(Tabelle1[[#This Row],[kg_310_korrigiert]]/(1+partner!$E$2)),"None",Tabelle1[[#This Row],[kg_310_korrigiert]]/(1+partner!$E$2))</f>
        <v>60.207276260390792</v>
      </c>
      <c r="BH12" s="1">
        <f>IF(ISERROR(Tabelle1[[#This Row],[kg_320_korrigiert]]/(1+partner!$E$3)),"None",Tabelle1[[#This Row],[kg_320_korrigiert]]/(1+partner!$E$3))</f>
        <v>392.36170813592292</v>
      </c>
      <c r="BI12" s="1">
        <f>IF(ISERROR(Tabelle1[[#This Row],[kg_330_korrigiert]]/(1+partner!$E$3)),"None",Tabelle1[[#This Row],[kg_330_korrigiert]]/(1+partner!$E$3))</f>
        <v>543.16839760283654</v>
      </c>
      <c r="BJ12" s="1">
        <f>IF(ISERROR(Tabelle1[[#This Row],[kg_340_korrigiert]]/(1+partner!$E$3)),"None",Tabelle1[[#This Row],[kg_340_korrigiert]]/(1+partner!$E$3))</f>
        <v>188.53283549308148</v>
      </c>
      <c r="BK12" s="1" t="str">
        <f>IF(ISERROR(Tabelle1[[#This Row],[kg_350_korrigiert]]/(1+partner!$E$3)),"None",Tabelle1[[#This Row],[kg_350_korrigiert]]/(1+partner!$E$3))</f>
        <v>None</v>
      </c>
      <c r="BL12" s="1">
        <f>IF(ISERROR(Tabelle1[[#This Row],[kg_360_korrigiert]]/(1+partner!$E$3)),"None",Tabelle1[[#This Row],[kg_360_korrigiert]]/(1+partner!$E$3))</f>
        <v>306.05534812211732</v>
      </c>
      <c r="BM12" s="1" t="str">
        <f>IF(ISERROR(Tabelle1[[#This Row],[kg_380_korrigiert]]/(1+partner!$E$3)),"None",Tabelle1[[#This Row],[kg_380_korrigiert]]/(1+partner!$E$3))</f>
        <v>None</v>
      </c>
      <c r="BN12" s="1">
        <f>IF(ISERROR(Tabelle1[[#This Row],[kg_390_korrigiert]]/(1+partner!$E$3)),"None",Tabelle1[[#This Row],[kg_390_korrigiert]]/(1+partner!$E$3))</f>
        <v>51.65165824730947</v>
      </c>
      <c r="BO12" s="1">
        <f>IF(ISERROR(Tabelle1[[#This Row],[kg_410_korrigiert]]/(1+partner!$E$4)),"None",Tabelle1[[#This Row],[kg_410_korrigiert]]/(1+partner!$E$4))</f>
        <v>50.866479408157616</v>
      </c>
      <c r="BP12" s="1">
        <f>IF(ISERROR(Tabelle1[[#This Row],[kg_420_korrigiert]]/(1+partner!$E$4)),"None",Tabelle1[[#This Row],[kg_420_korrigiert]]/(1+partner!$E$4))</f>
        <v>152.13039522095187</v>
      </c>
      <c r="BQ12" s="1">
        <f>IF(ISERROR(Tabelle1[[#This Row],[kg_430_korrigiert]]/(1+partner!$E$4)),"None",Tabelle1[[#This Row],[kg_430_korrigiert]]/(1+partner!$E$4))</f>
        <v>9.4178897812240372</v>
      </c>
      <c r="BR12" s="1">
        <f>IF(ISERROR(Tabelle1[[#This Row],[kg_440_korrigiert]]/(1+partner!$E$4)),"None",Tabelle1[[#This Row],[kg_440_korrigiert]]/(1+partner!$E$4))</f>
        <v>88.167741425010888</v>
      </c>
      <c r="BS12" s="1">
        <f>IF(ISERROR(Tabelle1[[#This Row],[kg_450_korrigiert]]/(1+partner!$E$4)),"None",Tabelle1[[#This Row],[kg_450_korrigiert]]/(1+partner!$E$4))</f>
        <v>59.605491157969695</v>
      </c>
      <c r="BT12" s="1" t="str">
        <f>IF(ISERROR(Tabelle1[[#This Row],[kg_460_korrigiert]]/(1+partner!$E$4)),"None",Tabelle1[[#This Row],[kg_460_korrigiert]]/(1+partner!$E$4))</f>
        <v>None</v>
      </c>
      <c r="BU12" s="1">
        <f>IF(ISERROR(Tabelle1[[#This Row],[kg_470_korrigiert]]/(1+partner!$E$4)),"None",Tabelle1[[#This Row],[kg_470_korrigiert]]/(1+partner!$E$4))</f>
        <v>1.2096372196067571</v>
      </c>
      <c r="BV12" s="1" t="str">
        <f>IF(ISERROR(Tabelle1[[#This Row],[kg_480_korrigiert]]/(1+partner!$E$4)),"None",Tabelle1[[#This Row],[kg_480_korrigiert]]/(1+partner!$E$4))</f>
        <v>None</v>
      </c>
      <c r="BW12" s="1" t="str">
        <f>IF(ISERROR(Tabelle1[[#This Row],[kg_490_korrigiert]]/(1+partner!$E$4)),"None",Tabelle1[[#This Row],[kg_490_korrigiert]]/(1+partner!$E$4))</f>
        <v>None</v>
      </c>
      <c r="BX12" s="1" t="str">
        <f>IF(ISERROR(Tabelle1[[#This Row],[kg_500_korrigiert]]/(1+partner!$E$2)),"None",Tabelle1[[#This Row],[kg_500_korrigiert]]/(1+partner!$E$2))</f>
        <v>None</v>
      </c>
      <c r="BY12" s="1">
        <f>IF(ISERROR(Tabelle1[[#This Row],[kg_600_korrigiert]]/(1+partner!$E$4)),"None",Tabelle1[[#This Row],[kg_600_korrigiert]]/(1+partner!$E$4))</f>
        <v>6.5789452862285875</v>
      </c>
      <c r="BZ12" s="1">
        <f>IF(ISERROR(Tabelle1[[#This Row],[kg_700_korrigiert]]/(1+partner!$E$5)),"None",Tabelle1[[#This Row],[kg_700_korrigiert]]/(1+partner!$E$5))</f>
        <v>273.83985441310278</v>
      </c>
      <c r="CA12" s="1">
        <f>IF(ISERROR(Tabelle1[[#This Row],[kg_700_korrigiert]]/(1+partner!$E$5)),"None",Tabelle1[[#This Row],[kg_700_korrigiert]]/(1+partner!$E$5)*hoai!$C$14)</f>
        <v>93.105550500454953</v>
      </c>
    </row>
    <row r="13" spans="1:79" x14ac:dyDescent="0.2">
      <c r="A13" t="s">
        <v>94</v>
      </c>
      <c r="AK13" s="1">
        <f>SUBTOTAL(101,Tabelle1[kg_200_korrigiert])</f>
        <v>14.020815074254777</v>
      </c>
      <c r="AL13" s="1">
        <f>SUBTOTAL(101,Tabelle1[kg_310_korrigiert])</f>
        <v>83.624496508947971</v>
      </c>
      <c r="AM13" s="1">
        <f>SUBTOTAL(101,Tabelle1[kg_320_korrigiert])</f>
        <v>525.21956241280543</v>
      </c>
      <c r="AN13" s="1">
        <f>SUBTOTAL(101,Tabelle1[kg_330_korrigiert])</f>
        <v>866.93622291850954</v>
      </c>
      <c r="AO13" s="1">
        <f>SUBTOTAL(101,Tabelle1[kg_340_korrigiert])</f>
        <v>370.178657073392</v>
      </c>
      <c r="AP13" s="1">
        <f>SUBTOTAL(101,Tabelle1[kg_350_korrigiert])</f>
        <v>484.98668444916638</v>
      </c>
      <c r="AQ13" s="1">
        <f>SUBTOTAL(101,Tabelle1[kg_360_korrigiert])</f>
        <v>602.11896995293614</v>
      </c>
      <c r="AR13" s="1">
        <f>SUBTOTAL(101,Tabelle1[kg_380_korrigiert])</f>
        <v>21.611768716327699</v>
      </c>
      <c r="AS13" s="1">
        <f>SUBTOTAL(101,Tabelle1[kg_390_korrigiert])</f>
        <v>124.12755752085323</v>
      </c>
      <c r="AT13" s="1">
        <f>SUBTOTAL(101,Tabelle1[kg_410_korrigiert])</f>
        <v>75.854866631877726</v>
      </c>
      <c r="AU13" s="1">
        <f>SUBTOTAL(101,Tabelle1[kg_420_korrigiert])</f>
        <v>156.8595884236932</v>
      </c>
      <c r="AV13" s="1">
        <f>SUBTOTAL(101,Tabelle1[kg_430_korrigiert])</f>
        <v>122.37374142268736</v>
      </c>
      <c r="AW13" s="1">
        <f>SUBTOTAL(101,Tabelle1[kg_440_korrigiert])</f>
        <v>180.5007879946007</v>
      </c>
      <c r="AX13" s="1">
        <f>SUBTOTAL(101,Tabelle1[kg_450_korrigiert])</f>
        <v>77.411082809754376</v>
      </c>
      <c r="AY13" s="1">
        <f>SUBTOTAL(101,Tabelle1[kg_460_korrigiert])</f>
        <v>32.260049064900734</v>
      </c>
      <c r="AZ13" s="1">
        <f>SUBTOTAL(101,Tabelle1[kg_470_korrigiert])</f>
        <v>2.1652524683250989</v>
      </c>
      <c r="BA13" s="1">
        <f>SUBTOTAL(101,Tabelle1[kg_480_korrigiert])</f>
        <v>63.401742906818576</v>
      </c>
      <c r="BB13" s="1">
        <f>SUBTOTAL(101,Tabelle1[kg_490_korrigiert])</f>
        <v>8.0848786296696904</v>
      </c>
      <c r="BC13" s="1">
        <f>SUBTOTAL(101,Tabelle1[kg_500_korrigiert])</f>
        <v>249.0222176140847</v>
      </c>
      <c r="BD13" s="1">
        <f>SUBTOTAL(101,Tabelle1[kg_600_korrigiert])</f>
        <v>7.5818331921480837</v>
      </c>
      <c r="BE13" s="1">
        <f>SUBTOTAL(101,Tabelle1[kg_700_korrigiert])</f>
        <v>636.96622057400157</v>
      </c>
      <c r="BF13" s="1">
        <f>SUBTOTAL(101,Tabelle1[kg_200_korrigiert_db])</f>
        <v>11.882046673097271</v>
      </c>
      <c r="BG13" s="1">
        <f>SUBTOTAL(101,Tabelle1[kg_310_korrigiert_db])</f>
        <v>70.868217380464387</v>
      </c>
      <c r="BH13" s="1">
        <f>SUBTOTAL(101,Tabelle1[kg_320_korrigiert_db])</f>
        <v>452.7754848386254</v>
      </c>
      <c r="BI13" s="1">
        <f>SUBTOTAL(101,Tabelle1[kg_330_korrigiert_db])</f>
        <v>747.35881286078427</v>
      </c>
      <c r="BJ13" s="1">
        <f>SUBTOTAL(101,Tabelle1[kg_340_korrigiert_db])</f>
        <v>319.11953195982073</v>
      </c>
      <c r="BK13" s="1">
        <f>SUBTOTAL(101,Tabelle1[kg_350_korrigiert_db])</f>
        <v>418.09196935272968</v>
      </c>
      <c r="BL13" s="1">
        <f>SUBTOTAL(101,Tabelle1[kg_360_korrigiert_db])</f>
        <v>519.06807754563476</v>
      </c>
      <c r="BM13" s="1">
        <f>SUBTOTAL(101,Tabelle1[kg_380_korrigiert_db])</f>
        <v>18.630835100282496</v>
      </c>
      <c r="BN13" s="1">
        <f>SUBTOTAL(101,Tabelle1[kg_390_korrigiert_db])</f>
        <v>107.00651510418383</v>
      </c>
      <c r="BO13" s="1">
        <f>SUBTOTAL(101,Tabelle1[kg_410_korrigiert_db])</f>
        <v>65.960753592937138</v>
      </c>
      <c r="BP13" s="1">
        <f>SUBTOTAL(101,Tabelle1[kg_420_korrigiert_db])</f>
        <v>136.39964210755932</v>
      </c>
      <c r="BQ13" s="1">
        <f>SUBTOTAL(101,Tabelle1[kg_430_korrigiert_db])</f>
        <v>106.41194906320638</v>
      </c>
      <c r="BR13" s="1">
        <f>SUBTOTAL(101,Tabelle1[kg_440_korrigiert_db])</f>
        <v>156.95720695182669</v>
      </c>
      <c r="BS13" s="1">
        <f>SUBTOTAL(101,Tabelle1[kg_450_korrigiert_db])</f>
        <v>67.31398505196033</v>
      </c>
      <c r="BT13" s="1">
        <f>SUBTOTAL(101,Tabelle1[kg_460_korrigiert_db])</f>
        <v>28.052216578174555</v>
      </c>
      <c r="BU13" s="1">
        <f>SUBTOTAL(101,Tabelle1[kg_470_korrigiert_db])</f>
        <v>1.882828233326173</v>
      </c>
      <c r="BV13" s="1">
        <f>SUBTOTAL(101,Tabelle1[kg_480_korrigiert_db])</f>
        <v>55.131950353755286</v>
      </c>
      <c r="BW13" s="1">
        <f>SUBTOTAL(101,Tabelle1[kg_490_korrigiert_db])</f>
        <v>7.0303292431910345</v>
      </c>
      <c r="BX13" s="1">
        <f>SUBTOTAL(101,Tabelle1[kg_500_korrigiert_db])</f>
        <v>211.0357776390548</v>
      </c>
      <c r="BY13" s="1">
        <f>SUBTOTAL(101,Tabelle1[kg_600_korrigiert_db])</f>
        <v>6.5928984279548555</v>
      </c>
      <c r="BZ13" s="1">
        <f>SUBTOTAL(101,Tabelle1[kg_700_korrigiert_db])</f>
        <v>353.87012254111193</v>
      </c>
      <c r="CA13" s="1">
        <f>SUBTOTAL(101,Tabelle1[kg_700_korrigiert_db_phase2])</f>
        <v>120.31584166397806</v>
      </c>
    </row>
    <row r="14" spans="1:79" x14ac:dyDescent="0.2"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BF14" s="1"/>
    </row>
    <row r="15" spans="1:79" x14ac:dyDescent="0.2"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79" x14ac:dyDescent="0.2"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8:35" x14ac:dyDescent="0.2"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8:35" x14ac:dyDescent="0.2"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8:35" x14ac:dyDescent="0.2"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8:35" x14ac:dyDescent="0.2"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8:35" x14ac:dyDescent="0.2">
      <c r="H21" s="2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8:35" x14ac:dyDescent="0.2"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8:35" x14ac:dyDescent="0.2">
      <c r="H23" s="2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8:35" x14ac:dyDescent="0.2"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8:35" x14ac:dyDescent="0.2"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8:35" x14ac:dyDescent="0.2"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8:35" x14ac:dyDescent="0.2"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8:35" x14ac:dyDescent="0.2"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8:35" x14ac:dyDescent="0.2">
      <c r="H29" s="2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</sheetData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4A45-42E6-B54B-BDD9-BADD22DB386F}">
  <dimension ref="A1:AC4"/>
  <sheetViews>
    <sheetView topLeftCell="S1" workbookViewId="0">
      <selection activeCell="AC2" sqref="AC2"/>
    </sheetView>
  </sheetViews>
  <sheetFormatPr baseColWidth="10" defaultRowHeight="16" x14ac:dyDescent="0.2"/>
  <cols>
    <col min="1" max="21" width="15" customWidth="1"/>
    <col min="22" max="29" width="21" customWidth="1"/>
  </cols>
  <sheetData>
    <row r="1" spans="1:29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s="6" t="s">
        <v>175</v>
      </c>
      <c r="W1" s="6" t="s">
        <v>176</v>
      </c>
      <c r="X1" s="6" t="s">
        <v>177</v>
      </c>
      <c r="Y1" s="6" t="s">
        <v>178</v>
      </c>
      <c r="Z1" s="6" t="s">
        <v>179</v>
      </c>
      <c r="AA1" s="6" t="s">
        <v>180</v>
      </c>
      <c r="AB1" s="6" t="s">
        <v>181</v>
      </c>
      <c r="AC1" s="6" t="s">
        <v>182</v>
      </c>
    </row>
    <row r="2" spans="1:29" x14ac:dyDescent="0.2">
      <c r="A2" s="17">
        <f>Tabelle1[[#Totals],[kg_200_korrigiert_db]]*Tabelle2[[#This Row],[kg_200_gr]]</f>
        <v>29705.116682743177</v>
      </c>
      <c r="B2" s="17">
        <f>Tabelle1[[#Totals],[kg_310_korrigiert_db]]*Tabelle2[[#This Row],[kg_310_bgi]]</f>
        <v>119785.00442732993</v>
      </c>
      <c r="C2" s="17">
        <f>Tabelle1[[#Totals],[kg_320_korrigiert_db]]*Tabelle2[[#This Row],[kg_320_grf]]</f>
        <v>342751.04202283942</v>
      </c>
      <c r="D2" s="17">
        <f>Tabelle1[[#Totals],[kg_330_korrigiert_db]]*Tabelle2[[#This Row],[kg_330_awf]]</f>
        <v>995466.9915543074</v>
      </c>
      <c r="E2" s="17">
        <f>Tabelle1[[#Totals],[kg_340_korrigiert_db]]*Tabelle2[[#This Row],[kg_340_iwf]]</f>
        <v>403759.60542152397</v>
      </c>
      <c r="F2" s="17">
        <f>Tabelle1[[#Totals],[kg_350_korrigiert_db]]*Tabelle2[[#This Row],[kg_350_def]]</f>
        <v>319514.24481874309</v>
      </c>
      <c r="G2" s="17">
        <f>Tabelle1[[#Totals],[kg_360_korrigiert_db]]*Tabelle2[[#This Row],[kg_360_daf]]</f>
        <v>396682.20622192504</v>
      </c>
      <c r="H2" s="17" cm="1">
        <f t="array" ref="H2">Tabelle1[[#Totals],[kg_380_korrigiert_db]]*Tabelle2[[#This Row],[bgf]:[bgf]]</f>
        <v>28341.59897125174</v>
      </c>
      <c r="I2" s="17" cm="1">
        <f t="array" ref="I2">Tabelle1[[#Totals],[kg_390_korrigiert_db]]*Tabelle2[[#This Row],[bgf]:[bgf]]</f>
        <v>162780.45090678654</v>
      </c>
      <c r="J2" s="17" cm="1">
        <f t="array" ref="J2">Tabelle1[[#Totals],[kg_410_korrigiert_db]]*Tabelle2[[#This Row],[bgf]:[bgf]]</f>
        <v>100340.81758064784</v>
      </c>
      <c r="K2" s="17" cm="1">
        <f t="array" ref="K2">Tabelle1[[#Totals],[kg_420_korrigiert_db]]*Tabelle2[[#This Row],[bgf]:[bgf]]</f>
        <v>207493.8635668614</v>
      </c>
      <c r="L2" s="17" cm="1">
        <f t="array" ref="L2">Tabelle1[[#Totals],[kg_430_korrigiert_db]]*Tabelle2[[#This Row],[bgf]:[bgf]]</f>
        <v>161875.98515393081</v>
      </c>
      <c r="M2" s="17" cm="1">
        <f t="array" ref="M2">Tabelle1[[#Totals],[kg_440_korrigiert_db]]*Tabelle2[[#This Row],[bgf]:[bgf]]</f>
        <v>238766.44235925781</v>
      </c>
      <c r="N2" s="17" cm="1">
        <f t="array" ref="N2">Tabelle1[[#Totals],[kg_450_korrigiert_db]]*Tabelle2[[#This Row],[bgf]:[bgf]]</f>
        <v>102399.3803407431</v>
      </c>
      <c r="O2" s="17" cm="1">
        <f t="array" ref="O2">Tabelle1[[#Totals],[kg_460_korrigiert_db]]*Tabelle2[[#This Row],[bgf]:[bgf]]</f>
        <v>42673.592903050696</v>
      </c>
      <c r="P2" s="17" cm="1">
        <f t="array" ref="P2">Tabelle1[[#Totals],[kg_470_korrigiert_db]]*Tabelle2[[#This Row],[bgf]:[bgf]]</f>
        <v>2864.1959651004408</v>
      </c>
      <c r="Q2" s="17" cm="1">
        <f t="array" ref="Q2">Tabelle1[[#Totals],[kg_480_korrigiert_db]]*Tabelle2[[#This Row],[bgf]:[bgf]]</f>
        <v>83867.825517139616</v>
      </c>
      <c r="R2" s="17" cm="1">
        <f t="array" ref="R2">Tabelle1[[#Totals],[kg_490_korrigiert_db]]*Tabelle2[[#This Row],[bgf]:[bgf]]</f>
        <v>10694.677451327065</v>
      </c>
      <c r="S2" s="17">
        <f>Tabelle1[[#Totals],[kg_500_korrigiert_db]]*Tabelle2[[#This Row],[kg_500_auf]]</f>
        <v>367835.36042487249</v>
      </c>
      <c r="T2" s="17" cm="1">
        <f t="array" ref="T2">Tabelle1[[#Totals],[kg_600_korrigiert_db]]*Tabelle2[[#This Row],[bgf]:[bgf]]</f>
        <v>10029.248946573485</v>
      </c>
      <c r="U2" s="17" cm="1">
        <f t="array" ref="U2">Tabelle1[[#Totals],[kg_700_korrigiert_db]]*Tabelle2[[#This Row],[bgf]:[bgf]]</f>
        <v>538314.30781199026</v>
      </c>
      <c r="V2" s="17">
        <f>Tabelle3[[#This Row],[kg_310_det]]+Tabelle3[[#This Row],[kg_500_det]]</f>
        <v>487620.36485220242</v>
      </c>
      <c r="W2" s="17">
        <f>SUM(Tabelle3[[#This Row],[kg_320_det]:[kg_390_det]])</f>
        <v>2649296.1399173774</v>
      </c>
      <c r="X2" s="17">
        <f>SUM(Tabelle3[[#This Row],[kg_410_det]:[kg_490_det]])+Tabelle3[[#This Row],[kg_600_det]]</f>
        <v>961006.02978463238</v>
      </c>
      <c r="Y2" s="17">
        <f>Tabelle3[[#This Row],[kg_700_det]]*hoai!C14</f>
        <v>183026.86465607671</v>
      </c>
      <c r="Z2" s="17">
        <f>Tabelle3[[#This Row],[kg_200_det]]+0.05*Tabelle3[[#This Row],[partner1_k_phase2_det]]</f>
        <v>54086.134925353297</v>
      </c>
      <c r="AA2" s="17">
        <f>0.05*Tabelle3[[#This Row],[partner2_k_phase2_det]]</f>
        <v>132464.80699586889</v>
      </c>
      <c r="AB2" s="17">
        <f>0.05*Tabelle3[[#This Row],[partner3_k_phase2_det]]</f>
        <v>48050.301489231621</v>
      </c>
      <c r="AC2" s="17">
        <f>Tabelle3[[#This Row],[kg_700_det]]*hoai!C13</f>
        <v>279923.44006223493</v>
      </c>
    </row>
    <row r="4" spans="1:29" x14ac:dyDescent="0.2">
      <c r="U4" s="18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F13A-0D29-8F49-B2E2-3B9EA6FBD613}">
  <dimension ref="A1:O17"/>
  <sheetViews>
    <sheetView workbookViewId="0">
      <selection activeCell="O15" sqref="O15"/>
    </sheetView>
  </sheetViews>
  <sheetFormatPr baseColWidth="10" defaultRowHeight="16" x14ac:dyDescent="0.2"/>
  <cols>
    <col min="3" max="4" width="17.6640625" customWidth="1"/>
    <col min="8" max="8" width="13" bestFit="1" customWidth="1"/>
    <col min="9" max="11" width="13" customWidth="1"/>
    <col min="13" max="13" width="13" customWidth="1"/>
    <col min="14" max="14" width="14.33203125" customWidth="1"/>
    <col min="15" max="16" width="13" customWidth="1"/>
  </cols>
  <sheetData>
    <row r="1" spans="1:15" x14ac:dyDescent="0.2">
      <c r="A1" t="s">
        <v>117</v>
      </c>
      <c r="B1" t="s">
        <v>122</v>
      </c>
      <c r="C1" t="s">
        <v>153</v>
      </c>
      <c r="D1" t="s">
        <v>154</v>
      </c>
      <c r="E1" t="s">
        <v>157</v>
      </c>
      <c r="F1" t="s">
        <v>156</v>
      </c>
      <c r="G1" t="s">
        <v>169</v>
      </c>
      <c r="H1" t="s">
        <v>170</v>
      </c>
      <c r="I1" t="s">
        <v>171</v>
      </c>
      <c r="J1" s="18" t="s">
        <v>172</v>
      </c>
      <c r="K1" s="18" t="s">
        <v>173</v>
      </c>
      <c r="L1" t="s">
        <v>158</v>
      </c>
      <c r="M1" t="s">
        <v>174</v>
      </c>
      <c r="N1" t="s">
        <v>159</v>
      </c>
      <c r="O1" t="s">
        <v>160</v>
      </c>
    </row>
    <row r="2" spans="1:15" x14ac:dyDescent="0.2">
      <c r="A2" t="s">
        <v>118</v>
      </c>
      <c r="B2" t="s">
        <v>123</v>
      </c>
      <c r="C2" t="s">
        <v>155</v>
      </c>
      <c r="D2" t="s">
        <v>167</v>
      </c>
      <c r="E2">
        <v>0.18</v>
      </c>
      <c r="F2">
        <v>0.15</v>
      </c>
      <c r="G2" s="18" cm="1">
        <f t="array" ref="G2">Tabelle3[partner1_k_phase1_det]</f>
        <v>54086.134925353297</v>
      </c>
      <c r="H2" s="18" cm="1">
        <f t="array" ref="H2">Tabelle3[partner1_k_phase2_det]</f>
        <v>487620.36485220242</v>
      </c>
      <c r="I2" s="18">
        <f>Tabelle4[[#This Row],[k_phase1_det]]+Tabelle4[[#This Row],[k_phase2_det]]</f>
        <v>541706.4997775557</v>
      </c>
      <c r="J2" s="18">
        <f>Tabelle4[[#This Row],[k_det]]*Tabelle4[[#This Row],[db]]</f>
        <v>97507.169959960025</v>
      </c>
      <c r="K2" s="18">
        <f>Tabelle4[[#This Row],[k_det]]+Tabelle4[[#This Row],[db_det]]</f>
        <v>639213.66973751574</v>
      </c>
      <c r="L2" s="16">
        <f>Tabelle4[[#This Row],[db_det]]/Tabelle4[[#Totals],[k_det]]</f>
        <v>2.0333165872394122E-2</v>
      </c>
      <c r="M2" s="18">
        <f>Tabelle4[[#This Row],[k_det]]*Tabelle4[[#This Row],[bb]]</f>
        <v>81255.974966633352</v>
      </c>
      <c r="N2" s="11">
        <f>Tabelle4[[#This Row],[bb_det]]/Tabelle4[[#Totals],[bb_det]]</f>
        <v>0.15157636232630495</v>
      </c>
      <c r="O2" s="16">
        <f>Tabelle4[[#This Row],[bb_det]]/Tabelle4[[#Totals],[k_det]]</f>
        <v>1.6944304893661766E-2</v>
      </c>
    </row>
    <row r="3" spans="1:15" x14ac:dyDescent="0.2">
      <c r="A3" t="s">
        <v>119</v>
      </c>
      <c r="B3" t="s">
        <v>124</v>
      </c>
      <c r="C3" t="s">
        <v>129</v>
      </c>
      <c r="D3" t="s">
        <v>127</v>
      </c>
      <c r="E3">
        <v>0.16</v>
      </c>
      <c r="F3">
        <v>0.1</v>
      </c>
      <c r="G3" s="18" cm="1">
        <f t="array" ref="G3">Tabelle3[partner2_k_phase1_det]</f>
        <v>132464.80699586889</v>
      </c>
      <c r="H3" s="18" cm="1">
        <f t="array" ref="H3">Tabelle3[partner2_k_phase2_det]</f>
        <v>2649296.1399173774</v>
      </c>
      <c r="I3" s="18">
        <f>Tabelle4[[#This Row],[k_phase1_det]]+Tabelle4[[#This Row],[k_phase2_det]]</f>
        <v>2781760.9469132461</v>
      </c>
      <c r="J3" s="18">
        <f>Tabelle4[[#This Row],[k_det]]*Tabelle4[[#This Row],[db]]</f>
        <v>445081.75150611938</v>
      </c>
      <c r="K3" s="18">
        <f>Tabelle4[[#This Row],[k_det]]+Tabelle4[[#This Row],[db_det]]</f>
        <v>3226842.6984193656</v>
      </c>
      <c r="L3" s="16">
        <f>Tabelle4[[#This Row],[db_det]]/Tabelle4[[#Totals],[k_det]]</f>
        <v>9.281287810799814E-2</v>
      </c>
      <c r="M3" s="18">
        <f>Tabelle4[[#This Row],[k_det]]*Tabelle4[[#This Row],[bb]]</f>
        <v>278176.09469132463</v>
      </c>
      <c r="N3" s="11">
        <f>Tabelle4[[#This Row],[bb_det]]/Tabelle4[[#Totals],[bb_det]]</f>
        <v>0.51891470795548489</v>
      </c>
      <c r="O3" s="16">
        <f>Tabelle4[[#This Row],[bb_det]]/Tabelle4[[#Totals],[k_det]]</f>
        <v>5.8008048817498839E-2</v>
      </c>
    </row>
    <row r="4" spans="1:15" x14ac:dyDescent="0.2">
      <c r="A4" t="s">
        <v>120</v>
      </c>
      <c r="B4" t="s">
        <v>125</v>
      </c>
      <c r="C4" t="s">
        <v>129</v>
      </c>
      <c r="D4" t="s">
        <v>128</v>
      </c>
      <c r="E4">
        <v>0.15</v>
      </c>
      <c r="F4">
        <v>0.12</v>
      </c>
      <c r="G4" s="18" cm="1">
        <f t="array" ref="G4">Tabelle3[partner3_k_phase1_det]</f>
        <v>48050.301489231621</v>
      </c>
      <c r="H4" s="18" cm="1">
        <f t="array" ref="H4">Tabelle3[partner3_k_phase2_det]</f>
        <v>961006.02978463238</v>
      </c>
      <c r="I4" s="18">
        <f>Tabelle4[[#This Row],[k_phase1_det]]+Tabelle4[[#This Row],[k_phase2_det]]</f>
        <v>1009056.331273864</v>
      </c>
      <c r="J4" s="18">
        <f>Tabelle4[[#This Row],[k_det]]*Tabelle4[[#This Row],[db]]</f>
        <v>151358.44969107959</v>
      </c>
      <c r="K4" s="18">
        <f>Tabelle4[[#This Row],[k_det]]+Tabelle4[[#This Row],[db_det]]</f>
        <v>1160414.7809649436</v>
      </c>
      <c r="L4" s="16">
        <f>Tabelle4[[#This Row],[db_det]]/Tabelle4[[#Totals],[k_det]]</f>
        <v>3.1562770871320693E-2</v>
      </c>
      <c r="M4" s="18">
        <f>Tabelle4[[#This Row],[k_det]]*Tabelle4[[#This Row],[bb]]</f>
        <v>121086.75975286368</v>
      </c>
      <c r="N4" s="11">
        <f>Tabelle4[[#This Row],[bb_det]]/Tabelle4[[#Totals],[bb_det]]</f>
        <v>0.22587742718926304</v>
      </c>
      <c r="O4" s="16">
        <f>Tabelle4[[#This Row],[bb_det]]/Tabelle4[[#Totals],[k_det]]</f>
        <v>2.5250216697056554E-2</v>
      </c>
    </row>
    <row r="5" spans="1:15" x14ac:dyDescent="0.2">
      <c r="A5" t="s">
        <v>121</v>
      </c>
      <c r="B5" t="s">
        <v>126</v>
      </c>
      <c r="C5" t="s">
        <v>165</v>
      </c>
      <c r="D5" t="s">
        <v>166</v>
      </c>
      <c r="E5">
        <v>0.8</v>
      </c>
      <c r="F5">
        <v>0.12</v>
      </c>
      <c r="G5" s="18" cm="1">
        <f t="array" ref="G5">Tabelle3[partner4_k_phase1_det]</f>
        <v>279923.44006223493</v>
      </c>
      <c r="H5" s="18" cm="1">
        <f t="array" ref="H5">Tabelle3[partner4_k_phase2_det]</f>
        <v>183026.86465607671</v>
      </c>
      <c r="I5" s="18">
        <f>Tabelle4[[#This Row],[k_phase1_det]]+Tabelle4[[#This Row],[k_phase2_det]]</f>
        <v>462950.30471831164</v>
      </c>
      <c r="J5" s="18">
        <f>Tabelle4[[#This Row],[k_det]]*Tabelle4[[#This Row],[db]]</f>
        <v>370360.24377464934</v>
      </c>
      <c r="K5" s="18">
        <f>Tabelle4[[#This Row],[k_det]]+Tabelle4[[#This Row],[db_det]]</f>
        <v>833310.54849296098</v>
      </c>
      <c r="L5" s="16">
        <f>Tabelle4[[#This Row],[db_det]]/Tabelle4[[#Totals],[k_det]]</f>
        <v>7.7231205380102849E-2</v>
      </c>
      <c r="M5" s="18">
        <f>Tabelle4[[#This Row],[k_det]]*Tabelle4[[#This Row],[bb]]</f>
        <v>55554.036566197392</v>
      </c>
      <c r="N5" s="11">
        <f>Tabelle4[[#This Row],[bb_det]]/Tabelle4[[#Totals],[bb_det]]</f>
        <v>0.10363150252894714</v>
      </c>
      <c r="O5" s="16">
        <f>Tabelle4[[#This Row],[bb_det]]/Tabelle4[[#Totals],[k_det]]</f>
        <v>1.1584680807015425E-2</v>
      </c>
    </row>
    <row r="6" spans="1:15" x14ac:dyDescent="0.2">
      <c r="A6" t="s">
        <v>94</v>
      </c>
      <c r="G6" s="18">
        <f>SUBTOTAL(109,Tabelle4[k_phase1_det])</f>
        <v>514524.68347268878</v>
      </c>
      <c r="H6" s="18">
        <f>SUBTOTAL(109,Tabelle4[k_phase2_det])</f>
        <v>4280949.3992102891</v>
      </c>
      <c r="I6" s="18">
        <f>SUBTOTAL(109,Tabelle4[k_det])</f>
        <v>4795474.0826829774</v>
      </c>
      <c r="J6" s="18">
        <f>SUBTOTAL(109,Tabelle4[db_det])</f>
        <v>1064307.6149318083</v>
      </c>
      <c r="K6" s="18">
        <f>SUBTOTAL(109,Tabelle4[p_det])</f>
        <v>5859781.6976147853</v>
      </c>
      <c r="L6" s="16">
        <f>SUBTOTAL(109,Tabelle4[db_prob])</f>
        <v>0.2219400202318158</v>
      </c>
      <c r="M6" s="18">
        <f>SUBTOTAL(109,Tabelle4[bb_det])</f>
        <v>536072.86597701907</v>
      </c>
      <c r="N6" s="11">
        <f>SUBTOTAL(109,Tabelle4[b])</f>
        <v>1</v>
      </c>
      <c r="O6" s="16">
        <f>SUBTOTAL(109,Tabelle4[bb_prob])</f>
        <v>0.11178725121523259</v>
      </c>
    </row>
    <row r="11" spans="1:15" x14ac:dyDescent="0.2">
      <c r="J11" s="18"/>
    </row>
    <row r="17" spans="8:11" x14ac:dyDescent="0.2">
      <c r="H17" s="10"/>
      <c r="I17" s="10"/>
      <c r="J17" s="10"/>
      <c r="K17" s="10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D2D0-E952-D745-B224-7DD9FFEA3100}">
  <dimension ref="A1:S2"/>
  <sheetViews>
    <sheetView topLeftCell="D1" zoomScale="120" zoomScaleNormal="120" workbookViewId="0">
      <selection activeCell="D1" sqref="D1"/>
    </sheetView>
  </sheetViews>
  <sheetFormatPr baseColWidth="10" defaultRowHeight="16" x14ac:dyDescent="0.2"/>
  <cols>
    <col min="1" max="1" width="18.6640625" customWidth="1"/>
    <col min="2" max="2" width="20.5" customWidth="1"/>
    <col min="3" max="3" width="13.6640625" customWidth="1"/>
    <col min="4" max="4" width="13.83203125" customWidth="1"/>
    <col min="5" max="5" width="16.5" customWidth="1"/>
    <col min="9" max="9" width="14.6640625" customWidth="1"/>
  </cols>
  <sheetData>
    <row r="1" spans="1:19" x14ac:dyDescent="0.2">
      <c r="A1" s="3" t="s">
        <v>0</v>
      </c>
      <c r="B1" s="4" t="s">
        <v>5</v>
      </c>
      <c r="C1" s="4" t="s">
        <v>2</v>
      </c>
      <c r="D1" s="4" t="s">
        <v>3</v>
      </c>
      <c r="E1" s="4" t="s">
        <v>1</v>
      </c>
      <c r="F1" s="4" t="s">
        <v>4</v>
      </c>
      <c r="G1" s="4" t="s">
        <v>28</v>
      </c>
      <c r="H1" s="4" t="s">
        <v>56</v>
      </c>
      <c r="I1" s="4" t="s">
        <v>32</v>
      </c>
      <c r="J1" s="4" t="s">
        <v>57</v>
      </c>
      <c r="K1" s="4" t="s">
        <v>41</v>
      </c>
      <c r="L1" s="4" t="s">
        <v>152</v>
      </c>
      <c r="M1" s="4" t="s">
        <v>58</v>
      </c>
      <c r="N1" s="4" t="s">
        <v>59</v>
      </c>
      <c r="O1" s="4" t="s">
        <v>62</v>
      </c>
      <c r="P1" s="4" t="s">
        <v>61</v>
      </c>
      <c r="Q1" s="4" t="s">
        <v>60</v>
      </c>
      <c r="R1" s="4" t="s">
        <v>63</v>
      </c>
      <c r="S1" s="4" t="s">
        <v>67</v>
      </c>
    </row>
    <row r="2" spans="1:19" x14ac:dyDescent="0.2">
      <c r="A2" t="s">
        <v>64</v>
      </c>
      <c r="B2" t="s">
        <v>65</v>
      </c>
      <c r="C2" t="s">
        <v>26</v>
      </c>
      <c r="D2">
        <v>37</v>
      </c>
      <c r="E2" t="s">
        <v>66</v>
      </c>
      <c r="F2" s="2">
        <v>1521.22</v>
      </c>
      <c r="G2" s="2">
        <v>6296</v>
      </c>
      <c r="H2" s="2">
        <f>Tabelle2[[#This Row],[bri]]/Tabelle2[[#This Row],[bgf]]</f>
        <v>4.1387833449468188</v>
      </c>
      <c r="I2" s="2">
        <f>Tabelle2[[#This Row],[kosten300400_bgf]]*Tabelle2[[#This Row],[bgf]]</f>
        <v>2028470.8090000001</v>
      </c>
      <c r="J2" s="2">
        <v>1333.45</v>
      </c>
      <c r="K2" s="5" t="s">
        <v>42</v>
      </c>
      <c r="L2" s="2">
        <v>2500</v>
      </c>
      <c r="M2" s="2">
        <v>1690.25</v>
      </c>
      <c r="N2" s="2">
        <v>757</v>
      </c>
      <c r="O2" s="2">
        <v>1331.98</v>
      </c>
      <c r="P2" s="2">
        <v>1265.23</v>
      </c>
      <c r="Q2" s="2">
        <v>764.22</v>
      </c>
      <c r="R2" s="2">
        <v>764.22</v>
      </c>
      <c r="S2" s="2">
        <v>1743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2CD5-655E-4B42-BCA2-AA916D41CDA3}">
  <dimension ref="A1:C14"/>
  <sheetViews>
    <sheetView workbookViewId="0">
      <selection activeCell="E17" sqref="E17"/>
    </sheetView>
  </sheetViews>
  <sheetFormatPr baseColWidth="10" defaultRowHeight="16" x14ac:dyDescent="0.2"/>
  <sheetData>
    <row r="1" spans="1:3" x14ac:dyDescent="0.2">
      <c r="A1" s="26" t="s">
        <v>161</v>
      </c>
      <c r="B1" s="26"/>
      <c r="C1" s="26"/>
    </row>
    <row r="2" spans="1:3" x14ac:dyDescent="0.2">
      <c r="A2" s="25" t="s">
        <v>162</v>
      </c>
      <c r="B2" s="24">
        <v>1</v>
      </c>
      <c r="C2" s="24">
        <v>0.02</v>
      </c>
    </row>
    <row r="3" spans="1:3" x14ac:dyDescent="0.2">
      <c r="A3" s="25"/>
      <c r="B3" s="24">
        <v>2</v>
      </c>
      <c r="C3" s="24">
        <v>7.0000000000000007E-2</v>
      </c>
    </row>
    <row r="4" spans="1:3" x14ac:dyDescent="0.2">
      <c r="A4" s="25"/>
      <c r="B4" s="24">
        <v>3</v>
      </c>
      <c r="C4" s="24">
        <v>0.15</v>
      </c>
    </row>
    <row r="5" spans="1:3" x14ac:dyDescent="0.2">
      <c r="A5" s="25"/>
      <c r="B5" s="24">
        <v>4</v>
      </c>
      <c r="C5" s="24">
        <v>0.03</v>
      </c>
    </row>
    <row r="6" spans="1:3" x14ac:dyDescent="0.2">
      <c r="A6" s="25"/>
      <c r="B6" s="24">
        <v>5</v>
      </c>
      <c r="C6" s="24">
        <v>0.25</v>
      </c>
    </row>
    <row r="7" spans="1:3" x14ac:dyDescent="0.2">
      <c r="A7" s="24" t="s">
        <v>164</v>
      </c>
      <c r="B7" s="24">
        <v>6</v>
      </c>
      <c r="C7" s="24">
        <v>0.1</v>
      </c>
    </row>
    <row r="8" spans="1:3" x14ac:dyDescent="0.2">
      <c r="A8" s="24" t="s">
        <v>164</v>
      </c>
      <c r="B8" s="24">
        <v>7</v>
      </c>
      <c r="C8" s="24">
        <v>0.04</v>
      </c>
    </row>
    <row r="9" spans="1:3" x14ac:dyDescent="0.2">
      <c r="A9" s="25" t="s">
        <v>163</v>
      </c>
      <c r="B9" s="24">
        <v>8</v>
      </c>
      <c r="C9" s="24">
        <v>0.32</v>
      </c>
    </row>
    <row r="10" spans="1:3" x14ac:dyDescent="0.2">
      <c r="A10" s="25"/>
      <c r="B10" s="24">
        <v>9</v>
      </c>
      <c r="C10" s="24">
        <v>0.02</v>
      </c>
    </row>
    <row r="11" spans="1:3" x14ac:dyDescent="0.2">
      <c r="C11" s="19">
        <f>SUM(C2:C10)</f>
        <v>1</v>
      </c>
    </row>
    <row r="12" spans="1:3" ht="17" thickBot="1" x14ac:dyDescent="0.25"/>
    <row r="13" spans="1:3" x14ac:dyDescent="0.2">
      <c r="A13" s="20" t="s">
        <v>162</v>
      </c>
      <c r="B13" s="27"/>
      <c r="C13" s="21">
        <f>SUM(C2:C6)</f>
        <v>0.52</v>
      </c>
    </row>
    <row r="14" spans="1:3" ht="17" thickBot="1" x14ac:dyDescent="0.25">
      <c r="A14" s="22" t="s">
        <v>163</v>
      </c>
      <c r="B14" s="28"/>
      <c r="C14" s="23">
        <f>C9+C10</f>
        <v>0.34</v>
      </c>
    </row>
  </sheetData>
  <mergeCells count="2">
    <mergeCell ref="A9:A10"/>
    <mergeCell ref="A2:A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997F-C2EA-4B0E-A542-DB4F8F5D3E57}">
  <dimension ref="A1:B2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222</v>
      </c>
      <c r="B1" t="s">
        <v>219</v>
      </c>
    </row>
    <row r="2" spans="1:2" x14ac:dyDescent="0.2">
      <c r="A2" t="s">
        <v>190</v>
      </c>
      <c r="B2" t="s">
        <v>209</v>
      </c>
    </row>
    <row r="3" spans="1:2" x14ac:dyDescent="0.2">
      <c r="A3" t="s">
        <v>191</v>
      </c>
      <c r="B3" t="s">
        <v>210</v>
      </c>
    </row>
    <row r="4" spans="1:2" x14ac:dyDescent="0.2">
      <c r="A4" t="s">
        <v>192</v>
      </c>
      <c r="B4" t="s">
        <v>183</v>
      </c>
    </row>
    <row r="5" spans="1:2" x14ac:dyDescent="0.2">
      <c r="A5" t="s">
        <v>193</v>
      </c>
      <c r="B5" t="s">
        <v>184</v>
      </c>
    </row>
    <row r="6" spans="1:2" x14ac:dyDescent="0.2">
      <c r="A6" t="s">
        <v>194</v>
      </c>
      <c r="B6" t="s">
        <v>185</v>
      </c>
    </row>
    <row r="7" spans="1:2" x14ac:dyDescent="0.2">
      <c r="A7" t="s">
        <v>195</v>
      </c>
      <c r="B7" t="s">
        <v>186</v>
      </c>
    </row>
    <row r="8" spans="1:2" x14ac:dyDescent="0.2">
      <c r="A8" t="s">
        <v>196</v>
      </c>
      <c r="B8" t="s">
        <v>211</v>
      </c>
    </row>
    <row r="9" spans="1:2" x14ac:dyDescent="0.2">
      <c r="A9" t="s">
        <v>197</v>
      </c>
      <c r="B9" t="s">
        <v>212</v>
      </c>
    </row>
    <row r="10" spans="1:2" x14ac:dyDescent="0.2">
      <c r="A10" t="s">
        <v>198</v>
      </c>
      <c r="B10" t="s">
        <v>214</v>
      </c>
    </row>
    <row r="11" spans="1:2" x14ac:dyDescent="0.2">
      <c r="A11" t="s">
        <v>199</v>
      </c>
      <c r="B11" t="s">
        <v>213</v>
      </c>
    </row>
    <row r="12" spans="1:2" x14ac:dyDescent="0.2">
      <c r="A12" t="s">
        <v>200</v>
      </c>
      <c r="B12" t="s">
        <v>215</v>
      </c>
    </row>
    <row r="13" spans="1:2" x14ac:dyDescent="0.2">
      <c r="A13" t="s">
        <v>201</v>
      </c>
      <c r="B13" t="s">
        <v>216</v>
      </c>
    </row>
    <row r="14" spans="1:2" x14ac:dyDescent="0.2">
      <c r="A14" t="s">
        <v>202</v>
      </c>
      <c r="B14" t="s">
        <v>221</v>
      </c>
    </row>
    <row r="15" spans="1:2" x14ac:dyDescent="0.2">
      <c r="A15" t="s">
        <v>203</v>
      </c>
      <c r="B15" t="s">
        <v>187</v>
      </c>
    </row>
    <row r="16" spans="1:2" x14ac:dyDescent="0.2">
      <c r="A16" t="s">
        <v>204</v>
      </c>
      <c r="B16" t="s">
        <v>220</v>
      </c>
    </row>
    <row r="17" spans="1:2" x14ac:dyDescent="0.2">
      <c r="A17" t="s">
        <v>205</v>
      </c>
      <c r="B17" t="s">
        <v>217</v>
      </c>
    </row>
    <row r="18" spans="1:2" x14ac:dyDescent="0.2">
      <c r="A18" t="s">
        <v>206</v>
      </c>
      <c r="B18" t="s">
        <v>212</v>
      </c>
    </row>
    <row r="19" spans="1:2" x14ac:dyDescent="0.2">
      <c r="A19" t="s">
        <v>207</v>
      </c>
      <c r="B19" t="s">
        <v>188</v>
      </c>
    </row>
    <row r="20" spans="1:2" x14ac:dyDescent="0.2">
      <c r="A20" t="s">
        <v>208</v>
      </c>
      <c r="B20" t="s">
        <v>189</v>
      </c>
    </row>
    <row r="21" spans="1:2" x14ac:dyDescent="0.2">
      <c r="A21" t="s">
        <v>129</v>
      </c>
      <c r="B21" t="s">
        <v>218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projekt_referenz</vt:lpstr>
      <vt:lpstr>k_det</vt:lpstr>
      <vt:lpstr>partner</vt:lpstr>
      <vt:lpstr>projekt_mengen</vt:lpstr>
      <vt:lpstr>hoai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 Müller</dc:creator>
  <cp:lastModifiedBy>Leopold Müller</cp:lastModifiedBy>
  <dcterms:created xsi:type="dcterms:W3CDTF">2025-02-04T12:54:36Z</dcterms:created>
  <dcterms:modified xsi:type="dcterms:W3CDTF">2025-08-03T21:52:48Z</dcterms:modified>
</cp:coreProperties>
</file>