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https://d.docs.live.net/763985570e13792a/Proyecto De Titulación/Programas de Cálculo/COLUMNAS/"/>
    </mc:Choice>
  </mc:AlternateContent>
  <xr:revisionPtr revIDLastSave="33" documentId="8_{20C8ADB7-ED5F-431E-9E81-829BB8B77712}" xr6:coauthVersionLast="40" xr6:coauthVersionMax="40" xr10:uidLastSave="{88F7BC5E-E53A-49B2-AC8C-4123631F3B5B}"/>
  <bookViews>
    <workbookView xWindow="0" yWindow="0" windowWidth="28800" windowHeight="12225" xr2:uid="{00000000-000D-0000-FFFF-FFFF00000000}"/>
  </bookViews>
  <sheets>
    <sheet name="Columnas" sheetId="2" r:id="rId1"/>
    <sheet name="Revisiones" sheetId="13" state="hidden" r:id="rId2"/>
    <sheet name="Momento" sheetId="4" state="hidden" r:id="rId3"/>
    <sheet name="Col bal" sheetId="3" state="hidden" r:id="rId4"/>
    <sheet name="Estribos " sheetId="7" r:id="rId5"/>
    <sheet name="Espiral" sheetId="8" r:id="rId6"/>
    <sheet name="Zapatas" sheetId="9" r:id="rId7"/>
    <sheet name="Ejem. Esfuerzo-deformación" sheetId="10" state="hidden" r:id="rId8"/>
    <sheet name="revisar" sheetId="5" state="hidden" r:id="rId9"/>
  </sheets>
  <externalReferences>
    <externalReference r:id="rId10"/>
  </externalReferences>
  <definedNames>
    <definedName name="_xlnm.Print_Area" localSheetId="0">Columnas!$A$1:$I$139</definedName>
    <definedName name="_xlnm.Print_Area" localSheetId="4">'Estribos '!$A$1:$I$56</definedName>
    <definedName name="_xlnm.Print_Area" localSheetId="6">Zapatas!$A$1:$I$151</definedName>
    <definedName name="dvarilla">'Estribos '!$I$17:$I$20</definedName>
    <definedName name="f´c">Columnas!$M$90:$M$97</definedName>
    <definedName name="fyt">Columnas!$M$103:$M$104</definedName>
    <definedName name="Nvarilla">Columnas!$K$50:$K$60</definedName>
    <definedName name="TIPO">Columnas!$L$107:$L$108</definedName>
    <definedName name="Varilla">Zapatas!$E$97:$E$107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8" i="9" l="1"/>
  <c r="B60" i="9"/>
  <c r="C77" i="9" s="1"/>
  <c r="B37" i="9"/>
  <c r="B32" i="9" s="1"/>
  <c r="B30" i="9"/>
  <c r="B31" i="9"/>
  <c r="B33" i="9" s="1"/>
  <c r="C30" i="9" l="1"/>
  <c r="C75" i="9"/>
  <c r="C76" i="9" s="1"/>
  <c r="C84" i="9"/>
  <c r="C86" i="9"/>
  <c r="H81" i="2"/>
  <c r="C46" i="2"/>
  <c r="H80" i="2"/>
  <c r="C72" i="2" l="1"/>
  <c r="E82" i="2" s="1"/>
  <c r="D82" i="2" l="1"/>
  <c r="C61" i="2"/>
  <c r="C57" i="2"/>
  <c r="C59" i="2" s="1"/>
  <c r="C60" i="2" l="1"/>
  <c r="C62" i="2" s="1"/>
  <c r="B50" i="9"/>
  <c r="B52" i="9" s="1"/>
  <c r="B49" i="9"/>
  <c r="B46" i="9"/>
  <c r="C110" i="9" s="1"/>
  <c r="C109" i="9" s="1"/>
  <c r="B45" i="9"/>
  <c r="B40" i="9"/>
  <c r="B39" i="9"/>
  <c r="B38" i="9"/>
  <c r="B47" i="9" l="1"/>
  <c r="C106" i="9"/>
  <c r="G136" i="9"/>
  <c r="G120" i="9"/>
  <c r="E122" i="9" s="1"/>
  <c r="H124" i="9" s="1"/>
  <c r="B16" i="9"/>
  <c r="B21" i="9" s="1"/>
  <c r="C107" i="9" l="1"/>
  <c r="E142" i="9" s="1"/>
  <c r="C103" i="9"/>
  <c r="A39" i="9"/>
  <c r="E126" i="9" l="1"/>
  <c r="G126" i="9"/>
  <c r="B36" i="9"/>
  <c r="B33" i="7"/>
  <c r="N94" i="2"/>
  <c r="N93" i="2"/>
  <c r="N92" i="2"/>
  <c r="N91" i="2"/>
  <c r="N90" i="2"/>
  <c r="B38" i="7" l="1"/>
  <c r="A38" i="9"/>
  <c r="B22" i="8" l="1"/>
  <c r="B35" i="8" s="1"/>
  <c r="B21" i="8"/>
  <c r="B20" i="8"/>
  <c r="B33" i="8" s="1"/>
  <c r="B24" i="7" l="1"/>
  <c r="A24" i="7"/>
  <c r="A21" i="8" s="1"/>
  <c r="B20" i="7"/>
  <c r="B17" i="8" s="1"/>
  <c r="B19" i="7"/>
  <c r="B16" i="8" s="1"/>
  <c r="C51" i="2" l="1"/>
  <c r="C66" i="2"/>
  <c r="H82" i="2" s="1"/>
  <c r="C40" i="2"/>
  <c r="G15" i="4"/>
  <c r="C52" i="2" l="1"/>
  <c r="C30" i="2"/>
  <c r="B19" i="4"/>
  <c r="B41" i="2"/>
  <c r="A19" i="7" s="1"/>
  <c r="A16" i="8" s="1"/>
  <c r="B35" i="2"/>
  <c r="B47" i="7"/>
  <c r="B46" i="7"/>
  <c r="G16" i="4" l="1"/>
  <c r="B10" i="4" s="1"/>
  <c r="B70" i="9" l="1"/>
  <c r="B69" i="9" s="1"/>
  <c r="B68" i="9" s="1"/>
  <c r="C101" i="9"/>
  <c r="C134" i="9" s="1"/>
  <c r="B21" i="4"/>
  <c r="B22" i="4" s="1"/>
  <c r="G17" i="4"/>
  <c r="C43" i="2" l="1"/>
  <c r="C42" i="2"/>
  <c r="C33" i="2" l="1"/>
  <c r="C55" i="2" l="1"/>
  <c r="H53" i="2" s="1"/>
  <c r="C35" i="2"/>
  <c r="C34" i="2"/>
  <c r="D88" i="2" s="1"/>
  <c r="D87" i="2"/>
  <c r="C53" i="2"/>
  <c r="C54" i="2"/>
  <c r="G11" i="10"/>
  <c r="C26" i="10"/>
  <c r="C22" i="10"/>
  <c r="C23" i="10" s="1"/>
  <c r="E21" i="10" s="1"/>
  <c r="E23" i="10" s="1"/>
  <c r="G15" i="10" s="1"/>
  <c r="C18" i="10"/>
  <c r="C19" i="10" s="1"/>
  <c r="E17" i="10" s="1"/>
  <c r="E19" i="10" s="1"/>
  <c r="G14" i="10" s="1"/>
  <c r="C14" i="10"/>
  <c r="C15" i="10" s="1"/>
  <c r="E13" i="10" s="1"/>
  <c r="E15" i="10" s="1"/>
  <c r="G13" i="10" s="1"/>
  <c r="C27" i="10"/>
  <c r="E25" i="10" s="1"/>
  <c r="E27" i="10" s="1"/>
  <c r="G16" i="10" s="1"/>
  <c r="C11" i="10"/>
  <c r="E9" i="10" s="1"/>
  <c r="E11" i="10" s="1"/>
  <c r="G12" i="10" s="1"/>
  <c r="S151" i="9" l="1"/>
  <c r="B18" i="7"/>
  <c r="B21" i="7" s="1"/>
  <c r="B15" i="8"/>
  <c r="B18" i="8" s="1"/>
  <c r="B19" i="8"/>
  <c r="H12" i="10"/>
  <c r="H15" i="10"/>
  <c r="H13" i="10"/>
  <c r="H14" i="10"/>
  <c r="H16" i="10"/>
  <c r="B20" i="9" l="1"/>
  <c r="B22" i="9" s="1"/>
  <c r="A24" i="8"/>
  <c r="B25" i="8"/>
  <c r="B26" i="8" s="1"/>
  <c r="H52" i="2"/>
  <c r="I52" i="2" s="1"/>
  <c r="B64" i="9" l="1"/>
  <c r="B63" i="9" s="1"/>
  <c r="C26" i="8"/>
  <c r="B30" i="8"/>
  <c r="H54" i="2"/>
  <c r="C78" i="9" l="1"/>
  <c r="C80" i="9" s="1"/>
  <c r="C83" i="9"/>
  <c r="C79" i="9"/>
  <c r="C90" i="9" s="1"/>
  <c r="C89" i="9"/>
  <c r="C68" i="2"/>
  <c r="C85" i="9" l="1"/>
  <c r="D85" i="9" s="1"/>
  <c r="B88" i="9"/>
  <c r="C91" i="9"/>
  <c r="C92" i="9" s="1"/>
  <c r="C93" i="9" s="1"/>
  <c r="C97" i="9"/>
  <c r="C99" i="9" s="1"/>
  <c r="B61" i="9"/>
  <c r="C65" i="2"/>
  <c r="D84" i="9"/>
  <c r="B65" i="9"/>
  <c r="C111" i="9" s="1"/>
  <c r="B151" i="9"/>
  <c r="R161" i="9"/>
  <c r="R160" i="9"/>
  <c r="R159" i="9"/>
  <c r="R158" i="9"/>
  <c r="R157" i="9"/>
  <c r="R156" i="9"/>
  <c r="R155" i="9"/>
  <c r="R154" i="9"/>
  <c r="R153" i="9"/>
  <c r="R152" i="9"/>
  <c r="R151" i="9"/>
  <c r="D151" i="9"/>
  <c r="C74" i="9" l="1"/>
  <c r="C58" i="9"/>
  <c r="E127" i="9"/>
  <c r="G127" i="9" s="1"/>
  <c r="E143" i="9"/>
  <c r="G143" i="9" s="1"/>
  <c r="G142" i="9"/>
  <c r="F140" i="9"/>
  <c r="H151" i="9" s="1"/>
  <c r="F124" i="9"/>
  <c r="F151" i="9" s="1"/>
  <c r="D109" i="9" l="1"/>
  <c r="F130" i="9"/>
  <c r="G151" i="9" s="1"/>
  <c r="F146" i="9"/>
  <c r="I151" i="9" s="1"/>
  <c r="D106" i="9" l="1"/>
  <c r="I54" i="2"/>
  <c r="A48" i="9"/>
  <c r="A46" i="9"/>
  <c r="E138" i="9" l="1"/>
  <c r="H140" i="9" s="1"/>
  <c r="B25" i="7"/>
  <c r="H21" i="8"/>
  <c r="B29" i="8"/>
  <c r="B34" i="8" l="1"/>
  <c r="B36" i="8" s="1"/>
  <c r="B37" i="8" s="1"/>
  <c r="G21" i="8" s="1"/>
  <c r="F82" i="2" l="1"/>
  <c r="B23" i="7" l="1"/>
  <c r="B37" i="7" s="1"/>
  <c r="B26" i="7" l="1"/>
  <c r="B39" i="7" s="1"/>
  <c r="B40" i="7" s="1"/>
  <c r="H29" i="7"/>
  <c r="B41" i="7" l="1"/>
  <c r="B42" i="7" s="1"/>
  <c r="B22" i="7"/>
  <c r="B45" i="7"/>
  <c r="B48" i="7" s="1"/>
  <c r="B49" i="7" s="1"/>
  <c r="F29" i="7" s="1"/>
  <c r="A28" i="7" l="1"/>
  <c r="B29" i="7"/>
  <c r="B30" i="7" s="1"/>
  <c r="B34" i="7" s="1"/>
  <c r="G49" i="2"/>
  <c r="G50" i="2"/>
  <c r="C151" i="9"/>
  <c r="F34" i="7"/>
  <c r="F25" i="7"/>
  <c r="G29" i="7"/>
  <c r="B19" i="5"/>
  <c r="B18" i="5"/>
  <c r="B14" i="5"/>
  <c r="B17" i="5"/>
  <c r="C25" i="5"/>
  <c r="D25" i="5"/>
  <c r="B12" i="5"/>
  <c r="B10" i="5"/>
  <c r="H49" i="2" l="1"/>
  <c r="C30" i="7"/>
  <c r="G25" i="7"/>
  <c r="F22" i="7"/>
  <c r="G34" i="7"/>
  <c r="F37" i="7" s="1"/>
  <c r="B15" i="5"/>
  <c r="B21" i="5" s="1"/>
  <c r="B25" i="5" l="1"/>
  <c r="D28" i="5" s="1"/>
  <c r="E28" i="5" s="1"/>
  <c r="A23" i="5" l="1"/>
  <c r="B30" i="5"/>
  <c r="B31" i="5" s="1"/>
  <c r="D26" i="5" l="1"/>
  <c r="E26" i="5" s="1"/>
  <c r="D27" i="5"/>
  <c r="E27" i="5" s="1"/>
  <c r="J102" i="2"/>
  <c r="I81" i="2" s="1"/>
  <c r="C80" i="2" s="1"/>
  <c r="J101" i="2"/>
  <c r="I80" i="2" s="1"/>
  <c r="G8" i="3"/>
  <c r="G34" i="3" s="1"/>
  <c r="G47" i="3" s="1"/>
  <c r="G6" i="3"/>
  <c r="G32" i="3" s="1"/>
  <c r="G58" i="3" s="1"/>
  <c r="G84" i="3" s="1"/>
  <c r="G110" i="3" s="1"/>
  <c r="G136" i="3" s="1"/>
  <c r="G162" i="3" s="1"/>
  <c r="G188" i="3" s="1"/>
  <c r="G214" i="3" s="1"/>
  <c r="G240" i="3" s="1"/>
  <c r="G266" i="3" s="1"/>
  <c r="G292" i="3" s="1"/>
  <c r="B7" i="3"/>
  <c r="B33" i="3" s="1"/>
  <c r="G14" i="3"/>
  <c r="G40" i="3" s="1"/>
  <c r="G66" i="3" s="1"/>
  <c r="G92" i="3" s="1"/>
  <c r="G118" i="3" s="1"/>
  <c r="G144" i="3" s="1"/>
  <c r="G170" i="3" s="1"/>
  <c r="G196" i="3" s="1"/>
  <c r="G222" i="3" s="1"/>
  <c r="G248" i="3" s="1"/>
  <c r="G274" i="3" s="1"/>
  <c r="G300" i="3" s="1"/>
  <c r="E9" i="3"/>
  <c r="E35" i="3" s="1"/>
  <c r="E61" i="3" s="1"/>
  <c r="E87" i="3" s="1"/>
  <c r="E113" i="3" s="1"/>
  <c r="E139" i="3" s="1"/>
  <c r="E165" i="3" s="1"/>
  <c r="E191" i="3" s="1"/>
  <c r="E217" i="3" s="1"/>
  <c r="E243" i="3" s="1"/>
  <c r="E269" i="3" s="1"/>
  <c r="E295" i="3" s="1"/>
  <c r="G15" i="3"/>
  <c r="G41" i="3" s="1"/>
  <c r="B6" i="3"/>
  <c r="B32" i="3" s="1"/>
  <c r="B58" i="3" s="1"/>
  <c r="B84" i="3" s="1"/>
  <c r="B110" i="3" s="1"/>
  <c r="B136" i="3" s="1"/>
  <c r="B162" i="3" s="1"/>
  <c r="B188" i="3" s="1"/>
  <c r="B214" i="3" s="1"/>
  <c r="B240" i="3" s="1"/>
  <c r="B266" i="3" s="1"/>
  <c r="B292" i="3" s="1"/>
  <c r="E79" i="2"/>
  <c r="E90" i="2"/>
  <c r="G14" i="4"/>
  <c r="D19" i="4" s="1"/>
  <c r="I19" i="4" s="1"/>
  <c r="E9" i="4"/>
  <c r="B7" i="4"/>
  <c r="D20" i="4" s="1"/>
  <c r="I20" i="4" s="1"/>
  <c r="B6" i="4"/>
  <c r="J103" i="2" l="1"/>
  <c r="C70" i="2"/>
  <c r="O107" i="2"/>
  <c r="B28" i="5"/>
  <c r="G16" i="3"/>
  <c r="G42" i="3" s="1"/>
  <c r="B36" i="3" s="1"/>
  <c r="E80" i="2"/>
  <c r="E6" i="4"/>
  <c r="G8" i="4"/>
  <c r="G21" i="4" s="1"/>
  <c r="E19" i="4" s="1"/>
  <c r="B25" i="4" s="1"/>
  <c r="C25" i="4" s="1"/>
  <c r="D25" i="3"/>
  <c r="G21" i="3"/>
  <c r="D25" i="4"/>
  <c r="G19" i="3"/>
  <c r="B8" i="4"/>
  <c r="D94" i="2"/>
  <c r="B8" i="5" s="1"/>
  <c r="D26" i="4"/>
  <c r="B45" i="3"/>
  <c r="G67" i="3"/>
  <c r="G6" i="4"/>
  <c r="B19" i="3"/>
  <c r="G60" i="3"/>
  <c r="G86" i="3" s="1"/>
  <c r="G99" i="3" s="1"/>
  <c r="G19" i="4"/>
  <c r="B8" i="3"/>
  <c r="G10" i="4"/>
  <c r="G26" i="4" s="1"/>
  <c r="G10" i="3"/>
  <c r="E6" i="3"/>
  <c r="E32" i="3" s="1"/>
  <c r="E58" i="3" s="1"/>
  <c r="E84" i="3" s="1"/>
  <c r="E110" i="3" s="1"/>
  <c r="E136" i="3" s="1"/>
  <c r="E162" i="3" s="1"/>
  <c r="E188" i="3" s="1"/>
  <c r="E214" i="3" s="1"/>
  <c r="E240" i="3" s="1"/>
  <c r="E266" i="3" s="1"/>
  <c r="E292" i="3" s="1"/>
  <c r="B59" i="3"/>
  <c r="B60" i="3" s="1"/>
  <c r="G45" i="3"/>
  <c r="B34" i="3"/>
  <c r="D51" i="3"/>
  <c r="E7" i="3"/>
  <c r="E7" i="4"/>
  <c r="E81" i="2" l="1"/>
  <c r="I82" i="2"/>
  <c r="C81" i="2" s="1"/>
  <c r="B9" i="4"/>
  <c r="G18" i="4"/>
  <c r="G23" i="4" s="1"/>
  <c r="E25" i="4"/>
  <c r="D28" i="4"/>
  <c r="G17" i="3"/>
  <c r="B10" i="3"/>
  <c r="B9" i="3" s="1"/>
  <c r="G43" i="3"/>
  <c r="G68" i="3"/>
  <c r="G94" i="3" s="1"/>
  <c r="G120" i="3" s="1"/>
  <c r="B47" i="3"/>
  <c r="B48" i="3" s="1"/>
  <c r="B21" i="3"/>
  <c r="B22" i="3" s="1"/>
  <c r="D80" i="2"/>
  <c r="F80" i="2" s="1"/>
  <c r="C79" i="2"/>
  <c r="G112" i="3"/>
  <c r="G138" i="3" s="1"/>
  <c r="E20" i="4"/>
  <c r="B26" i="4" s="1"/>
  <c r="G18" i="3"/>
  <c r="G23" i="3" s="1"/>
  <c r="G73" i="3"/>
  <c r="D21" i="4"/>
  <c r="E8" i="3"/>
  <c r="E34" i="3" s="1"/>
  <c r="E60" i="3" s="1"/>
  <c r="E86" i="3" s="1"/>
  <c r="E112" i="3" s="1"/>
  <c r="E138" i="3" s="1"/>
  <c r="E164" i="3" s="1"/>
  <c r="E190" i="3" s="1"/>
  <c r="E216" i="3" s="1"/>
  <c r="E242" i="3" s="1"/>
  <c r="E268" i="3" s="1"/>
  <c r="E294" i="3" s="1"/>
  <c r="E8" i="4"/>
  <c r="G93" i="3"/>
  <c r="B71" i="3"/>
  <c r="G71" i="3"/>
  <c r="B85" i="3"/>
  <c r="D77" i="3"/>
  <c r="G36" i="3"/>
  <c r="E33" i="3"/>
  <c r="G51" i="3"/>
  <c r="E95" i="2" s="1"/>
  <c r="G44" i="3"/>
  <c r="G49" i="3" s="1"/>
  <c r="D79" i="2" l="1"/>
  <c r="F79" i="2" s="1"/>
  <c r="D81" i="2"/>
  <c r="F81" i="2" s="1"/>
  <c r="C26" i="4"/>
  <c r="E26" i="4" s="1"/>
  <c r="I21" i="4"/>
  <c r="D27" i="4" s="1"/>
  <c r="C28" i="4"/>
  <c r="B35" i="3"/>
  <c r="G125" i="3"/>
  <c r="B99" i="3"/>
  <c r="B73" i="3"/>
  <c r="B74" i="3" s="1"/>
  <c r="B62" i="3"/>
  <c r="G69" i="3"/>
  <c r="G25" i="3"/>
  <c r="E98" i="2" s="1"/>
  <c r="B97" i="3"/>
  <c r="G119" i="3"/>
  <c r="G95" i="3"/>
  <c r="B88" i="3"/>
  <c r="G164" i="3"/>
  <c r="G151" i="3"/>
  <c r="D45" i="3"/>
  <c r="D46" i="3"/>
  <c r="G52" i="3"/>
  <c r="D54" i="3" s="1"/>
  <c r="G62" i="3"/>
  <c r="G97" i="3"/>
  <c r="B111" i="3"/>
  <c r="D103" i="3"/>
  <c r="B86" i="3"/>
  <c r="G77" i="3"/>
  <c r="G70" i="3"/>
  <c r="G75" i="3" s="1"/>
  <c r="B125" i="3"/>
  <c r="G146" i="3"/>
  <c r="E59" i="3"/>
  <c r="B61" i="3"/>
  <c r="D47" i="3"/>
  <c r="D83" i="2"/>
  <c r="F83" i="2" l="1"/>
  <c r="E28" i="4"/>
  <c r="B87" i="3"/>
  <c r="B5" i="13"/>
  <c r="D73" i="3"/>
  <c r="I73" i="3" s="1"/>
  <c r="D79" i="3" s="1"/>
  <c r="E96" i="2"/>
  <c r="E21" i="4"/>
  <c r="B27" i="4" s="1"/>
  <c r="G26" i="3"/>
  <c r="D28" i="3" s="1"/>
  <c r="E89" i="2"/>
  <c r="B100" i="3"/>
  <c r="D20" i="3"/>
  <c r="I20" i="3" s="1"/>
  <c r="D26" i="3" s="1"/>
  <c r="D19" i="3"/>
  <c r="I19" i="3" s="1"/>
  <c r="E19" i="3" s="1"/>
  <c r="B25" i="3" s="1"/>
  <c r="C25" i="3" s="1"/>
  <c r="D21" i="3"/>
  <c r="I21" i="3" s="1"/>
  <c r="D27" i="3" s="1"/>
  <c r="B123" i="3"/>
  <c r="B126" i="3" s="1"/>
  <c r="B114" i="3"/>
  <c r="G121" i="3"/>
  <c r="G145" i="3"/>
  <c r="B140" i="3" s="1"/>
  <c r="G177" i="3"/>
  <c r="G190" i="3"/>
  <c r="C54" i="3"/>
  <c r="E54" i="3" s="1"/>
  <c r="G88" i="3"/>
  <c r="G78" i="3"/>
  <c r="D80" i="3" s="1"/>
  <c r="I46" i="3"/>
  <c r="D52" i="3" s="1"/>
  <c r="E85" i="3"/>
  <c r="G123" i="3"/>
  <c r="D129" i="3"/>
  <c r="B137" i="3"/>
  <c r="B112" i="3"/>
  <c r="I47" i="3"/>
  <c r="D53" i="3" s="1"/>
  <c r="B151" i="3"/>
  <c r="G172" i="3"/>
  <c r="D71" i="3"/>
  <c r="D72" i="3"/>
  <c r="G103" i="3"/>
  <c r="G96" i="3"/>
  <c r="G101" i="3" s="1"/>
  <c r="I45" i="3"/>
  <c r="E45" i="3" s="1"/>
  <c r="B51" i="3" s="1"/>
  <c r="C51" i="3" s="1"/>
  <c r="C28" i="3" l="1"/>
  <c r="E28" i="3" s="1"/>
  <c r="C27" i="4"/>
  <c r="C29" i="4" s="1"/>
  <c r="D99" i="3"/>
  <c r="I99" i="3" s="1"/>
  <c r="D105" i="3" s="1"/>
  <c r="E97" i="2"/>
  <c r="E73" i="3"/>
  <c r="B79" i="3" s="1"/>
  <c r="C79" i="3" s="1"/>
  <c r="E79" i="3" s="1"/>
  <c r="C80" i="3"/>
  <c r="E80" i="3" s="1"/>
  <c r="E21" i="3"/>
  <c r="B27" i="3" s="1"/>
  <c r="C27" i="3" s="1"/>
  <c r="E27" i="3" s="1"/>
  <c r="G147" i="3"/>
  <c r="B149" i="3"/>
  <c r="B152" i="3" s="1"/>
  <c r="G171" i="3"/>
  <c r="G216" i="3"/>
  <c r="G203" i="3"/>
  <c r="E20" i="3"/>
  <c r="B26" i="3" s="1"/>
  <c r="C26" i="3" s="1"/>
  <c r="E26" i="3" s="1"/>
  <c r="E25" i="3"/>
  <c r="G104" i="3"/>
  <c r="D106" i="3" s="1"/>
  <c r="G114" i="3"/>
  <c r="E47" i="3"/>
  <c r="B53" i="3" s="1"/>
  <c r="C53" i="3" s="1"/>
  <c r="E53" i="3" s="1"/>
  <c r="E111" i="3"/>
  <c r="B139" i="3" s="1"/>
  <c r="B113" i="3"/>
  <c r="E46" i="3"/>
  <c r="B52" i="3" s="1"/>
  <c r="C52" i="3" s="1"/>
  <c r="E52" i="3" s="1"/>
  <c r="I71" i="3"/>
  <c r="E71" i="3" s="1"/>
  <c r="B77" i="3" s="1"/>
  <c r="C77" i="3" s="1"/>
  <c r="D97" i="3"/>
  <c r="D98" i="3"/>
  <c r="E51" i="3"/>
  <c r="G122" i="3"/>
  <c r="G127" i="3" s="1"/>
  <c r="G129" i="3"/>
  <c r="E99" i="2" s="1"/>
  <c r="I72" i="3"/>
  <c r="D78" i="3" s="1"/>
  <c r="B177" i="3"/>
  <c r="G198" i="3"/>
  <c r="G149" i="3"/>
  <c r="B138" i="3"/>
  <c r="B163" i="3"/>
  <c r="D155" i="3"/>
  <c r="D90" i="2" l="1"/>
  <c r="E27" i="4"/>
  <c r="E29" i="4" s="1"/>
  <c r="C55" i="3"/>
  <c r="D95" i="2" s="1"/>
  <c r="E99" i="3"/>
  <c r="B105" i="3" s="1"/>
  <c r="C105" i="3" s="1"/>
  <c r="E105" i="3" s="1"/>
  <c r="E29" i="3"/>
  <c r="C89" i="2" s="1"/>
  <c r="G197" i="3"/>
  <c r="B192" i="3" s="1"/>
  <c r="B175" i="3"/>
  <c r="B178" i="3" s="1"/>
  <c r="B166" i="3"/>
  <c r="G173" i="3"/>
  <c r="E55" i="3"/>
  <c r="C95" i="2" s="1"/>
  <c r="C29" i="3"/>
  <c r="D89" i="2" s="1"/>
  <c r="G242" i="3"/>
  <c r="G229" i="3"/>
  <c r="E77" i="3"/>
  <c r="B203" i="3"/>
  <c r="G224" i="3"/>
  <c r="E137" i="3"/>
  <c r="G130" i="3"/>
  <c r="D132" i="3" s="1"/>
  <c r="G140" i="3"/>
  <c r="I98" i="3"/>
  <c r="D104" i="3" s="1"/>
  <c r="D123" i="3"/>
  <c r="D124" i="3"/>
  <c r="G175" i="3"/>
  <c r="B189" i="3"/>
  <c r="B164" i="3"/>
  <c r="D181" i="3"/>
  <c r="D125" i="3"/>
  <c r="G148" i="3"/>
  <c r="G153" i="3" s="1"/>
  <c r="G155" i="3"/>
  <c r="E72" i="3"/>
  <c r="B78" i="3" s="1"/>
  <c r="C78" i="3" s="1"/>
  <c r="E78" i="3" s="1"/>
  <c r="I97" i="3"/>
  <c r="E97" i="3" s="1"/>
  <c r="B103" i="3" s="1"/>
  <c r="C103" i="3" s="1"/>
  <c r="C106" i="3"/>
  <c r="E106" i="3" s="1"/>
  <c r="C90" i="2" l="1"/>
  <c r="D151" i="3"/>
  <c r="I151" i="3" s="1"/>
  <c r="D157" i="3" s="1"/>
  <c r="E100" i="2"/>
  <c r="C98" i="2"/>
  <c r="G199" i="3"/>
  <c r="G223" i="3"/>
  <c r="G225" i="3" s="1"/>
  <c r="B201" i="3"/>
  <c r="B204" i="3" s="1"/>
  <c r="E81" i="3"/>
  <c r="C96" i="2" s="1"/>
  <c r="D98" i="2"/>
  <c r="G268" i="3"/>
  <c r="G255" i="3"/>
  <c r="E103" i="3"/>
  <c r="I124" i="3"/>
  <c r="D130" i="3" s="1"/>
  <c r="G250" i="3"/>
  <c r="B229" i="3"/>
  <c r="D149" i="3"/>
  <c r="D150" i="3"/>
  <c r="D207" i="3"/>
  <c r="B190" i="3"/>
  <c r="G201" i="3"/>
  <c r="B215" i="3"/>
  <c r="I123" i="3"/>
  <c r="E123" i="3" s="1"/>
  <c r="B129" i="3" s="1"/>
  <c r="C129" i="3" s="1"/>
  <c r="E98" i="3"/>
  <c r="B104" i="3" s="1"/>
  <c r="C104" i="3" s="1"/>
  <c r="E104" i="3" s="1"/>
  <c r="E163" i="3"/>
  <c r="B165" i="3"/>
  <c r="G166" i="3"/>
  <c r="G156" i="3"/>
  <c r="D158" i="3" s="1"/>
  <c r="I125" i="3"/>
  <c r="D131" i="3" s="1"/>
  <c r="G181" i="3"/>
  <c r="E101" i="2" s="1"/>
  <c r="G174" i="3"/>
  <c r="G179" i="3" s="1"/>
  <c r="C132" i="3"/>
  <c r="E132" i="3" s="1"/>
  <c r="C81" i="3"/>
  <c r="D96" i="2" s="1"/>
  <c r="E125" i="3" l="1"/>
  <c r="B131" i="3" s="1"/>
  <c r="C131" i="3" s="1"/>
  <c r="E131" i="3" s="1"/>
  <c r="B227" i="3"/>
  <c r="B230" i="3" s="1"/>
  <c r="G249" i="3"/>
  <c r="B218" i="3"/>
  <c r="G281" i="3"/>
  <c r="G294" i="3"/>
  <c r="G307" i="3" s="1"/>
  <c r="D175" i="3"/>
  <c r="D176" i="3"/>
  <c r="B191" i="3"/>
  <c r="E189" i="3"/>
  <c r="I150" i="3"/>
  <c r="D156" i="3" s="1"/>
  <c r="G200" i="3"/>
  <c r="G205" i="3" s="1"/>
  <c r="G207" i="3"/>
  <c r="G276" i="3"/>
  <c r="B255" i="3"/>
  <c r="D177" i="3"/>
  <c r="C158" i="3"/>
  <c r="E158" i="3" s="1"/>
  <c r="E129" i="3"/>
  <c r="I149" i="3"/>
  <c r="E149" i="3" s="1"/>
  <c r="B155" i="3" s="1"/>
  <c r="C155" i="3" s="1"/>
  <c r="C107" i="3"/>
  <c r="D97" i="2" s="1"/>
  <c r="G192" i="3"/>
  <c r="G182" i="3"/>
  <c r="D184" i="3" s="1"/>
  <c r="E151" i="3"/>
  <c r="B157" i="3" s="1"/>
  <c r="C157" i="3" s="1"/>
  <c r="E157" i="3" s="1"/>
  <c r="G227" i="3"/>
  <c r="B241" i="3"/>
  <c r="B216" i="3"/>
  <c r="D233" i="3"/>
  <c r="E124" i="3"/>
  <c r="B130" i="3" s="1"/>
  <c r="C130" i="3" s="1"/>
  <c r="E130" i="3" s="1"/>
  <c r="E107" i="3"/>
  <c r="C97" i="2" s="1"/>
  <c r="D203" i="3" l="1"/>
  <c r="I203" i="3" s="1"/>
  <c r="D209" i="3" s="1"/>
  <c r="E102" i="2"/>
  <c r="C133" i="3"/>
  <c r="D99" i="2" s="1"/>
  <c r="G275" i="3"/>
  <c r="B253" i="3"/>
  <c r="B256" i="3" s="1"/>
  <c r="G251" i="3"/>
  <c r="B244" i="3"/>
  <c r="E155" i="3"/>
  <c r="G302" i="3"/>
  <c r="B307" i="3" s="1"/>
  <c r="B281" i="3"/>
  <c r="E150" i="3"/>
  <c r="B156" i="3" s="1"/>
  <c r="C156" i="3" s="1"/>
  <c r="E156" i="3" s="1"/>
  <c r="I176" i="3"/>
  <c r="D182" i="3" s="1"/>
  <c r="I175" i="3"/>
  <c r="E175" i="3" s="1"/>
  <c r="B181" i="3" s="1"/>
  <c r="C181" i="3" s="1"/>
  <c r="D259" i="3"/>
  <c r="G253" i="3"/>
  <c r="B242" i="3"/>
  <c r="B267" i="3"/>
  <c r="G218" i="3"/>
  <c r="G208" i="3"/>
  <c r="D210" i="3" s="1"/>
  <c r="G233" i="3"/>
  <c r="G226" i="3"/>
  <c r="G231" i="3" s="1"/>
  <c r="C184" i="3"/>
  <c r="E184" i="3" s="1"/>
  <c r="E133" i="3"/>
  <c r="C99" i="2" s="1"/>
  <c r="I177" i="3"/>
  <c r="D183" i="3" s="1"/>
  <c r="D201" i="3"/>
  <c r="D202" i="3"/>
  <c r="B217" i="3"/>
  <c r="E215" i="3"/>
  <c r="D229" i="3" l="1"/>
  <c r="I229" i="3" s="1"/>
  <c r="D235" i="3" s="1"/>
  <c r="E103" i="2"/>
  <c r="B270" i="3"/>
  <c r="G301" i="3"/>
  <c r="B279" i="3"/>
  <c r="B282" i="3" s="1"/>
  <c r="G277" i="3"/>
  <c r="E176" i="3"/>
  <c r="B182" i="3" s="1"/>
  <c r="C182" i="3" s="1"/>
  <c r="E182" i="3" s="1"/>
  <c r="I202" i="3"/>
  <c r="D208" i="3" s="1"/>
  <c r="E181" i="3"/>
  <c r="I201" i="3"/>
  <c r="E201" i="3" s="1"/>
  <c r="B207" i="3" s="1"/>
  <c r="C207" i="3" s="1"/>
  <c r="B243" i="3"/>
  <c r="E241" i="3"/>
  <c r="D227" i="3"/>
  <c r="D228" i="3"/>
  <c r="C210" i="3"/>
  <c r="E210" i="3" s="1"/>
  <c r="G252" i="3"/>
  <c r="G257" i="3" s="1"/>
  <c r="G259" i="3"/>
  <c r="E159" i="3"/>
  <c r="C100" i="2" s="1"/>
  <c r="E177" i="3"/>
  <c r="B183" i="3" s="1"/>
  <c r="C183" i="3" s="1"/>
  <c r="E183" i="3" s="1"/>
  <c r="E203" i="3"/>
  <c r="B209" i="3" s="1"/>
  <c r="C209" i="3" s="1"/>
  <c r="E209" i="3" s="1"/>
  <c r="G234" i="3"/>
  <c r="D236" i="3" s="1"/>
  <c r="G244" i="3"/>
  <c r="B293" i="3"/>
  <c r="D285" i="3"/>
  <c r="G279" i="3"/>
  <c r="B268" i="3"/>
  <c r="C159" i="3"/>
  <c r="D100" i="2" s="1"/>
  <c r="D255" i="3" l="1"/>
  <c r="I255" i="3" s="1"/>
  <c r="D261" i="3" s="1"/>
  <c r="E104" i="2"/>
  <c r="E202" i="3"/>
  <c r="B208" i="3" s="1"/>
  <c r="C208" i="3" s="1"/>
  <c r="E208" i="3" s="1"/>
  <c r="E229" i="3"/>
  <c r="B235" i="3" s="1"/>
  <c r="C235" i="3" s="1"/>
  <c r="E235" i="3" s="1"/>
  <c r="B305" i="3"/>
  <c r="B308" i="3" s="1"/>
  <c r="B296" i="3"/>
  <c r="G303" i="3"/>
  <c r="C236" i="3"/>
  <c r="E236" i="3" s="1"/>
  <c r="G270" i="3"/>
  <c r="G260" i="3"/>
  <c r="D262" i="3" s="1"/>
  <c r="E207" i="3"/>
  <c r="I227" i="3"/>
  <c r="E227" i="3" s="1"/>
  <c r="B233" i="3" s="1"/>
  <c r="C233" i="3" s="1"/>
  <c r="E267" i="3"/>
  <c r="B269" i="3"/>
  <c r="E185" i="3"/>
  <c r="C101" i="2" s="1"/>
  <c r="G285" i="3"/>
  <c r="G278" i="3"/>
  <c r="G283" i="3" s="1"/>
  <c r="G305" i="3"/>
  <c r="D311" i="3"/>
  <c r="B294" i="3"/>
  <c r="D253" i="3"/>
  <c r="D254" i="3"/>
  <c r="I228" i="3"/>
  <c r="D234" i="3" s="1"/>
  <c r="C185" i="3"/>
  <c r="D101" i="2" s="1"/>
  <c r="D281" i="3" l="1"/>
  <c r="I281" i="3" s="1"/>
  <c r="D287" i="3" s="1"/>
  <c r="E105" i="2"/>
  <c r="E211" i="3"/>
  <c r="C102" i="2" s="1"/>
  <c r="C211" i="3"/>
  <c r="D102" i="2" s="1"/>
  <c r="E228" i="3"/>
  <c r="B234" i="3" s="1"/>
  <c r="C234" i="3" s="1"/>
  <c r="E234" i="3" s="1"/>
  <c r="E255" i="3"/>
  <c r="B261" i="3" s="1"/>
  <c r="C261" i="3" s="1"/>
  <c r="E261" i="3" s="1"/>
  <c r="G304" i="3"/>
  <c r="G309" i="3" s="1"/>
  <c r="G311" i="3"/>
  <c r="E233" i="3"/>
  <c r="I253" i="3"/>
  <c r="E253" i="3" s="1"/>
  <c r="B259" i="3" s="1"/>
  <c r="C259" i="3" s="1"/>
  <c r="G296" i="3"/>
  <c r="G286" i="3"/>
  <c r="D288" i="3" s="1"/>
  <c r="B295" i="3"/>
  <c r="E293" i="3"/>
  <c r="I254" i="3"/>
  <c r="D260" i="3" s="1"/>
  <c r="D279" i="3"/>
  <c r="D280" i="3"/>
  <c r="C262" i="3"/>
  <c r="E262" i="3" s="1"/>
  <c r="D307" i="3" l="1"/>
  <c r="I307" i="3" s="1"/>
  <c r="D313" i="3" s="1"/>
  <c r="E106" i="2"/>
  <c r="E254" i="3"/>
  <c r="B260" i="3" s="1"/>
  <c r="C260" i="3" s="1"/>
  <c r="C263" i="3" s="1"/>
  <c r="D104" i="2" s="1"/>
  <c r="C237" i="3"/>
  <c r="D103" i="2" s="1"/>
  <c r="E237" i="3"/>
  <c r="C103" i="2" s="1"/>
  <c r="E281" i="3"/>
  <c r="B287" i="3" s="1"/>
  <c r="C287" i="3" s="1"/>
  <c r="E287" i="3" s="1"/>
  <c r="E259" i="3"/>
  <c r="I280" i="3"/>
  <c r="D286" i="3" s="1"/>
  <c r="G312" i="3"/>
  <c r="D314" i="3" s="1"/>
  <c r="I279" i="3"/>
  <c r="E279" i="3" s="1"/>
  <c r="B285" i="3" s="1"/>
  <c r="C285" i="3" s="1"/>
  <c r="C288" i="3"/>
  <c r="E288" i="3" s="1"/>
  <c r="D305" i="3"/>
  <c r="D306" i="3"/>
  <c r="E260" i="3" l="1"/>
  <c r="E263" i="3" s="1"/>
  <c r="C104" i="2" s="1"/>
  <c r="E307" i="3"/>
  <c r="B313" i="3" s="1"/>
  <c r="C313" i="3" s="1"/>
  <c r="E313" i="3" s="1"/>
  <c r="C314" i="3"/>
  <c r="E314" i="3" s="1"/>
  <c r="I305" i="3"/>
  <c r="E305" i="3" s="1"/>
  <c r="B311" i="3" s="1"/>
  <c r="C311" i="3" s="1"/>
  <c r="E280" i="3"/>
  <c r="B286" i="3" s="1"/>
  <c r="C286" i="3" s="1"/>
  <c r="E286" i="3" s="1"/>
  <c r="E285" i="3"/>
  <c r="I306" i="3"/>
  <c r="D312" i="3" s="1"/>
  <c r="E306" i="3" l="1"/>
  <c r="B312" i="3" s="1"/>
  <c r="C312" i="3" s="1"/>
  <c r="E312" i="3" s="1"/>
  <c r="E289" i="3"/>
  <c r="C105" i="2" s="1"/>
  <c r="E311" i="3"/>
  <c r="C289" i="3"/>
  <c r="D105" i="2" s="1"/>
  <c r="C315" i="3" l="1"/>
  <c r="D106" i="2" s="1"/>
  <c r="B9" i="5" s="1"/>
  <c r="E315" i="3"/>
  <c r="C106" i="2" s="1"/>
  <c r="E144" i="9" l="1"/>
  <c r="H146" i="9" s="1"/>
  <c r="E128" i="9"/>
  <c r="H130" i="9" s="1"/>
</calcChain>
</file>

<file path=xl/sharedStrings.xml><?xml version="1.0" encoding="utf-8"?>
<sst xmlns="http://schemas.openxmlformats.org/spreadsheetml/2006/main" count="1047" uniqueCount="322">
  <si>
    <t>As   =</t>
  </si>
  <si>
    <t>Acero inferior</t>
  </si>
  <si>
    <t>Signos de def.</t>
  </si>
  <si>
    <t>As'  =</t>
  </si>
  <si>
    <t>Acero superior</t>
  </si>
  <si>
    <t>Ast  =</t>
  </si>
  <si>
    <t>c =</t>
  </si>
  <si>
    <t>Es =</t>
  </si>
  <si>
    <t>Fsn</t>
  </si>
  <si>
    <t>bp</t>
  </si>
  <si>
    <t>M</t>
  </si>
  <si>
    <t>Cc =</t>
  </si>
  <si>
    <t>B =</t>
  </si>
  <si>
    <t>F =</t>
  </si>
  <si>
    <t>H =</t>
  </si>
  <si>
    <t>Coefi =</t>
  </si>
  <si>
    <t>Ag =</t>
  </si>
  <si>
    <t>f'c = 280</t>
  </si>
  <si>
    <t>f'c = 300</t>
  </si>
  <si>
    <t>f'c = 350</t>
  </si>
  <si>
    <t>f'c = 400</t>
  </si>
  <si>
    <t>f'c = 420</t>
  </si>
  <si>
    <t>r =</t>
  </si>
  <si>
    <t>f'c = 490</t>
  </si>
  <si>
    <t>f'c = 562</t>
  </si>
  <si>
    <t>f'c = 630</t>
  </si>
  <si>
    <t>d = H - r</t>
  </si>
  <si>
    <t>ACERO</t>
  </si>
  <si>
    <t>fy = 2530</t>
  </si>
  <si>
    <t>fy = 4200</t>
  </si>
  <si>
    <t>a =</t>
  </si>
  <si>
    <t>TIPO</t>
  </si>
  <si>
    <t>F</t>
  </si>
  <si>
    <t>Coeficiente</t>
  </si>
  <si>
    <t>Pu</t>
  </si>
  <si>
    <t>ESTRIBOS</t>
  </si>
  <si>
    <t>ESPIRAL</t>
  </si>
  <si>
    <t>c</t>
  </si>
  <si>
    <t>M  (Ton-m)</t>
  </si>
  <si>
    <t>Área varillas</t>
  </si>
  <si>
    <t xml:space="preserve"> N°2  =</t>
  </si>
  <si>
    <t xml:space="preserve"> N°2,5  =</t>
  </si>
  <si>
    <t xml:space="preserve"> N°3  =</t>
  </si>
  <si>
    <t>N°4  =</t>
  </si>
  <si>
    <t xml:space="preserve"> N°5  =</t>
  </si>
  <si>
    <t>N°6  =</t>
  </si>
  <si>
    <t>N°7  =</t>
  </si>
  <si>
    <t>N°8  =</t>
  </si>
  <si>
    <t>N°9  =</t>
  </si>
  <si>
    <t>N°10  =</t>
  </si>
  <si>
    <t>N°11  =</t>
  </si>
  <si>
    <t>N°12  =</t>
  </si>
  <si>
    <t>CÀLCULO PARA COLUMNA CORTA CON P + MX</t>
  </si>
  <si>
    <t>CÀLCULO BALANCEADO PARA COLUMNA CORTA CON P + MX</t>
  </si>
  <si>
    <t>P  (Ton-m)</t>
  </si>
  <si>
    <t>Punto bal =</t>
  </si>
  <si>
    <t>CÀLCULO CON MOMENTO ÚNICO</t>
  </si>
  <si>
    <r>
      <t>E</t>
    </r>
    <r>
      <rPr>
        <vertAlign val="subscript"/>
        <sz val="10"/>
        <color theme="1"/>
        <rFont val="Arial"/>
        <family val="2"/>
      </rPr>
      <t>C</t>
    </r>
    <r>
      <rPr>
        <sz val="10"/>
        <color theme="1"/>
        <rFont val="Arial"/>
        <family val="2"/>
      </rPr>
      <t xml:space="preserve"> =</t>
    </r>
  </si>
  <si>
    <r>
      <t xml:space="preserve">Pu? </t>
    </r>
    <r>
      <rPr>
        <sz val="10"/>
        <color theme="1"/>
        <rFont val="Symbol"/>
        <family val="1"/>
        <charset val="2"/>
      </rPr>
      <t>=  F</t>
    </r>
    <r>
      <rPr>
        <sz val="10"/>
        <color theme="1"/>
        <rFont val="Arial"/>
        <family val="2"/>
      </rPr>
      <t xml:space="preserve"> Pn =</t>
    </r>
  </si>
  <si>
    <r>
      <t>E</t>
    </r>
    <r>
      <rPr>
        <vertAlign val="subscript"/>
        <sz val="10"/>
        <color theme="1"/>
        <rFont val="Arial"/>
        <family val="2"/>
      </rPr>
      <t>S</t>
    </r>
    <r>
      <rPr>
        <sz val="10"/>
        <color theme="1"/>
        <rFont val="Arial"/>
        <family val="2"/>
      </rPr>
      <t xml:space="preserve"> =</t>
    </r>
  </si>
  <si>
    <r>
      <t>b</t>
    </r>
    <r>
      <rPr>
        <vertAlign val="subscript"/>
        <sz val="10"/>
        <color theme="1"/>
        <rFont val="Symbol"/>
        <family val="1"/>
        <charset val="2"/>
      </rPr>
      <t>1</t>
    </r>
    <r>
      <rPr>
        <vertAlign val="subscript"/>
        <sz val="10"/>
        <color theme="1"/>
        <rFont val="Arial"/>
        <family val="2"/>
      </rPr>
      <t xml:space="preserve"> </t>
    </r>
    <r>
      <rPr>
        <sz val="10"/>
        <color theme="1"/>
        <rFont val="Arial"/>
        <family val="2"/>
      </rPr>
      <t>=</t>
    </r>
  </si>
  <si>
    <r>
      <t>e</t>
    </r>
    <r>
      <rPr>
        <vertAlign val="subscript"/>
        <sz val="10"/>
        <color theme="1"/>
        <rFont val="Arial"/>
        <family val="2"/>
      </rPr>
      <t>s</t>
    </r>
    <r>
      <rPr>
        <sz val="10"/>
        <color theme="1"/>
        <rFont val="Arial"/>
        <family val="2"/>
      </rPr>
      <t xml:space="preserve"> Final</t>
    </r>
  </si>
  <si>
    <r>
      <t>c</t>
    </r>
    <r>
      <rPr>
        <vertAlign val="subscript"/>
        <sz val="10"/>
        <color theme="1"/>
        <rFont val="Arial"/>
        <family val="2"/>
      </rPr>
      <t>bal</t>
    </r>
    <r>
      <rPr>
        <sz val="10"/>
        <color theme="1"/>
        <rFont val="Arial"/>
        <family val="2"/>
      </rPr>
      <t xml:space="preserve"> =</t>
    </r>
  </si>
  <si>
    <r>
      <t>A</t>
    </r>
    <r>
      <rPr>
        <vertAlign val="subscript"/>
        <sz val="10"/>
        <color theme="1"/>
        <rFont val="Arial"/>
        <family val="2"/>
      </rPr>
      <t>s1</t>
    </r>
    <r>
      <rPr>
        <sz val="10"/>
        <color theme="1"/>
        <rFont val="Arial"/>
        <family val="2"/>
      </rPr>
      <t xml:space="preserve">   =</t>
    </r>
  </si>
  <si>
    <r>
      <t>e</t>
    </r>
    <r>
      <rPr>
        <vertAlign val="subscript"/>
        <sz val="10"/>
        <color theme="1"/>
        <rFont val="Arial"/>
        <family val="2"/>
      </rPr>
      <t>s1</t>
    </r>
    <r>
      <rPr>
        <sz val="10"/>
        <color theme="1"/>
        <rFont val="Arial"/>
        <family val="2"/>
      </rPr>
      <t xml:space="preserve"> =</t>
    </r>
  </si>
  <si>
    <r>
      <t>A</t>
    </r>
    <r>
      <rPr>
        <vertAlign val="subscript"/>
        <sz val="10"/>
        <color theme="1"/>
        <rFont val="Arial"/>
        <family val="2"/>
      </rPr>
      <t>s2</t>
    </r>
    <r>
      <rPr>
        <sz val="10"/>
        <color theme="1"/>
        <rFont val="Arial"/>
        <family val="2"/>
      </rPr>
      <t xml:space="preserve">   =</t>
    </r>
  </si>
  <si>
    <r>
      <t>e</t>
    </r>
    <r>
      <rPr>
        <vertAlign val="subscript"/>
        <sz val="10"/>
        <color theme="1"/>
        <rFont val="Arial"/>
        <family val="2"/>
      </rPr>
      <t>s2</t>
    </r>
    <r>
      <rPr>
        <sz val="10"/>
        <color theme="1"/>
        <rFont val="Arial"/>
        <family val="2"/>
      </rPr>
      <t xml:space="preserve"> =</t>
    </r>
  </si>
  <si>
    <r>
      <t>e</t>
    </r>
    <r>
      <rPr>
        <vertAlign val="subscript"/>
        <sz val="10"/>
        <color theme="1"/>
        <rFont val="Arial"/>
        <family val="2"/>
      </rPr>
      <t>c</t>
    </r>
    <r>
      <rPr>
        <sz val="10"/>
        <color theme="1"/>
        <rFont val="Arial"/>
        <family val="2"/>
      </rPr>
      <t xml:space="preserve"> =</t>
    </r>
  </si>
  <si>
    <r>
      <t>A</t>
    </r>
    <r>
      <rPr>
        <vertAlign val="subscript"/>
        <sz val="10"/>
        <color theme="1"/>
        <rFont val="Arial"/>
        <family val="2"/>
      </rPr>
      <t>s3</t>
    </r>
    <r>
      <rPr>
        <sz val="10"/>
        <color theme="1"/>
        <rFont val="Arial"/>
        <family val="2"/>
      </rPr>
      <t xml:space="preserve">  =</t>
    </r>
  </si>
  <si>
    <r>
      <t>e</t>
    </r>
    <r>
      <rPr>
        <vertAlign val="subscript"/>
        <sz val="10"/>
        <color theme="1"/>
        <rFont val="Arial"/>
        <family val="2"/>
      </rPr>
      <t>s3</t>
    </r>
    <r>
      <rPr>
        <sz val="10"/>
        <color theme="1"/>
        <rFont val="Arial"/>
        <family val="2"/>
      </rPr>
      <t xml:space="preserve"> =</t>
    </r>
  </si>
  <si>
    <r>
      <t>e</t>
    </r>
    <r>
      <rPr>
        <vertAlign val="subscript"/>
        <sz val="10"/>
        <color theme="1"/>
        <rFont val="Arial"/>
        <family val="2"/>
      </rPr>
      <t>s</t>
    </r>
    <r>
      <rPr>
        <sz val="10"/>
        <color theme="1"/>
        <rFont val="Arial"/>
        <family val="2"/>
      </rPr>
      <t xml:space="preserve"> =</t>
    </r>
  </si>
  <si>
    <r>
      <t>f</t>
    </r>
    <r>
      <rPr>
        <vertAlign val="subscript"/>
        <sz val="10"/>
        <color theme="1"/>
        <rFont val="Arial"/>
        <family val="2"/>
      </rPr>
      <t>sn</t>
    </r>
  </si>
  <si>
    <r>
      <t>f</t>
    </r>
    <r>
      <rPr>
        <vertAlign val="subscript"/>
        <sz val="10"/>
        <color theme="1"/>
        <rFont val="Arial"/>
        <family val="2"/>
      </rPr>
      <t>s1</t>
    </r>
    <r>
      <rPr>
        <sz val="10"/>
        <color theme="1"/>
        <rFont val="Arial"/>
        <family val="2"/>
      </rPr>
      <t xml:space="preserve"> =</t>
    </r>
  </si>
  <si>
    <r>
      <t>f</t>
    </r>
    <r>
      <rPr>
        <vertAlign val="subscript"/>
        <sz val="10"/>
        <color theme="1"/>
        <rFont val="Arial"/>
        <family val="2"/>
      </rPr>
      <t>s2</t>
    </r>
    <r>
      <rPr>
        <sz val="10"/>
        <color theme="1"/>
        <rFont val="Arial"/>
        <family val="2"/>
      </rPr>
      <t xml:space="preserve"> =</t>
    </r>
  </si>
  <si>
    <r>
      <t>f</t>
    </r>
    <r>
      <rPr>
        <vertAlign val="subscript"/>
        <sz val="10"/>
        <color theme="1"/>
        <rFont val="Arial"/>
        <family val="2"/>
      </rPr>
      <t>s3</t>
    </r>
    <r>
      <rPr>
        <sz val="10"/>
        <color theme="1"/>
        <rFont val="Arial"/>
        <family val="2"/>
      </rPr>
      <t xml:space="preserve"> =</t>
    </r>
  </si>
  <si>
    <r>
      <t>r</t>
    </r>
    <r>
      <rPr>
        <sz val="10"/>
        <color theme="1"/>
        <rFont val="Arial"/>
        <family val="2"/>
      </rPr>
      <t xml:space="preserve"> =</t>
    </r>
  </si>
  <si>
    <r>
      <t>As</t>
    </r>
    <r>
      <rPr>
        <vertAlign val="subscript"/>
        <sz val="10"/>
        <color theme="1"/>
        <rFont val="Arial"/>
        <family val="2"/>
      </rPr>
      <t>min</t>
    </r>
    <r>
      <rPr>
        <sz val="10"/>
        <color theme="1"/>
        <rFont val="Arial"/>
        <family val="2"/>
      </rPr>
      <t xml:space="preserve"> =</t>
    </r>
  </si>
  <si>
    <r>
      <t>S</t>
    </r>
    <r>
      <rPr>
        <sz val="10"/>
        <color theme="1"/>
        <rFont val="Arial"/>
        <family val="2"/>
      </rPr>
      <t xml:space="preserve">   Po =</t>
    </r>
  </si>
  <si>
    <r>
      <t>S</t>
    </r>
    <r>
      <rPr>
        <sz val="10"/>
        <color theme="1"/>
        <rFont val="Arial"/>
        <family val="2"/>
      </rPr>
      <t xml:space="preserve">   Mx =</t>
    </r>
  </si>
  <si>
    <r>
      <t>As</t>
    </r>
    <r>
      <rPr>
        <vertAlign val="subscript"/>
        <sz val="10"/>
        <color theme="1"/>
        <rFont val="Arial"/>
        <family val="2"/>
      </rPr>
      <t>max</t>
    </r>
    <r>
      <rPr>
        <sz val="10"/>
        <color theme="1"/>
        <rFont val="Arial"/>
        <family val="2"/>
      </rPr>
      <t xml:space="preserve"> =</t>
    </r>
  </si>
  <si>
    <r>
      <t>P</t>
    </r>
    <r>
      <rPr>
        <vertAlign val="subscript"/>
        <sz val="10"/>
        <color theme="1"/>
        <rFont val="Arial"/>
        <family val="2"/>
      </rPr>
      <t>OC</t>
    </r>
    <r>
      <rPr>
        <sz val="10"/>
        <color theme="1"/>
        <rFont val="Arial"/>
        <family val="2"/>
      </rPr>
      <t xml:space="preserve"> =</t>
    </r>
  </si>
  <si>
    <r>
      <t>M</t>
    </r>
    <r>
      <rPr>
        <vertAlign val="subscript"/>
        <sz val="10"/>
        <color theme="1"/>
        <rFont val="Arial"/>
        <family val="2"/>
      </rPr>
      <t>X</t>
    </r>
    <r>
      <rPr>
        <sz val="10"/>
        <color theme="1"/>
        <rFont val="Arial"/>
        <family val="2"/>
      </rPr>
      <t xml:space="preserve"> =</t>
    </r>
  </si>
  <si>
    <t>f´c =</t>
  </si>
  <si>
    <t>fyt =</t>
  </si>
  <si>
    <t xml:space="preserve">CÁLCULO PARA ESTRIBOS DE COLUMNA </t>
  </si>
  <si>
    <t>Ws</t>
  </si>
  <si>
    <t>L</t>
  </si>
  <si>
    <t>#2.5</t>
  </si>
  <si>
    <t>#3</t>
  </si>
  <si>
    <t>#4</t>
  </si>
  <si>
    <t>μ</t>
  </si>
  <si>
    <t>#5</t>
  </si>
  <si>
    <t>Vu</t>
  </si>
  <si>
    <t>λ</t>
  </si>
  <si>
    <t>f'c</t>
  </si>
  <si>
    <t>Area</t>
  </si>
  <si>
    <t>∅</t>
  </si>
  <si>
    <t>fyt</t>
  </si>
  <si>
    <t>d</t>
  </si>
  <si>
    <t>bw</t>
  </si>
  <si>
    <t xml:space="preserve">Vc = </t>
  </si>
  <si>
    <t xml:space="preserve">Vs = </t>
  </si>
  <si>
    <t>No. Ramas</t>
  </si>
  <si>
    <t>S1</t>
  </si>
  <si>
    <t>Diametro</t>
  </si>
  <si>
    <t>S2</t>
  </si>
  <si>
    <t>Separacion</t>
  </si>
  <si>
    <t>S3</t>
  </si>
  <si>
    <r>
      <rPr>
        <b/>
        <sz val="10"/>
        <rFont val="Calibri"/>
        <family val="2"/>
      </rPr>
      <t>φ</t>
    </r>
    <r>
      <rPr>
        <b/>
        <sz val="10"/>
        <rFont val="Arial"/>
        <family val="2"/>
      </rPr>
      <t>Vn</t>
    </r>
  </si>
  <si>
    <r>
      <rPr>
        <b/>
        <sz val="10"/>
        <rFont val="Calibri"/>
        <family val="2"/>
      </rPr>
      <t>φ</t>
    </r>
    <r>
      <rPr>
        <b/>
        <sz val="10"/>
        <rFont val="Arial"/>
        <family val="2"/>
      </rPr>
      <t>Vn-Vu</t>
    </r>
  </si>
  <si>
    <t>N/U</t>
  </si>
  <si>
    <t>MPR4</t>
  </si>
  <si>
    <t>MPR3</t>
  </si>
  <si>
    <t>#varilla =</t>
  </si>
  <si>
    <t>b =</t>
  </si>
  <si>
    <t>h =</t>
  </si>
  <si>
    <t>Diametro =</t>
  </si>
  <si>
    <t>s min =</t>
  </si>
  <si>
    <t>S centro =</t>
  </si>
  <si>
    <t>S nudos =</t>
  </si>
  <si>
    <t>DATOS</t>
  </si>
  <si>
    <t>S1 =</t>
  </si>
  <si>
    <t>S2 =</t>
  </si>
  <si>
    <t>S3 =</t>
  </si>
  <si>
    <t>CÁLCULO DE SEPARACIONES</t>
  </si>
  <si>
    <t>CÁLCULO DE ZONAS</t>
  </si>
  <si>
    <t>Zona A =</t>
  </si>
  <si>
    <t>Zona B =</t>
  </si>
  <si>
    <t>L3 =</t>
  </si>
  <si>
    <t>L1 =</t>
  </si>
  <si>
    <t>L2 =</t>
  </si>
  <si>
    <t xml:space="preserve">Deformaciones </t>
  </si>
  <si>
    <t xml:space="preserve">CÁLCULO PARA ESPIRALES DE COLUMNA </t>
  </si>
  <si>
    <t>S =</t>
  </si>
  <si>
    <r>
      <rPr>
        <sz val="10"/>
        <rFont val="Symbol"/>
        <family val="1"/>
        <charset val="2"/>
      </rPr>
      <t>d</t>
    </r>
    <r>
      <rPr>
        <sz val="11.5"/>
        <rFont val="Arial"/>
        <family val="2"/>
      </rPr>
      <t>c =</t>
    </r>
  </si>
  <si>
    <t>Pnmax =</t>
  </si>
  <si>
    <t>d =</t>
  </si>
  <si>
    <r>
      <rPr>
        <sz val="10"/>
        <rFont val="Symbol"/>
        <family val="1"/>
        <charset val="2"/>
      </rPr>
      <t>f</t>
    </r>
    <r>
      <rPr>
        <sz val="10"/>
        <rFont val="Arial"/>
        <family val="1"/>
        <charset val="2"/>
      </rPr>
      <t>flexión =</t>
    </r>
  </si>
  <si>
    <r>
      <rPr>
        <sz val="10"/>
        <rFont val="Symbol"/>
        <family val="1"/>
        <charset val="2"/>
      </rPr>
      <t>f</t>
    </r>
    <r>
      <rPr>
        <sz val="10"/>
        <rFont val="Arial"/>
        <family val="1"/>
        <charset val="2"/>
      </rPr>
      <t>cortante =</t>
    </r>
  </si>
  <si>
    <t>Vu =</t>
  </si>
  <si>
    <t>Mu =</t>
  </si>
  <si>
    <t>Varilla seleccionada:</t>
  </si>
  <si>
    <t>Nº4</t>
  </si>
  <si>
    <t>As=</t>
  </si>
  <si>
    <t>Usar varillas</t>
  </si>
  <si>
    <t xml:space="preserve">espaciadas </t>
  </si>
  <si>
    <t>Denominación</t>
  </si>
  <si>
    <t>Ø</t>
  </si>
  <si>
    <t>Area de varilla</t>
  </si>
  <si>
    <t>Varilla</t>
  </si>
  <si>
    <t>pulg</t>
  </si>
  <si>
    <t>mm</t>
  </si>
  <si>
    <t>cm2</t>
  </si>
  <si>
    <t>Nº2</t>
  </si>
  <si>
    <t>1/4''</t>
  </si>
  <si>
    <t>Nº3</t>
  </si>
  <si>
    <t>3/8''</t>
  </si>
  <si>
    <t>1/2''</t>
  </si>
  <si>
    <t>Nº6</t>
  </si>
  <si>
    <t>3/4''</t>
  </si>
  <si>
    <t>Nº8</t>
  </si>
  <si>
    <t>1''</t>
  </si>
  <si>
    <t>Nº9</t>
  </si>
  <si>
    <t>1-1/8''</t>
  </si>
  <si>
    <t>Nº10</t>
  </si>
  <si>
    <t>1-1/4''</t>
  </si>
  <si>
    <t>Nº11</t>
  </si>
  <si>
    <t>1-3/8''</t>
  </si>
  <si>
    <t>Nº14</t>
  </si>
  <si>
    <t>1-3/4''</t>
  </si>
  <si>
    <t>Nº18</t>
  </si>
  <si>
    <t>2-1/4''</t>
  </si>
  <si>
    <t>Acero longitudinal sup.e inf. :</t>
  </si>
  <si>
    <t>Varillas/m</t>
  </si>
  <si>
    <t>Aslong :</t>
  </si>
  <si>
    <t>b.-</t>
  </si>
  <si>
    <t>Acero transversal</t>
  </si>
  <si>
    <t>Acero transversal sup.e inf. :</t>
  </si>
  <si>
    <t>Astransv :</t>
  </si>
  <si>
    <t>a.-</t>
  </si>
  <si>
    <t>Acero longitudinal</t>
  </si>
  <si>
    <t>Refuerzo en  la losa inferior:</t>
  </si>
  <si>
    <t>Refuerzo en  la losa superior:</t>
  </si>
  <si>
    <t xml:space="preserve">Nota: el pimer As de losa inferior se tomara por las condiciones que se mostrara en un word </t>
  </si>
  <si>
    <t>DIMENSION (cm)</t>
  </si>
  <si>
    <t>A</t>
  </si>
  <si>
    <t>B</t>
  </si>
  <si>
    <t>H</t>
  </si>
  <si>
    <t>H1</t>
  </si>
  <si>
    <t>ARMADO DE LECHO INFERIOR</t>
  </si>
  <si>
    <t>ARMADO DE LECHO SUPERIOR</t>
  </si>
  <si>
    <t>ASA</t>
  </si>
  <si>
    <t>ASB</t>
  </si>
  <si>
    <t>OBSERVACIONES</t>
  </si>
  <si>
    <t>CAPACIDAD</t>
  </si>
  <si>
    <t>PROFUNDIDAD DE DESPLANTE</t>
  </si>
  <si>
    <t>Z-1</t>
  </si>
  <si>
    <t>Centradas</t>
  </si>
  <si>
    <t>Ly =</t>
  </si>
  <si>
    <r>
      <rPr>
        <sz val="10"/>
        <color theme="1"/>
        <rFont val="Symbol"/>
        <family val="1"/>
        <charset val="2"/>
      </rPr>
      <t>F</t>
    </r>
    <r>
      <rPr>
        <sz val="10"/>
        <color theme="1"/>
        <rFont val="Arial"/>
        <family val="2"/>
      </rPr>
      <t xml:space="preserve"> Pn =</t>
    </r>
  </si>
  <si>
    <r>
      <rPr>
        <sz val="8"/>
        <rFont val="Symbol"/>
        <family val="1"/>
        <charset val="2"/>
      </rPr>
      <t>f</t>
    </r>
    <r>
      <rPr>
        <sz val="8"/>
        <rFont val="Arial"/>
        <family val="1"/>
        <charset val="2"/>
      </rPr>
      <t>axial =</t>
    </r>
  </si>
  <si>
    <r>
      <t xml:space="preserve">Pu </t>
    </r>
    <r>
      <rPr>
        <sz val="10"/>
        <color theme="1"/>
        <rFont val="Symbol"/>
        <family val="1"/>
        <charset val="2"/>
      </rPr>
      <t>=  F</t>
    </r>
    <r>
      <rPr>
        <sz val="10"/>
        <color theme="1"/>
        <rFont val="Arial"/>
        <family val="2"/>
      </rPr>
      <t xml:space="preserve"> Pn =</t>
    </r>
  </si>
  <si>
    <t>Cuantias de acero</t>
  </si>
  <si>
    <t>Minimo</t>
  </si>
  <si>
    <t>Max</t>
  </si>
  <si>
    <t>Calculada</t>
  </si>
  <si>
    <t>Refuerzo minimo por cortante</t>
  </si>
  <si>
    <t>Av   =</t>
  </si>
  <si>
    <t>Av'  =</t>
  </si>
  <si>
    <t>Avt  =</t>
  </si>
  <si>
    <t>P/A</t>
  </si>
  <si>
    <t>σ =</t>
  </si>
  <si>
    <t>Ɛ</t>
  </si>
  <si>
    <t>δ=</t>
  </si>
  <si>
    <t>Ɛ=</t>
  </si>
  <si>
    <t>Ɛ*E</t>
  </si>
  <si>
    <t>δ/L</t>
  </si>
  <si>
    <t>FÓRMULAS</t>
  </si>
  <si>
    <t>P=</t>
  </si>
  <si>
    <t>A=</t>
  </si>
  <si>
    <t>E=</t>
  </si>
  <si>
    <t xml:space="preserve">Limite de proporcionalidad </t>
  </si>
  <si>
    <t>Deformación plástica</t>
  </si>
  <si>
    <t xml:space="preserve">Esfuerzo punto de influencia </t>
  </si>
  <si>
    <t>Esfuerzo ultimo</t>
  </si>
  <si>
    <t>Punto de fractura</t>
  </si>
  <si>
    <t>Series</t>
  </si>
  <si>
    <t xml:space="preserve">σ </t>
  </si>
  <si>
    <t>DIAGARAMA DE ESFUERZO-DEFORMACIÓN</t>
  </si>
  <si>
    <t>qadm=</t>
  </si>
  <si>
    <t>factor de carga viva=</t>
  </si>
  <si>
    <t>factor de carga muerta=</t>
  </si>
  <si>
    <t xml:space="preserve">Fuerza axial y punzonamiento </t>
  </si>
  <si>
    <t>Terreno</t>
  </si>
  <si>
    <t>Zapata</t>
  </si>
  <si>
    <t>h  columna =</t>
  </si>
  <si>
    <t xml:space="preserve">Momento de Inercia </t>
  </si>
  <si>
    <t xml:space="preserve">Columna </t>
  </si>
  <si>
    <t>Min</t>
  </si>
  <si>
    <t>Vc</t>
  </si>
  <si>
    <t>f´c columna=</t>
  </si>
  <si>
    <t xml:space="preserve">Concreto y Acero </t>
  </si>
  <si>
    <t xml:space="preserve">Cáclulo de acero </t>
  </si>
  <si>
    <t>Factores</t>
  </si>
  <si>
    <t>Deformaciones</t>
  </si>
  <si>
    <t>Datos</t>
  </si>
  <si>
    <r>
      <t xml:space="preserve">NOTA: </t>
    </r>
    <r>
      <rPr>
        <sz val="7"/>
        <color theme="1"/>
        <rFont val="Arial"/>
        <family val="2"/>
      </rPr>
      <t>aquí se colocola la dimensión mas larga y la del diametro</t>
    </r>
  </si>
  <si>
    <t>Datos de Columna</t>
  </si>
  <si>
    <t>Peso de columna =</t>
  </si>
  <si>
    <r>
      <rPr>
        <sz val="9"/>
        <rFont val="Symbol"/>
        <family val="1"/>
        <charset val="2"/>
      </rPr>
      <t>f</t>
    </r>
    <r>
      <rPr>
        <sz val="9"/>
        <rFont val="Arial"/>
        <family val="1"/>
        <charset val="2"/>
      </rPr>
      <t>cortante =</t>
    </r>
  </si>
  <si>
    <t>w =</t>
  </si>
  <si>
    <t>Vn =</t>
  </si>
  <si>
    <t>Vs =</t>
  </si>
  <si>
    <r>
      <rPr>
        <b/>
        <sz val="10"/>
        <color theme="1"/>
        <rFont val="Arial"/>
        <family val="2"/>
      </rPr>
      <t>Nota</t>
    </r>
    <r>
      <rPr>
        <sz val="10"/>
        <color theme="1"/>
        <rFont val="Arial"/>
        <family val="2"/>
      </rPr>
      <t xml:space="preserve">: profundidad del eje neutro </t>
    </r>
  </si>
  <si>
    <t xml:space="preserve"> B =</t>
  </si>
  <si>
    <t xml:space="preserve">Análisis </t>
  </si>
  <si>
    <t>Av*1.3</t>
  </si>
  <si>
    <r>
      <rPr>
        <sz val="9"/>
        <color theme="1"/>
        <rFont val="Symbol"/>
        <family val="1"/>
        <charset val="2"/>
      </rPr>
      <t>f</t>
    </r>
    <r>
      <rPr>
        <sz val="9"/>
        <color theme="1"/>
        <rFont val="Arial"/>
        <family val="2"/>
      </rPr>
      <t>Vn-Vu =</t>
    </r>
  </si>
  <si>
    <t>Carga Viva =</t>
  </si>
  <si>
    <t>Carga Muerta =</t>
  </si>
  <si>
    <t>Ec =</t>
  </si>
  <si>
    <t>σn=</t>
  </si>
  <si>
    <t>n =</t>
  </si>
  <si>
    <t>fs =</t>
  </si>
  <si>
    <t>fc =</t>
  </si>
  <si>
    <t>k =</t>
  </si>
  <si>
    <t>j =</t>
  </si>
  <si>
    <t>Pn =</t>
  </si>
  <si>
    <t>B min =</t>
  </si>
  <si>
    <t>d min =</t>
  </si>
  <si>
    <t>σc=</t>
  </si>
  <si>
    <t>Reacción neta del suelo σn =</t>
  </si>
  <si>
    <t>Vac =</t>
  </si>
  <si>
    <t>Vact =</t>
  </si>
  <si>
    <t>Vad =</t>
  </si>
  <si>
    <r>
      <rPr>
        <sz val="8"/>
        <color theme="1"/>
        <rFont val="Symbol"/>
        <family val="1"/>
        <charset val="2"/>
      </rPr>
      <t>f</t>
    </r>
    <r>
      <rPr>
        <sz val="8"/>
        <color theme="1"/>
        <rFont val="Arial"/>
        <family val="1"/>
        <charset val="2"/>
      </rPr>
      <t>axial =</t>
    </r>
  </si>
  <si>
    <r>
      <rPr>
        <sz val="10"/>
        <color theme="1"/>
        <rFont val="Symbol"/>
        <family val="1"/>
        <charset val="2"/>
      </rPr>
      <t>f</t>
    </r>
    <r>
      <rPr>
        <sz val="10"/>
        <color theme="1"/>
        <rFont val="Arial"/>
        <family val="1"/>
        <charset val="2"/>
      </rPr>
      <t>flexión =</t>
    </r>
  </si>
  <si>
    <r>
      <rPr>
        <sz val="10"/>
        <color theme="1"/>
        <rFont val="Symbol"/>
        <family val="1"/>
        <charset val="2"/>
      </rPr>
      <t>f</t>
    </r>
    <r>
      <rPr>
        <sz val="10"/>
        <color theme="1"/>
        <rFont val="Arial"/>
        <family val="1"/>
        <charset val="2"/>
      </rPr>
      <t>cortante =</t>
    </r>
  </si>
  <si>
    <r>
      <rPr>
        <sz val="10"/>
        <color theme="1"/>
        <rFont val="Calibri"/>
        <family val="2"/>
      </rPr>
      <t>β</t>
    </r>
    <r>
      <rPr>
        <sz val="10"/>
        <color theme="1"/>
        <rFont val="Arial"/>
        <family val="2"/>
      </rPr>
      <t xml:space="preserve"> =</t>
    </r>
  </si>
  <si>
    <r>
      <t>Pu=</t>
    </r>
    <r>
      <rPr>
        <sz val="10"/>
        <color theme="1"/>
        <rFont val="Symbol"/>
        <family val="1"/>
        <charset val="2"/>
      </rPr>
      <t>f</t>
    </r>
    <r>
      <rPr>
        <sz val="10"/>
        <color theme="1"/>
        <rFont val="Arial"/>
        <family val="2"/>
      </rPr>
      <t>Pn</t>
    </r>
  </si>
  <si>
    <r>
      <rPr>
        <sz val="10"/>
        <color theme="1"/>
        <rFont val="Symbol"/>
        <family val="1"/>
        <charset val="2"/>
      </rPr>
      <t>d</t>
    </r>
    <r>
      <rPr>
        <sz val="11.5"/>
        <color theme="1"/>
        <rFont val="Arial"/>
        <family val="2"/>
      </rPr>
      <t>c =</t>
    </r>
  </si>
  <si>
    <r>
      <rPr>
        <sz val="10"/>
        <color theme="1"/>
        <rFont val="Symbol"/>
        <family val="1"/>
        <charset val="2"/>
      </rPr>
      <t>l</t>
    </r>
    <r>
      <rPr>
        <sz val="11.5"/>
        <color theme="1"/>
        <rFont val="Arial"/>
        <family val="2"/>
      </rPr>
      <t xml:space="preserve"> =</t>
    </r>
  </si>
  <si>
    <r>
      <rPr>
        <i/>
        <sz val="8"/>
        <color theme="1"/>
        <rFont val="Arial"/>
        <family val="2"/>
      </rPr>
      <t>k</t>
    </r>
    <r>
      <rPr>
        <sz val="8"/>
        <color theme="1"/>
        <rFont val="Arial"/>
        <family val="2"/>
      </rPr>
      <t xml:space="preserve"> =</t>
    </r>
  </si>
  <si>
    <r>
      <rPr>
        <sz val="10"/>
        <color theme="1"/>
        <rFont val="Symbol"/>
        <family val="1"/>
        <charset val="2"/>
      </rPr>
      <t>f</t>
    </r>
    <r>
      <rPr>
        <sz val="10"/>
        <color theme="1"/>
        <rFont val="Arial"/>
        <family val="2"/>
      </rPr>
      <t>Vc=</t>
    </r>
  </si>
  <si>
    <r>
      <t>r</t>
    </r>
    <r>
      <rPr>
        <sz val="10"/>
        <color theme="1"/>
        <rFont val="Arial"/>
        <family val="2"/>
      </rPr>
      <t>min=</t>
    </r>
  </si>
  <si>
    <t xml:space="preserve">CALCULO DE AREÁS DE ACERO </t>
  </si>
  <si>
    <t>CÁLCULO Y DISEÑO DE UNA ZAPATA POR EL ANÁLISIS DE TEORIA ÚLTIMA Y TEORÍA ELÁSTICA</t>
  </si>
  <si>
    <t>Ssección critica =</t>
  </si>
  <si>
    <t>Vadmax =</t>
  </si>
  <si>
    <r>
      <rPr>
        <sz val="10"/>
        <color theme="1"/>
        <rFont val="Symbol"/>
        <family val="1"/>
        <charset val="2"/>
      </rPr>
      <t>f</t>
    </r>
    <r>
      <rPr>
        <sz val="10"/>
        <color theme="1"/>
        <rFont val="Arial"/>
        <family val="2"/>
      </rPr>
      <t>Vn-Vu=</t>
    </r>
  </si>
  <si>
    <r>
      <rPr>
        <sz val="10"/>
        <color theme="1"/>
        <rFont val="Calibri"/>
        <family val="2"/>
      </rPr>
      <t>βc</t>
    </r>
    <r>
      <rPr>
        <sz val="10"/>
        <color theme="1"/>
        <rFont val="Arial"/>
        <family val="2"/>
      </rPr>
      <t xml:space="preserve"> =</t>
    </r>
  </si>
  <si>
    <t>Av temperatura</t>
  </si>
  <si>
    <t>Av min por flexion</t>
  </si>
  <si>
    <t>Av =</t>
  </si>
  <si>
    <t>CONSTANTES DEL COCRETO</t>
  </si>
  <si>
    <t>Pn 9% =</t>
  </si>
  <si>
    <t>Ptotal =</t>
  </si>
  <si>
    <t xml:space="preserve">Amin = </t>
  </si>
  <si>
    <t>Anueva =</t>
  </si>
  <si>
    <t>C =</t>
  </si>
  <si>
    <t xml:space="preserve">CUANTÍAS DE ACERO </t>
  </si>
  <si>
    <t>ρ max =</t>
  </si>
  <si>
    <t>ρ min =</t>
  </si>
  <si>
    <t>ρ bal =</t>
  </si>
  <si>
    <t>ρ temp =</t>
  </si>
  <si>
    <t>ρ cal =</t>
  </si>
  <si>
    <t>Capacidad =</t>
  </si>
  <si>
    <t xml:space="preserve">Av </t>
  </si>
  <si>
    <t>N°Varilla =</t>
  </si>
  <si>
    <t>Cantidad =</t>
  </si>
  <si>
    <t>Nº5</t>
  </si>
  <si>
    <t>5/8''</t>
  </si>
  <si>
    <t>Diseño de acero</t>
  </si>
  <si>
    <r>
      <t xml:space="preserve">IMPORTANTE                                                                                                                                                                            1) Las celdas de color azul es donde se ingresara los datos. Exiten celdas la cual tienen listas desplegables como el número de varilla. Hay ciertas incognitas ver inciso 2.                                                                                                                                                 2) Tipo: aqui debera seleccionar si es columna con estribos "cuadrada" o espiral "circular". B: en columnas cuadradas lado corto. H: lado largo o el diametro en espiral. Avt: area total de acero. f´c: resistencia del concreto. fyt: fluencia del acero. Ag: área bruta del acero. Pn: resistencia nominal a carga axial,(max y factores de reducción). </t>
    </r>
    <r>
      <rPr>
        <sz val="10"/>
        <color theme="1"/>
        <rFont val="Calibri"/>
        <family val="2"/>
      </rPr>
      <t>φ</t>
    </r>
    <r>
      <rPr>
        <sz val="10"/>
        <color theme="1"/>
        <rFont val="Arial"/>
        <family val="2"/>
      </rPr>
      <t xml:space="preserve">: factores de reducción. </t>
    </r>
    <r>
      <rPr>
        <sz val="10"/>
        <color theme="1"/>
        <rFont val="Calibri"/>
        <family val="2"/>
      </rPr>
      <t>λ</t>
    </r>
    <r>
      <rPr>
        <sz val="10"/>
        <color theme="1"/>
        <rFont val="Arial"/>
        <family val="2"/>
      </rPr>
      <t xml:space="preserve">: agregado del concreto Ec: módulo elástico del concreto. Es: módulo elástico del acero. </t>
    </r>
    <r>
      <rPr>
        <sz val="10"/>
        <color theme="1"/>
        <rFont val="Calibri"/>
        <family val="2"/>
      </rPr>
      <t>δ</t>
    </r>
    <r>
      <rPr>
        <sz val="10"/>
        <color theme="1"/>
        <rFont val="Arial"/>
        <family val="2"/>
      </rPr>
      <t xml:space="preserve">c: densidad del concreto. </t>
    </r>
    <r>
      <rPr>
        <sz val="10"/>
        <color theme="1"/>
        <rFont val="Calibri"/>
        <family val="2"/>
      </rPr>
      <t>β</t>
    </r>
    <r>
      <rPr>
        <sz val="10"/>
        <color theme="1"/>
        <rFont val="Arial"/>
        <family val="2"/>
      </rPr>
      <t xml:space="preserve">1: profundidad de bloque rectangular equivalente de esfuerzos de compresión con la profundidad del eje neutro. r: recubrimiento. Av y A´v: áreas de acero. Asmin y max: Áreas de acero minimos y máximos. </t>
    </r>
    <r>
      <rPr>
        <sz val="10"/>
        <color theme="1"/>
        <rFont val="Symbol"/>
        <family val="1"/>
        <charset val="2"/>
      </rPr>
      <t>r</t>
    </r>
    <r>
      <rPr>
        <sz val="10"/>
        <color theme="1"/>
        <rFont val="Arial"/>
        <family val="2"/>
      </rPr>
      <t xml:space="preserve">: cuantias de acero. Cbal: profundidad del eje neutro balanceado C y Cc:profundidad del eje neutro. </t>
    </r>
    <r>
      <rPr>
        <sz val="10"/>
        <color theme="1"/>
        <rFont val="Calibri"/>
        <family val="2"/>
      </rPr>
      <t>Ɛ</t>
    </r>
    <r>
      <rPr>
        <sz val="10"/>
        <color theme="1"/>
        <rFont val="Arial"/>
        <family val="2"/>
      </rPr>
      <t xml:space="preserve">: deformaciones Po: resistencia axial nominal. Mx: resistencia nominal a flexion. fs1,2,3: carga admisible.    </t>
    </r>
  </si>
  <si>
    <r>
      <t xml:space="preserve">IMPORTANTE                                                                                                                                                                            1) Las celdas de color azul es donde se ingresara los datos. Exiten celdas la cual tienen listas desplegables como el número de varilla. Hay ciertas incognitas ver inciso 2.                                                                                                                                                 2) w: carga a soportar. </t>
    </r>
    <r>
      <rPr>
        <sz val="9"/>
        <color theme="1"/>
        <rFont val="Calibri"/>
        <family val="2"/>
      </rPr>
      <t>λ</t>
    </r>
    <r>
      <rPr>
        <sz val="9"/>
        <color theme="1"/>
        <rFont val="Arial"/>
        <family val="2"/>
      </rPr>
      <t xml:space="preserve">: factor del tipo de agregado. Vu: coltante ultimo. Vn: cortante nominal. Ly: longitud de la columna #varilla: Numero de varilla. </t>
    </r>
    <r>
      <rPr>
        <sz val="9"/>
        <color theme="1"/>
        <rFont val="Calibri"/>
        <family val="2"/>
      </rPr>
      <t>φ</t>
    </r>
    <r>
      <rPr>
        <sz val="9"/>
        <color theme="1"/>
        <rFont val="Arial"/>
        <family val="2"/>
      </rPr>
      <t>Vn-Vu: resultado que siempre debe ser cero. S1,2,3: separaciones de estribos. Scentro: separaciones en el centro de la columna. Snudos: separación cerca de las secciones de trabes, losas y mensulas. L1,2,3: identificación de zonas. Zonaa: Z ona donce se separaran los estribos a cada Snudos. Zonab: zona donde se seprara los estribos a cada Scentro.</t>
    </r>
  </si>
  <si>
    <r>
      <t xml:space="preserve">IMPORTANTE                                                                                                                                                                            1) Las celdas de color azul es donde se ingresara los datos. Exiten celdas la cual tienen listas desplegables como el número de varilla. Hay ciertas incognitas ver inciso 2.                                                                                                                                                 2) w: carga a soportar. </t>
    </r>
    <r>
      <rPr>
        <sz val="8"/>
        <color theme="1"/>
        <rFont val="Calibri"/>
        <family val="2"/>
      </rPr>
      <t>λ</t>
    </r>
    <r>
      <rPr>
        <sz val="8"/>
        <color theme="1"/>
        <rFont val="Arial"/>
        <family val="2"/>
      </rPr>
      <t xml:space="preserve">: factor del tipo de agregado. Vu: coltante ultimo. Vn: cortante nominal. Ly: longitud de la columna #varilla: Numero de varilla. </t>
    </r>
    <r>
      <rPr>
        <sz val="8"/>
        <color theme="1"/>
        <rFont val="Calibri"/>
        <family val="2"/>
      </rPr>
      <t>φ</t>
    </r>
    <r>
      <rPr>
        <sz val="8"/>
        <color theme="1"/>
        <rFont val="Arial"/>
        <family val="2"/>
      </rPr>
      <t>Vn-Vu: resultado que siempre debe ser cero. S1,2,3: separaciones de estribos. Scentro: separaciones en el centro de la columna. Snudos: separación cerca de las secciones de trabes, losas y mensulas. L1,2,3: identificación de zonas.</t>
    </r>
  </si>
  <si>
    <r>
      <t xml:space="preserve">IMPORTANTE                                                                                                                                                                                    1) Las celdas de color azul es donde se ingresara los datos. Exiten celdas la cual tienen listas desplegables como el número de varilla. Hay ciertas incognitas ver inciso 2.                                                                                                                                                 2) Tipo: aqui debera seleccionar si es columna con estribos "cuadrada" o espiral "circular". B: en columnas cuadradas lado corto. H: lado largo o el diametro en espiral. d:distancia de la fibra mas alejada a compresión del eje neutro Avt: area total de acero. f´c: resistencia del concreto. fs:esfuerzo admisible a tensión. fc:0.45*f´c fyt: fluencia del acero. Ag: área bruta del acero. Pn: resistencia nominal a carga axial,(max y factores de reducción). </t>
    </r>
    <r>
      <rPr>
        <sz val="8.8000000000000007"/>
        <color theme="1"/>
        <rFont val="Calibri"/>
        <family val="2"/>
      </rPr>
      <t>φ</t>
    </r>
    <r>
      <rPr>
        <sz val="8.8000000000000007"/>
        <color theme="1"/>
        <rFont val="Arial"/>
        <family val="2"/>
      </rPr>
      <t xml:space="preserve">: factores de reducción. </t>
    </r>
    <r>
      <rPr>
        <sz val="8.8000000000000007"/>
        <color theme="1"/>
        <rFont val="Calibri"/>
        <family val="2"/>
      </rPr>
      <t>λ</t>
    </r>
    <r>
      <rPr>
        <sz val="8.8000000000000007"/>
        <color theme="1"/>
        <rFont val="Arial"/>
        <family val="2"/>
      </rPr>
      <t xml:space="preserve">: agregado del concreto. n:relación de modulos de elasticidad. Ec: módulo elástico del concreto. Es: módulo elástico del acero. </t>
    </r>
    <r>
      <rPr>
        <sz val="8.8000000000000007"/>
        <color theme="1"/>
        <rFont val="Calibri"/>
        <family val="2"/>
      </rPr>
      <t>δ</t>
    </r>
    <r>
      <rPr>
        <sz val="8.8000000000000007"/>
        <color theme="1"/>
        <rFont val="Arial"/>
        <family val="2"/>
      </rPr>
      <t xml:space="preserve">c: densidad del concreto. </t>
    </r>
    <r>
      <rPr>
        <sz val="8.8000000000000007"/>
        <color theme="1"/>
        <rFont val="Calibri"/>
        <family val="2"/>
      </rPr>
      <t>βc: factor para tener en cuenta el efecto del refuerzo de confinamiento y la fisuración en la resistencia efectiva a la compresión del concreto en un puntal. qadm: carga admisible del terreno. B: ancho de la zapata. r: recubrimiento de la zapata. Amin y Anueva: área total de la zapata. k,</t>
    </r>
    <r>
      <rPr>
        <i/>
        <sz val="8.8000000000000007"/>
        <color theme="1"/>
        <rFont val="Calibri"/>
        <family val="2"/>
      </rPr>
      <t>j</t>
    </r>
    <r>
      <rPr>
        <sz val="8.8000000000000007"/>
        <color theme="1"/>
        <rFont val="Calibri"/>
        <family val="2"/>
      </rPr>
      <t>,</t>
    </r>
    <r>
      <rPr>
        <i/>
        <sz val="8.8000000000000007"/>
        <color theme="1"/>
        <rFont val="Calibri"/>
        <family val="2"/>
      </rPr>
      <t xml:space="preserve">k: </t>
    </r>
    <r>
      <rPr>
        <sz val="8.8000000000000007"/>
        <color theme="1"/>
        <rFont val="Calibri"/>
        <family val="2"/>
      </rPr>
      <t xml:space="preserve">constantes del concreto σn: reacción neta del suelo. σa: capacidad de carga del suelo. C: profundidad del eje neutro.  Vu: cortante ultimo. Mu: momento ultimo. Vc: resistencia del cortante Vs: resistencia a cortante proporcionado por el acero de refuerzo. Av, Av*1.3, Avmin flexión, Av temp: son los cálculos de áreas de acero para la zapata( HAY QUE VER EL DIAGRMA DE FLUJO DE ESTAS ÁREAS). </t>
    </r>
    <r>
      <rPr>
        <sz val="8.8000000000000007"/>
        <color theme="1"/>
        <rFont val="Symbol"/>
        <family val="1"/>
        <charset val="2"/>
      </rPr>
      <t>r</t>
    </r>
    <r>
      <rPr>
        <sz val="8.8000000000000007"/>
        <color theme="1"/>
        <rFont val="Calibri"/>
        <family val="2"/>
      </rPr>
      <t>: cuantías de acero.</t>
    </r>
  </si>
  <si>
    <t>diagrama de flujo del As minimo.docx</t>
  </si>
  <si>
    <t>RESULTADOS DE LA SECCIÓN BALANCEADA</t>
  </si>
  <si>
    <t xml:space="preserve">Resultados </t>
  </si>
  <si>
    <t>RESULTADOS DE LOS VALORES DEL EJE NEUTRO</t>
  </si>
  <si>
    <t>Resistencia a corte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</si>
</sst>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1">
    <numFmt numFmtId="164" formatCode="0.000000"/>
    <numFmt numFmtId="165" formatCode="0.000"/>
    <numFmt numFmtId="166" formatCode="0.0000000"/>
    <numFmt numFmtId="167" formatCode="0\ \ &quot;Kg/cm2&quot;"/>
    <numFmt numFmtId="168" formatCode="0.00\ &quot;Ton&quot;"/>
    <numFmt numFmtId="169" formatCode="0.00\ &quot;Ton-m&quot;"/>
    <numFmt numFmtId="170" formatCode="0.00\ &quot;cm2&quot;"/>
    <numFmt numFmtId="171" formatCode="0.00\ &quot;cm&quot;"/>
    <numFmt numFmtId="172" formatCode="0\ &quot;cm&quot;"/>
    <numFmt numFmtId="173" formatCode="0.00\ &quot;cm&quot;&quot;2&quot;"/>
    <numFmt numFmtId="174" formatCode="0\ &quot;kg/m2&quot;"/>
    <numFmt numFmtId="175" formatCode="0.00\ &quot;kg&quot;"/>
    <numFmt numFmtId="176" formatCode="0.00\ "/>
    <numFmt numFmtId="177" formatCode="0\ &quot;Kg&quot;"/>
    <numFmt numFmtId="178" formatCode="0\ &quot;Kg/cm2&quot;"/>
    <numFmt numFmtId="179" formatCode="0\ &quot;cm2&quot;"/>
    <numFmt numFmtId="180" formatCode="&quot;E@&quot;\ 0"/>
    <numFmt numFmtId="181" formatCode="0.0"/>
    <numFmt numFmtId="182" formatCode="0.00\ &quot;m&quot;"/>
    <numFmt numFmtId="183" formatCode="0\ &quot;kg/m3&quot;"/>
    <numFmt numFmtId="184" formatCode="0\ &quot;kg/cm2&quot;"/>
    <numFmt numFmtId="185" formatCode="0\ &quot;kg&quot;"/>
    <numFmt numFmtId="186" formatCode="0.00\ &quot;cms&quot;"/>
    <numFmt numFmtId="187" formatCode="0.0000"/>
    <numFmt numFmtId="188" formatCode="0,000\ &quot;kg&quot;"/>
    <numFmt numFmtId="189" formatCode="0.00\ &quot;kg/cm2&quot;"/>
    <numFmt numFmtId="190" formatCode="0\ &quot;Ton&quot;"/>
    <numFmt numFmtId="191" formatCode="0,000.00\ &quot;kg&quot;"/>
    <numFmt numFmtId="192" formatCode="0.00000\ "/>
    <numFmt numFmtId="193" formatCode="0,000.00\ &quot;Kg&quot;"/>
    <numFmt numFmtId="194" formatCode="0,000,000\ &quot;kg/cm2&quot;"/>
    <numFmt numFmtId="195" formatCode="&quot;Over/Under flag&quot;;&quot;&quot;;&quot;&quot;"/>
    <numFmt numFmtId="196" formatCode="0,000\ &quot;Kg&quot;"/>
    <numFmt numFmtId="197" formatCode="0\ &quot;Kg/m&quot;"/>
    <numFmt numFmtId="198" formatCode="0,000\ &quot;kg/m&quot;"/>
    <numFmt numFmtId="199" formatCode="0.00\ &quot;kg/m&quot;"/>
    <numFmt numFmtId="200" formatCode="0,000\ &quot;kg/cm2&quot;"/>
    <numFmt numFmtId="201" formatCode="0.00\ &quot;m2&quot;"/>
    <numFmt numFmtId="202" formatCode="000\ &quot;Kg&quot;"/>
    <numFmt numFmtId="203" formatCode="0.00000"/>
    <numFmt numFmtId="204" formatCode="0,000\ &quot;Ton&quot;"/>
  </numFmts>
  <fonts count="75">
    <font>
      <sz val="10"/>
      <name val="Arial"/>
    </font>
    <font>
      <sz val="8"/>
      <name val="Arial"/>
      <family val="2"/>
    </font>
    <font>
      <b/>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10"/>
      <color theme="1"/>
      <name val="Arial"/>
      <family val="2"/>
    </font>
    <font>
      <sz val="10"/>
      <color rgb="FFFF0000"/>
      <name val="Arial"/>
      <family val="2"/>
    </font>
    <font>
      <sz val="10"/>
      <color theme="1"/>
      <name val="Symbol"/>
      <family val="1"/>
      <charset val="2"/>
    </font>
    <font>
      <vertAlign val="subscript"/>
      <sz val="10"/>
      <color theme="1"/>
      <name val="Symbol"/>
      <family val="1"/>
      <charset val="2"/>
    </font>
    <font>
      <vertAlign val="subscript"/>
      <sz val="10"/>
      <color theme="1"/>
      <name val="Arial"/>
      <family val="2"/>
    </font>
    <font>
      <sz val="8"/>
      <color theme="1"/>
      <name val="Arial"/>
      <family val="2"/>
    </font>
    <font>
      <b/>
      <sz val="10"/>
      <color theme="1"/>
      <name val="Arial"/>
      <family val="2"/>
    </font>
    <font>
      <b/>
      <sz val="12"/>
      <color theme="1"/>
      <name val="Arial"/>
      <family val="2"/>
    </font>
    <font>
      <sz val="12"/>
      <name val="Levenim MT"/>
    </font>
    <font>
      <sz val="12"/>
      <color rgb="FFFF0000"/>
      <name val="Levenim MT"/>
    </font>
    <font>
      <sz val="8"/>
      <color rgb="FFFF0000"/>
      <name val="Levenim MT"/>
    </font>
    <font>
      <sz val="10"/>
      <color theme="3"/>
      <name val="Arial"/>
      <family val="2"/>
    </font>
    <font>
      <b/>
      <sz val="10"/>
      <name val="Calibri"/>
      <family val="2"/>
    </font>
    <font>
      <b/>
      <sz val="11"/>
      <color theme="1"/>
      <name val="GreekC"/>
    </font>
    <font>
      <sz val="10"/>
      <color theme="0"/>
      <name val="Arial"/>
      <family val="2"/>
    </font>
    <font>
      <sz val="11"/>
      <name val="Calibri"/>
      <family val="2"/>
      <scheme val="minor"/>
    </font>
    <font>
      <sz val="9"/>
      <color theme="1"/>
      <name val="Arial"/>
      <family val="2"/>
    </font>
    <font>
      <b/>
      <sz val="9"/>
      <color theme="1"/>
      <name val="Arial"/>
      <family val="2"/>
    </font>
    <font>
      <sz val="9"/>
      <color rgb="FF0070C0"/>
      <name val="Arial"/>
      <family val="2"/>
    </font>
    <font>
      <sz val="8"/>
      <color rgb="FF0070C0"/>
      <name val="Arial"/>
      <family val="2"/>
    </font>
    <font>
      <i/>
      <sz val="10"/>
      <color theme="1"/>
      <name val="Arial"/>
      <family val="2"/>
    </font>
    <font>
      <sz val="10"/>
      <name val="Arial"/>
      <family val="2"/>
    </font>
    <font>
      <sz val="18"/>
      <name val="Microsoft PhagsPa"/>
      <family val="2"/>
    </font>
    <font>
      <sz val="10"/>
      <name val="Arial"/>
      <family val="1"/>
      <charset val="2"/>
    </font>
    <font>
      <sz val="10"/>
      <name val="Symbol"/>
      <family val="1"/>
      <charset val="2"/>
    </font>
    <font>
      <sz val="8"/>
      <name val="Symbol"/>
      <family val="1"/>
      <charset val="2"/>
    </font>
    <font>
      <sz val="11.5"/>
      <name val="Arial"/>
      <family val="2"/>
    </font>
    <font>
      <sz val="8"/>
      <name val="Arial"/>
      <family val="1"/>
      <charset val="2"/>
    </font>
    <font>
      <u/>
      <sz val="10"/>
      <color rgb="FFFF0000"/>
      <name val="Arial"/>
      <family val="2"/>
    </font>
    <font>
      <sz val="10"/>
      <color theme="1"/>
      <name val="Calibri"/>
      <family val="2"/>
    </font>
    <font>
      <sz val="10"/>
      <color theme="1"/>
      <name val="Arial"/>
      <family val="1"/>
      <charset val="2"/>
    </font>
    <font>
      <sz val="11"/>
      <name val="Calibri"/>
      <family val="2"/>
    </font>
    <font>
      <sz val="11"/>
      <name val="Arial"/>
      <family val="2"/>
    </font>
    <font>
      <sz val="11"/>
      <color theme="3" tint="-0.499984740745262"/>
      <name val="Calibri"/>
      <family val="2"/>
      <scheme val="minor"/>
    </font>
    <font>
      <sz val="11"/>
      <color theme="2" tint="-0.89992980742820516"/>
      <name val="Calibri"/>
      <family val="2"/>
      <scheme val="minor"/>
    </font>
    <font>
      <sz val="11"/>
      <color theme="2" tint="-0.89989928891872917"/>
      <name val="Calibri"/>
      <family val="2"/>
      <scheme val="minor"/>
    </font>
    <font>
      <b/>
      <sz val="11"/>
      <color theme="2" tint="-0.89996032593768116"/>
      <name val="Calibri"/>
      <family val="2"/>
      <scheme val="minor"/>
    </font>
    <font>
      <b/>
      <sz val="11"/>
      <color theme="9"/>
      <name val="Calibri"/>
      <family val="2"/>
      <scheme val="minor"/>
    </font>
    <font>
      <b/>
      <sz val="12"/>
      <color theme="9" tint="-0.499984740745262"/>
      <name val="Calibri"/>
      <family val="2"/>
      <scheme val="minor"/>
    </font>
    <font>
      <sz val="24"/>
      <color theme="3"/>
      <name val="Cambria"/>
      <family val="2"/>
      <scheme val="major"/>
    </font>
    <font>
      <sz val="24"/>
      <color theme="3"/>
      <name val="Calibri"/>
      <family val="2"/>
      <scheme val="minor"/>
    </font>
    <font>
      <b/>
      <sz val="10"/>
      <color rgb="FFFF0000"/>
      <name val="Arial"/>
      <family val="2"/>
    </font>
    <font>
      <b/>
      <sz val="8"/>
      <color theme="1"/>
      <name val="Arial"/>
      <family val="2"/>
    </font>
    <font>
      <b/>
      <sz val="7"/>
      <color theme="1"/>
      <name val="Arial"/>
      <family val="2"/>
    </font>
    <font>
      <sz val="7"/>
      <color theme="1"/>
      <name val="Arial"/>
      <family val="2"/>
    </font>
    <font>
      <b/>
      <sz val="9"/>
      <color rgb="FFFF0000"/>
      <name val="Arial"/>
      <family val="2"/>
    </font>
    <font>
      <sz val="9"/>
      <color theme="1"/>
      <name val="Symbol"/>
      <family val="1"/>
      <charset val="2"/>
    </font>
    <font>
      <sz val="9"/>
      <name val="Arial"/>
      <family val="1"/>
      <charset val="2"/>
    </font>
    <font>
      <sz val="9"/>
      <name val="Symbol"/>
      <family val="1"/>
      <charset val="2"/>
    </font>
    <font>
      <sz val="9"/>
      <color theme="1"/>
      <name val="Arial"/>
      <family val="1"/>
      <charset val="2"/>
    </font>
    <font>
      <sz val="18"/>
      <color theme="1"/>
      <name val="Microsoft PhagsPa"/>
      <family val="2"/>
    </font>
    <font>
      <sz val="8"/>
      <color theme="1"/>
      <name val="Arial"/>
      <family val="1"/>
      <charset val="2"/>
    </font>
    <font>
      <sz val="8"/>
      <color theme="1"/>
      <name val="Symbol"/>
      <family val="1"/>
      <charset val="2"/>
    </font>
    <font>
      <sz val="11.5"/>
      <color theme="1"/>
      <name val="Arial"/>
      <family val="2"/>
    </font>
    <font>
      <i/>
      <sz val="8"/>
      <color theme="1"/>
      <name val="Arial"/>
      <family val="2"/>
    </font>
    <font>
      <u/>
      <sz val="10"/>
      <color theme="1"/>
      <name val="Arial"/>
      <family val="2"/>
    </font>
    <font>
      <b/>
      <sz val="10"/>
      <color rgb="FF002060"/>
      <name val="Arial"/>
      <family val="2"/>
    </font>
    <font>
      <sz val="10"/>
      <color rgb="FF002060"/>
      <name val="Arial"/>
      <family val="2"/>
    </font>
    <font>
      <sz val="12"/>
      <color theme="1"/>
      <name val="Microsoft PhagsPa"/>
      <family val="2"/>
    </font>
    <font>
      <sz val="9"/>
      <color theme="0"/>
      <name val="Arial"/>
      <family val="2"/>
    </font>
    <font>
      <sz val="10"/>
      <color theme="0"/>
      <name val="Symbol"/>
      <family val="1"/>
      <charset val="2"/>
    </font>
    <font>
      <b/>
      <sz val="8"/>
      <color rgb="FFFF0000"/>
      <name val="Arial"/>
      <family val="2"/>
    </font>
    <font>
      <sz val="9"/>
      <color theme="1"/>
      <name val="Calibri"/>
      <family val="2"/>
    </font>
    <font>
      <sz val="8"/>
      <color theme="1"/>
      <name val="Calibri"/>
      <family val="2"/>
    </font>
    <font>
      <sz val="8.8000000000000007"/>
      <color theme="1"/>
      <name val="Arial"/>
      <family val="2"/>
    </font>
    <font>
      <sz val="8.8000000000000007"/>
      <color theme="1"/>
      <name val="Calibri"/>
      <family val="2"/>
    </font>
    <font>
      <i/>
      <sz val="8.8000000000000007"/>
      <color theme="1"/>
      <name val="Calibri"/>
      <family val="2"/>
    </font>
    <font>
      <sz val="8.8000000000000007"/>
      <color theme="1"/>
      <name val="Symbol"/>
      <family val="1"/>
      <charset val="2"/>
    </font>
    <font>
      <u/>
      <sz val="10"/>
      <color theme="10"/>
      <name val="Arial"/>
    </font>
  </fonts>
  <fills count="12">
    <fill>
      <patternFill patternType="none"/>
    </fill>
    <fill>
      <patternFill patternType="gray125"/>
    </fill>
    <fill>
      <patternFill patternType="solid">
        <fgColor indexed="22"/>
        <bgColor indexed="64"/>
      </patternFill>
    </fill>
    <fill>
      <patternFill patternType="solid">
        <fgColor indexed="34"/>
        <bgColor indexed="64"/>
      </patternFill>
    </fill>
    <fill>
      <patternFill patternType="solid">
        <fgColor theme="0"/>
        <bgColor indexed="64"/>
      </patternFill>
    </fill>
    <fill>
      <patternFill patternType="solid">
        <fgColor rgb="FF33CCFF"/>
        <bgColor indexed="64"/>
      </patternFill>
    </fill>
    <fill>
      <patternFill patternType="solid">
        <fgColor rgb="FFCCFFFF"/>
        <bgColor indexed="64"/>
      </patternFill>
    </fill>
    <fill>
      <patternFill patternType="solid">
        <fgColor theme="9" tint="0.39997558519241921"/>
        <bgColor indexed="64"/>
      </patternFill>
    </fill>
    <fill>
      <patternFill patternType="solid">
        <fgColor indexed="44"/>
        <bgColor indexed="64"/>
      </patternFill>
    </fill>
    <fill>
      <patternFill patternType="solid">
        <fgColor theme="0" tint="-0.249977111117893"/>
        <bgColor indexed="64"/>
      </patternFill>
    </fill>
    <fill>
      <patternFill patternType="solid">
        <fgColor theme="8"/>
        <bgColor indexed="64"/>
      </patternFill>
    </fill>
    <fill>
      <patternFill patternType="solid">
        <fgColor theme="2"/>
        <bgColor indexed="64"/>
      </patternFill>
    </fill>
  </fills>
  <borders count="5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thin">
        <color auto="1"/>
      </left>
      <right/>
      <top/>
      <bottom/>
      <diagonal/>
    </border>
    <border>
      <left style="thick">
        <color theme="0"/>
      </left>
      <right/>
      <top/>
      <bottom/>
      <diagonal/>
    </border>
    <border>
      <left/>
      <right style="thick">
        <color theme="0"/>
      </right>
      <top/>
      <bottom/>
      <diagonal/>
    </border>
    <border>
      <left style="thin">
        <color theme="9"/>
      </left>
      <right style="thin">
        <color theme="9"/>
      </right>
      <top style="thin">
        <color theme="9"/>
      </top>
      <bottom style="thin">
        <color theme="9"/>
      </bottom>
      <diagonal/>
    </border>
    <border>
      <left/>
      <right/>
      <top style="thin">
        <color indexed="64"/>
      </top>
      <bottom/>
      <diagonal/>
    </border>
    <border>
      <left style="medium">
        <color indexed="64"/>
      </left>
      <right/>
      <top style="thin">
        <color indexed="64"/>
      </top>
      <bottom/>
      <diagonal/>
    </border>
  </borders>
  <cellStyleXfs count="16">
    <xf numFmtId="0" fontId="0" fillId="0" borderId="0"/>
    <xf numFmtId="0" fontId="39" fillId="0" borderId="0">
      <alignment vertical="center"/>
    </xf>
    <xf numFmtId="14" fontId="40" fillId="0" borderId="0" applyFill="0" applyBorder="0" applyProtection="0">
      <alignment horizontal="right" vertical="center" indent="2"/>
    </xf>
    <xf numFmtId="0" fontId="41" fillId="0" borderId="0" applyFill="0" applyBorder="0" applyProtection="0">
      <alignment horizontal="left" vertical="center" wrapText="1" indent="1"/>
    </xf>
    <xf numFmtId="3" fontId="41" fillId="11" borderId="0" applyBorder="0">
      <alignment horizontal="left" vertical="center" indent="1"/>
    </xf>
    <xf numFmtId="195" fontId="4" fillId="0" borderId="51">
      <alignment horizontal="right" vertical="center"/>
    </xf>
    <xf numFmtId="3" fontId="41" fillId="0" borderId="0" applyFill="0" applyBorder="0" applyProtection="0">
      <alignment horizontal="left" vertical="center" indent="1"/>
    </xf>
    <xf numFmtId="14" fontId="40" fillId="0" borderId="52">
      <alignment horizontal="left" vertical="center" indent="2"/>
    </xf>
    <xf numFmtId="3" fontId="41" fillId="11" borderId="53">
      <alignment horizontal="left" vertical="center" indent="1"/>
    </xf>
    <xf numFmtId="0" fontId="42" fillId="0" borderId="0" applyNumberFormat="0" applyBorder="0" applyProtection="0">
      <alignment horizontal="left" vertical="center" wrapText="1" indent="1"/>
    </xf>
    <xf numFmtId="195" fontId="43" fillId="0" borderId="0" applyFill="0" applyProtection="0">
      <alignment horizontal="left" vertical="center" indent="1"/>
    </xf>
    <xf numFmtId="0" fontId="42" fillId="0" borderId="52" applyNumberFormat="0" applyFill="0" applyProtection="0">
      <alignment horizontal="left" vertical="center" wrapText="1" indent="2"/>
    </xf>
    <xf numFmtId="9" fontId="44" fillId="0" borderId="54" applyProtection="0">
      <alignment horizontal="center" vertical="center"/>
    </xf>
    <xf numFmtId="0" fontId="45" fillId="0" borderId="0" applyNumberFormat="0" applyFill="0" applyBorder="0" applyAlignment="0" applyProtection="0"/>
    <xf numFmtId="0" fontId="46" fillId="0" borderId="0" applyNumberFormat="0" applyFill="0" applyBorder="0" applyProtection="0">
      <alignment horizontal="left" vertical="center" indent="1"/>
    </xf>
    <xf numFmtId="0" fontId="74" fillId="0" borderId="0" applyNumberFormat="0" applyFill="0" applyBorder="0" applyAlignment="0" applyProtection="0"/>
  </cellStyleXfs>
  <cellXfs count="496">
    <xf numFmtId="0" fontId="0" fillId="0" borderId="0" xfId="0"/>
    <xf numFmtId="0" fontId="0" fillId="4" borderId="0" xfId="0" applyFill="1"/>
    <xf numFmtId="0" fontId="0" fillId="4" borderId="0" xfId="0" applyFill="1" applyAlignment="1">
      <alignment horizontal="left"/>
    </xf>
    <xf numFmtId="0" fontId="6" fillId="3" borderId="3" xfId="0" applyFont="1" applyFill="1" applyBorder="1" applyAlignment="1">
      <alignment horizontal="center"/>
    </xf>
    <xf numFmtId="0" fontId="6" fillId="3" borderId="3" xfId="0" applyFont="1" applyFill="1" applyBorder="1" applyAlignment="1">
      <alignment horizontal="right"/>
    </xf>
    <xf numFmtId="169" fontId="6" fillId="3" borderId="3" xfId="0" applyNumberFormat="1" applyFont="1" applyFill="1" applyBorder="1" applyAlignment="1">
      <alignment horizontal="center"/>
    </xf>
    <xf numFmtId="168" fontId="6" fillId="3" borderId="3" xfId="0" applyNumberFormat="1" applyFont="1" applyFill="1" applyBorder="1" applyAlignment="1">
      <alignment horizontal="center"/>
    </xf>
    <xf numFmtId="0" fontId="6" fillId="4" borderId="0" xfId="0" applyFont="1" applyFill="1"/>
    <xf numFmtId="0" fontId="8" fillId="4"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left"/>
    </xf>
    <xf numFmtId="0" fontId="6" fillId="4" borderId="0" xfId="0" applyFont="1" applyFill="1" applyAlignment="1">
      <alignment horizontal="right"/>
    </xf>
    <xf numFmtId="0" fontId="8" fillId="4" borderId="0" xfId="0" applyFont="1" applyFill="1" applyAlignment="1">
      <alignment horizontal="right"/>
    </xf>
    <xf numFmtId="2" fontId="6" fillId="4" borderId="0" xfId="0" applyNumberFormat="1" applyFont="1" applyFill="1" applyAlignment="1">
      <alignment horizontal="left"/>
    </xf>
    <xf numFmtId="167" fontId="6" fillId="4" borderId="0" xfId="0" applyNumberFormat="1" applyFont="1" applyFill="1"/>
    <xf numFmtId="2" fontId="6" fillId="4" borderId="0" xfId="0" applyNumberFormat="1" applyFont="1" applyFill="1" applyAlignment="1">
      <alignment horizontal="center"/>
    </xf>
    <xf numFmtId="0" fontId="6" fillId="4" borderId="0" xfId="0" applyFont="1" applyFill="1" applyBorder="1" applyAlignment="1">
      <alignment horizontal="right"/>
    </xf>
    <xf numFmtId="2" fontId="6" fillId="4" borderId="0" xfId="0" applyNumberFormat="1" applyFont="1" applyFill="1" applyBorder="1" applyAlignment="1">
      <alignment horizontal="center"/>
    </xf>
    <xf numFmtId="165" fontId="6" fillId="4" borderId="0" xfId="0" applyNumberFormat="1" applyFont="1" applyFill="1" applyAlignment="1">
      <alignment horizontal="center"/>
    </xf>
    <xf numFmtId="0" fontId="11" fillId="4" borderId="0" xfId="0" applyFont="1" applyFill="1"/>
    <xf numFmtId="0" fontId="11" fillId="4" borderId="0" xfId="0" applyFont="1" applyFill="1" applyAlignment="1">
      <alignment horizontal="right"/>
    </xf>
    <xf numFmtId="2" fontId="6" fillId="4" borderId="0" xfId="0" applyNumberFormat="1" applyFont="1" applyFill="1"/>
    <xf numFmtId="164" fontId="6" fillId="4" borderId="0" xfId="0" applyNumberFormat="1" applyFont="1" applyFill="1" applyAlignment="1">
      <alignment horizontal="center"/>
    </xf>
    <xf numFmtId="166" fontId="6" fillId="4" borderId="0" xfId="0" applyNumberFormat="1" applyFont="1" applyFill="1"/>
    <xf numFmtId="1" fontId="6" fillId="4" borderId="0" xfId="0" applyNumberFormat="1" applyFont="1" applyFill="1"/>
    <xf numFmtId="2" fontId="8" fillId="4" borderId="1" xfId="0" applyNumberFormat="1" applyFont="1" applyFill="1" applyBorder="1" applyAlignment="1">
      <alignment horizontal="right"/>
    </xf>
    <xf numFmtId="168" fontId="6" fillId="4" borderId="2" xfId="0" applyNumberFormat="1" applyFont="1" applyFill="1" applyBorder="1" applyAlignment="1">
      <alignment horizontal="left"/>
    </xf>
    <xf numFmtId="169" fontId="6" fillId="4" borderId="2" xfId="0" applyNumberFormat="1" applyFont="1" applyFill="1" applyBorder="1" applyAlignment="1">
      <alignment horizontal="left"/>
    </xf>
    <xf numFmtId="168" fontId="6" fillId="4" borderId="0" xfId="0" applyNumberFormat="1" applyFont="1" applyFill="1" applyBorder="1" applyAlignment="1">
      <alignment horizontal="center"/>
    </xf>
    <xf numFmtId="170" fontId="6" fillId="4" borderId="0" xfId="0" applyNumberFormat="1" applyFont="1" applyFill="1" applyAlignment="1">
      <alignment horizontal="right"/>
    </xf>
    <xf numFmtId="0" fontId="6" fillId="4" borderId="4" xfId="0" applyFont="1" applyFill="1" applyBorder="1"/>
    <xf numFmtId="0" fontId="6" fillId="4" borderId="5" xfId="0" applyFont="1" applyFill="1" applyBorder="1"/>
    <xf numFmtId="0" fontId="6" fillId="4" borderId="6" xfId="0" applyFont="1" applyFill="1" applyBorder="1" applyAlignment="1">
      <alignment horizontal="center"/>
    </xf>
    <xf numFmtId="0" fontId="6" fillId="4" borderId="7" xfId="0" applyFont="1" applyFill="1" applyBorder="1" applyAlignment="1">
      <alignment horizontal="right"/>
    </xf>
    <xf numFmtId="0" fontId="6" fillId="4" borderId="0" xfId="0" applyFont="1" applyFill="1" applyBorder="1"/>
    <xf numFmtId="0" fontId="8" fillId="4" borderId="0" xfId="0" applyFont="1" applyFill="1" applyBorder="1" applyAlignment="1">
      <alignment horizontal="right"/>
    </xf>
    <xf numFmtId="2" fontId="6" fillId="4" borderId="0" xfId="0" applyNumberFormat="1" applyFont="1" applyFill="1" applyBorder="1" applyAlignment="1">
      <alignment horizontal="left"/>
    </xf>
    <xf numFmtId="167" fontId="6" fillId="4" borderId="0" xfId="0" applyNumberFormat="1" applyFont="1" applyFill="1" applyBorder="1"/>
    <xf numFmtId="0" fontId="6" fillId="4" borderId="8" xfId="0" applyFont="1" applyFill="1" applyBorder="1" applyAlignment="1">
      <alignment horizontal="center"/>
    </xf>
    <xf numFmtId="0" fontId="6" fillId="4" borderId="0" xfId="0" applyFont="1" applyFill="1" applyBorder="1" applyAlignment="1">
      <alignment horizontal="left"/>
    </xf>
    <xf numFmtId="165" fontId="6" fillId="4" borderId="0" xfId="0" applyNumberFormat="1" applyFont="1" applyFill="1" applyBorder="1" applyAlignment="1">
      <alignment horizontal="center"/>
    </xf>
    <xf numFmtId="0" fontId="8" fillId="4" borderId="7" xfId="0" applyFont="1" applyFill="1" applyBorder="1" applyAlignment="1">
      <alignment horizontal="right"/>
    </xf>
    <xf numFmtId="0" fontId="11" fillId="4" borderId="0" xfId="0" applyFont="1" applyFill="1" applyBorder="1"/>
    <xf numFmtId="0" fontId="6" fillId="4" borderId="7" xfId="0" applyFont="1" applyFill="1" applyBorder="1"/>
    <xf numFmtId="0" fontId="11" fillId="4" borderId="0" xfId="0" applyFont="1" applyFill="1" applyBorder="1" applyAlignment="1">
      <alignment horizontal="right"/>
    </xf>
    <xf numFmtId="0" fontId="6" fillId="4" borderId="0" xfId="0" applyFont="1" applyFill="1" applyBorder="1" applyAlignment="1">
      <alignment horizontal="center"/>
    </xf>
    <xf numFmtId="0" fontId="6" fillId="4" borderId="8" xfId="0" applyFont="1" applyFill="1" applyBorder="1"/>
    <xf numFmtId="0" fontId="8" fillId="4" borderId="0" xfId="0" applyFont="1" applyFill="1" applyBorder="1" applyAlignment="1">
      <alignment horizontal="center"/>
    </xf>
    <xf numFmtId="2" fontId="6" fillId="4" borderId="0" xfId="0" applyNumberFormat="1" applyFont="1" applyFill="1" applyBorder="1"/>
    <xf numFmtId="164" fontId="6" fillId="4" borderId="0" xfId="0" applyNumberFormat="1" applyFont="1" applyFill="1" applyBorder="1" applyAlignment="1">
      <alignment horizontal="center"/>
    </xf>
    <xf numFmtId="166" fontId="6" fillId="4" borderId="0" xfId="0" applyNumberFormat="1" applyFont="1" applyFill="1" applyBorder="1"/>
    <xf numFmtId="1" fontId="6" fillId="4" borderId="0" xfId="0" applyNumberFormat="1" applyFont="1" applyFill="1" applyBorder="1"/>
    <xf numFmtId="0" fontId="6" fillId="4" borderId="9" xfId="0" applyFont="1" applyFill="1" applyBorder="1"/>
    <xf numFmtId="0" fontId="6" fillId="4" borderId="10" xfId="0" applyFont="1" applyFill="1" applyBorder="1"/>
    <xf numFmtId="0" fontId="6" fillId="4" borderId="11" xfId="0" applyFont="1" applyFill="1" applyBorder="1"/>
    <xf numFmtId="0" fontId="6" fillId="4" borderId="3" xfId="0" applyFont="1" applyFill="1" applyBorder="1"/>
    <xf numFmtId="2" fontId="8" fillId="2" borderId="20" xfId="0" applyNumberFormat="1" applyFont="1" applyFill="1" applyBorder="1" applyAlignment="1">
      <alignment horizontal="right"/>
    </xf>
    <xf numFmtId="168" fontId="6" fillId="2" borderId="21" xfId="0" applyNumberFormat="1" applyFont="1" applyFill="1" applyBorder="1" applyAlignment="1">
      <alignment horizontal="left"/>
    </xf>
    <xf numFmtId="169" fontId="6" fillId="2" borderId="22" xfId="0" applyNumberFormat="1" applyFont="1" applyFill="1" applyBorder="1" applyAlignment="1">
      <alignment horizontal="left"/>
    </xf>
    <xf numFmtId="2" fontId="8" fillId="2" borderId="23" xfId="0" applyNumberFormat="1" applyFont="1" applyFill="1" applyBorder="1" applyAlignment="1">
      <alignment horizontal="right"/>
    </xf>
    <xf numFmtId="0" fontId="8" fillId="4" borderId="3" xfId="0" applyFont="1" applyFill="1" applyBorder="1" applyAlignment="1">
      <alignment horizontal="center"/>
    </xf>
    <xf numFmtId="0" fontId="6" fillId="4" borderId="3" xfId="0" applyFont="1" applyFill="1" applyBorder="1" applyAlignment="1">
      <alignment horizontal="right"/>
    </xf>
    <xf numFmtId="0" fontId="8" fillId="4" borderId="3" xfId="0" applyFont="1" applyFill="1" applyBorder="1" applyAlignment="1">
      <alignment horizontal="right"/>
    </xf>
    <xf numFmtId="164" fontId="6" fillId="4" borderId="3" xfId="0" applyNumberFormat="1" applyFont="1" applyFill="1" applyBorder="1" applyAlignment="1">
      <alignment horizontal="center"/>
    </xf>
    <xf numFmtId="168" fontId="6" fillId="4" borderId="0" xfId="0" applyNumberFormat="1" applyFont="1" applyFill="1"/>
    <xf numFmtId="0" fontId="12" fillId="4" borderId="0" xfId="0" applyFont="1" applyFill="1" applyAlignment="1">
      <alignment horizontal="center"/>
    </xf>
    <xf numFmtId="0" fontId="6" fillId="4" borderId="24" xfId="0" applyFont="1" applyFill="1" applyBorder="1" applyAlignment="1">
      <alignment horizontal="right"/>
    </xf>
    <xf numFmtId="0" fontId="6" fillId="4" borderId="25" xfId="0" applyFont="1" applyFill="1" applyBorder="1" applyAlignment="1">
      <alignment horizontal="center"/>
    </xf>
    <xf numFmtId="0" fontId="6" fillId="4" borderId="26" xfId="0" applyFont="1" applyFill="1" applyBorder="1" applyAlignment="1">
      <alignment horizontal="center"/>
    </xf>
    <xf numFmtId="0" fontId="6" fillId="4" borderId="27" xfId="0" applyFont="1" applyFill="1" applyBorder="1" applyAlignment="1">
      <alignment horizontal="right"/>
    </xf>
    <xf numFmtId="2" fontId="6" fillId="4" borderId="8" xfId="0" applyNumberFormat="1" applyFont="1" applyFill="1" applyBorder="1" applyAlignment="1">
      <alignment horizontal="center"/>
    </xf>
    <xf numFmtId="0" fontId="6" fillId="4" borderId="28" xfId="0" applyFont="1" applyFill="1" applyBorder="1" applyAlignment="1">
      <alignment horizontal="right"/>
    </xf>
    <xf numFmtId="0" fontId="6" fillId="4" borderId="30" xfId="0" applyFont="1" applyFill="1" applyBorder="1" applyAlignment="1">
      <alignment horizontal="right"/>
    </xf>
    <xf numFmtId="0" fontId="6" fillId="4" borderId="29" xfId="0" applyFont="1" applyFill="1" applyBorder="1" applyAlignment="1">
      <alignment horizontal="right"/>
    </xf>
    <xf numFmtId="169" fontId="6" fillId="4" borderId="0" xfId="0" applyNumberFormat="1" applyFont="1" applyFill="1"/>
    <xf numFmtId="0" fontId="12" fillId="4" borderId="0" xfId="0" applyFont="1" applyFill="1"/>
    <xf numFmtId="0" fontId="6" fillId="4" borderId="3" xfId="0" applyFont="1" applyFill="1" applyBorder="1" applyAlignment="1">
      <alignment horizontal="center"/>
    </xf>
    <xf numFmtId="2" fontId="6" fillId="4" borderId="3" xfId="0" applyNumberFormat="1" applyFont="1" applyFill="1" applyBorder="1"/>
    <xf numFmtId="0" fontId="2" fillId="4" borderId="34" xfId="0" applyFont="1" applyFill="1" applyBorder="1" applyAlignment="1">
      <alignment horizontal="center" vertical="center"/>
    </xf>
    <xf numFmtId="174" fontId="0" fillId="6" borderId="35" xfId="0" applyNumberFormat="1" applyFill="1" applyBorder="1" applyAlignment="1">
      <alignment horizontal="left" vertical="center"/>
    </xf>
    <xf numFmtId="2" fontId="14" fillId="4" borderId="0" xfId="0" applyNumberFormat="1" applyFont="1" applyFill="1" applyBorder="1" applyAlignment="1">
      <alignment horizontal="left" vertical="center" wrapText="1"/>
    </xf>
    <xf numFmtId="2" fontId="15" fillId="4" borderId="0" xfId="0" applyNumberFormat="1" applyFont="1" applyFill="1" applyBorder="1" applyAlignment="1">
      <alignment horizontal="left" vertical="center" wrapText="1"/>
    </xf>
    <xf numFmtId="2" fontId="16" fillId="4" borderId="0" xfId="0" applyNumberFormat="1" applyFont="1" applyFill="1" applyBorder="1" applyAlignment="1">
      <alignment horizontal="left" vertical="center" wrapText="1"/>
    </xf>
    <xf numFmtId="2" fontId="15" fillId="4" borderId="0" xfId="0" applyNumberFormat="1" applyFont="1" applyFill="1" applyBorder="1" applyAlignment="1">
      <alignment vertical="top" wrapText="1"/>
    </xf>
    <xf numFmtId="0" fontId="7" fillId="4" borderId="0" xfId="0" applyFont="1" applyFill="1" applyProtection="1"/>
    <xf numFmtId="0" fontId="2" fillId="4" borderId="36" xfId="0" applyFont="1" applyFill="1" applyBorder="1" applyAlignment="1">
      <alignment horizontal="center" vertical="center"/>
    </xf>
    <xf numFmtId="172" fontId="0" fillId="6" borderId="37" xfId="0" applyNumberFormat="1" applyFill="1" applyBorder="1" applyAlignment="1">
      <alignment horizontal="left" vertical="center"/>
    </xf>
    <xf numFmtId="0" fontId="7" fillId="4" borderId="0" xfId="0" applyFont="1" applyFill="1"/>
    <xf numFmtId="0" fontId="17" fillId="4" borderId="0" xfId="0" applyFont="1" applyFill="1"/>
    <xf numFmtId="0" fontId="2" fillId="4" borderId="30" xfId="0" applyFont="1" applyFill="1" applyBorder="1" applyAlignment="1">
      <alignment horizontal="center" vertical="center"/>
    </xf>
    <xf numFmtId="0" fontId="18" fillId="4" borderId="30" xfId="0" applyFont="1" applyFill="1" applyBorder="1" applyAlignment="1">
      <alignment horizontal="center" vertical="center"/>
    </xf>
    <xf numFmtId="176" fontId="0" fillId="4" borderId="38" xfId="0" applyNumberFormat="1" applyFill="1" applyBorder="1" applyAlignment="1">
      <alignment horizontal="left" vertical="center"/>
    </xf>
    <xf numFmtId="0" fontId="3" fillId="4" borderId="30" xfId="0" applyFont="1" applyFill="1" applyBorder="1" applyAlignment="1">
      <alignment horizontal="center" vertical="center"/>
    </xf>
    <xf numFmtId="177" fontId="0" fillId="4" borderId="38" xfId="0" applyNumberFormat="1" applyFill="1" applyBorder="1" applyAlignment="1">
      <alignment horizontal="left" vertical="center"/>
    </xf>
    <xf numFmtId="0" fontId="0" fillId="4" borderId="0" xfId="0" applyFill="1" applyProtection="1"/>
    <xf numFmtId="0" fontId="19" fillId="4" borderId="36" xfId="0" applyFont="1" applyFill="1" applyBorder="1" applyAlignment="1">
      <alignment horizontal="center" vertical="center"/>
    </xf>
    <xf numFmtId="0" fontId="0" fillId="4" borderId="37" xfId="0" applyFill="1" applyBorder="1" applyAlignment="1">
      <alignment horizontal="left" vertical="center"/>
    </xf>
    <xf numFmtId="0" fontId="0" fillId="4" borderId="0" xfId="0" applyFill="1" applyAlignment="1">
      <alignment horizontal="left" vertical="center"/>
    </xf>
    <xf numFmtId="0" fontId="3" fillId="4" borderId="36" xfId="0" applyFont="1" applyFill="1" applyBorder="1" applyAlignment="1">
      <alignment horizontal="center" vertical="center"/>
    </xf>
    <xf numFmtId="178" fontId="0" fillId="4" borderId="37" xfId="0" applyNumberFormat="1" applyFill="1" applyBorder="1" applyAlignment="1">
      <alignment horizontal="left" vertical="center"/>
    </xf>
    <xf numFmtId="179" fontId="0" fillId="0" borderId="37" xfId="0" applyNumberFormat="1" applyFill="1" applyBorder="1" applyAlignment="1">
      <alignment horizontal="left" vertical="center"/>
    </xf>
    <xf numFmtId="0" fontId="0" fillId="0" borderId="37" xfId="0" applyFill="1" applyBorder="1" applyAlignment="1">
      <alignment horizontal="left" vertical="center"/>
    </xf>
    <xf numFmtId="172" fontId="0" fillId="4" borderId="37" xfId="0" applyNumberFormat="1" applyFill="1" applyBorder="1" applyAlignment="1">
      <alignment horizontal="left" vertical="center"/>
    </xf>
    <xf numFmtId="0" fontId="3" fillId="4" borderId="39" xfId="0" applyFont="1" applyFill="1" applyBorder="1" applyAlignment="1">
      <alignment horizontal="center" vertical="center"/>
    </xf>
    <xf numFmtId="172" fontId="0" fillId="4" borderId="40" xfId="0" applyNumberFormat="1" applyFill="1" applyBorder="1" applyAlignment="1">
      <alignment horizontal="left" vertical="center"/>
    </xf>
    <xf numFmtId="0" fontId="3" fillId="4" borderId="3" xfId="0" applyFont="1" applyFill="1" applyBorder="1" applyAlignment="1">
      <alignment horizontal="left" vertical="center"/>
    </xf>
    <xf numFmtId="0" fontId="0" fillId="4" borderId="3" xfId="0" applyFill="1" applyBorder="1" applyAlignment="1">
      <alignment horizontal="left" vertical="center"/>
    </xf>
    <xf numFmtId="0" fontId="3" fillId="4" borderId="0" xfId="0" applyFont="1" applyFill="1" applyAlignment="1">
      <alignment horizontal="left" vertical="center"/>
    </xf>
    <xf numFmtId="0" fontId="3" fillId="4" borderId="34" xfId="0" applyFont="1" applyFill="1" applyBorder="1" applyAlignment="1">
      <alignment horizontal="left" vertical="center"/>
    </xf>
    <xf numFmtId="0" fontId="0" fillId="0" borderId="35" xfId="0" applyBorder="1" applyAlignment="1">
      <alignment horizontal="center" vertical="center"/>
    </xf>
    <xf numFmtId="0" fontId="20" fillId="4" borderId="0" xfId="0" applyFont="1" applyFill="1" applyAlignment="1">
      <alignment horizontal="right" vertical="center"/>
    </xf>
    <xf numFmtId="0" fontId="4" fillId="4" borderId="0" xfId="0" applyFont="1" applyFill="1" applyAlignment="1">
      <alignment horizontal="left" vertical="center"/>
    </xf>
    <xf numFmtId="0" fontId="5" fillId="4" borderId="0" xfId="0" applyFont="1" applyFill="1" applyAlignment="1">
      <alignment horizontal="left" vertical="center"/>
    </xf>
    <xf numFmtId="0" fontId="3" fillId="4" borderId="36" xfId="0" applyFont="1" applyFill="1" applyBorder="1" applyAlignment="1">
      <alignment horizontal="left" vertical="center"/>
    </xf>
    <xf numFmtId="0" fontId="0" fillId="6" borderId="1" xfId="0" applyFill="1" applyBorder="1" applyAlignment="1">
      <alignment horizontal="center" vertical="center"/>
    </xf>
    <xf numFmtId="0" fontId="2" fillId="4" borderId="34" xfId="0" applyFont="1" applyFill="1" applyBorder="1" applyAlignment="1">
      <alignment horizontal="right" vertical="center"/>
    </xf>
    <xf numFmtId="171" fontId="21" fillId="4" borderId="41" xfId="0" applyNumberFormat="1" applyFont="1" applyFill="1" applyBorder="1" applyAlignment="1">
      <alignment horizontal="left" vertical="center"/>
    </xf>
    <xf numFmtId="171" fontId="21" fillId="4" borderId="35" xfId="0" applyNumberFormat="1" applyFont="1" applyFill="1" applyBorder="1" applyAlignment="1">
      <alignment horizontal="left" vertical="center"/>
    </xf>
    <xf numFmtId="0" fontId="2" fillId="4" borderId="36" xfId="0" applyFont="1" applyFill="1" applyBorder="1" applyAlignment="1">
      <alignment horizontal="right" vertical="center"/>
    </xf>
    <xf numFmtId="171" fontId="21" fillId="4" borderId="3" xfId="0" applyNumberFormat="1" applyFont="1" applyFill="1" applyBorder="1" applyAlignment="1">
      <alignment horizontal="left" vertical="center"/>
    </xf>
    <xf numFmtId="171" fontId="21" fillId="4" borderId="37" xfId="0" applyNumberFormat="1" applyFont="1" applyFill="1" applyBorder="1" applyAlignment="1">
      <alignment horizontal="left" vertical="center"/>
    </xf>
    <xf numFmtId="0" fontId="3" fillId="4" borderId="39" xfId="0" applyFont="1" applyFill="1" applyBorder="1" applyAlignment="1">
      <alignment horizontal="left" vertical="center"/>
    </xf>
    <xf numFmtId="171" fontId="0" fillId="0" borderId="20" xfId="0" applyNumberFormat="1" applyBorder="1" applyAlignment="1">
      <alignment horizontal="center" vertical="center"/>
    </xf>
    <xf numFmtId="0" fontId="2" fillId="4" borderId="39" xfId="0" applyFont="1" applyFill="1" applyBorder="1" applyAlignment="1">
      <alignment horizontal="right" vertical="center"/>
    </xf>
    <xf numFmtId="171" fontId="21" fillId="4" borderId="42" xfId="0" applyNumberFormat="1" applyFont="1" applyFill="1" applyBorder="1" applyAlignment="1">
      <alignment horizontal="left" vertical="center"/>
    </xf>
    <xf numFmtId="171" fontId="21" fillId="4" borderId="40" xfId="0" applyNumberFormat="1" applyFont="1" applyFill="1" applyBorder="1" applyAlignment="1">
      <alignment horizontal="left" vertical="center"/>
    </xf>
    <xf numFmtId="0" fontId="2" fillId="4" borderId="3" xfId="0" applyFont="1" applyFill="1" applyBorder="1" applyAlignment="1" applyProtection="1">
      <alignment horizontal="center"/>
    </xf>
    <xf numFmtId="177" fontId="0" fillId="4" borderId="3" xfId="0" applyNumberFormat="1" applyFill="1" applyBorder="1" applyAlignment="1" applyProtection="1">
      <alignment horizontal="left"/>
    </xf>
    <xf numFmtId="175" fontId="1" fillId="4" borderId="38" xfId="0" applyNumberFormat="1" applyFont="1" applyFill="1" applyBorder="1" applyAlignment="1">
      <alignment horizontal="left" vertical="center"/>
    </xf>
    <xf numFmtId="0" fontId="22" fillId="4" borderId="0" xfId="0" applyFont="1" applyFill="1"/>
    <xf numFmtId="0" fontId="22" fillId="4" borderId="0" xfId="0" applyFont="1" applyFill="1" applyBorder="1"/>
    <xf numFmtId="0" fontId="22" fillId="4" borderId="0" xfId="0" applyFont="1" applyFill="1" applyProtection="1"/>
    <xf numFmtId="175" fontId="22" fillId="4" borderId="0" xfId="0" applyNumberFormat="1" applyFont="1" applyFill="1" applyBorder="1" applyAlignment="1">
      <alignment horizontal="left" vertical="center"/>
    </xf>
    <xf numFmtId="0" fontId="22" fillId="4" borderId="0" xfId="0" applyFont="1" applyFill="1" applyBorder="1" applyProtection="1"/>
    <xf numFmtId="0" fontId="22" fillId="4" borderId="0" xfId="0" applyFont="1" applyFill="1" applyBorder="1" applyAlignment="1">
      <alignment horizontal="left"/>
    </xf>
    <xf numFmtId="0" fontId="22" fillId="4" borderId="0" xfId="0" applyFont="1" applyFill="1" applyBorder="1" applyAlignment="1">
      <alignment horizontal="left" vertical="center"/>
    </xf>
    <xf numFmtId="0" fontId="22" fillId="4" borderId="0" xfId="0" applyFont="1" applyFill="1" applyBorder="1" applyAlignment="1">
      <alignment horizontal="center"/>
    </xf>
    <xf numFmtId="171" fontId="22" fillId="4" borderId="0" xfId="0" applyNumberFormat="1" applyFont="1" applyFill="1" applyBorder="1" applyAlignment="1">
      <alignment horizontal="left" vertical="center"/>
    </xf>
    <xf numFmtId="0" fontId="23" fillId="4" borderId="0" xfId="0" applyFont="1" applyFill="1" applyBorder="1" applyAlignment="1">
      <alignment horizontal="left" vertical="center"/>
    </xf>
    <xf numFmtId="0" fontId="22" fillId="4" borderId="0" xfId="0" applyFont="1" applyFill="1" applyBorder="1" applyAlignment="1">
      <alignment horizontal="right" vertical="center"/>
    </xf>
    <xf numFmtId="0" fontId="23" fillId="4" borderId="0" xfId="0" applyFont="1" applyFill="1" applyBorder="1" applyAlignment="1">
      <alignment horizontal="right" vertical="center"/>
    </xf>
    <xf numFmtId="172" fontId="22" fillId="4" borderId="3" xfId="0" applyNumberFormat="1" applyFont="1" applyFill="1" applyBorder="1" applyAlignment="1">
      <alignment horizontal="left" vertical="center"/>
    </xf>
    <xf numFmtId="171" fontId="22" fillId="4" borderId="3" xfId="0" applyNumberFormat="1" applyFont="1" applyFill="1" applyBorder="1" applyAlignment="1" applyProtection="1">
      <alignment horizontal="left"/>
    </xf>
    <xf numFmtId="171" fontId="22" fillId="4" borderId="3" xfId="0" applyNumberFormat="1" applyFont="1" applyFill="1" applyBorder="1" applyAlignment="1">
      <alignment horizontal="left" vertical="center"/>
    </xf>
    <xf numFmtId="0" fontId="22" fillId="4" borderId="0" xfId="0" applyFont="1" applyFill="1" applyBorder="1" applyAlignment="1">
      <alignment horizontal="right"/>
    </xf>
    <xf numFmtId="0" fontId="22" fillId="4" borderId="0" xfId="0" applyFont="1" applyFill="1" applyBorder="1" applyAlignment="1" applyProtection="1">
      <alignment horizontal="right"/>
    </xf>
    <xf numFmtId="179" fontId="22" fillId="4" borderId="44" xfId="0" applyNumberFormat="1" applyFont="1" applyFill="1" applyBorder="1" applyAlignment="1">
      <alignment horizontal="left" vertical="center"/>
    </xf>
    <xf numFmtId="171" fontId="22" fillId="4" borderId="43" xfId="0" applyNumberFormat="1" applyFont="1" applyFill="1" applyBorder="1" applyAlignment="1">
      <alignment horizontal="left" vertical="center"/>
    </xf>
    <xf numFmtId="0" fontId="22" fillId="4" borderId="0" xfId="0" applyFont="1" applyFill="1" applyAlignment="1">
      <alignment horizontal="right"/>
    </xf>
    <xf numFmtId="0" fontId="22" fillId="4" borderId="0" xfId="0" applyFont="1" applyFill="1" applyAlignment="1">
      <alignment horizontal="left"/>
    </xf>
    <xf numFmtId="0" fontId="22" fillId="4" borderId="0" xfId="0" applyFont="1" applyFill="1" applyAlignment="1">
      <alignment horizontal="left" vertical="center"/>
    </xf>
    <xf numFmtId="172" fontId="24" fillId="4" borderId="0" xfId="0" applyNumberFormat="1" applyFont="1" applyFill="1" applyAlignment="1">
      <alignment horizontal="center"/>
    </xf>
    <xf numFmtId="180" fontId="24" fillId="4" borderId="0" xfId="0" applyNumberFormat="1" applyFont="1" applyFill="1" applyAlignment="1">
      <alignment horizontal="left" vertical="center"/>
    </xf>
    <xf numFmtId="172" fontId="24" fillId="4" borderId="0" xfId="0" applyNumberFormat="1" applyFont="1" applyFill="1" applyAlignment="1">
      <alignment horizontal="left"/>
    </xf>
    <xf numFmtId="0" fontId="26" fillId="4" borderId="0" xfId="0" applyFont="1" applyFill="1"/>
    <xf numFmtId="0" fontId="23" fillId="4" borderId="0" xfId="0" applyFont="1" applyFill="1" applyBorder="1" applyAlignment="1">
      <alignment horizontal="center" vertical="center"/>
    </xf>
    <xf numFmtId="0" fontId="34" fillId="4" borderId="0" xfId="0" applyFont="1" applyFill="1" applyBorder="1"/>
    <xf numFmtId="181" fontId="6" fillId="4" borderId="0" xfId="0" applyNumberFormat="1" applyFont="1" applyFill="1" applyBorder="1" applyAlignment="1">
      <alignment horizontal="center"/>
    </xf>
    <xf numFmtId="0" fontId="6" fillId="4" borderId="0" xfId="0" quotePrefix="1" applyFont="1" applyFill="1" applyBorder="1" applyAlignment="1">
      <alignment horizontal="center"/>
    </xf>
    <xf numFmtId="14" fontId="6" fillId="4" borderId="0" xfId="0" applyNumberFormat="1" applyFont="1" applyFill="1" applyBorder="1" applyAlignment="1">
      <alignment horizontal="center"/>
    </xf>
    <xf numFmtId="0" fontId="34" fillId="4" borderId="5" xfId="0" applyFont="1" applyFill="1" applyBorder="1"/>
    <xf numFmtId="0" fontId="36" fillId="4" borderId="0" xfId="0" applyFont="1" applyFill="1" applyBorder="1" applyAlignment="1">
      <alignment horizontal="right"/>
    </xf>
    <xf numFmtId="181" fontId="29" fillId="4" borderId="0" xfId="0" applyNumberFormat="1" applyFont="1" applyFill="1" applyBorder="1" applyAlignment="1">
      <alignment horizontal="right" vertical="center"/>
    </xf>
    <xf numFmtId="164" fontId="6" fillId="4" borderId="3" xfId="0" applyNumberFormat="1" applyFont="1" applyFill="1" applyBorder="1" applyAlignment="1">
      <alignment horizontal="left"/>
    </xf>
    <xf numFmtId="166" fontId="6" fillId="4" borderId="3" xfId="0" applyNumberFormat="1" applyFont="1" applyFill="1" applyBorder="1" applyAlignment="1">
      <alignment horizontal="left"/>
    </xf>
    <xf numFmtId="0" fontId="12" fillId="4" borderId="0" xfId="0" applyFont="1" applyFill="1" applyBorder="1"/>
    <xf numFmtId="190" fontId="6" fillId="4" borderId="0" xfId="0" applyNumberFormat="1" applyFont="1" applyFill="1" applyBorder="1"/>
    <xf numFmtId="168" fontId="6" fillId="4" borderId="0" xfId="0" applyNumberFormat="1" applyFont="1" applyFill="1" applyBorder="1"/>
    <xf numFmtId="192" fontId="6" fillId="4" borderId="3" xfId="0" applyNumberFormat="1" applyFont="1" applyFill="1" applyBorder="1"/>
    <xf numFmtId="0" fontId="37" fillId="4" borderId="3" xfId="0" applyFont="1" applyFill="1" applyBorder="1" applyAlignment="1">
      <alignment horizontal="right"/>
    </xf>
    <xf numFmtId="193" fontId="0" fillId="5" borderId="3" xfId="0" applyNumberFormat="1" applyFill="1" applyBorder="1"/>
    <xf numFmtId="0" fontId="27" fillId="4" borderId="3" xfId="0" applyFont="1" applyFill="1" applyBorder="1" applyAlignment="1">
      <alignment horizontal="right"/>
    </xf>
    <xf numFmtId="170" fontId="0" fillId="5" borderId="3" xfId="0" applyNumberFormat="1" applyFill="1" applyBorder="1"/>
    <xf numFmtId="189" fontId="0" fillId="4" borderId="3" xfId="0" applyNumberFormat="1" applyFill="1" applyBorder="1"/>
    <xf numFmtId="0" fontId="38" fillId="4" borderId="3" xfId="0" applyFont="1" applyFill="1" applyBorder="1"/>
    <xf numFmtId="194" fontId="0" fillId="4" borderId="3" xfId="0" applyNumberFormat="1" applyFill="1" applyBorder="1"/>
    <xf numFmtId="0" fontId="38" fillId="4" borderId="3" xfId="0" applyFont="1" applyFill="1" applyBorder="1" applyAlignment="1">
      <alignment horizontal="right"/>
    </xf>
    <xf numFmtId="164" fontId="0" fillId="4" borderId="3" xfId="0" applyNumberFormat="1" applyFill="1" applyBorder="1"/>
    <xf numFmtId="170" fontId="0" fillId="4" borderId="3" xfId="0" applyNumberFormat="1" applyFill="1" applyBorder="1"/>
    <xf numFmtId="0" fontId="37" fillId="4" borderId="3" xfId="0" applyFont="1" applyFill="1" applyBorder="1" applyAlignment="1">
      <alignment horizontal="center" vertical="center"/>
    </xf>
    <xf numFmtId="164" fontId="37" fillId="4" borderId="3" xfId="0" applyNumberFormat="1" applyFont="1" applyFill="1" applyBorder="1" applyAlignment="1">
      <alignment horizontal="center" vertical="center"/>
    </xf>
    <xf numFmtId="189" fontId="37" fillId="4" borderId="3" xfId="0" applyNumberFormat="1" applyFont="1" applyFill="1" applyBorder="1" applyAlignment="1">
      <alignment horizontal="center" vertical="center"/>
    </xf>
    <xf numFmtId="0" fontId="2" fillId="4" borderId="0" xfId="0" applyFont="1" applyFill="1"/>
    <xf numFmtId="165" fontId="6" fillId="4" borderId="3" xfId="0" applyNumberFormat="1" applyFont="1" applyFill="1" applyBorder="1"/>
    <xf numFmtId="173" fontId="6" fillId="4" borderId="0" xfId="0" applyNumberFormat="1" applyFont="1" applyFill="1" applyBorder="1"/>
    <xf numFmtId="196" fontId="22" fillId="4" borderId="3" xfId="0" applyNumberFormat="1" applyFont="1" applyFill="1" applyBorder="1" applyAlignment="1" applyProtection="1"/>
    <xf numFmtId="188" fontId="22" fillId="4" borderId="3" xfId="0" applyNumberFormat="1" applyFont="1" applyFill="1" applyBorder="1" applyAlignment="1"/>
    <xf numFmtId="196" fontId="22" fillId="4" borderId="3" xfId="0" applyNumberFormat="1" applyFont="1" applyFill="1" applyBorder="1"/>
    <xf numFmtId="181" fontId="33" fillId="4" borderId="0" xfId="0" applyNumberFormat="1" applyFont="1" applyFill="1" applyBorder="1" applyAlignment="1">
      <alignment horizontal="right" vertical="center" wrapText="1"/>
    </xf>
    <xf numFmtId="181" fontId="29" fillId="4" borderId="0" xfId="0" applyNumberFormat="1" applyFont="1" applyFill="1" applyBorder="1" applyAlignment="1">
      <alignment horizontal="right" vertical="center" wrapText="1"/>
    </xf>
    <xf numFmtId="0" fontId="6" fillId="5" borderId="3" xfId="0" applyFont="1" applyFill="1" applyBorder="1" applyAlignment="1">
      <alignment horizontal="right"/>
    </xf>
    <xf numFmtId="172" fontId="6" fillId="5" borderId="3" xfId="0" applyNumberFormat="1" applyFont="1" applyFill="1" applyBorder="1" applyAlignment="1">
      <alignment horizontal="right"/>
    </xf>
    <xf numFmtId="167" fontId="6" fillId="5" borderId="3" xfId="0" applyNumberFormat="1" applyFont="1" applyFill="1" applyBorder="1" applyAlignment="1">
      <alignment horizontal="right"/>
    </xf>
    <xf numFmtId="170" fontId="6" fillId="0" borderId="3" xfId="0" applyNumberFormat="1" applyFont="1" applyBorder="1" applyAlignment="1">
      <alignment horizontal="right"/>
    </xf>
    <xf numFmtId="191" fontId="6" fillId="0" borderId="3" xfId="0" applyNumberFormat="1" applyFont="1" applyBorder="1" applyAlignment="1">
      <alignment horizontal="right"/>
    </xf>
    <xf numFmtId="2" fontId="6" fillId="4" borderId="3" xfId="0" applyNumberFormat="1" applyFont="1" applyFill="1" applyBorder="1" applyAlignment="1">
      <alignment horizontal="right" vertical="center"/>
    </xf>
    <xf numFmtId="2" fontId="6" fillId="0" borderId="3" xfId="0" applyNumberFormat="1" applyFont="1" applyBorder="1" applyAlignment="1">
      <alignment horizontal="right"/>
    </xf>
    <xf numFmtId="167" fontId="6" fillId="0" borderId="3" xfId="0" applyNumberFormat="1" applyFont="1" applyBorder="1" applyAlignment="1">
      <alignment horizontal="right"/>
    </xf>
    <xf numFmtId="173" fontId="6" fillId="5" borderId="3" xfId="0" applyNumberFormat="1" applyFont="1" applyFill="1" applyBorder="1" applyAlignment="1">
      <alignment horizontal="right"/>
    </xf>
    <xf numFmtId="173" fontId="6" fillId="4" borderId="3" xfId="0" applyNumberFormat="1" applyFont="1" applyFill="1" applyBorder="1" applyAlignment="1">
      <alignment horizontal="right"/>
    </xf>
    <xf numFmtId="172" fontId="6" fillId="0" borderId="3" xfId="0" applyNumberFormat="1" applyFont="1" applyBorder="1" applyAlignment="1">
      <alignment horizontal="right"/>
    </xf>
    <xf numFmtId="0" fontId="6" fillId="0" borderId="3" xfId="0" applyFont="1" applyBorder="1" applyAlignment="1">
      <alignment horizontal="right"/>
    </xf>
    <xf numFmtId="166" fontId="6" fillId="0" borderId="3" xfId="0" applyNumberFormat="1" applyFont="1" applyBorder="1" applyAlignment="1">
      <alignment horizontal="right"/>
    </xf>
    <xf numFmtId="184" fontId="6" fillId="0" borderId="3" xfId="0" applyNumberFormat="1" applyFont="1" applyBorder="1" applyAlignment="1">
      <alignment horizontal="right"/>
    </xf>
    <xf numFmtId="183" fontId="0" fillId="4" borderId="3" xfId="0" applyNumberFormat="1" applyFill="1" applyBorder="1" applyAlignment="1">
      <alignment horizontal="right" vertical="center"/>
    </xf>
    <xf numFmtId="165" fontId="12" fillId="0" borderId="0" xfId="0" applyNumberFormat="1" applyFont="1" applyBorder="1" applyAlignment="1">
      <alignment horizontal="right"/>
    </xf>
    <xf numFmtId="170" fontId="6" fillId="0" borderId="31" xfId="0" applyNumberFormat="1" applyFont="1" applyBorder="1" applyAlignment="1">
      <alignment horizontal="right"/>
    </xf>
    <xf numFmtId="170" fontId="12" fillId="0" borderId="0" xfId="0" applyNumberFormat="1" applyFont="1" applyBorder="1" applyAlignment="1">
      <alignment horizontal="right"/>
    </xf>
    <xf numFmtId="170" fontId="12" fillId="0" borderId="0" xfId="0" applyNumberFormat="1" applyFont="1" applyBorder="1" applyAlignment="1">
      <alignment horizontal="center" vertical="center"/>
    </xf>
    <xf numFmtId="172" fontId="6" fillId="5" borderId="31" xfId="0" applyNumberFormat="1" applyFont="1" applyFill="1" applyBorder="1" applyAlignment="1">
      <alignment horizontal="right"/>
    </xf>
    <xf numFmtId="172" fontId="22" fillId="4" borderId="0" xfId="0" applyNumberFormat="1" applyFont="1" applyFill="1" applyBorder="1" applyAlignment="1">
      <alignment horizontal="left" vertical="center"/>
    </xf>
    <xf numFmtId="167" fontId="6" fillId="4" borderId="0" xfId="0" applyNumberFormat="1" applyFont="1" applyFill="1" applyBorder="1" applyAlignment="1">
      <alignment horizontal="left"/>
    </xf>
    <xf numFmtId="188" fontId="6" fillId="4" borderId="55" xfId="0" applyNumberFormat="1" applyFont="1" applyFill="1" applyBorder="1" applyAlignment="1">
      <alignment horizontal="left" vertical="center"/>
    </xf>
    <xf numFmtId="2" fontId="6" fillId="4" borderId="55" xfId="0" applyNumberFormat="1" applyFont="1" applyFill="1" applyBorder="1" applyAlignment="1">
      <alignment horizontal="left" vertical="center"/>
    </xf>
    <xf numFmtId="170" fontId="6" fillId="4" borderId="55" xfId="0" applyNumberFormat="1" applyFont="1" applyFill="1" applyBorder="1" applyAlignment="1">
      <alignment horizontal="left" vertical="center"/>
    </xf>
    <xf numFmtId="0" fontId="51" fillId="4" borderId="0" xfId="0" applyFont="1" applyFill="1"/>
    <xf numFmtId="181" fontId="53" fillId="4" borderId="0" xfId="0" applyNumberFormat="1" applyFont="1" applyFill="1" applyBorder="1" applyAlignment="1">
      <alignment horizontal="right" vertical="center" wrapText="1"/>
    </xf>
    <xf numFmtId="2" fontId="22" fillId="4" borderId="3" xfId="0" applyNumberFormat="1" applyFont="1" applyFill="1" applyBorder="1" applyAlignment="1">
      <alignment horizontal="right" vertical="center"/>
    </xf>
    <xf numFmtId="196" fontId="22" fillId="4" borderId="3" xfId="0" applyNumberFormat="1" applyFont="1" applyFill="1" applyBorder="1" applyAlignment="1">
      <alignment horizontal="right"/>
    </xf>
    <xf numFmtId="172" fontId="22" fillId="5" borderId="3" xfId="0" applyNumberFormat="1" applyFont="1" applyFill="1" applyBorder="1" applyAlignment="1">
      <alignment horizontal="right" vertical="center"/>
    </xf>
    <xf numFmtId="176" fontId="22" fillId="5" borderId="3" xfId="0" applyNumberFormat="1" applyFont="1" applyFill="1" applyBorder="1" applyAlignment="1">
      <alignment horizontal="right" vertical="center"/>
    </xf>
    <xf numFmtId="171" fontId="22" fillId="4" borderId="3" xfId="0" applyNumberFormat="1" applyFont="1" applyFill="1" applyBorder="1" applyAlignment="1">
      <alignment horizontal="right" vertical="center"/>
    </xf>
    <xf numFmtId="177" fontId="22" fillId="4" borderId="3" xfId="0" applyNumberFormat="1" applyFont="1" applyFill="1" applyBorder="1" applyAlignment="1">
      <alignment horizontal="right" vertical="center"/>
    </xf>
    <xf numFmtId="172" fontId="22" fillId="4" borderId="3" xfId="0" applyNumberFormat="1" applyFont="1" applyFill="1" applyBorder="1" applyAlignment="1">
      <alignment horizontal="right" vertical="center"/>
    </xf>
    <xf numFmtId="171" fontId="22" fillId="4" borderId="3" xfId="0" applyNumberFormat="1" applyFont="1" applyFill="1" applyBorder="1" applyAlignment="1" applyProtection="1">
      <alignment horizontal="right"/>
    </xf>
    <xf numFmtId="171" fontId="22" fillId="4" borderId="43" xfId="0" applyNumberFormat="1" applyFont="1" applyFill="1" applyBorder="1" applyAlignment="1">
      <alignment horizontal="right" vertical="center"/>
    </xf>
    <xf numFmtId="179" fontId="22" fillId="4" borderId="44" xfId="0" applyNumberFormat="1" applyFont="1" applyFill="1" applyBorder="1" applyAlignment="1">
      <alignment horizontal="right" vertical="center"/>
    </xf>
    <xf numFmtId="172" fontId="22" fillId="4" borderId="3" xfId="0" applyNumberFormat="1" applyFont="1" applyFill="1" applyBorder="1" applyAlignment="1">
      <alignment horizontal="right"/>
    </xf>
    <xf numFmtId="172" fontId="22" fillId="4" borderId="43" xfId="0" applyNumberFormat="1" applyFont="1" applyFill="1" applyBorder="1" applyAlignment="1">
      <alignment horizontal="right" vertical="center"/>
    </xf>
    <xf numFmtId="172" fontId="22" fillId="4" borderId="44" xfId="0" applyNumberFormat="1" applyFont="1" applyFill="1" applyBorder="1" applyAlignment="1">
      <alignment horizontal="right" vertical="center"/>
    </xf>
    <xf numFmtId="0" fontId="48" fillId="4" borderId="0" xfId="0" applyFont="1" applyFill="1" applyBorder="1" applyAlignment="1">
      <alignment horizontal="center" vertical="center"/>
    </xf>
    <xf numFmtId="0" fontId="22" fillId="4" borderId="3" xfId="0" applyFont="1" applyFill="1" applyBorder="1"/>
    <xf numFmtId="0" fontId="52" fillId="4" borderId="0" xfId="0" applyFont="1" applyFill="1" applyBorder="1" applyAlignment="1">
      <alignment horizontal="right" vertical="center"/>
    </xf>
    <xf numFmtId="0" fontId="48" fillId="4" borderId="0" xfId="0" applyFont="1" applyFill="1" applyBorder="1" applyAlignment="1">
      <alignment horizontal="left" vertical="center"/>
    </xf>
    <xf numFmtId="0" fontId="23" fillId="4" borderId="0" xfId="0" applyFont="1" applyFill="1" applyAlignment="1">
      <alignment horizontal="left"/>
    </xf>
    <xf numFmtId="188" fontId="22" fillId="4" borderId="3" xfId="0" applyNumberFormat="1" applyFont="1" applyFill="1" applyBorder="1" applyAlignment="1">
      <alignment horizontal="right"/>
    </xf>
    <xf numFmtId="178" fontId="22" fillId="4" borderId="3" xfId="0" applyNumberFormat="1" applyFont="1" applyFill="1" applyBorder="1" applyAlignment="1">
      <alignment horizontal="right"/>
    </xf>
    <xf numFmtId="0" fontId="23" fillId="4" borderId="0" xfId="0" applyFont="1" applyFill="1" applyBorder="1" applyAlignment="1">
      <alignment vertical="center"/>
    </xf>
    <xf numFmtId="0" fontId="23" fillId="4" borderId="0" xfId="0" applyFont="1" applyFill="1" applyAlignment="1"/>
    <xf numFmtId="0" fontId="20" fillId="4" borderId="0" xfId="0" applyFont="1" applyFill="1" applyBorder="1"/>
    <xf numFmtId="0" fontId="35" fillId="4" borderId="0" xfId="0" applyFont="1" applyFill="1" applyBorder="1" applyAlignment="1">
      <alignment horizontal="right"/>
    </xf>
    <xf numFmtId="188" fontId="22" fillId="4" borderId="0" xfId="0" applyNumberFormat="1" applyFont="1" applyFill="1"/>
    <xf numFmtId="0" fontId="55" fillId="4" borderId="0" xfId="0" applyFont="1" applyFill="1" applyAlignment="1">
      <alignment horizontal="right"/>
    </xf>
    <xf numFmtId="199" fontId="6" fillId="5" borderId="3" xfId="0" applyNumberFormat="1" applyFont="1" applyFill="1" applyBorder="1" applyAlignment="1">
      <alignment horizontal="right" vertical="center"/>
    </xf>
    <xf numFmtId="188" fontId="6" fillId="4" borderId="3" xfId="0" applyNumberFormat="1" applyFont="1" applyFill="1" applyBorder="1" applyAlignment="1">
      <alignment horizontal="right" vertical="center"/>
    </xf>
    <xf numFmtId="170" fontId="6" fillId="4" borderId="3" xfId="0" applyNumberFormat="1" applyFont="1" applyFill="1" applyBorder="1" applyAlignment="1">
      <alignment horizontal="right" vertical="center"/>
    </xf>
    <xf numFmtId="189" fontId="6" fillId="4" borderId="3" xfId="0" applyNumberFormat="1" applyFont="1" applyFill="1" applyBorder="1" applyAlignment="1">
      <alignment horizontal="right" vertical="center"/>
    </xf>
    <xf numFmtId="167" fontId="6" fillId="5" borderId="3" xfId="0" applyNumberFormat="1" applyFont="1" applyFill="1" applyBorder="1" applyAlignment="1">
      <alignment horizontal="right" vertical="center"/>
    </xf>
    <xf numFmtId="172" fontId="6" fillId="5" borderId="3" xfId="0" applyNumberFormat="1" applyFont="1" applyFill="1" applyBorder="1" applyAlignment="1">
      <alignment horizontal="right" vertical="center"/>
    </xf>
    <xf numFmtId="172" fontId="6" fillId="4" borderId="3" xfId="0" applyNumberFormat="1" applyFont="1" applyFill="1" applyBorder="1" applyAlignment="1">
      <alignment horizontal="right" vertical="center"/>
    </xf>
    <xf numFmtId="184" fontId="6" fillId="4" borderId="3" xfId="0" applyNumberFormat="1" applyFont="1" applyFill="1" applyBorder="1" applyAlignment="1">
      <alignment horizontal="right" vertical="center"/>
    </xf>
    <xf numFmtId="0" fontId="6" fillId="4" borderId="0" xfId="0" applyFont="1" applyFill="1" applyBorder="1" applyAlignment="1">
      <alignment horizontal="center"/>
    </xf>
    <xf numFmtId="0" fontId="47" fillId="4" borderId="0" xfId="0" applyFont="1" applyFill="1" applyBorder="1" applyAlignment="1">
      <alignment horizontal="left" vertical="center" wrapText="1"/>
    </xf>
    <xf numFmtId="0" fontId="47" fillId="4" borderId="0" xfId="0" applyFont="1" applyFill="1" applyBorder="1"/>
    <xf numFmtId="0" fontId="13" fillId="4" borderId="0" xfId="0" applyFont="1" applyFill="1" applyBorder="1" applyAlignment="1">
      <alignment horizontal="center" vertical="center"/>
    </xf>
    <xf numFmtId="171" fontId="6" fillId="4" borderId="3" xfId="0" applyNumberFormat="1" applyFont="1" applyFill="1" applyBorder="1" applyAlignment="1">
      <alignment horizontal="right" vertical="center"/>
    </xf>
    <xf numFmtId="0" fontId="6" fillId="4" borderId="4" xfId="0" applyFont="1" applyFill="1" applyBorder="1" applyAlignment="1">
      <alignment horizontal="right"/>
    </xf>
    <xf numFmtId="0" fontId="56" fillId="4" borderId="5" xfId="0" applyFont="1" applyFill="1" applyBorder="1" applyAlignment="1">
      <alignment vertical="center"/>
    </xf>
    <xf numFmtId="0" fontId="56" fillId="4" borderId="6" xfId="0" applyFont="1" applyFill="1" applyBorder="1" applyAlignment="1">
      <alignment vertical="center"/>
    </xf>
    <xf numFmtId="181" fontId="57" fillId="4" borderId="36" xfId="0" applyNumberFormat="1" applyFont="1" applyFill="1" applyBorder="1" applyAlignment="1">
      <alignment horizontal="right" vertical="center" wrapText="1"/>
    </xf>
    <xf numFmtId="181" fontId="6" fillId="4" borderId="36" xfId="0" applyNumberFormat="1" applyFont="1" applyFill="1" applyBorder="1" applyAlignment="1">
      <alignment horizontal="right" vertical="center" wrapText="1"/>
    </xf>
    <xf numFmtId="181" fontId="36" fillId="4" borderId="36" xfId="0" applyNumberFormat="1" applyFont="1" applyFill="1" applyBorder="1" applyAlignment="1">
      <alignment horizontal="right" vertical="center" wrapText="1"/>
    </xf>
    <xf numFmtId="172" fontId="6" fillId="4" borderId="0" xfId="0" applyNumberFormat="1" applyFont="1" applyFill="1" applyBorder="1" applyAlignment="1">
      <alignment vertical="center"/>
    </xf>
    <xf numFmtId="182" fontId="6" fillId="4" borderId="0" xfId="0" applyNumberFormat="1" applyFont="1" applyFill="1" applyBorder="1" applyAlignment="1">
      <alignment horizontal="right" vertical="center"/>
    </xf>
    <xf numFmtId="181" fontId="6" fillId="4" borderId="56" xfId="0" applyNumberFormat="1" applyFont="1" applyFill="1" applyBorder="1" applyAlignment="1">
      <alignment horizontal="right" vertical="center" wrapText="1"/>
    </xf>
    <xf numFmtId="181" fontId="35" fillId="4" borderId="36" xfId="0" applyNumberFormat="1" applyFont="1" applyFill="1" applyBorder="1" applyAlignment="1">
      <alignment horizontal="right" vertical="center" wrapText="1"/>
    </xf>
    <xf numFmtId="172" fontId="6" fillId="4" borderId="0" xfId="0" applyNumberFormat="1" applyFont="1" applyFill="1" applyBorder="1" applyAlignment="1">
      <alignment horizontal="left" vertical="center"/>
    </xf>
    <xf numFmtId="183" fontId="6" fillId="4" borderId="3" xfId="0" applyNumberFormat="1" applyFont="1" applyFill="1" applyBorder="1" applyAlignment="1">
      <alignment horizontal="right" vertical="center"/>
    </xf>
    <xf numFmtId="172" fontId="6" fillId="4" borderId="8" xfId="0" applyNumberFormat="1" applyFont="1" applyFill="1" applyBorder="1" applyAlignment="1">
      <alignment horizontal="center" vertical="center"/>
    </xf>
    <xf numFmtId="200" fontId="6" fillId="4" borderId="3" xfId="0" applyNumberFormat="1" applyFont="1" applyFill="1" applyBorder="1" applyAlignment="1">
      <alignment horizontal="right" vertical="center"/>
    </xf>
    <xf numFmtId="182" fontId="6" fillId="4" borderId="0" xfId="0" applyNumberFormat="1" applyFont="1" applyFill="1" applyBorder="1" applyAlignment="1">
      <alignment vertical="top"/>
    </xf>
    <xf numFmtId="194" fontId="6" fillId="4" borderId="3" xfId="0" applyNumberFormat="1" applyFont="1" applyFill="1" applyBorder="1" applyAlignment="1">
      <alignment horizontal="right" vertical="center"/>
    </xf>
    <xf numFmtId="1" fontId="6" fillId="4" borderId="3" xfId="0" applyNumberFormat="1" applyFont="1" applyFill="1" applyBorder="1" applyAlignment="1">
      <alignment horizontal="right" vertical="center"/>
    </xf>
    <xf numFmtId="181" fontId="6" fillId="4" borderId="7" xfId="0" applyNumberFormat="1" applyFont="1" applyFill="1" applyBorder="1" applyAlignment="1">
      <alignment horizontal="right" vertical="center" wrapText="1"/>
    </xf>
    <xf numFmtId="189" fontId="6" fillId="5" borderId="3" xfId="0" applyNumberFormat="1" applyFont="1" applyFill="1" applyBorder="1" applyAlignment="1">
      <alignment horizontal="right" vertical="center"/>
    </xf>
    <xf numFmtId="181" fontId="35" fillId="4" borderId="56" xfId="0" applyNumberFormat="1" applyFont="1" applyFill="1" applyBorder="1" applyAlignment="1">
      <alignment horizontal="right" vertical="center" wrapText="1"/>
    </xf>
    <xf numFmtId="182" fontId="6" fillId="4" borderId="8" xfId="0" applyNumberFormat="1" applyFont="1" applyFill="1" applyBorder="1" applyAlignment="1">
      <alignment horizontal="center" vertical="center"/>
    </xf>
    <xf numFmtId="181" fontId="11" fillId="4" borderId="36" xfId="0" applyNumberFormat="1" applyFont="1" applyFill="1" applyBorder="1" applyAlignment="1">
      <alignment horizontal="right" vertical="center" wrapText="1"/>
    </xf>
    <xf numFmtId="182" fontId="6" fillId="4" borderId="0" xfId="0" applyNumberFormat="1" applyFont="1" applyFill="1" applyBorder="1" applyAlignment="1">
      <alignment horizontal="center" vertical="center"/>
    </xf>
    <xf numFmtId="172" fontId="6" fillId="4" borderId="3" xfId="0" applyNumberFormat="1" applyFont="1" applyFill="1" applyBorder="1" applyAlignment="1">
      <alignment horizontal="right"/>
    </xf>
    <xf numFmtId="172" fontId="6" fillId="4" borderId="0" xfId="0" applyNumberFormat="1" applyFont="1" applyFill="1" applyBorder="1" applyAlignment="1">
      <alignment horizontal="right" vertical="center"/>
    </xf>
    <xf numFmtId="189" fontId="6" fillId="4" borderId="3" xfId="0" applyNumberFormat="1" applyFont="1" applyFill="1" applyBorder="1" applyAlignment="1">
      <alignment horizontal="right"/>
    </xf>
    <xf numFmtId="2" fontId="6" fillId="4" borderId="3" xfId="0" applyNumberFormat="1" applyFont="1" applyFill="1" applyBorder="1" applyAlignment="1">
      <alignment horizontal="right"/>
    </xf>
    <xf numFmtId="182" fontId="12" fillId="4" borderId="5" xfId="0" applyNumberFormat="1" applyFont="1" applyFill="1" applyBorder="1" applyAlignment="1">
      <alignment horizontal="center" vertical="center"/>
    </xf>
    <xf numFmtId="0" fontId="6" fillId="4" borderId="6" xfId="0" applyFont="1" applyFill="1" applyBorder="1"/>
    <xf numFmtId="181" fontId="35" fillId="4" borderId="0" xfId="0" applyNumberFormat="1" applyFont="1" applyFill="1" applyBorder="1" applyAlignment="1">
      <alignment horizontal="right" vertical="center" wrapText="1"/>
    </xf>
    <xf numFmtId="182" fontId="12" fillId="4" borderId="0" xfId="0" applyNumberFormat="1" applyFont="1" applyFill="1" applyBorder="1" applyAlignment="1">
      <alignment horizontal="center" vertical="center"/>
    </xf>
    <xf numFmtId="182" fontId="6" fillId="4" borderId="0" xfId="0" applyNumberFormat="1" applyFont="1" applyFill="1" applyBorder="1" applyAlignment="1">
      <alignment horizontal="left" vertical="center"/>
    </xf>
    <xf numFmtId="182" fontId="12" fillId="4" borderId="8" xfId="0" applyNumberFormat="1" applyFont="1" applyFill="1" applyBorder="1" applyAlignment="1">
      <alignment horizontal="center" vertical="center"/>
    </xf>
    <xf numFmtId="0" fontId="61" fillId="4" borderId="0" xfId="0" applyFont="1" applyFill="1" applyBorder="1"/>
    <xf numFmtId="170" fontId="6" fillId="4" borderId="0" xfId="0" applyNumberFormat="1" applyFont="1" applyFill="1" applyBorder="1" applyAlignment="1">
      <alignment horizontal="left"/>
    </xf>
    <xf numFmtId="0" fontId="6" fillId="4" borderId="9" xfId="0" applyFont="1" applyFill="1" applyBorder="1" applyAlignment="1">
      <alignment horizontal="right"/>
    </xf>
    <xf numFmtId="0" fontId="12" fillId="4" borderId="7" xfId="0" applyFont="1" applyFill="1" applyBorder="1" applyAlignment="1">
      <alignment horizontal="right"/>
    </xf>
    <xf numFmtId="187" fontId="6" fillId="4" borderId="0" xfId="0" applyNumberFormat="1" applyFont="1" applyFill="1" applyBorder="1" applyAlignment="1">
      <alignment horizontal="left"/>
    </xf>
    <xf numFmtId="0" fontId="12" fillId="4" borderId="0" xfId="0" applyFont="1" applyFill="1" applyBorder="1" applyAlignment="1">
      <alignment horizontal="right"/>
    </xf>
    <xf numFmtId="170" fontId="6" fillId="5" borderId="0" xfId="0" applyNumberFormat="1" applyFont="1" applyFill="1" applyBorder="1" applyAlignment="1">
      <alignment horizontal="left"/>
    </xf>
    <xf numFmtId="0" fontId="6" fillId="2" borderId="0" xfId="0" applyFont="1" applyFill="1" applyBorder="1"/>
    <xf numFmtId="0" fontId="6" fillId="2" borderId="0" xfId="0" applyFont="1" applyFill="1" applyBorder="1" applyAlignment="1">
      <alignment horizontal="right"/>
    </xf>
    <xf numFmtId="0" fontId="6" fillId="5" borderId="0" xfId="0" applyFont="1" applyFill="1" applyBorder="1" applyAlignment="1" applyProtection="1">
      <alignment horizontal="center"/>
      <protection locked="0"/>
    </xf>
    <xf numFmtId="170" fontId="6" fillId="2" borderId="0" xfId="0" applyNumberFormat="1" applyFont="1" applyFill="1" applyBorder="1"/>
    <xf numFmtId="0" fontId="6" fillId="0" borderId="8" xfId="0" applyFont="1" applyBorder="1"/>
    <xf numFmtId="0" fontId="6" fillId="0" borderId="0" xfId="0" applyFont="1" applyBorder="1"/>
    <xf numFmtId="0" fontId="6" fillId="8" borderId="0" xfId="0" applyFont="1" applyFill="1" applyBorder="1" applyAlignment="1">
      <alignment horizontal="right"/>
    </xf>
    <xf numFmtId="0" fontId="22" fillId="8" borderId="0" xfId="0" applyFont="1" applyFill="1" applyBorder="1"/>
    <xf numFmtId="0" fontId="48" fillId="4" borderId="0" xfId="0" applyFont="1" applyFill="1" applyBorder="1" applyAlignment="1">
      <alignment horizontal="right"/>
    </xf>
    <xf numFmtId="0" fontId="6" fillId="8" borderId="24" xfId="0" applyFont="1" applyFill="1" applyBorder="1"/>
    <xf numFmtId="0" fontId="6" fillId="8" borderId="25" xfId="0" applyFont="1" applyFill="1" applyBorder="1" applyAlignment="1">
      <alignment horizontal="center"/>
    </xf>
    <xf numFmtId="0" fontId="11" fillId="8" borderId="25" xfId="0" applyFont="1" applyFill="1" applyBorder="1" applyAlignment="1">
      <alignment horizontal="center"/>
    </xf>
    <xf numFmtId="187" fontId="6" fillId="4" borderId="0" xfId="0" applyNumberFormat="1" applyFont="1" applyFill="1" applyBorder="1" applyAlignment="1" applyProtection="1">
      <alignment horizontal="left"/>
      <protection locked="0"/>
    </xf>
    <xf numFmtId="2" fontId="11" fillId="4" borderId="0" xfId="0" applyNumberFormat="1" applyFont="1" applyFill="1" applyBorder="1"/>
    <xf numFmtId="0" fontId="6" fillId="9" borderId="0" xfId="0" applyFont="1" applyFill="1" applyBorder="1" applyAlignment="1" applyProtection="1">
      <alignment horizontal="center"/>
      <protection locked="0"/>
    </xf>
    <xf numFmtId="0" fontId="22" fillId="0" borderId="0" xfId="0" applyFont="1" applyBorder="1" applyAlignment="1">
      <alignment horizontal="right"/>
    </xf>
    <xf numFmtId="0" fontId="6" fillId="0" borderId="7" xfId="0" applyFont="1" applyBorder="1"/>
    <xf numFmtId="0" fontId="22" fillId="4" borderId="10" xfId="0" applyFont="1" applyFill="1" applyBorder="1" applyAlignment="1">
      <alignment horizontal="left"/>
    </xf>
    <xf numFmtId="0" fontId="48" fillId="4" borderId="10" xfId="0" applyFont="1" applyFill="1" applyBorder="1" applyAlignment="1">
      <alignment horizontal="right"/>
    </xf>
    <xf numFmtId="0" fontId="6" fillId="4" borderId="49"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11" fillId="4" borderId="39" xfId="0" applyFont="1" applyFill="1" applyBorder="1" applyAlignment="1">
      <alignment horizontal="center" vertical="center" wrapText="1"/>
    </xf>
    <xf numFmtId="0" fontId="11" fillId="4" borderId="40" xfId="0" applyFont="1" applyFill="1" applyBorder="1" applyAlignment="1">
      <alignment horizontal="center" vertical="center" wrapText="1"/>
    </xf>
    <xf numFmtId="0" fontId="6" fillId="4" borderId="21" xfId="0" applyFont="1" applyFill="1" applyBorder="1" applyAlignment="1">
      <alignment vertical="center" wrapText="1"/>
    </xf>
    <xf numFmtId="0" fontId="6" fillId="4" borderId="42" xfId="0" applyFont="1" applyFill="1" applyBorder="1" applyAlignment="1">
      <alignment vertical="center" wrapText="1"/>
    </xf>
    <xf numFmtId="0" fontId="6" fillId="4" borderId="48" xfId="0" applyFont="1" applyFill="1" applyBorder="1" applyAlignment="1">
      <alignment horizontal="center" vertical="center"/>
    </xf>
    <xf numFmtId="172" fontId="6" fillId="4" borderId="30" xfId="0" applyNumberFormat="1" applyFont="1" applyFill="1" applyBorder="1" applyAlignment="1">
      <alignment horizontal="center" vertical="center"/>
    </xf>
    <xf numFmtId="172" fontId="6" fillId="4" borderId="38" xfId="0" applyNumberFormat="1" applyFont="1" applyFill="1" applyBorder="1" applyAlignment="1">
      <alignment horizontal="center" vertical="center"/>
    </xf>
    <xf numFmtId="172" fontId="6" fillId="4" borderId="48" xfId="0" applyNumberFormat="1" applyFont="1" applyFill="1" applyBorder="1" applyAlignment="1">
      <alignment horizontal="center" vertical="center"/>
    </xf>
    <xf numFmtId="0" fontId="6" fillId="4" borderId="30"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44" xfId="0" applyFont="1" applyFill="1" applyBorder="1" applyAlignment="1">
      <alignment horizontal="center" vertical="center"/>
    </xf>
    <xf numFmtId="0" fontId="6" fillId="4" borderId="46" xfId="0" applyFont="1" applyFill="1" applyBorder="1" applyAlignment="1">
      <alignment horizontal="center" vertical="center"/>
    </xf>
    <xf numFmtId="0" fontId="6" fillId="4" borderId="36"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2" fillId="4" borderId="7" xfId="0" applyFont="1" applyFill="1" applyBorder="1" applyAlignment="1">
      <alignment horizontal="right"/>
    </xf>
    <xf numFmtId="0" fontId="62" fillId="4" borderId="0" xfId="0" applyFont="1" applyFill="1" applyBorder="1"/>
    <xf numFmtId="0" fontId="63" fillId="4" borderId="0" xfId="0" applyFont="1" applyFill="1" applyBorder="1" applyAlignment="1">
      <alignment horizontal="left"/>
    </xf>
    <xf numFmtId="0" fontId="12" fillId="4" borderId="5" xfId="0" applyFont="1" applyFill="1" applyBorder="1"/>
    <xf numFmtId="189" fontId="22" fillId="4" borderId="0" xfId="0" applyNumberFormat="1" applyFont="1" applyFill="1" applyBorder="1" applyAlignment="1">
      <alignment horizontal="right"/>
    </xf>
    <xf numFmtId="172" fontId="22" fillId="4" borderId="0" xfId="0" applyNumberFormat="1" applyFont="1" applyFill="1" applyBorder="1" applyAlignment="1">
      <alignment horizontal="right"/>
    </xf>
    <xf numFmtId="196" fontId="22" fillId="4" borderId="0" xfId="0" applyNumberFormat="1" applyFont="1" applyFill="1" applyBorder="1" applyAlignment="1">
      <alignment horizontal="right"/>
    </xf>
    <xf numFmtId="198" fontId="22" fillId="4" borderId="0" xfId="0" applyNumberFormat="1" applyFont="1" applyFill="1" applyBorder="1" applyAlignment="1">
      <alignment horizontal="right"/>
    </xf>
    <xf numFmtId="185" fontId="6" fillId="4" borderId="0" xfId="0" applyNumberFormat="1" applyFont="1" applyFill="1" applyBorder="1" applyAlignment="1">
      <alignment horizontal="right"/>
    </xf>
    <xf numFmtId="189" fontId="6" fillId="4" borderId="0" xfId="0" applyNumberFormat="1" applyFont="1" applyFill="1" applyBorder="1" applyAlignment="1">
      <alignment horizontal="right"/>
    </xf>
    <xf numFmtId="184" fontId="6" fillId="4" borderId="0" xfId="0" applyNumberFormat="1" applyFont="1" applyFill="1" applyBorder="1" applyAlignment="1">
      <alignment horizontal="right"/>
    </xf>
    <xf numFmtId="170" fontId="6" fillId="4" borderId="0" xfId="0" applyNumberFormat="1" applyFont="1" applyFill="1" applyBorder="1" applyAlignment="1">
      <alignment horizontal="right"/>
    </xf>
    <xf numFmtId="201" fontId="6" fillId="4" borderId="3" xfId="0" applyNumberFormat="1" applyFont="1" applyFill="1" applyBorder="1" applyAlignment="1">
      <alignment horizontal="right" vertical="center"/>
    </xf>
    <xf numFmtId="202" fontId="6" fillId="4" borderId="0" xfId="0" applyNumberFormat="1" applyFont="1" applyFill="1" applyBorder="1" applyAlignment="1">
      <alignment horizontal="right"/>
    </xf>
    <xf numFmtId="181" fontId="6" fillId="4" borderId="50" xfId="0" applyNumberFormat="1" applyFont="1" applyFill="1" applyBorder="1" applyAlignment="1">
      <alignment horizontal="right" vertical="center" wrapText="1"/>
    </xf>
    <xf numFmtId="201" fontId="6" fillId="4" borderId="33" xfId="0" applyNumberFormat="1" applyFont="1" applyFill="1" applyBorder="1" applyAlignment="1">
      <alignment horizontal="right" vertical="center"/>
    </xf>
    <xf numFmtId="0" fontId="65" fillId="4" borderId="0" xfId="0" applyFont="1" applyFill="1"/>
    <xf numFmtId="0" fontId="20" fillId="4" borderId="0" xfId="0" applyFont="1" applyFill="1"/>
    <xf numFmtId="0" fontId="20" fillId="4" borderId="0" xfId="0" applyFont="1" applyFill="1" applyAlignment="1">
      <alignment horizontal="center"/>
    </xf>
    <xf numFmtId="0" fontId="20" fillId="4" borderId="0" xfId="0" applyFont="1" applyFill="1" applyAlignment="1">
      <alignment horizontal="left"/>
    </xf>
    <xf numFmtId="2" fontId="20" fillId="4" borderId="0" xfId="0" applyNumberFormat="1" applyFont="1" applyFill="1" applyAlignment="1">
      <alignment horizontal="center"/>
    </xf>
    <xf numFmtId="0" fontId="20" fillId="4" borderId="0" xfId="0" applyFont="1" applyFill="1" applyAlignment="1">
      <alignment horizontal="right"/>
    </xf>
    <xf numFmtId="170" fontId="20" fillId="4" borderId="0" xfId="0" applyNumberFormat="1" applyFont="1" applyFill="1" applyAlignment="1">
      <alignment horizontal="right"/>
    </xf>
    <xf numFmtId="167" fontId="11" fillId="0" borderId="31" xfId="0" applyNumberFormat="1" applyFont="1" applyBorder="1" applyAlignment="1">
      <alignment horizontal="right"/>
    </xf>
    <xf numFmtId="0" fontId="7" fillId="4" borderId="0" xfId="0" applyFont="1" applyFill="1" applyBorder="1" applyAlignment="1">
      <alignment horizontal="left"/>
    </xf>
    <xf numFmtId="0" fontId="20" fillId="4" borderId="0" xfId="0" applyFont="1" applyFill="1" applyBorder="1" applyAlignment="1">
      <alignment horizontal="center"/>
    </xf>
    <xf numFmtId="0" fontId="66" fillId="4" borderId="0" xfId="0" applyFont="1" applyFill="1" applyBorder="1" applyAlignment="1">
      <alignment horizontal="center"/>
    </xf>
    <xf numFmtId="0" fontId="12" fillId="4" borderId="3" xfId="0" applyFont="1" applyFill="1" applyBorder="1" applyAlignment="1">
      <alignment horizontal="center"/>
    </xf>
    <xf numFmtId="2" fontId="6" fillId="4" borderId="3" xfId="0" applyNumberFormat="1" applyFont="1" applyFill="1" applyBorder="1" applyAlignment="1">
      <alignment horizontal="center"/>
    </xf>
    <xf numFmtId="165" fontId="6" fillId="0" borderId="3" xfId="0" applyNumberFormat="1" applyFont="1" applyBorder="1" applyAlignment="1">
      <alignment horizontal="right"/>
    </xf>
    <xf numFmtId="164" fontId="6" fillId="0" borderId="3" xfId="0" applyNumberFormat="1" applyFont="1" applyBorder="1" applyAlignment="1">
      <alignment horizontal="right"/>
    </xf>
    <xf numFmtId="164" fontId="6" fillId="4" borderId="0" xfId="0" applyNumberFormat="1" applyFont="1" applyFill="1" applyBorder="1" applyAlignment="1">
      <alignment horizontal="right"/>
    </xf>
    <xf numFmtId="165" fontId="6" fillId="4" borderId="0" xfId="0" applyNumberFormat="1" applyFont="1" applyFill="1" applyBorder="1" applyAlignment="1">
      <alignment horizontal="right"/>
    </xf>
    <xf numFmtId="191" fontId="6" fillId="4" borderId="0" xfId="0" applyNumberFormat="1" applyFont="1" applyFill="1" applyBorder="1" applyAlignment="1">
      <alignment horizontal="right"/>
    </xf>
    <xf numFmtId="0" fontId="48" fillId="4" borderId="0" xfId="0" applyFont="1" applyFill="1" applyAlignment="1">
      <alignment horizontal="left"/>
    </xf>
    <xf numFmtId="0" fontId="47" fillId="4" borderId="0" xfId="0" applyFont="1" applyFill="1" applyBorder="1" applyAlignment="1">
      <alignment vertical="center" wrapText="1"/>
    </xf>
    <xf numFmtId="0" fontId="12" fillId="4" borderId="0" xfId="0" applyFont="1" applyFill="1" applyBorder="1" applyAlignment="1">
      <alignment horizontal="left"/>
    </xf>
    <xf numFmtId="203" fontId="6" fillId="4" borderId="0" xfId="0" applyNumberFormat="1" applyFont="1" applyFill="1" applyBorder="1" applyAlignment="1">
      <alignment horizontal="right"/>
    </xf>
    <xf numFmtId="203" fontId="6" fillId="4" borderId="0" xfId="0" applyNumberFormat="1" applyFont="1" applyFill="1"/>
    <xf numFmtId="0" fontId="67" fillId="4" borderId="0" xfId="0" applyFont="1" applyFill="1" applyBorder="1" applyAlignment="1">
      <alignment vertical="center" wrapText="1"/>
    </xf>
    <xf numFmtId="0" fontId="11" fillId="4" borderId="3" xfId="0" applyFont="1" applyFill="1" applyBorder="1" applyAlignment="1">
      <alignment horizontal="center"/>
    </xf>
    <xf numFmtId="0" fontId="6" fillId="4" borderId="3" xfId="0" quotePrefix="1" applyFont="1" applyFill="1" applyBorder="1" applyAlignment="1">
      <alignment horizontal="center"/>
    </xf>
    <xf numFmtId="14" fontId="6" fillId="4" borderId="3" xfId="0" applyNumberFormat="1" applyFont="1" applyFill="1" applyBorder="1" applyAlignment="1">
      <alignment horizontal="center"/>
    </xf>
    <xf numFmtId="181" fontId="6" fillId="4" borderId="3" xfId="0" applyNumberFormat="1" applyFont="1" applyFill="1" applyBorder="1" applyAlignment="1">
      <alignment horizontal="center"/>
    </xf>
    <xf numFmtId="1" fontId="6" fillId="4" borderId="3" xfId="0" applyNumberFormat="1" applyFont="1" applyFill="1" applyBorder="1" applyAlignment="1">
      <alignment horizontal="right"/>
    </xf>
    <xf numFmtId="165" fontId="12" fillId="0" borderId="0" xfId="0" applyNumberFormat="1" applyFont="1" applyBorder="1" applyAlignment="1">
      <alignment horizontal="left"/>
    </xf>
    <xf numFmtId="0" fontId="74" fillId="4" borderId="0" xfId="15" applyFill="1"/>
    <xf numFmtId="0" fontId="6" fillId="4" borderId="55" xfId="0" applyFont="1" applyFill="1" applyBorder="1"/>
    <xf numFmtId="0" fontId="6" fillId="4" borderId="33" xfId="0" applyFont="1" applyFill="1" applyBorder="1"/>
    <xf numFmtId="167" fontId="6" fillId="4" borderId="55" xfId="0" applyNumberFormat="1" applyFont="1" applyFill="1" applyBorder="1"/>
    <xf numFmtId="167" fontId="12" fillId="4" borderId="0" xfId="0" applyNumberFormat="1" applyFont="1" applyFill="1"/>
    <xf numFmtId="0" fontId="7" fillId="4" borderId="0" xfId="0" applyFont="1" applyFill="1" applyBorder="1"/>
    <xf numFmtId="0" fontId="7" fillId="4" borderId="0" xfId="0" applyFont="1" applyFill="1" applyBorder="1" applyAlignment="1">
      <alignment horizontal="center"/>
    </xf>
    <xf numFmtId="2" fontId="7" fillId="4" borderId="0" xfId="0" applyNumberFormat="1" applyFont="1" applyFill="1" applyBorder="1" applyAlignment="1">
      <alignment horizontal="center"/>
    </xf>
    <xf numFmtId="197" fontId="11" fillId="4" borderId="3" xfId="0" applyNumberFormat="1" applyFont="1" applyFill="1" applyBorder="1" applyAlignment="1">
      <alignment horizontal="right" vertical="center"/>
    </xf>
    <xf numFmtId="204" fontId="6" fillId="4" borderId="48" xfId="0" applyNumberFormat="1" applyFont="1" applyFill="1" applyBorder="1" applyAlignment="1">
      <alignment horizontal="center" vertical="center"/>
    </xf>
    <xf numFmtId="0" fontId="12" fillId="4" borderId="0" xfId="0" applyFont="1" applyFill="1" applyBorder="1" applyAlignment="1">
      <alignment horizontal="center" vertical="center" textRotation="255"/>
    </xf>
    <xf numFmtId="0" fontId="12" fillId="4" borderId="0" xfId="0" applyFont="1" applyFill="1" applyBorder="1" applyAlignment="1">
      <alignment horizontal="center"/>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2" fillId="4" borderId="33" xfId="0" applyFont="1" applyFill="1" applyBorder="1" applyAlignment="1">
      <alignment horizontal="center"/>
    </xf>
    <xf numFmtId="0" fontId="12" fillId="4" borderId="32" xfId="0" applyFont="1" applyFill="1" applyBorder="1" applyAlignment="1">
      <alignment horizontal="center"/>
    </xf>
    <xf numFmtId="0" fontId="6" fillId="4" borderId="0" xfId="0" applyFont="1" applyFill="1" applyBorder="1" applyAlignment="1">
      <alignment horizontal="center"/>
    </xf>
    <xf numFmtId="0" fontId="7" fillId="4" borderId="0" xfId="0" applyFont="1" applyFill="1" applyBorder="1" applyAlignment="1">
      <alignment horizontal="center" wrapText="1"/>
    </xf>
    <xf numFmtId="0" fontId="47" fillId="4" borderId="3" xfId="0" applyFont="1" applyFill="1" applyBorder="1" applyAlignment="1">
      <alignment horizontal="center" vertical="center"/>
    </xf>
    <xf numFmtId="0" fontId="47" fillId="4" borderId="51" xfId="0" applyFont="1" applyFill="1" applyBorder="1" applyAlignment="1">
      <alignment horizontal="left" vertical="center" wrapText="1"/>
    </xf>
    <xf numFmtId="0" fontId="6" fillId="4" borderId="4" xfId="0" applyFont="1" applyFill="1" applyBorder="1" applyAlignment="1">
      <alignment horizontal="left" vertical="top" wrapText="1"/>
    </xf>
    <xf numFmtId="0" fontId="6" fillId="4" borderId="5"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0" xfId="0" applyFont="1" applyFill="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4" borderId="11" xfId="0" applyFont="1" applyFill="1" applyBorder="1" applyAlignment="1">
      <alignment horizontal="left" vertical="top" wrapText="1"/>
    </xf>
    <xf numFmtId="0" fontId="13" fillId="0" borderId="12" xfId="0" applyFont="1" applyFill="1" applyBorder="1" applyAlignment="1">
      <alignment horizontal="center" vertical="center"/>
    </xf>
    <xf numFmtId="0" fontId="13" fillId="0" borderId="13"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16" xfId="0" applyFont="1" applyFill="1" applyBorder="1" applyAlignment="1">
      <alignment horizontal="center" vertical="center"/>
    </xf>
    <xf numFmtId="0" fontId="13" fillId="0" borderId="17"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9" xfId="0" applyFont="1" applyFill="1" applyBorder="1" applyAlignment="1">
      <alignment horizontal="center" vertical="center"/>
    </xf>
    <xf numFmtId="0" fontId="13" fillId="4" borderId="12"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180" fontId="24" fillId="4" borderId="0" xfId="0" applyNumberFormat="1" applyFont="1" applyFill="1" applyAlignment="1">
      <alignment horizontal="center" vertical="center"/>
    </xf>
    <xf numFmtId="0" fontId="24" fillId="4" borderId="0" xfId="0" applyFont="1" applyFill="1" applyAlignment="1">
      <alignment horizontal="center" vertical="center"/>
    </xf>
    <xf numFmtId="0" fontId="23" fillId="4" borderId="0" xfId="0" applyFont="1" applyFill="1" applyBorder="1" applyAlignment="1" applyProtection="1">
      <alignment horizontal="center"/>
    </xf>
    <xf numFmtId="0" fontId="23" fillId="4" borderId="0" xfId="0" applyFont="1" applyFill="1" applyBorder="1" applyAlignment="1">
      <alignment horizontal="center" vertical="center"/>
    </xf>
    <xf numFmtId="0" fontId="48" fillId="4" borderId="0" xfId="0" applyFont="1" applyFill="1" applyBorder="1" applyAlignment="1">
      <alignment horizontal="left" vertical="center"/>
    </xf>
    <xf numFmtId="172" fontId="24" fillId="4" borderId="0" xfId="0" applyNumberFormat="1" applyFont="1" applyFill="1" applyAlignment="1" applyProtection="1">
      <alignment horizontal="left" vertical="center"/>
    </xf>
    <xf numFmtId="172" fontId="24" fillId="4" borderId="0" xfId="0" applyNumberFormat="1" applyFont="1" applyFill="1" applyAlignment="1">
      <alignment horizontal="left" vertical="center"/>
    </xf>
    <xf numFmtId="180" fontId="25" fillId="4" borderId="0" xfId="0" applyNumberFormat="1" applyFont="1" applyFill="1" applyAlignment="1">
      <alignment horizontal="left" vertical="center"/>
    </xf>
    <xf numFmtId="0" fontId="22" fillId="4" borderId="4" xfId="0" applyFont="1" applyFill="1" applyBorder="1" applyAlignment="1">
      <alignment horizontal="left" vertical="top" wrapText="1"/>
    </xf>
    <xf numFmtId="0" fontId="22" fillId="4" borderId="5" xfId="0" applyFont="1" applyFill="1" applyBorder="1" applyAlignment="1">
      <alignment horizontal="left" vertical="top" wrapText="1"/>
    </xf>
    <xf numFmtId="0" fontId="22" fillId="4" borderId="6"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0" xfId="0" applyFont="1" applyFill="1" applyBorder="1" applyAlignment="1">
      <alignment horizontal="left" vertical="top" wrapText="1"/>
    </xf>
    <xf numFmtId="0" fontId="22" fillId="4" borderId="11" xfId="0" applyFont="1" applyFill="1" applyBorder="1" applyAlignment="1">
      <alignment horizontal="left" vertical="top" wrapText="1"/>
    </xf>
    <xf numFmtId="180" fontId="25" fillId="4" borderId="0" xfId="0" applyNumberFormat="1" applyFont="1" applyFill="1" applyAlignment="1">
      <alignment horizontal="center" vertical="center"/>
    </xf>
    <xf numFmtId="0" fontId="11" fillId="4" borderId="4"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4" borderId="0"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4" borderId="11" xfId="0" applyFont="1" applyFill="1" applyBorder="1" applyAlignment="1">
      <alignment horizontal="left" vertical="top" wrapText="1"/>
    </xf>
    <xf numFmtId="0" fontId="64" fillId="7" borderId="24" xfId="0" applyFont="1" applyFill="1" applyBorder="1" applyAlignment="1">
      <alignment horizontal="center" vertical="center" wrapText="1"/>
    </xf>
    <xf numFmtId="0" fontId="64" fillId="7" borderId="25" xfId="0" applyFont="1" applyFill="1" applyBorder="1" applyAlignment="1">
      <alignment horizontal="center" vertical="center" wrapText="1"/>
    </xf>
    <xf numFmtId="0" fontId="64" fillId="7" borderId="26" xfId="0" applyFont="1" applyFill="1" applyBorder="1" applyAlignment="1">
      <alignment horizontal="center" vertical="center" wrapText="1"/>
    </xf>
    <xf numFmtId="186" fontId="6" fillId="8" borderId="25" xfId="0" applyNumberFormat="1" applyFont="1" applyFill="1" applyBorder="1" applyAlignment="1">
      <alignment horizontal="center"/>
    </xf>
    <xf numFmtId="186" fontId="6" fillId="8" borderId="26" xfId="0" applyNumberFormat="1" applyFont="1" applyFill="1" applyBorder="1" applyAlignment="1">
      <alignment horizontal="center"/>
    </xf>
    <xf numFmtId="172" fontId="6" fillId="4" borderId="0" xfId="0" applyNumberFormat="1" applyFont="1" applyFill="1" applyBorder="1" applyAlignment="1">
      <alignment horizontal="left" vertical="center"/>
    </xf>
    <xf numFmtId="0" fontId="6" fillId="4" borderId="0" xfId="0" applyFont="1" applyFill="1" applyBorder="1" applyAlignment="1">
      <alignment horizontal="center" vertical="center"/>
    </xf>
    <xf numFmtId="0" fontId="23" fillId="4" borderId="50" xfId="0" applyFont="1" applyFill="1" applyBorder="1" applyAlignment="1">
      <alignment horizontal="center"/>
    </xf>
    <xf numFmtId="0" fontId="23" fillId="4" borderId="33" xfId="0" applyFont="1" applyFill="1" applyBorder="1" applyAlignment="1">
      <alignment horizontal="center"/>
    </xf>
    <xf numFmtId="0" fontId="12" fillId="4" borderId="50" xfId="0" applyFont="1" applyFill="1" applyBorder="1" applyAlignment="1">
      <alignment horizontal="center"/>
    </xf>
    <xf numFmtId="0" fontId="63" fillId="4" borderId="0" xfId="0" applyFont="1" applyFill="1" applyBorder="1" applyAlignment="1">
      <alignment horizontal="left"/>
    </xf>
    <xf numFmtId="181" fontId="35" fillId="4" borderId="7" xfId="0" applyNumberFormat="1" applyFont="1" applyFill="1" applyBorder="1" applyAlignment="1">
      <alignment horizontal="right" vertical="center" wrapText="1"/>
    </xf>
    <xf numFmtId="181" fontId="35" fillId="4" borderId="0" xfId="0" applyNumberFormat="1" applyFont="1" applyFill="1" applyBorder="1" applyAlignment="1">
      <alignment horizontal="right" vertical="center" wrapText="1"/>
    </xf>
    <xf numFmtId="0" fontId="70" fillId="4" borderId="4" xfId="0" applyFont="1" applyFill="1" applyBorder="1" applyAlignment="1">
      <alignment horizontal="left" vertical="top" wrapText="1"/>
    </xf>
    <xf numFmtId="0" fontId="70" fillId="4" borderId="5" xfId="0" applyFont="1" applyFill="1" applyBorder="1" applyAlignment="1">
      <alignment horizontal="left" vertical="top" wrapText="1"/>
    </xf>
    <xf numFmtId="0" fontId="70" fillId="4" borderId="6" xfId="0" applyFont="1" applyFill="1" applyBorder="1" applyAlignment="1">
      <alignment horizontal="left" vertical="top" wrapText="1"/>
    </xf>
    <xf numFmtId="0" fontId="70" fillId="4" borderId="7" xfId="0" applyFont="1" applyFill="1" applyBorder="1" applyAlignment="1">
      <alignment horizontal="left" vertical="top" wrapText="1"/>
    </xf>
    <xf numFmtId="0" fontId="70" fillId="4" borderId="0" xfId="0" applyFont="1" applyFill="1" applyBorder="1" applyAlignment="1">
      <alignment horizontal="left" vertical="top" wrapText="1"/>
    </xf>
    <xf numFmtId="0" fontId="70" fillId="4" borderId="8" xfId="0" applyFont="1" applyFill="1" applyBorder="1" applyAlignment="1">
      <alignment horizontal="left" vertical="top" wrapText="1"/>
    </xf>
    <xf numFmtId="0" fontId="70" fillId="4" borderId="9" xfId="0" applyFont="1" applyFill="1" applyBorder="1" applyAlignment="1">
      <alignment horizontal="left" vertical="top" wrapText="1"/>
    </xf>
    <xf numFmtId="0" fontId="70" fillId="4" borderId="10" xfId="0" applyFont="1" applyFill="1" applyBorder="1" applyAlignment="1">
      <alignment horizontal="left" vertical="top" wrapText="1"/>
    </xf>
    <xf numFmtId="0" fontId="70" fillId="4" borderId="11" xfId="0" applyFont="1" applyFill="1" applyBorder="1" applyAlignment="1">
      <alignment horizontal="left" vertical="top" wrapText="1"/>
    </xf>
    <xf numFmtId="0" fontId="11" fillId="4" borderId="45" xfId="0" applyFont="1" applyFill="1" applyBorder="1" applyAlignment="1">
      <alignment horizontal="center" vertical="center" wrapText="1"/>
    </xf>
    <xf numFmtId="0" fontId="11" fillId="4" borderId="4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2" fillId="4" borderId="0" xfId="0" applyFont="1" applyFill="1" applyAlignment="1">
      <alignment horizontal="center"/>
    </xf>
    <xf numFmtId="0" fontId="28" fillId="10" borderId="24" xfId="0" applyFont="1" applyFill="1" applyBorder="1" applyAlignment="1">
      <alignment horizontal="center" vertical="center"/>
    </xf>
    <xf numFmtId="0" fontId="28" fillId="10" borderId="25" xfId="0" applyFont="1" applyFill="1" applyBorder="1" applyAlignment="1">
      <alignment horizontal="center" vertical="center"/>
    </xf>
    <xf numFmtId="0" fontId="28" fillId="10" borderId="26" xfId="0" applyFont="1" applyFill="1" applyBorder="1" applyAlignment="1">
      <alignment horizontal="center" vertical="center"/>
    </xf>
    <xf numFmtId="0" fontId="49" fillId="4" borderId="51" xfId="0" applyFont="1" applyFill="1" applyBorder="1" applyAlignment="1">
      <alignment horizontal="center" vertical="top" wrapText="1"/>
    </xf>
    <xf numFmtId="0" fontId="49" fillId="4" borderId="0" xfId="0" applyFont="1" applyFill="1" applyAlignment="1">
      <alignment horizontal="center" vertical="top" wrapText="1"/>
    </xf>
  </cellXfs>
  <cellStyles count="16">
    <cellStyle name="Columna gris" xfId="4" xr:uid="{151EEE07-B026-4E91-A166-318177444C4B}"/>
    <cellStyle name="Duración estimada" xfId="8" xr:uid="{7D344D91-445F-47E9-8932-D8F55D9CD8C7}"/>
    <cellStyle name="Encabezado 1 2" xfId="14" xr:uid="{6E5F100F-1A70-4A88-B31F-B053DAECE713}"/>
    <cellStyle name="Encabezado 4 2" xfId="11" xr:uid="{B1EEC168-E4E9-4BD3-89E2-FB7835A731A3}"/>
    <cellStyle name="Entrada 2" xfId="12" xr:uid="{67B7B413-B3EB-4B8A-A7B5-73D3C471F446}"/>
    <cellStyle name="Fecha" xfId="2" xr:uid="{587B3A52-640C-4DA3-B79F-1D6AD322B543}"/>
    <cellStyle name="Hipervínculo" xfId="15" builtinId="8"/>
    <cellStyle name="Inicio real" xfId="7" xr:uid="{739B8C25-883D-4253-B665-4AED4825FECB}"/>
    <cellStyle name="Marca" xfId="5" xr:uid="{C7AE886A-E5BC-42BA-A442-30D9ADC863A6}"/>
    <cellStyle name="Normal" xfId="0" builtinId="0"/>
    <cellStyle name="Normal 2" xfId="1" xr:uid="{CECE3719-A902-44BE-8087-6D0F5C9D8221}"/>
    <cellStyle name="Números" xfId="6" xr:uid="{C42C8ADB-3B13-4432-95C4-4926DB510C5C}"/>
    <cellStyle name="Texto" xfId="3" xr:uid="{8406B01B-ADFD-4F96-B411-6218F165F72F}"/>
    <cellStyle name="Título 2 2" xfId="9" xr:uid="{986085CA-07B8-4130-99BB-BC2895540058}"/>
    <cellStyle name="Título 3 2" xfId="10" xr:uid="{C4E77A1D-26A5-4483-B58C-65E841279FB7}"/>
    <cellStyle name="Título 4" xfId="13" xr:uid="{728C2407-D8C4-40C6-875C-3398D318EC98}"/>
  </cellStyles>
  <dxfs count="6">
    <dxf>
      <fill>
        <patternFill>
          <bgColor rgb="FFFF4F4F"/>
        </patternFill>
      </fill>
    </dxf>
    <dxf>
      <fill>
        <patternFill>
          <bgColor rgb="FFFF4F4F"/>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2" defaultTableStyle="TableStyleMedium9" defaultPivotStyle="PivotStyleLight16">
    <tableStyle name="Estilo de tabla personalizado 2" pivot="0" count="2" xr9:uid="{00000000-0011-0000-FFFF-FFFF00000000}">
      <tableStyleElement type="wholeTable" dxfId="5"/>
      <tableStyleElement type="headerRow" dxfId="4"/>
    </tableStyle>
    <tableStyle name="Estilo de tabla personalizado 2 2" pivot="0" count="2" xr9:uid="{00000000-0011-0000-FFFF-FFFF00000000}">
      <tableStyleElement type="wholeTable" dxfId="3"/>
      <tableStyleElement type="headerRow" dxfId="2"/>
    </tableStyle>
  </tableStyles>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93733210719345"/>
          <c:y val="6.8825336944824692E-2"/>
          <c:w val="0.77504194806666371"/>
          <c:h val="0.7527360640689844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Columnas!$C$94:$C$106</c:f>
              <c:numCache>
                <c:formatCode>0.00</c:formatCode>
                <c:ptCount val="13"/>
                <c:pt idx="0" formatCode="General">
                  <c:v>0</c:v>
                </c:pt>
                <c:pt idx="1">
                  <c:v>252.88593750000001</c:v>
                </c:pt>
                <c:pt idx="2">
                  <c:v>264.90314999999998</c:v>
                </c:pt>
                <c:pt idx="3">
                  <c:v>275.17011442307694</c:v>
                </c:pt>
                <c:pt idx="4">
                  <c:v>305.75468099407578</c:v>
                </c:pt>
                <c:pt idx="5">
                  <c:v>283.9221</c:v>
                </c:pt>
                <c:pt idx="6">
                  <c:v>291.47992840909092</c:v>
                </c:pt>
                <c:pt idx="7">
                  <c:v>298.29275000000001</c:v>
                </c:pt>
                <c:pt idx="8">
                  <c:v>305.00933750000002</c:v>
                </c:pt>
                <c:pt idx="9">
                  <c:v>296.46960000000001</c:v>
                </c:pt>
                <c:pt idx="10">
                  <c:v>283.53053749999998</c:v>
                </c:pt>
                <c:pt idx="11">
                  <c:v>267.90015</c:v>
                </c:pt>
                <c:pt idx="12">
                  <c:v>249.57843750000001</c:v>
                </c:pt>
              </c:numCache>
            </c:numRef>
          </c:xVal>
          <c:yVal>
            <c:numRef>
              <c:f>Columnas!$D$94:$D$106</c:f>
              <c:numCache>
                <c:formatCode>0.00</c:formatCode>
                <c:ptCount val="13"/>
                <c:pt idx="0">
                  <c:v>1899.5200000000002</c:v>
                </c:pt>
                <c:pt idx="1">
                  <c:v>1410.15</c:v>
                </c:pt>
                <c:pt idx="2">
                  <c:v>1309.8628571428574</c:v>
                </c:pt>
                <c:pt idx="3">
                  <c:v>1206.886923076923</c:v>
                </c:pt>
                <c:pt idx="4">
                  <c:v>736.47683919744111</c:v>
                </c:pt>
                <c:pt idx="5">
                  <c:v>1100.55</c:v>
                </c:pt>
                <c:pt idx="6">
                  <c:v>989.9354545454546</c:v>
                </c:pt>
                <c:pt idx="7">
                  <c:v>873.76</c:v>
                </c:pt>
                <c:pt idx="8">
                  <c:v>750.17</c:v>
                </c:pt>
                <c:pt idx="9">
                  <c:v>662.48</c:v>
                </c:pt>
                <c:pt idx="10">
                  <c:v>579.66999999999996</c:v>
                </c:pt>
                <c:pt idx="11">
                  <c:v>496.86</c:v>
                </c:pt>
                <c:pt idx="12">
                  <c:v>414.05</c:v>
                </c:pt>
              </c:numCache>
            </c:numRef>
          </c:yVal>
          <c:smooth val="0"/>
          <c:extLst>
            <c:ext xmlns:c16="http://schemas.microsoft.com/office/drawing/2014/chart" uri="{C3380CC4-5D6E-409C-BE32-E72D297353CC}">
              <c16:uniqueId val="{00000000-E8CB-42BC-90BA-372DB5B5E4D7}"/>
            </c:ext>
          </c:extLst>
        </c:ser>
        <c:dLbls>
          <c:showLegendKey val="0"/>
          <c:showVal val="0"/>
          <c:showCatName val="0"/>
          <c:showSerName val="0"/>
          <c:showPercent val="0"/>
          <c:showBubbleSize val="0"/>
        </c:dLbls>
        <c:axId val="492946824"/>
        <c:axId val="1"/>
      </c:scatterChart>
      <c:valAx>
        <c:axId val="49294682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s-MX"/>
                  <a:t>Momentos (T-m)</a:t>
                </a:r>
              </a:p>
            </c:rich>
          </c:tx>
          <c:layout>
            <c:manualLayout>
              <c:xMode val="edge"/>
              <c:yMode val="edge"/>
              <c:x val="0.45029964010068346"/>
              <c:y val="0.910904750237592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MX"/>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s-MX"/>
                  <a:t>Cargas (T)</a:t>
                </a:r>
              </a:p>
            </c:rich>
          </c:tx>
          <c:layout>
            <c:manualLayout>
              <c:xMode val="edge"/>
              <c:yMode val="edge"/>
              <c:x val="2.7070702053511496E-2"/>
              <c:y val="0.39488265903464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MX"/>
          </a:p>
        </c:txPr>
        <c:crossAx val="49294682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s-MX"/>
              <a:t>DIAGRAMA DE INTERACCIÒN</a:t>
            </a:r>
          </a:p>
        </c:rich>
      </c:tx>
      <c:layout>
        <c:manualLayout>
          <c:xMode val="edge"/>
          <c:yMode val="edge"/>
          <c:x val="0.32420163233020532"/>
          <c:y val="3.4700315457413249E-2"/>
        </c:manualLayout>
      </c:layout>
      <c:overlay val="0"/>
      <c:spPr>
        <a:noFill/>
        <a:ln w="25400">
          <a:noFill/>
        </a:ln>
      </c:spPr>
    </c:title>
    <c:autoTitleDeleted val="0"/>
    <c:plotArea>
      <c:layout>
        <c:manualLayout>
          <c:layoutTarget val="inner"/>
          <c:xMode val="edge"/>
          <c:yMode val="edge"/>
          <c:x val="0.19178124951227507"/>
          <c:y val="0.18296529968454259"/>
          <c:w val="0.75114322725641069"/>
          <c:h val="0.67192429022082023"/>
        </c:manualLayout>
      </c:layout>
      <c:scatterChart>
        <c:scatterStyle val="smoothMarker"/>
        <c:varyColors val="0"/>
        <c:ser>
          <c:idx val="0"/>
          <c:order val="0"/>
          <c:tx>
            <c:strRef>
              <c:f>Columnas!$D$93</c:f>
              <c:strCache>
                <c:ptCount val="1"/>
                <c:pt idx="0">
                  <c:v>P  (Ton-m)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Columnas!$C$94:$C$106</c:f>
              <c:numCache>
                <c:formatCode>0.00</c:formatCode>
                <c:ptCount val="13"/>
                <c:pt idx="0" formatCode="General">
                  <c:v>0</c:v>
                </c:pt>
                <c:pt idx="1">
                  <c:v>252.88593750000001</c:v>
                </c:pt>
                <c:pt idx="2">
                  <c:v>264.90314999999998</c:v>
                </c:pt>
                <c:pt idx="3">
                  <c:v>275.17011442307694</c:v>
                </c:pt>
                <c:pt idx="4">
                  <c:v>305.75468099407578</c:v>
                </c:pt>
                <c:pt idx="5">
                  <c:v>283.9221</c:v>
                </c:pt>
                <c:pt idx="6">
                  <c:v>291.47992840909092</c:v>
                </c:pt>
                <c:pt idx="7">
                  <c:v>298.29275000000001</c:v>
                </c:pt>
                <c:pt idx="8">
                  <c:v>305.00933750000002</c:v>
                </c:pt>
                <c:pt idx="9">
                  <c:v>296.46960000000001</c:v>
                </c:pt>
                <c:pt idx="10">
                  <c:v>283.53053749999998</c:v>
                </c:pt>
                <c:pt idx="11">
                  <c:v>267.90015</c:v>
                </c:pt>
                <c:pt idx="12">
                  <c:v>249.57843750000001</c:v>
                </c:pt>
              </c:numCache>
            </c:numRef>
          </c:xVal>
          <c:yVal>
            <c:numRef>
              <c:f>Columnas!$D$94:$D$106</c:f>
              <c:numCache>
                <c:formatCode>0.00</c:formatCode>
                <c:ptCount val="13"/>
                <c:pt idx="0">
                  <c:v>1899.5200000000002</c:v>
                </c:pt>
                <c:pt idx="1">
                  <c:v>1410.15</c:v>
                </c:pt>
                <c:pt idx="2">
                  <c:v>1309.8628571428574</c:v>
                </c:pt>
                <c:pt idx="3">
                  <c:v>1206.886923076923</c:v>
                </c:pt>
                <c:pt idx="4">
                  <c:v>736.47683919744111</c:v>
                </c:pt>
                <c:pt idx="5">
                  <c:v>1100.55</c:v>
                </c:pt>
                <c:pt idx="6">
                  <c:v>989.9354545454546</c:v>
                </c:pt>
                <c:pt idx="7">
                  <c:v>873.76</c:v>
                </c:pt>
                <c:pt idx="8">
                  <c:v>750.17</c:v>
                </c:pt>
                <c:pt idx="9">
                  <c:v>662.48</c:v>
                </c:pt>
                <c:pt idx="10">
                  <c:v>579.66999999999996</c:v>
                </c:pt>
                <c:pt idx="11">
                  <c:v>496.86</c:v>
                </c:pt>
                <c:pt idx="12">
                  <c:v>414.05</c:v>
                </c:pt>
              </c:numCache>
            </c:numRef>
          </c:yVal>
          <c:smooth val="1"/>
          <c:extLst>
            <c:ext xmlns:c16="http://schemas.microsoft.com/office/drawing/2014/chart" uri="{C3380CC4-5D6E-409C-BE32-E72D297353CC}">
              <c16:uniqueId val="{00000000-B40C-400B-A83C-C162C4544CD6}"/>
            </c:ext>
          </c:extLst>
        </c:ser>
        <c:dLbls>
          <c:showLegendKey val="0"/>
          <c:showVal val="0"/>
          <c:showCatName val="0"/>
          <c:showSerName val="0"/>
          <c:showPercent val="0"/>
          <c:showBubbleSize val="0"/>
        </c:dLbls>
        <c:axId val="492945184"/>
        <c:axId val="1"/>
      </c:scatterChart>
      <c:valAx>
        <c:axId val="4929451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MX"/>
                  <a:t>Momentos ( T - m )</a:t>
                </a:r>
              </a:p>
            </c:rich>
          </c:tx>
          <c:layout>
            <c:manualLayout>
              <c:xMode val="edge"/>
              <c:yMode val="edge"/>
              <c:x val="0.379598750683869"/>
              <c:y val="0.929801963218488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MX"/>
                  <a:t>Cargas ( T )</a:t>
                </a:r>
              </a:p>
            </c:rich>
          </c:tx>
          <c:layout>
            <c:manualLayout>
              <c:xMode val="edge"/>
              <c:yMode val="edge"/>
              <c:x val="8.3563304575836172E-3"/>
              <c:y val="0.3008830022075055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929451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Diagrama de esfuerzo-deformación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6138910671655848"/>
          <c:y val="0.11645289848539606"/>
          <c:w val="0.7685581381679053"/>
          <c:h val="0.72954882253072995"/>
        </c:manualLayout>
      </c:layout>
      <c:lineChart>
        <c:grouping val="standard"/>
        <c:varyColors val="0"/>
        <c:ser>
          <c:idx val="0"/>
          <c:order val="0"/>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'Ejem. Esfuerzo-deformación'!$G$11:$G$16</c:f>
              <c:numCache>
                <c:formatCode>0.000000</c:formatCode>
                <c:ptCount val="6"/>
                <c:pt idx="0">
                  <c:v>0</c:v>
                </c:pt>
                <c:pt idx="1">
                  <c:v>9.6315099857569237E-4</c:v>
                </c:pt>
                <c:pt idx="2">
                  <c:v>9.6315099857569237E-4</c:v>
                </c:pt>
                <c:pt idx="3">
                  <c:v>1.2520962981484001E-3</c:v>
                </c:pt>
                <c:pt idx="4">
                  <c:v>1.3484113980059692E-3</c:v>
                </c:pt>
                <c:pt idx="5">
                  <c:v>1.3445587940116666E-3</c:v>
                </c:pt>
              </c:numCache>
            </c:numRef>
          </c:cat>
          <c:val>
            <c:numRef>
              <c:f>'Ejem. Esfuerzo-deformación'!$H$11:$H$16</c:f>
              <c:numCache>
                <c:formatCode>0.00\ "kg/cm2"</c:formatCode>
                <c:ptCount val="6"/>
                <c:pt idx="0">
                  <c:v>0</c:v>
                </c:pt>
                <c:pt idx="1">
                  <c:v>1963.8648860958367</c:v>
                </c:pt>
                <c:pt idx="2">
                  <c:v>1963.8648860958367</c:v>
                </c:pt>
                <c:pt idx="3">
                  <c:v>2553.0243519245878</c:v>
                </c:pt>
                <c:pt idx="4">
                  <c:v>2749.4108405341713</c:v>
                </c:pt>
                <c:pt idx="5">
                  <c:v>2741.5553809897883</c:v>
                </c:pt>
              </c:numCache>
            </c:numRef>
          </c:val>
          <c:smooth val="1"/>
          <c:extLst>
            <c:ext xmlns:c16="http://schemas.microsoft.com/office/drawing/2014/chart" uri="{C3380CC4-5D6E-409C-BE32-E72D297353CC}">
              <c16:uniqueId val="{00000000-4594-427C-BED8-2016243AB829}"/>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15506648"/>
        <c:axId val="615501728"/>
      </c:lineChart>
      <c:catAx>
        <c:axId val="615506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MX"/>
                  <a:t>Ɛ=</a:t>
                </a:r>
                <a:r>
                  <a:rPr lang="el-GR"/>
                  <a:t>δ/</a:t>
                </a:r>
                <a:r>
                  <a:rPr lang="es-MX"/>
                  <a:t>L </a:t>
                </a:r>
              </a:p>
            </c:rich>
          </c:tx>
          <c:layout>
            <c:manualLayout>
              <c:xMode val="edge"/>
              <c:yMode val="edge"/>
              <c:x val="0.52298875277394763"/>
              <c:y val="0.94786074717937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0.000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5501728"/>
        <c:crosses val="autoZero"/>
        <c:auto val="1"/>
        <c:lblAlgn val="ctr"/>
        <c:lblOffset val="100"/>
        <c:noMultiLvlLbl val="0"/>
      </c:catAx>
      <c:valAx>
        <c:axId val="61550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l-GR"/>
                  <a:t>σ </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itle>
        <c:numFmt formatCode="0.00\ &quot;kg/cm2&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5506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5775</xdr:colOff>
      <xdr:row>47</xdr:row>
      <xdr:rowOff>151180</xdr:rowOff>
    </xdr:from>
    <xdr:to>
      <xdr:col>5</xdr:col>
      <xdr:colOff>895350</xdr:colOff>
      <xdr:row>56</xdr:row>
      <xdr:rowOff>75556</xdr:rowOff>
    </xdr:to>
    <xdr:pic>
      <xdr:nvPicPr>
        <xdr:cNvPr id="2076" name="Picture 7">
          <a:extLst>
            <a:ext uri="{FF2B5EF4-FFF2-40B4-BE49-F238E27FC236}">
              <a16:creationId xmlns:a16="http://schemas.microsoft.com/office/drawing/2014/main" id="{A56BC2A8-35EB-4431-9ADA-3EB26E7BCA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20425" y="7923580"/>
          <a:ext cx="1508700" cy="1457901"/>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28575</xdr:colOff>
      <xdr:row>121</xdr:row>
      <xdr:rowOff>155714</xdr:rowOff>
    </xdr:from>
    <xdr:to>
      <xdr:col>6</xdr:col>
      <xdr:colOff>190500</xdr:colOff>
      <xdr:row>135</xdr:row>
      <xdr:rowOff>122582</xdr:rowOff>
    </xdr:to>
    <xdr:graphicFrame macro="">
      <xdr:nvGraphicFramePr>
        <xdr:cNvPr id="2078" name="Chart 25">
          <a:extLst>
            <a:ext uri="{FF2B5EF4-FFF2-40B4-BE49-F238E27FC236}">
              <a16:creationId xmlns:a16="http://schemas.microsoft.com/office/drawing/2014/main" id="{7B92FC4F-33A5-4990-A255-712F16B13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19939</xdr:colOff>
      <xdr:row>106</xdr:row>
      <xdr:rowOff>108652</xdr:rowOff>
    </xdr:from>
    <xdr:to>
      <xdr:col>6</xdr:col>
      <xdr:colOff>180975</xdr:colOff>
      <xdr:row>121</xdr:row>
      <xdr:rowOff>66675</xdr:rowOff>
    </xdr:to>
    <xdr:graphicFrame macro="">
      <xdr:nvGraphicFramePr>
        <xdr:cNvPr id="2079" name="Chart 26">
          <a:extLst>
            <a:ext uri="{FF2B5EF4-FFF2-40B4-BE49-F238E27FC236}">
              <a16:creationId xmlns:a16="http://schemas.microsoft.com/office/drawing/2014/main" id="{CAB5BE12-94F7-453B-82EB-29CDED632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827018</xdr:colOff>
      <xdr:row>3</xdr:row>
      <xdr:rowOff>72473</xdr:rowOff>
    </xdr:from>
    <xdr:ext cx="1219615" cy="1622977"/>
    <xdr:pic>
      <xdr:nvPicPr>
        <xdr:cNvPr id="7" name="Picture 6">
          <a:extLst>
            <a:ext uri="{FF2B5EF4-FFF2-40B4-BE49-F238E27FC236}">
              <a16:creationId xmlns:a16="http://schemas.microsoft.com/office/drawing/2014/main" id="{3A07EDCC-171E-41F8-B67C-C01A61DEFAE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60368" y="2787098"/>
          <a:ext cx="1219615" cy="162297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260074</xdr:colOff>
      <xdr:row>3</xdr:row>
      <xdr:rowOff>61705</xdr:rowOff>
    </xdr:from>
    <xdr:ext cx="3719825" cy="1630018"/>
    <xdr:pic>
      <xdr:nvPicPr>
        <xdr:cNvPr id="8" name="Picture 8">
          <a:extLst>
            <a:ext uri="{FF2B5EF4-FFF2-40B4-BE49-F238E27FC236}">
              <a16:creationId xmlns:a16="http://schemas.microsoft.com/office/drawing/2014/main" id="{8A3CEE7F-2C2C-4848-B248-341CED660F3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98424" y="2776330"/>
          <a:ext cx="3719825" cy="163001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707780</xdr:colOff>
      <xdr:row>27</xdr:row>
      <xdr:rowOff>103310</xdr:rowOff>
    </xdr:from>
    <xdr:ext cx="65" cy="172227"/>
    <xdr:sp macro="" textlink="">
      <xdr:nvSpPr>
        <xdr:cNvPr id="2" name="CuadroTexto 1">
          <a:extLst>
            <a:ext uri="{FF2B5EF4-FFF2-40B4-BE49-F238E27FC236}">
              <a16:creationId xmlns:a16="http://schemas.microsoft.com/office/drawing/2014/main" id="{94A593EF-A03E-4478-9761-18A694E25548}"/>
            </a:ext>
          </a:extLst>
        </xdr:cNvPr>
        <xdr:cNvSpPr txBox="1"/>
      </xdr:nvSpPr>
      <xdr:spPr>
        <a:xfrm>
          <a:off x="6371492" y="234534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twoCellAnchor editAs="oneCell">
    <xdr:from>
      <xdr:col>2</xdr:col>
      <xdr:colOff>298758</xdr:colOff>
      <xdr:row>18</xdr:row>
      <xdr:rowOff>115053</xdr:rowOff>
    </xdr:from>
    <xdr:to>
      <xdr:col>4</xdr:col>
      <xdr:colOff>281475</xdr:colOff>
      <xdr:row>43</xdr:row>
      <xdr:rowOff>133516</xdr:rowOff>
    </xdr:to>
    <xdr:pic>
      <xdr:nvPicPr>
        <xdr:cNvPr id="10" name="Imagen 9">
          <a:extLst>
            <a:ext uri="{FF2B5EF4-FFF2-40B4-BE49-F238E27FC236}">
              <a16:creationId xmlns:a16="http://schemas.microsoft.com/office/drawing/2014/main" id="{99979748-669E-479F-9B01-75595A1E6BD0}"/>
            </a:ext>
          </a:extLst>
        </xdr:cNvPr>
        <xdr:cNvPicPr>
          <a:picLocks noChangeAspect="1" noChangeArrowheads="1"/>
        </xdr:cNvPicPr>
      </xdr:nvPicPr>
      <xdr:blipFill rotWithShape="1">
        <a:blip xmlns:r="http://schemas.openxmlformats.org/officeDocument/2006/relationships" r:embed="rId1">
          <a:duotone>
            <a:prstClr val="black"/>
            <a:schemeClr val="accent2">
              <a:tint val="45000"/>
              <a:satMod val="400000"/>
            </a:schemeClr>
          </a:duotone>
          <a:extLst>
            <a:ext uri="{28A0092B-C50C-407E-A947-70E740481C1C}">
              <a14:useLocalDpi xmlns:a14="http://schemas.microsoft.com/office/drawing/2010/main" val="0"/>
            </a:ext>
          </a:extLst>
        </a:blip>
        <a:srcRect l="39487" t="14847" r="48146" b="12531"/>
        <a:stretch/>
      </xdr:blipFill>
      <xdr:spPr bwMode="auto">
        <a:xfrm>
          <a:off x="1868741" y="1238346"/>
          <a:ext cx="1519855" cy="382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331343</xdr:colOff>
      <xdr:row>23</xdr:row>
      <xdr:rowOff>9293</xdr:rowOff>
    </xdr:from>
    <xdr:to>
      <xdr:col>7</xdr:col>
      <xdr:colOff>112331</xdr:colOff>
      <xdr:row>23</xdr:row>
      <xdr:rowOff>9293</xdr:rowOff>
    </xdr:to>
    <xdr:cxnSp macro="">
      <xdr:nvCxnSpPr>
        <xdr:cNvPr id="37" name="Conector recto 36">
          <a:extLst>
            <a:ext uri="{FF2B5EF4-FFF2-40B4-BE49-F238E27FC236}">
              <a16:creationId xmlns:a16="http://schemas.microsoft.com/office/drawing/2014/main" id="{AE71058A-435D-4F07-AC41-1952165C1AF6}"/>
            </a:ext>
          </a:extLst>
        </xdr:cNvPr>
        <xdr:cNvCxnSpPr/>
      </xdr:nvCxnSpPr>
      <xdr:spPr bwMode="auto">
        <a:xfrm>
          <a:off x="4494465" y="1445013"/>
          <a:ext cx="19915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311305</xdr:colOff>
      <xdr:row>35</xdr:row>
      <xdr:rowOff>78566</xdr:rowOff>
    </xdr:from>
    <xdr:to>
      <xdr:col>7</xdr:col>
      <xdr:colOff>95015</xdr:colOff>
      <xdr:row>35</xdr:row>
      <xdr:rowOff>78566</xdr:rowOff>
    </xdr:to>
    <xdr:cxnSp macro="">
      <xdr:nvCxnSpPr>
        <xdr:cNvPr id="38" name="Conector recto 37">
          <a:extLst>
            <a:ext uri="{FF2B5EF4-FFF2-40B4-BE49-F238E27FC236}">
              <a16:creationId xmlns:a16="http://schemas.microsoft.com/office/drawing/2014/main" id="{E7C8A4A2-E3A7-437B-A5CC-4F38231D98D6}"/>
            </a:ext>
          </a:extLst>
        </xdr:cNvPr>
        <xdr:cNvCxnSpPr/>
      </xdr:nvCxnSpPr>
      <xdr:spPr bwMode="auto">
        <a:xfrm>
          <a:off x="4474427" y="3372822"/>
          <a:ext cx="201881"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4646</xdr:colOff>
      <xdr:row>23</xdr:row>
      <xdr:rowOff>9293</xdr:rowOff>
    </xdr:from>
    <xdr:to>
      <xdr:col>7</xdr:col>
      <xdr:colOff>13939</xdr:colOff>
      <xdr:row>35</xdr:row>
      <xdr:rowOff>83635</xdr:rowOff>
    </xdr:to>
    <xdr:cxnSp macro="">
      <xdr:nvCxnSpPr>
        <xdr:cNvPr id="21" name="Conector recto de flecha 20">
          <a:extLst>
            <a:ext uri="{FF2B5EF4-FFF2-40B4-BE49-F238E27FC236}">
              <a16:creationId xmlns:a16="http://schemas.microsoft.com/office/drawing/2014/main" id="{2C1CD540-E101-47C9-A6B9-BB4A8F7A436A}"/>
            </a:ext>
          </a:extLst>
        </xdr:cNvPr>
        <xdr:cNvCxnSpPr/>
      </xdr:nvCxnSpPr>
      <xdr:spPr bwMode="auto">
        <a:xfrm>
          <a:off x="4585939" y="1445013"/>
          <a:ext cx="9293" cy="193287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504231</xdr:colOff>
      <xdr:row>31</xdr:row>
      <xdr:rowOff>35166</xdr:rowOff>
    </xdr:from>
    <xdr:to>
      <xdr:col>5</xdr:col>
      <xdr:colOff>504232</xdr:colOff>
      <xdr:row>35</xdr:row>
      <xdr:rowOff>66553</xdr:rowOff>
    </xdr:to>
    <xdr:cxnSp macro="">
      <xdr:nvCxnSpPr>
        <xdr:cNvPr id="43" name="Conector recto de flecha 42">
          <a:extLst>
            <a:ext uri="{FF2B5EF4-FFF2-40B4-BE49-F238E27FC236}">
              <a16:creationId xmlns:a16="http://schemas.microsoft.com/office/drawing/2014/main" id="{BE0660BE-CABD-4FD5-967E-B754B10B9F1B}"/>
            </a:ext>
          </a:extLst>
        </xdr:cNvPr>
        <xdr:cNvCxnSpPr/>
      </xdr:nvCxnSpPr>
      <xdr:spPr bwMode="auto">
        <a:xfrm flipV="1">
          <a:off x="3905353" y="2697520"/>
          <a:ext cx="1" cy="663289"/>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493948</xdr:colOff>
      <xdr:row>22</xdr:row>
      <xdr:rowOff>134745</xdr:rowOff>
    </xdr:from>
    <xdr:to>
      <xdr:col>5</xdr:col>
      <xdr:colOff>493948</xdr:colOff>
      <xdr:row>26</xdr:row>
      <xdr:rowOff>128791</xdr:rowOff>
    </xdr:to>
    <xdr:cxnSp macro="">
      <xdr:nvCxnSpPr>
        <xdr:cNvPr id="44" name="Conector recto de flecha 43">
          <a:extLst>
            <a:ext uri="{FF2B5EF4-FFF2-40B4-BE49-F238E27FC236}">
              <a16:creationId xmlns:a16="http://schemas.microsoft.com/office/drawing/2014/main" id="{31345B25-98BF-479D-9A15-36FC1863E633}"/>
            </a:ext>
          </a:extLst>
        </xdr:cNvPr>
        <xdr:cNvCxnSpPr/>
      </xdr:nvCxnSpPr>
      <xdr:spPr bwMode="auto">
        <a:xfrm flipV="1">
          <a:off x="3895070" y="1417135"/>
          <a:ext cx="0" cy="607363"/>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608840</xdr:colOff>
      <xdr:row>26</xdr:row>
      <xdr:rowOff>125545</xdr:rowOff>
    </xdr:from>
    <xdr:to>
      <xdr:col>5</xdr:col>
      <xdr:colOff>610676</xdr:colOff>
      <xdr:row>31</xdr:row>
      <xdr:rowOff>38967</xdr:rowOff>
    </xdr:to>
    <xdr:cxnSp macro="">
      <xdr:nvCxnSpPr>
        <xdr:cNvPr id="45" name="Conector recto de flecha 44">
          <a:extLst>
            <a:ext uri="{FF2B5EF4-FFF2-40B4-BE49-F238E27FC236}">
              <a16:creationId xmlns:a16="http://schemas.microsoft.com/office/drawing/2014/main" id="{3B0B6578-EA6A-44A7-951E-89AB559764EB}"/>
            </a:ext>
          </a:extLst>
        </xdr:cNvPr>
        <xdr:cNvCxnSpPr/>
      </xdr:nvCxnSpPr>
      <xdr:spPr bwMode="auto">
        <a:xfrm>
          <a:off x="4009962" y="2021252"/>
          <a:ext cx="1836" cy="680069"/>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395992</xdr:colOff>
      <xdr:row>22</xdr:row>
      <xdr:rowOff>146282</xdr:rowOff>
    </xdr:from>
    <xdr:to>
      <xdr:col>5</xdr:col>
      <xdr:colOff>585626</xdr:colOff>
      <xdr:row>22</xdr:row>
      <xdr:rowOff>146282</xdr:rowOff>
    </xdr:to>
    <xdr:cxnSp macro="">
      <xdr:nvCxnSpPr>
        <xdr:cNvPr id="46" name="Conector recto 45">
          <a:extLst>
            <a:ext uri="{FF2B5EF4-FFF2-40B4-BE49-F238E27FC236}">
              <a16:creationId xmlns:a16="http://schemas.microsoft.com/office/drawing/2014/main" id="{1F388600-ED4D-4959-8F66-069C79CDEEAE}"/>
            </a:ext>
          </a:extLst>
        </xdr:cNvPr>
        <xdr:cNvCxnSpPr/>
      </xdr:nvCxnSpPr>
      <xdr:spPr bwMode="auto">
        <a:xfrm>
          <a:off x="3797114" y="1428672"/>
          <a:ext cx="189634"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388199</xdr:colOff>
      <xdr:row>26</xdr:row>
      <xdr:rowOff>128033</xdr:rowOff>
    </xdr:from>
    <xdr:to>
      <xdr:col>5</xdr:col>
      <xdr:colOff>587358</xdr:colOff>
      <xdr:row>26</xdr:row>
      <xdr:rowOff>128033</xdr:rowOff>
    </xdr:to>
    <xdr:cxnSp macro="">
      <xdr:nvCxnSpPr>
        <xdr:cNvPr id="47" name="Conector recto 46">
          <a:extLst>
            <a:ext uri="{FF2B5EF4-FFF2-40B4-BE49-F238E27FC236}">
              <a16:creationId xmlns:a16="http://schemas.microsoft.com/office/drawing/2014/main" id="{85DA3D01-B3BC-421C-8B0D-BDFC8FF34248}"/>
            </a:ext>
          </a:extLst>
        </xdr:cNvPr>
        <xdr:cNvCxnSpPr/>
      </xdr:nvCxnSpPr>
      <xdr:spPr bwMode="auto">
        <a:xfrm>
          <a:off x="3789321" y="2023740"/>
          <a:ext cx="19915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583028</xdr:colOff>
      <xdr:row>26</xdr:row>
      <xdr:rowOff>128900</xdr:rowOff>
    </xdr:from>
    <xdr:to>
      <xdr:col>6</xdr:col>
      <xdr:colOff>29712</xdr:colOff>
      <xdr:row>26</xdr:row>
      <xdr:rowOff>128900</xdr:rowOff>
    </xdr:to>
    <xdr:cxnSp macro="">
      <xdr:nvCxnSpPr>
        <xdr:cNvPr id="48" name="Conector recto 47">
          <a:extLst>
            <a:ext uri="{FF2B5EF4-FFF2-40B4-BE49-F238E27FC236}">
              <a16:creationId xmlns:a16="http://schemas.microsoft.com/office/drawing/2014/main" id="{C727B738-4961-45DF-9477-2614E8339C94}"/>
            </a:ext>
          </a:extLst>
        </xdr:cNvPr>
        <xdr:cNvCxnSpPr/>
      </xdr:nvCxnSpPr>
      <xdr:spPr bwMode="auto">
        <a:xfrm>
          <a:off x="3984150" y="2024607"/>
          <a:ext cx="115757"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591688</xdr:colOff>
      <xdr:row>31</xdr:row>
      <xdr:rowOff>25858</xdr:rowOff>
    </xdr:from>
    <xdr:to>
      <xdr:col>6</xdr:col>
      <xdr:colOff>47897</xdr:colOff>
      <xdr:row>31</xdr:row>
      <xdr:rowOff>25858</xdr:rowOff>
    </xdr:to>
    <xdr:cxnSp macro="">
      <xdr:nvCxnSpPr>
        <xdr:cNvPr id="49" name="Conector recto 48">
          <a:extLst>
            <a:ext uri="{FF2B5EF4-FFF2-40B4-BE49-F238E27FC236}">
              <a16:creationId xmlns:a16="http://schemas.microsoft.com/office/drawing/2014/main" id="{25316248-88B5-4901-9C22-1CD426F4AC5E}"/>
            </a:ext>
          </a:extLst>
        </xdr:cNvPr>
        <xdr:cNvCxnSpPr/>
      </xdr:nvCxnSpPr>
      <xdr:spPr bwMode="auto">
        <a:xfrm>
          <a:off x="3992810" y="2688212"/>
          <a:ext cx="125282"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390798</xdr:colOff>
      <xdr:row>31</xdr:row>
      <xdr:rowOff>35382</xdr:rowOff>
    </xdr:from>
    <xdr:to>
      <xdr:col>5</xdr:col>
      <xdr:colOff>589957</xdr:colOff>
      <xdr:row>31</xdr:row>
      <xdr:rowOff>35382</xdr:rowOff>
    </xdr:to>
    <xdr:cxnSp macro="">
      <xdr:nvCxnSpPr>
        <xdr:cNvPr id="50" name="Conector recto 49">
          <a:extLst>
            <a:ext uri="{FF2B5EF4-FFF2-40B4-BE49-F238E27FC236}">
              <a16:creationId xmlns:a16="http://schemas.microsoft.com/office/drawing/2014/main" id="{316E762F-2460-430A-BD9B-3AF37CB1294E}"/>
            </a:ext>
          </a:extLst>
        </xdr:cNvPr>
        <xdr:cNvCxnSpPr/>
      </xdr:nvCxnSpPr>
      <xdr:spPr bwMode="auto">
        <a:xfrm>
          <a:off x="3791920" y="2697736"/>
          <a:ext cx="19915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376353</xdr:colOff>
      <xdr:row>35</xdr:row>
      <xdr:rowOff>62225</xdr:rowOff>
    </xdr:from>
    <xdr:to>
      <xdr:col>5</xdr:col>
      <xdr:colOff>577835</xdr:colOff>
      <xdr:row>35</xdr:row>
      <xdr:rowOff>62225</xdr:rowOff>
    </xdr:to>
    <xdr:cxnSp macro="">
      <xdr:nvCxnSpPr>
        <xdr:cNvPr id="51" name="Conector recto 50">
          <a:extLst>
            <a:ext uri="{FF2B5EF4-FFF2-40B4-BE49-F238E27FC236}">
              <a16:creationId xmlns:a16="http://schemas.microsoft.com/office/drawing/2014/main" id="{58EBAC94-2E0F-4A1E-9B5B-38D1D7C10E0B}"/>
            </a:ext>
          </a:extLst>
        </xdr:cNvPr>
        <xdr:cNvCxnSpPr/>
      </xdr:nvCxnSpPr>
      <xdr:spPr bwMode="auto">
        <a:xfrm>
          <a:off x="3777475" y="3356481"/>
          <a:ext cx="201482"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139390</xdr:colOff>
      <xdr:row>35</xdr:row>
      <xdr:rowOff>94640</xdr:rowOff>
    </xdr:from>
    <xdr:to>
      <xdr:col>5</xdr:col>
      <xdr:colOff>140888</xdr:colOff>
      <xdr:row>38</xdr:row>
      <xdr:rowOff>18585</xdr:rowOff>
    </xdr:to>
    <xdr:cxnSp macro="">
      <xdr:nvCxnSpPr>
        <xdr:cNvPr id="52" name="Conector recto de flecha 51">
          <a:extLst>
            <a:ext uri="{FF2B5EF4-FFF2-40B4-BE49-F238E27FC236}">
              <a16:creationId xmlns:a16="http://schemas.microsoft.com/office/drawing/2014/main" id="{E01B7026-DE33-482F-90D3-F27779328A10}"/>
            </a:ext>
          </a:extLst>
        </xdr:cNvPr>
        <xdr:cNvCxnSpPr/>
      </xdr:nvCxnSpPr>
      <xdr:spPr bwMode="auto">
        <a:xfrm flipV="1">
          <a:off x="3540512" y="3388896"/>
          <a:ext cx="1498" cy="383933"/>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27454</xdr:colOff>
      <xdr:row>35</xdr:row>
      <xdr:rowOff>94855</xdr:rowOff>
    </xdr:from>
    <xdr:to>
      <xdr:col>5</xdr:col>
      <xdr:colOff>226613</xdr:colOff>
      <xdr:row>35</xdr:row>
      <xdr:rowOff>94855</xdr:rowOff>
    </xdr:to>
    <xdr:cxnSp macro="">
      <xdr:nvCxnSpPr>
        <xdr:cNvPr id="53" name="Conector recto 52">
          <a:extLst>
            <a:ext uri="{FF2B5EF4-FFF2-40B4-BE49-F238E27FC236}">
              <a16:creationId xmlns:a16="http://schemas.microsoft.com/office/drawing/2014/main" id="{9F7CB446-219B-4C2D-A960-285A529B4F06}"/>
            </a:ext>
          </a:extLst>
        </xdr:cNvPr>
        <xdr:cNvCxnSpPr/>
      </xdr:nvCxnSpPr>
      <xdr:spPr bwMode="auto">
        <a:xfrm>
          <a:off x="3428576" y="3389111"/>
          <a:ext cx="19915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23232</xdr:colOff>
      <xdr:row>38</xdr:row>
      <xdr:rowOff>15652</xdr:rowOff>
    </xdr:from>
    <xdr:to>
      <xdr:col>5</xdr:col>
      <xdr:colOff>224714</xdr:colOff>
      <xdr:row>38</xdr:row>
      <xdr:rowOff>15652</xdr:rowOff>
    </xdr:to>
    <xdr:cxnSp macro="">
      <xdr:nvCxnSpPr>
        <xdr:cNvPr id="56" name="Conector recto 55">
          <a:extLst>
            <a:ext uri="{FF2B5EF4-FFF2-40B4-BE49-F238E27FC236}">
              <a16:creationId xmlns:a16="http://schemas.microsoft.com/office/drawing/2014/main" id="{581DB6A0-E919-469E-A7B4-211E23DF908B}"/>
            </a:ext>
          </a:extLst>
        </xdr:cNvPr>
        <xdr:cNvCxnSpPr/>
      </xdr:nvCxnSpPr>
      <xdr:spPr bwMode="auto">
        <a:xfrm>
          <a:off x="3424354" y="3769896"/>
          <a:ext cx="201482"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116158</xdr:colOff>
      <xdr:row>20</xdr:row>
      <xdr:rowOff>83634</xdr:rowOff>
    </xdr:from>
    <xdr:to>
      <xdr:col>5</xdr:col>
      <xdr:colOff>117656</xdr:colOff>
      <xdr:row>23</xdr:row>
      <xdr:rowOff>7579</xdr:rowOff>
    </xdr:to>
    <xdr:cxnSp macro="">
      <xdr:nvCxnSpPr>
        <xdr:cNvPr id="60" name="Conector recto de flecha 59">
          <a:extLst>
            <a:ext uri="{FF2B5EF4-FFF2-40B4-BE49-F238E27FC236}">
              <a16:creationId xmlns:a16="http://schemas.microsoft.com/office/drawing/2014/main" id="{70BA0E65-45E4-4033-B4D6-5CF5DA44F16E}"/>
            </a:ext>
          </a:extLst>
        </xdr:cNvPr>
        <xdr:cNvCxnSpPr/>
      </xdr:nvCxnSpPr>
      <xdr:spPr bwMode="auto">
        <a:xfrm flipV="1">
          <a:off x="3517280" y="1059366"/>
          <a:ext cx="1498" cy="383933"/>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4222</xdr:colOff>
      <xdr:row>20</xdr:row>
      <xdr:rowOff>83849</xdr:rowOff>
    </xdr:from>
    <xdr:to>
      <xdr:col>5</xdr:col>
      <xdr:colOff>203381</xdr:colOff>
      <xdr:row>20</xdr:row>
      <xdr:rowOff>83849</xdr:rowOff>
    </xdr:to>
    <xdr:cxnSp macro="">
      <xdr:nvCxnSpPr>
        <xdr:cNvPr id="61" name="Conector recto 60">
          <a:extLst>
            <a:ext uri="{FF2B5EF4-FFF2-40B4-BE49-F238E27FC236}">
              <a16:creationId xmlns:a16="http://schemas.microsoft.com/office/drawing/2014/main" id="{95CCF1AD-48DA-4143-976E-5762E5894AE1}"/>
            </a:ext>
          </a:extLst>
        </xdr:cNvPr>
        <xdr:cNvCxnSpPr/>
      </xdr:nvCxnSpPr>
      <xdr:spPr bwMode="auto">
        <a:xfrm>
          <a:off x="3405344" y="1059581"/>
          <a:ext cx="19915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0</xdr:colOff>
      <xdr:row>23</xdr:row>
      <xdr:rowOff>4646</xdr:rowOff>
    </xdr:from>
    <xdr:to>
      <xdr:col>5</xdr:col>
      <xdr:colOff>201482</xdr:colOff>
      <xdr:row>23</xdr:row>
      <xdr:rowOff>4646</xdr:rowOff>
    </xdr:to>
    <xdr:cxnSp macro="">
      <xdr:nvCxnSpPr>
        <xdr:cNvPr id="62" name="Conector recto 61">
          <a:extLst>
            <a:ext uri="{FF2B5EF4-FFF2-40B4-BE49-F238E27FC236}">
              <a16:creationId xmlns:a16="http://schemas.microsoft.com/office/drawing/2014/main" id="{36954C5E-0196-4F05-9BA8-C0222FDB2106}"/>
            </a:ext>
          </a:extLst>
        </xdr:cNvPr>
        <xdr:cNvCxnSpPr/>
      </xdr:nvCxnSpPr>
      <xdr:spPr bwMode="auto">
        <a:xfrm>
          <a:off x="3401122" y="1440366"/>
          <a:ext cx="201482"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707780</xdr:colOff>
      <xdr:row>19</xdr:row>
      <xdr:rowOff>103310</xdr:rowOff>
    </xdr:from>
    <xdr:ext cx="65" cy="172227"/>
    <xdr:sp macro="" textlink="">
      <xdr:nvSpPr>
        <xdr:cNvPr id="2" name="CuadroTexto 1">
          <a:extLst>
            <a:ext uri="{FF2B5EF4-FFF2-40B4-BE49-F238E27FC236}">
              <a16:creationId xmlns:a16="http://schemas.microsoft.com/office/drawing/2014/main" id="{27971E44-DC9C-4FF3-8C04-65255648FA3C}"/>
            </a:ext>
          </a:extLst>
        </xdr:cNvPr>
        <xdr:cNvSpPr txBox="1"/>
      </xdr:nvSpPr>
      <xdr:spPr>
        <a:xfrm>
          <a:off x="4574930" y="2141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twoCellAnchor>
    <xdr:from>
      <xdr:col>6</xdr:col>
      <xdr:colOff>346383</xdr:colOff>
      <xdr:row>13</xdr:row>
      <xdr:rowOff>14307</xdr:rowOff>
    </xdr:from>
    <xdr:to>
      <xdr:col>7</xdr:col>
      <xdr:colOff>127371</xdr:colOff>
      <xdr:row>13</xdr:row>
      <xdr:rowOff>14307</xdr:rowOff>
    </xdr:to>
    <xdr:cxnSp macro="">
      <xdr:nvCxnSpPr>
        <xdr:cNvPr id="5" name="Conector recto 4">
          <a:extLst>
            <a:ext uri="{FF2B5EF4-FFF2-40B4-BE49-F238E27FC236}">
              <a16:creationId xmlns:a16="http://schemas.microsoft.com/office/drawing/2014/main" id="{356EAA4A-1A9B-4786-AEA2-BFDCF1F3A91E}"/>
            </a:ext>
          </a:extLst>
        </xdr:cNvPr>
        <xdr:cNvCxnSpPr/>
      </xdr:nvCxnSpPr>
      <xdr:spPr bwMode="auto">
        <a:xfrm>
          <a:off x="4417067" y="826439"/>
          <a:ext cx="287317"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381489</xdr:colOff>
      <xdr:row>25</xdr:row>
      <xdr:rowOff>113659</xdr:rowOff>
    </xdr:from>
    <xdr:to>
      <xdr:col>7</xdr:col>
      <xdr:colOff>165199</xdr:colOff>
      <xdr:row>25</xdr:row>
      <xdr:rowOff>113659</xdr:rowOff>
    </xdr:to>
    <xdr:cxnSp macro="">
      <xdr:nvCxnSpPr>
        <xdr:cNvPr id="6" name="Conector recto 5">
          <a:extLst>
            <a:ext uri="{FF2B5EF4-FFF2-40B4-BE49-F238E27FC236}">
              <a16:creationId xmlns:a16="http://schemas.microsoft.com/office/drawing/2014/main" id="{B320A4BF-F8CE-4ABF-9684-5A9CFFF53983}"/>
            </a:ext>
          </a:extLst>
        </xdr:cNvPr>
        <xdr:cNvCxnSpPr/>
      </xdr:nvCxnSpPr>
      <xdr:spPr bwMode="auto">
        <a:xfrm>
          <a:off x="4452173" y="2890948"/>
          <a:ext cx="29003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0</xdr:colOff>
      <xdr:row>12</xdr:row>
      <xdr:rowOff>145381</xdr:rowOff>
    </xdr:from>
    <xdr:to>
      <xdr:col>7</xdr:col>
      <xdr:colOff>5013</xdr:colOff>
      <xdr:row>25</xdr:row>
      <xdr:rowOff>120316</xdr:rowOff>
    </xdr:to>
    <xdr:cxnSp macro="">
      <xdr:nvCxnSpPr>
        <xdr:cNvPr id="7" name="Conector recto de flecha 6">
          <a:extLst>
            <a:ext uri="{FF2B5EF4-FFF2-40B4-BE49-F238E27FC236}">
              <a16:creationId xmlns:a16="http://schemas.microsoft.com/office/drawing/2014/main" id="{40C90281-9FB3-4B09-8114-E966351CA8C0}"/>
            </a:ext>
          </a:extLst>
        </xdr:cNvPr>
        <xdr:cNvCxnSpPr/>
      </xdr:nvCxnSpPr>
      <xdr:spPr bwMode="auto">
        <a:xfrm>
          <a:off x="4577013" y="807118"/>
          <a:ext cx="5013" cy="2090487"/>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editAs="oneCell">
    <xdr:from>
      <xdr:col>3</xdr:col>
      <xdr:colOff>307143</xdr:colOff>
      <xdr:row>12</xdr:row>
      <xdr:rowOff>13137</xdr:rowOff>
    </xdr:from>
    <xdr:to>
      <xdr:col>6</xdr:col>
      <xdr:colOff>222713</xdr:colOff>
      <xdr:row>31</xdr:row>
      <xdr:rowOff>137947</xdr:rowOff>
    </xdr:to>
    <xdr:pic>
      <xdr:nvPicPr>
        <xdr:cNvPr id="26" name="Imagen 25">
          <a:extLst>
            <a:ext uri="{FF2B5EF4-FFF2-40B4-BE49-F238E27FC236}">
              <a16:creationId xmlns:a16="http://schemas.microsoft.com/office/drawing/2014/main" id="{B1B58F33-09D9-44A7-8FB7-85BDACBB836F}"/>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481" t="6822" r="57623" b="41925"/>
        <a:stretch/>
      </xdr:blipFill>
      <xdr:spPr bwMode="auto">
        <a:xfrm>
          <a:off x="2645695" y="2358258"/>
          <a:ext cx="1643208" cy="2995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564931</xdr:colOff>
      <xdr:row>19</xdr:row>
      <xdr:rowOff>144517</xdr:rowOff>
    </xdr:from>
    <xdr:to>
      <xdr:col>5</xdr:col>
      <xdr:colOff>564931</xdr:colOff>
      <xdr:row>21</xdr:row>
      <xdr:rowOff>98535</xdr:rowOff>
    </xdr:to>
    <xdr:cxnSp macro="">
      <xdr:nvCxnSpPr>
        <xdr:cNvPr id="8" name="Conector recto de flecha 7">
          <a:extLst>
            <a:ext uri="{FF2B5EF4-FFF2-40B4-BE49-F238E27FC236}">
              <a16:creationId xmlns:a16="http://schemas.microsoft.com/office/drawing/2014/main" id="{D6485484-7A4C-49AF-A476-B295393224AB}"/>
            </a:ext>
          </a:extLst>
        </xdr:cNvPr>
        <xdr:cNvCxnSpPr/>
      </xdr:nvCxnSpPr>
      <xdr:spPr bwMode="auto">
        <a:xfrm>
          <a:off x="3961086" y="1872155"/>
          <a:ext cx="0" cy="25619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5</xdr:col>
      <xdr:colOff>422520</xdr:colOff>
      <xdr:row>21</xdr:row>
      <xdr:rowOff>97284</xdr:rowOff>
    </xdr:from>
    <xdr:to>
      <xdr:col>6</xdr:col>
      <xdr:colOff>42773</xdr:colOff>
      <xdr:row>21</xdr:row>
      <xdr:rowOff>97284</xdr:rowOff>
    </xdr:to>
    <xdr:cxnSp macro="">
      <xdr:nvCxnSpPr>
        <xdr:cNvPr id="11" name="Conector recto 10">
          <a:extLst>
            <a:ext uri="{FF2B5EF4-FFF2-40B4-BE49-F238E27FC236}">
              <a16:creationId xmlns:a16="http://schemas.microsoft.com/office/drawing/2014/main" id="{20FE6CA5-6729-4108-9807-5F6BDA84CDAD}"/>
            </a:ext>
          </a:extLst>
        </xdr:cNvPr>
        <xdr:cNvCxnSpPr/>
      </xdr:nvCxnSpPr>
      <xdr:spPr bwMode="auto">
        <a:xfrm>
          <a:off x="3818675" y="2127094"/>
          <a:ext cx="290288"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417265</xdr:colOff>
      <xdr:row>20</xdr:row>
      <xdr:rowOff>26339</xdr:rowOff>
    </xdr:from>
    <xdr:to>
      <xdr:col>6</xdr:col>
      <xdr:colOff>37518</xdr:colOff>
      <xdr:row>20</xdr:row>
      <xdr:rowOff>26339</xdr:rowOff>
    </xdr:to>
    <xdr:cxnSp macro="">
      <xdr:nvCxnSpPr>
        <xdr:cNvPr id="13" name="Conector recto 12">
          <a:extLst>
            <a:ext uri="{FF2B5EF4-FFF2-40B4-BE49-F238E27FC236}">
              <a16:creationId xmlns:a16="http://schemas.microsoft.com/office/drawing/2014/main" id="{EA1AFAD9-714F-41CD-8FA1-79EAC63ED485}"/>
            </a:ext>
          </a:extLst>
        </xdr:cNvPr>
        <xdr:cNvCxnSpPr/>
      </xdr:nvCxnSpPr>
      <xdr:spPr bwMode="auto">
        <a:xfrm>
          <a:off x="3813420" y="1905063"/>
          <a:ext cx="290288"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400050</xdr:colOff>
      <xdr:row>141</xdr:row>
      <xdr:rowOff>9525</xdr:rowOff>
    </xdr:from>
    <xdr:ext cx="446433" cy="142875"/>
    <xdr:sp macro="" textlink="">
      <xdr:nvSpPr>
        <xdr:cNvPr id="3" name="Text Box 436">
          <a:extLst>
            <a:ext uri="{FF2B5EF4-FFF2-40B4-BE49-F238E27FC236}">
              <a16:creationId xmlns:a16="http://schemas.microsoft.com/office/drawing/2014/main" id="{A50DE1BF-6997-4EEF-8246-4E90589B0495}"/>
            </a:ext>
          </a:extLst>
        </xdr:cNvPr>
        <xdr:cNvSpPr txBox="1">
          <a:spLocks noChangeArrowheads="1"/>
        </xdr:cNvSpPr>
      </xdr:nvSpPr>
      <xdr:spPr bwMode="auto">
        <a:xfrm>
          <a:off x="2172528" y="10834895"/>
          <a:ext cx="446433"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3</xdr:col>
      <xdr:colOff>26420</xdr:colOff>
      <xdr:row>31</xdr:row>
      <xdr:rowOff>53783</xdr:rowOff>
    </xdr:from>
    <xdr:to>
      <xdr:col>8</xdr:col>
      <xdr:colOff>14718</xdr:colOff>
      <xdr:row>53</xdr:row>
      <xdr:rowOff>108175</xdr:rowOff>
    </xdr:to>
    <xdr:pic>
      <xdr:nvPicPr>
        <xdr:cNvPr id="5" name="Imagen 4">
          <a:extLst>
            <a:ext uri="{FF2B5EF4-FFF2-40B4-BE49-F238E27FC236}">
              <a16:creationId xmlns:a16="http://schemas.microsoft.com/office/drawing/2014/main" id="{CAE891BD-CF45-4EFE-926D-7E9716EF765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762" t="13281" r="47982" b="9827"/>
        <a:stretch/>
      </xdr:blipFill>
      <xdr:spPr bwMode="auto">
        <a:xfrm>
          <a:off x="2693420" y="6048930"/>
          <a:ext cx="4078445" cy="4054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490537</xdr:colOff>
      <xdr:row>14</xdr:row>
      <xdr:rowOff>71768</xdr:rowOff>
    </xdr:from>
    <xdr:to>
      <xdr:col>8</xdr:col>
      <xdr:colOff>314325</xdr:colOff>
      <xdr:row>29</xdr:row>
      <xdr:rowOff>25503</xdr:rowOff>
    </xdr:to>
    <xdr:pic>
      <xdr:nvPicPr>
        <xdr:cNvPr id="7" name="Imagen 6">
          <a:extLst>
            <a:ext uri="{FF2B5EF4-FFF2-40B4-BE49-F238E27FC236}">
              <a16:creationId xmlns:a16="http://schemas.microsoft.com/office/drawing/2014/main" id="{DBCB3C11-03B6-463C-AB4B-E42799FFA3DA}"/>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234" r="30020" b="49084"/>
        <a:stretch/>
      </xdr:blipFill>
      <xdr:spPr bwMode="auto">
        <a:xfrm>
          <a:off x="2303571" y="3139475"/>
          <a:ext cx="4757082" cy="2627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29</xdr:row>
      <xdr:rowOff>95249</xdr:rowOff>
    </xdr:from>
    <xdr:to>
      <xdr:col>8</xdr:col>
      <xdr:colOff>739588</xdr:colOff>
      <xdr:row>57</xdr:row>
      <xdr:rowOff>78440</xdr:rowOff>
    </xdr:to>
    <xdr:graphicFrame macro="">
      <xdr:nvGraphicFramePr>
        <xdr:cNvPr id="5" name="Gráfico 4">
          <a:extLst>
            <a:ext uri="{FF2B5EF4-FFF2-40B4-BE49-F238E27FC236}">
              <a16:creationId xmlns:a16="http://schemas.microsoft.com/office/drawing/2014/main" id="{C093EAB7-0F44-4993-8BF2-DAF058E1D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0.00371</cdr:x>
      <cdr:y>0.06296</cdr:y>
    </cdr:from>
    <cdr:to>
      <cdr:x>0.04169</cdr:x>
      <cdr:y>0.3675</cdr:y>
    </cdr:to>
    <cdr:sp macro="" textlink="">
      <cdr:nvSpPr>
        <cdr:cNvPr id="2" name="CuadroTexto 1">
          <a:extLst xmlns:a="http://schemas.openxmlformats.org/drawingml/2006/main">
            <a:ext uri="{FF2B5EF4-FFF2-40B4-BE49-F238E27FC236}">
              <a16:creationId xmlns:a16="http://schemas.microsoft.com/office/drawing/2014/main" id="{E06E3D67-6040-4B75-824B-DC48F76AB19F}"/>
            </a:ext>
          </a:extLst>
        </cdr:cNvPr>
        <cdr:cNvSpPr txBox="1"/>
      </cdr:nvSpPr>
      <cdr:spPr>
        <a:xfrm xmlns:a="http://schemas.openxmlformats.org/drawingml/2006/main">
          <a:off x="22971" y="240926"/>
          <a:ext cx="235323" cy="1165412"/>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r>
            <a:rPr lang="es-MX" sz="1100"/>
            <a:t>ZONA PLÁSTICA</a:t>
          </a:r>
        </a:p>
      </cdr:txBody>
    </cdr:sp>
  </cdr:relSizeAnchor>
  <cdr:relSizeAnchor xmlns:cdr="http://schemas.openxmlformats.org/drawingml/2006/chartDrawing">
    <cdr:from>
      <cdr:x>0.00913</cdr:x>
      <cdr:y>0.56379</cdr:y>
    </cdr:from>
    <cdr:to>
      <cdr:x>0.04712</cdr:x>
      <cdr:y>0.86833</cdr:y>
    </cdr:to>
    <cdr:sp macro="" textlink="">
      <cdr:nvSpPr>
        <cdr:cNvPr id="3" name="CuadroTexto 1">
          <a:extLst xmlns:a="http://schemas.openxmlformats.org/drawingml/2006/main">
            <a:ext uri="{FF2B5EF4-FFF2-40B4-BE49-F238E27FC236}">
              <a16:creationId xmlns:a16="http://schemas.microsoft.com/office/drawing/2014/main" id="{E4565FAB-2604-4B33-B986-08178CF9DB5C}"/>
            </a:ext>
          </a:extLst>
        </cdr:cNvPr>
        <cdr:cNvSpPr txBox="1"/>
      </cdr:nvSpPr>
      <cdr:spPr>
        <a:xfrm xmlns:a="http://schemas.openxmlformats.org/drawingml/2006/main">
          <a:off x="68375" y="2157506"/>
          <a:ext cx="284311" cy="1165412"/>
        </a:xfrm>
        <a:prstGeom xmlns:a="http://schemas.openxmlformats.org/drawingml/2006/main" prst="rect">
          <a:avLst/>
        </a:prstGeom>
      </cdr:spPr>
      <cdr:txBody>
        <a:bodyPr xmlns:a="http://schemas.openxmlformats.org/drawingml/2006/main" vert="vert270"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MX" sz="1100"/>
            <a:t>ZONA ELÁSTICA</a:t>
          </a:r>
        </a:p>
      </cdr:txBody>
    </cdr:sp>
  </cdr:relSizeAnchor>
  <cdr:relSizeAnchor xmlns:cdr="http://schemas.openxmlformats.org/drawingml/2006/chartDrawing">
    <cdr:from>
      <cdr:x>0.00552</cdr:x>
      <cdr:y>0.45827</cdr:y>
    </cdr:from>
    <cdr:to>
      <cdr:x>0.08691</cdr:x>
      <cdr:y>0.45827</cdr:y>
    </cdr:to>
    <cdr:cxnSp macro="">
      <cdr:nvCxnSpPr>
        <cdr:cNvPr id="5" name="Conector recto 4">
          <a:extLst xmlns:a="http://schemas.openxmlformats.org/drawingml/2006/main">
            <a:ext uri="{FF2B5EF4-FFF2-40B4-BE49-F238E27FC236}">
              <a16:creationId xmlns:a16="http://schemas.microsoft.com/office/drawing/2014/main" id="{DE92EC5A-E544-49F4-BD92-8E7F3105C8CE}"/>
            </a:ext>
          </a:extLst>
        </cdr:cNvPr>
        <cdr:cNvCxnSpPr/>
      </cdr:nvCxnSpPr>
      <cdr:spPr bwMode="auto">
        <a:xfrm xmlns:a="http://schemas.openxmlformats.org/drawingml/2006/main">
          <a:off x="34179" y="1753720"/>
          <a:ext cx="504264" cy="0"/>
        </a:xfrm>
        <a:prstGeom xmlns:a="http://schemas.openxmlformats.org/drawingml/2006/main" prst="line">
          <a:avLst/>
        </a:prstGeom>
        <a:ln xmlns:a="http://schemas.openxmlformats.org/drawingml/2006/main">
          <a:headEnd type="none" w="med" len="med"/>
          <a:tailEnd type="none"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Google%20Drive/CETI%20JULIO%20-%20DICIEMBRE%202018/PROYECTO%20INTEGRADOR%20II/Dise&#241;os%20definitivos/Trabes/Vigas/Vigas%20subreforza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 LOSAS LLENAS"/>
      <sheetName val="As LOSAS ALIGERADAS"/>
      <sheetName val="Diseño por Vc (3)"/>
      <sheetName val="Sub-Reforzada"/>
      <sheetName val="Doblemente armada"/>
      <sheetName val="Sub Reforzada"/>
      <sheetName val="Adherencia y Anclaje"/>
      <sheetName val="As TRABES"/>
      <sheetName val="Estribos Cortante"/>
      <sheetName val="DISEÑO DE ESTRIBOS POR VC 2 DIR"/>
      <sheetName val="Estribos Sismo"/>
      <sheetName val="DISEÑO DE COLUMNAS"/>
      <sheetName val="da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Google%20Drive/Dise&#241;os%20definitivos/Columnas/diagrama%20de%20flujo%20del%20As%20minimo.docx"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B050"/>
  </sheetPr>
  <dimension ref="A1:P151"/>
  <sheetViews>
    <sheetView tabSelected="1" topLeftCell="A39" zoomScale="130" zoomScaleNormal="130" zoomScaleSheetLayoutView="100" workbookViewId="0">
      <selection activeCell="C50" sqref="C50"/>
    </sheetView>
  </sheetViews>
  <sheetFormatPr baseColWidth="10" defaultColWidth="11.42578125" defaultRowHeight="12.75"/>
  <cols>
    <col min="1" max="1" width="2" style="7" customWidth="1"/>
    <col min="2" max="2" width="12.5703125" style="7" customWidth="1"/>
    <col min="3" max="3" width="16" style="7" customWidth="1"/>
    <col min="4" max="4" width="13.140625" style="7" bestFit="1" customWidth="1"/>
    <col min="5" max="5" width="9.28515625" style="7" customWidth="1"/>
    <col min="6" max="6" width="16" style="7" customWidth="1"/>
    <col min="7" max="7" width="14.7109375" style="7" customWidth="1"/>
    <col min="8" max="8" width="17.28515625" style="7" customWidth="1"/>
    <col min="9" max="9" width="11.42578125" style="7" customWidth="1"/>
    <col min="10" max="15" width="11.5703125" style="7" customWidth="1"/>
    <col min="16" max="16" width="11.42578125" style="7" customWidth="1"/>
    <col min="17" max="16384" width="11.42578125" style="7"/>
  </cols>
  <sheetData>
    <row r="1" spans="2:14" ht="13.5" thickTop="1">
      <c r="B1" s="395" t="s">
        <v>52</v>
      </c>
      <c r="C1" s="396"/>
      <c r="D1" s="396"/>
      <c r="E1" s="396"/>
      <c r="F1" s="396"/>
      <c r="G1" s="396"/>
      <c r="H1" s="397"/>
    </row>
    <row r="2" spans="2:14">
      <c r="B2" s="398"/>
      <c r="C2" s="399"/>
      <c r="D2" s="399"/>
      <c r="E2" s="399"/>
      <c r="F2" s="399"/>
      <c r="G2" s="399"/>
      <c r="H2" s="400"/>
    </row>
    <row r="3" spans="2:14" ht="13.5" thickBot="1">
      <c r="B3" s="401"/>
      <c r="C3" s="402"/>
      <c r="D3" s="402"/>
      <c r="E3" s="402"/>
      <c r="F3" s="402"/>
      <c r="G3" s="402"/>
      <c r="H3" s="403"/>
    </row>
    <row r="4" spans="2:14" ht="13.5" thickTop="1">
      <c r="N4" s="8"/>
    </row>
    <row r="5" spans="2:14">
      <c r="N5" s="8"/>
    </row>
    <row r="6" spans="2:14">
      <c r="N6" s="8"/>
    </row>
    <row r="7" spans="2:14">
      <c r="N7" s="8"/>
    </row>
    <row r="8" spans="2:14">
      <c r="N8" s="8"/>
    </row>
    <row r="9" spans="2:14">
      <c r="N9" s="8"/>
    </row>
    <row r="10" spans="2:14">
      <c r="N10" s="8"/>
    </row>
    <row r="11" spans="2:14">
      <c r="N11" s="8"/>
    </row>
    <row r="12" spans="2:14">
      <c r="N12" s="8"/>
    </row>
    <row r="13" spans="2:14">
      <c r="N13" s="8"/>
    </row>
    <row r="14" spans="2:14" ht="13.5" thickBot="1">
      <c r="N14" s="8"/>
    </row>
    <row r="15" spans="2:14">
      <c r="B15" s="410" t="s">
        <v>313</v>
      </c>
      <c r="C15" s="411"/>
      <c r="D15" s="411"/>
      <c r="E15" s="411"/>
      <c r="F15" s="411"/>
      <c r="G15" s="411"/>
      <c r="H15" s="412"/>
      <c r="N15" s="8"/>
    </row>
    <row r="16" spans="2:14">
      <c r="B16" s="413"/>
      <c r="C16" s="414"/>
      <c r="D16" s="414"/>
      <c r="E16" s="414"/>
      <c r="F16" s="414"/>
      <c r="G16" s="414"/>
      <c r="H16" s="415"/>
      <c r="N16" s="8"/>
    </row>
    <row r="17" spans="2:16">
      <c r="B17" s="413"/>
      <c r="C17" s="414"/>
      <c r="D17" s="414"/>
      <c r="E17" s="414"/>
      <c r="F17" s="414"/>
      <c r="G17" s="414"/>
      <c r="H17" s="415"/>
      <c r="N17" s="8"/>
    </row>
    <row r="18" spans="2:16">
      <c r="B18" s="413"/>
      <c r="C18" s="414"/>
      <c r="D18" s="414"/>
      <c r="E18" s="414"/>
      <c r="F18" s="414"/>
      <c r="G18" s="414"/>
      <c r="H18" s="415"/>
      <c r="N18" s="8"/>
    </row>
    <row r="19" spans="2:16">
      <c r="B19" s="413"/>
      <c r="C19" s="414"/>
      <c r="D19" s="414"/>
      <c r="E19" s="414"/>
      <c r="F19" s="414"/>
      <c r="G19" s="414"/>
      <c r="H19" s="415"/>
      <c r="N19" s="8"/>
    </row>
    <row r="20" spans="2:16">
      <c r="B20" s="413"/>
      <c r="C20" s="414"/>
      <c r="D20" s="414"/>
      <c r="E20" s="414"/>
      <c r="F20" s="414"/>
      <c r="G20" s="414"/>
      <c r="H20" s="415"/>
      <c r="N20" s="8"/>
    </row>
    <row r="21" spans="2:16">
      <c r="B21" s="413"/>
      <c r="C21" s="414"/>
      <c r="D21" s="414"/>
      <c r="E21" s="414"/>
      <c r="F21" s="414"/>
      <c r="G21" s="414"/>
      <c r="H21" s="415"/>
      <c r="N21" s="8"/>
    </row>
    <row r="22" spans="2:16">
      <c r="B22" s="413"/>
      <c r="C22" s="414"/>
      <c r="D22" s="414"/>
      <c r="E22" s="414"/>
      <c r="F22" s="414"/>
      <c r="G22" s="414"/>
      <c r="H22" s="415"/>
      <c r="N22" s="8"/>
    </row>
    <row r="23" spans="2:16">
      <c r="B23" s="413"/>
      <c r="C23" s="414"/>
      <c r="D23" s="414"/>
      <c r="E23" s="414"/>
      <c r="F23" s="414"/>
      <c r="G23" s="414"/>
      <c r="H23" s="415"/>
      <c r="N23" s="8"/>
    </row>
    <row r="24" spans="2:16">
      <c r="B24" s="413"/>
      <c r="C24" s="414"/>
      <c r="D24" s="414"/>
      <c r="E24" s="414"/>
      <c r="F24" s="414"/>
      <c r="G24" s="414"/>
      <c r="H24" s="415"/>
      <c r="N24" s="8"/>
    </row>
    <row r="25" spans="2:16" ht="13.5" thickBot="1">
      <c r="B25" s="416"/>
      <c r="C25" s="417"/>
      <c r="D25" s="417"/>
      <c r="E25" s="417"/>
      <c r="F25" s="417"/>
      <c r="G25" s="417"/>
      <c r="H25" s="418"/>
      <c r="N25" s="8"/>
    </row>
    <row r="26" spans="2:16">
      <c r="C26" s="75" t="s">
        <v>245</v>
      </c>
      <c r="N26" s="8"/>
    </row>
    <row r="27" spans="2:16">
      <c r="B27" s="11" t="s">
        <v>31</v>
      </c>
      <c r="C27" s="190" t="s">
        <v>35</v>
      </c>
      <c r="N27" s="8"/>
    </row>
    <row r="28" spans="2:16">
      <c r="B28" s="11" t="s">
        <v>12</v>
      </c>
      <c r="C28" s="191">
        <v>80</v>
      </c>
    </row>
    <row r="29" spans="2:16">
      <c r="B29" s="11" t="s">
        <v>14</v>
      </c>
      <c r="C29" s="209">
        <v>80</v>
      </c>
      <c r="D29" s="494" t="s">
        <v>246</v>
      </c>
      <c r="E29" s="495"/>
    </row>
    <row r="30" spans="2:16">
      <c r="B30" s="16" t="s">
        <v>209</v>
      </c>
      <c r="C30" s="193">
        <f>C50+C51</f>
        <v>80</v>
      </c>
      <c r="D30" s="494"/>
      <c r="E30" s="495"/>
      <c r="F30" s="34"/>
      <c r="G30" s="16"/>
      <c r="H30" s="184"/>
      <c r="I30" s="34"/>
      <c r="N30" s="34"/>
      <c r="O30" s="34"/>
      <c r="P30" s="34"/>
    </row>
    <row r="31" spans="2:16">
      <c r="B31" s="11" t="s">
        <v>82</v>
      </c>
      <c r="C31" s="192">
        <v>490</v>
      </c>
    </row>
    <row r="32" spans="2:16">
      <c r="B32" s="11" t="s">
        <v>83</v>
      </c>
      <c r="C32" s="192">
        <v>4200</v>
      </c>
      <c r="G32" s="406"/>
      <c r="H32" s="406"/>
    </row>
    <row r="33" spans="1:14">
      <c r="B33" s="11" t="s">
        <v>16</v>
      </c>
      <c r="C33" s="193">
        <f>IF(C27="ESTRIBOS",(C28*C29),((3.1416*(C29^2))/4))</f>
        <v>6400</v>
      </c>
      <c r="G33" s="16"/>
      <c r="H33" s="184"/>
    </row>
    <row r="34" spans="1:14">
      <c r="B34" s="161" t="s">
        <v>199</v>
      </c>
      <c r="C34" s="194">
        <f>C42*C40*(C39*C31*(C33-C30)+C32*C30)</f>
        <v>1662236.7999999998</v>
      </c>
      <c r="G34" s="16"/>
      <c r="H34" s="34"/>
    </row>
    <row r="35" spans="1:14">
      <c r="B35" s="161" t="str">
        <f>Zapatas!A30</f>
        <v>Pnmax =</v>
      </c>
      <c r="C35" s="194">
        <f>(0.85*C40*(0.85*C31)*((C33)-C52))+(C32*C52)</f>
        <v>1902206.5999999999</v>
      </c>
      <c r="G35" s="16"/>
      <c r="H35" s="34"/>
    </row>
    <row r="36" spans="1:14">
      <c r="B36" s="161"/>
      <c r="C36" s="370"/>
      <c r="G36" s="16"/>
      <c r="H36" s="34"/>
    </row>
    <row r="37" spans="1:14">
      <c r="B37" s="16"/>
      <c r="C37" s="208" t="s">
        <v>243</v>
      </c>
      <c r="G37" s="16"/>
      <c r="H37" s="184"/>
    </row>
    <row r="38" spans="1:14">
      <c r="B38" s="189" t="s">
        <v>137</v>
      </c>
      <c r="C38" s="195">
        <v>0.75</v>
      </c>
      <c r="G38" s="16"/>
      <c r="H38" s="184"/>
    </row>
    <row r="39" spans="1:14">
      <c r="B39" s="189" t="s">
        <v>138</v>
      </c>
      <c r="C39" s="195">
        <v>0.85</v>
      </c>
    </row>
    <row r="40" spans="1:14">
      <c r="B40" s="188" t="s">
        <v>200</v>
      </c>
      <c r="C40" s="196">
        <f>VLOOKUP(C27,L107:M108,2,FALSE)</f>
        <v>0.7</v>
      </c>
    </row>
    <row r="41" spans="1:14">
      <c r="B41" s="12" t="str">
        <f>Zapatas!A44</f>
        <v>l =</v>
      </c>
      <c r="C41" s="196">
        <v>0.85</v>
      </c>
    </row>
    <row r="42" spans="1:14">
      <c r="B42" s="11" t="s">
        <v>15</v>
      </c>
      <c r="C42" s="196">
        <f>VLOOKUP(C27,L107:N108,3,FALSE)</f>
        <v>0.8</v>
      </c>
    </row>
    <row r="43" spans="1:14" ht="15.75">
      <c r="B43" s="11" t="s">
        <v>57</v>
      </c>
      <c r="C43" s="197">
        <f>14000*(SQRT(C31))</f>
        <v>309903.21069650113</v>
      </c>
    </row>
    <row r="44" spans="1:14" ht="15.75">
      <c r="B44" s="11" t="s">
        <v>59</v>
      </c>
      <c r="C44" s="360">
        <v>2039000</v>
      </c>
    </row>
    <row r="45" spans="1:14" ht="14.25">
      <c r="A45" s="34"/>
      <c r="B45" s="162" t="s">
        <v>134</v>
      </c>
      <c r="C45" s="204">
        <v>2400</v>
      </c>
    </row>
    <row r="46" spans="1:14" s="34" customFormat="1" ht="15.75">
      <c r="B46" s="35" t="s">
        <v>60</v>
      </c>
      <c r="C46" s="366">
        <f>VLOOKUP(C31,K87:N97,4)</f>
        <v>0.65</v>
      </c>
    </row>
    <row r="47" spans="1:14" s="34" customFormat="1">
      <c r="B47" s="35"/>
      <c r="C47" s="369"/>
    </row>
    <row r="48" spans="1:14">
      <c r="B48" s="12"/>
      <c r="C48" s="205" t="s">
        <v>242</v>
      </c>
      <c r="G48" s="394" t="s">
        <v>206</v>
      </c>
      <c r="H48" s="394"/>
      <c r="K48" s="377" t="s">
        <v>146</v>
      </c>
      <c r="L48" s="76" t="s">
        <v>147</v>
      </c>
      <c r="M48" s="76" t="s">
        <v>147</v>
      </c>
      <c r="N48" s="377" t="s">
        <v>148</v>
      </c>
    </row>
    <row r="49" spans="2:14">
      <c r="B49" s="20" t="s">
        <v>22</v>
      </c>
      <c r="C49" s="191">
        <v>5</v>
      </c>
      <c r="G49" s="168">
        <f>0.2*(SQRT(C31))*((C29*'Estribos '!B41)/C32)</f>
        <v>1.2649110640673518</v>
      </c>
      <c r="H49" s="408" t="str">
        <f>IF((MAX(G49:G50))&lt;C52,"Cumple","Aumentar Av")</f>
        <v>Cumple</v>
      </c>
      <c r="K49" s="377" t="s">
        <v>149</v>
      </c>
      <c r="L49" s="377" t="s">
        <v>150</v>
      </c>
      <c r="M49" s="377" t="s">
        <v>151</v>
      </c>
      <c r="N49" s="377" t="s">
        <v>152</v>
      </c>
    </row>
    <row r="50" spans="2:14">
      <c r="B50" s="11" t="s">
        <v>207</v>
      </c>
      <c r="C50" s="198">
        <v>40</v>
      </c>
      <c r="D50" s="371" t="s">
        <v>1</v>
      </c>
      <c r="G50" s="168">
        <f>3.5*(C29*'Estribos '!B41/C32)</f>
        <v>1</v>
      </c>
      <c r="H50" s="408"/>
      <c r="K50" s="76" t="s">
        <v>153</v>
      </c>
      <c r="L50" s="76" t="s">
        <v>154</v>
      </c>
      <c r="M50" s="76">
        <v>6.4</v>
      </c>
      <c r="N50" s="76">
        <v>0.32</v>
      </c>
    </row>
    <row r="51" spans="2:14">
      <c r="B51" s="11" t="s">
        <v>208</v>
      </c>
      <c r="C51" s="199">
        <f>C50</f>
        <v>40</v>
      </c>
      <c r="D51" s="371" t="s">
        <v>4</v>
      </c>
      <c r="G51" s="394" t="s">
        <v>202</v>
      </c>
      <c r="H51" s="394"/>
      <c r="K51" s="76" t="s">
        <v>155</v>
      </c>
      <c r="L51" s="378" t="s">
        <v>156</v>
      </c>
      <c r="M51" s="76">
        <v>9.5</v>
      </c>
      <c r="N51" s="76">
        <v>0.71</v>
      </c>
    </row>
    <row r="52" spans="2:14">
      <c r="B52" s="16" t="s">
        <v>209</v>
      </c>
      <c r="C52" s="193">
        <f>C50+C51</f>
        <v>80</v>
      </c>
      <c r="D52" s="10"/>
      <c r="G52" s="61" t="s">
        <v>203</v>
      </c>
      <c r="H52" s="163">
        <f>MAX(20/C32,0.01)</f>
        <v>0.01</v>
      </c>
      <c r="I52" s="409" t="str">
        <f>IF(H52&lt;H53,"Cumple","Aumentar Av")</f>
        <v>Cumple</v>
      </c>
      <c r="K52" s="76" t="s">
        <v>142</v>
      </c>
      <c r="L52" s="76" t="s">
        <v>157</v>
      </c>
      <c r="M52" s="76">
        <v>12.7</v>
      </c>
      <c r="N52" s="76">
        <v>1.29</v>
      </c>
    </row>
    <row r="53" spans="2:14" ht="15.75">
      <c r="B53" s="11" t="s">
        <v>76</v>
      </c>
      <c r="C53" s="206">
        <f>0.01*C33</f>
        <v>64</v>
      </c>
      <c r="D53" s="10"/>
      <c r="G53" s="61" t="s">
        <v>205</v>
      </c>
      <c r="H53" s="164">
        <f>C55</f>
        <v>1.2500000000000001E-2</v>
      </c>
      <c r="I53" s="409"/>
      <c r="K53" s="76" t="s">
        <v>310</v>
      </c>
      <c r="L53" s="76" t="s">
        <v>311</v>
      </c>
      <c r="M53" s="76">
        <v>15.91</v>
      </c>
      <c r="N53" s="76">
        <v>19.98</v>
      </c>
    </row>
    <row r="54" spans="2:14" ht="15.75">
      <c r="B54" s="16" t="s">
        <v>79</v>
      </c>
      <c r="C54" s="206">
        <f>0.08*C33</f>
        <v>512</v>
      </c>
      <c r="D54" s="10"/>
      <c r="G54" s="61" t="s">
        <v>204</v>
      </c>
      <c r="H54" s="164">
        <f>0.08</f>
        <v>0.08</v>
      </c>
      <c r="I54" s="376" t="str">
        <f>IF(H53&lt;H54,"Cumple","Disminuir Av")</f>
        <v>Cumple</v>
      </c>
      <c r="K54" s="76" t="s">
        <v>158</v>
      </c>
      <c r="L54" s="76" t="s">
        <v>159</v>
      </c>
      <c r="M54" s="76">
        <v>19.100000000000001</v>
      </c>
      <c r="N54" s="76">
        <v>2.84</v>
      </c>
    </row>
    <row r="55" spans="2:14" s="34" customFormat="1">
      <c r="B55" s="35" t="s">
        <v>75</v>
      </c>
      <c r="C55" s="367">
        <f>C52/(C33)</f>
        <v>1.2500000000000001E-2</v>
      </c>
      <c r="D55" s="361"/>
      <c r="I55" s="372"/>
      <c r="K55" s="76" t="s">
        <v>160</v>
      </c>
      <c r="L55" s="76" t="s">
        <v>161</v>
      </c>
      <c r="M55" s="76">
        <v>25.4</v>
      </c>
      <c r="N55" s="76">
        <v>5.0999999999999996</v>
      </c>
    </row>
    <row r="56" spans="2:14" s="34" customFormat="1">
      <c r="B56" s="35"/>
      <c r="C56" s="382" t="s">
        <v>312</v>
      </c>
      <c r="D56" s="361"/>
      <c r="I56" s="372"/>
      <c r="K56" s="76" t="s">
        <v>162</v>
      </c>
      <c r="L56" s="379" t="s">
        <v>163</v>
      </c>
      <c r="M56" s="76">
        <v>28.7</v>
      </c>
      <c r="N56" s="76">
        <v>6.45</v>
      </c>
    </row>
    <row r="57" spans="2:14" s="34" customFormat="1">
      <c r="B57" s="11" t="s">
        <v>207</v>
      </c>
      <c r="C57" s="199">
        <f>C50</f>
        <v>40</v>
      </c>
      <c r="D57" s="361"/>
      <c r="I57" s="252"/>
      <c r="K57" s="76" t="s">
        <v>164</v>
      </c>
      <c r="L57" s="378" t="s">
        <v>165</v>
      </c>
      <c r="M57" s="76">
        <v>32.299999999999997</v>
      </c>
      <c r="N57" s="76">
        <v>8.19</v>
      </c>
    </row>
    <row r="58" spans="2:14" s="34" customFormat="1">
      <c r="B58" s="11" t="s">
        <v>308</v>
      </c>
      <c r="C58" s="198" t="s">
        <v>160</v>
      </c>
      <c r="D58" s="361"/>
      <c r="I58" s="252"/>
      <c r="K58" s="76" t="s">
        <v>166</v>
      </c>
      <c r="L58" s="76" t="s">
        <v>167</v>
      </c>
      <c r="M58" s="76">
        <v>35.799999999999997</v>
      </c>
      <c r="N58" s="76">
        <v>10.06</v>
      </c>
    </row>
    <row r="59" spans="2:14" s="34" customFormat="1">
      <c r="B59" s="11" t="s">
        <v>309</v>
      </c>
      <c r="C59" s="381">
        <f>(C57/(VLOOKUP(C58,$K$50:$N$60,4)))+0.5</f>
        <v>8.3431372549019613</v>
      </c>
      <c r="D59" s="361"/>
      <c r="I59" s="252"/>
      <c r="K59" s="378" t="s">
        <v>168</v>
      </c>
      <c r="L59" s="76" t="s">
        <v>169</v>
      </c>
      <c r="M59" s="380">
        <v>43</v>
      </c>
      <c r="N59" s="76">
        <v>14.52</v>
      </c>
    </row>
    <row r="60" spans="2:14" s="34" customFormat="1">
      <c r="B60" s="11" t="s">
        <v>208</v>
      </c>
      <c r="C60" s="199">
        <f>C57</f>
        <v>40</v>
      </c>
      <c r="D60" s="361"/>
      <c r="I60" s="252"/>
      <c r="K60" s="378" t="s">
        <v>170</v>
      </c>
      <c r="L60" s="76" t="s">
        <v>171</v>
      </c>
      <c r="M60" s="76">
        <v>57.3</v>
      </c>
      <c r="N60" s="76">
        <v>25.81</v>
      </c>
    </row>
    <row r="61" spans="2:14" s="34" customFormat="1">
      <c r="B61" s="11" t="s">
        <v>308</v>
      </c>
      <c r="C61" s="199" t="str">
        <f>C58</f>
        <v>Nº8</v>
      </c>
      <c r="D61" s="361"/>
      <c r="I61" s="252"/>
    </row>
    <row r="62" spans="2:14" s="34" customFormat="1">
      <c r="B62" s="11" t="s">
        <v>309</v>
      </c>
      <c r="C62" s="381">
        <f>(C60/(VLOOKUP(C61,$K$50:$N$60,4)))+0.5</f>
        <v>8.3431372549019613</v>
      </c>
      <c r="D62" s="361"/>
      <c r="I62" s="252"/>
    </row>
    <row r="63" spans="2:14" s="34" customFormat="1">
      <c r="B63" s="35"/>
      <c r="C63" s="368"/>
      <c r="D63" s="361"/>
      <c r="I63" s="252"/>
    </row>
    <row r="64" spans="2:14">
      <c r="B64" s="11"/>
      <c r="C64" s="207" t="s">
        <v>244</v>
      </c>
      <c r="D64" s="10"/>
    </row>
    <row r="65" spans="2:16" ht="15.75">
      <c r="B65" s="16" t="s">
        <v>62</v>
      </c>
      <c r="C65" s="196">
        <f>(C67*C66)/(C67+C68)</f>
        <v>44.467868566443734</v>
      </c>
      <c r="D65" s="10"/>
    </row>
    <row r="66" spans="2:16">
      <c r="B66" s="16" t="s">
        <v>26</v>
      </c>
      <c r="C66" s="200">
        <f>C29-C49</f>
        <v>75</v>
      </c>
      <c r="D66" s="10"/>
    </row>
    <row r="67" spans="2:16" ht="15.75">
      <c r="B67" s="12" t="s">
        <v>67</v>
      </c>
      <c r="C67" s="201">
        <v>3.0000000000000001E-3</v>
      </c>
      <c r="D67" s="10"/>
    </row>
    <row r="68" spans="2:16" ht="15.75">
      <c r="B68" s="12" t="s">
        <v>70</v>
      </c>
      <c r="C68" s="202">
        <f>C32/C69</f>
        <v>2.0598332515939185E-3</v>
      </c>
      <c r="D68" s="10"/>
    </row>
    <row r="69" spans="2:16" hidden="1">
      <c r="B69" s="11" t="s">
        <v>7</v>
      </c>
      <c r="C69" s="203">
        <v>2039000</v>
      </c>
      <c r="D69" s="10"/>
    </row>
    <row r="70" spans="2:16">
      <c r="B70" s="11" t="s">
        <v>30</v>
      </c>
      <c r="C70" s="196">
        <f>0.85*C65</f>
        <v>37.797688281477171</v>
      </c>
      <c r="D70" s="10"/>
    </row>
    <row r="71" spans="2:16">
      <c r="B71" s="11" t="s">
        <v>6</v>
      </c>
      <c r="C71" s="190">
        <v>38</v>
      </c>
      <c r="D71" s="10" t="s">
        <v>253</v>
      </c>
      <c r="E71" s="154"/>
    </row>
    <row r="72" spans="2:16">
      <c r="B72" s="11" t="s">
        <v>30</v>
      </c>
      <c r="C72" s="196">
        <f>C46*C71</f>
        <v>24.7</v>
      </c>
      <c r="D72" s="10"/>
    </row>
    <row r="74" spans="2:16" hidden="1"/>
    <row r="75" spans="2:16" hidden="1"/>
    <row r="76" spans="2:16" hidden="1"/>
    <row r="77" spans="2:16" ht="13.5" thickBot="1">
      <c r="B77" s="75" t="s">
        <v>318</v>
      </c>
      <c r="H77" s="165"/>
      <c r="I77" s="34"/>
      <c r="J77" s="34"/>
      <c r="K77" s="34"/>
      <c r="L77" s="34"/>
      <c r="M77" s="34"/>
      <c r="N77" s="34"/>
      <c r="O77" s="34"/>
      <c r="P77" s="34"/>
    </row>
    <row r="78" spans="2:16" ht="16.5" thickBot="1">
      <c r="B78" s="66"/>
      <c r="C78" s="67" t="s">
        <v>71</v>
      </c>
      <c r="D78" s="67" t="s">
        <v>8</v>
      </c>
      <c r="E78" s="67" t="s">
        <v>9</v>
      </c>
      <c r="F78" s="68" t="s">
        <v>10</v>
      </c>
      <c r="J78" s="34"/>
      <c r="K78" s="34"/>
      <c r="L78" s="34"/>
      <c r="M78" s="34"/>
      <c r="N78" s="34"/>
      <c r="O78" s="34"/>
      <c r="P78" s="393"/>
    </row>
    <row r="79" spans="2:16" ht="15.75">
      <c r="B79" s="69" t="s">
        <v>72</v>
      </c>
      <c r="C79" s="51">
        <f>I80*$C$44</f>
        <v>4200</v>
      </c>
      <c r="D79" s="48">
        <f>C79*C57</f>
        <v>168000</v>
      </c>
      <c r="E79" s="17">
        <f>(C29/2)-C49</f>
        <v>35</v>
      </c>
      <c r="F79" s="70">
        <f>D79*E79</f>
        <v>5880000</v>
      </c>
      <c r="G79" s="404" t="s">
        <v>131</v>
      </c>
      <c r="H79" s="405"/>
      <c r="I79" s="60" t="s">
        <v>61</v>
      </c>
      <c r="J79" s="34"/>
      <c r="K79" s="34"/>
      <c r="L79" s="34"/>
      <c r="M79" s="34"/>
      <c r="N79" s="34"/>
      <c r="O79" s="34"/>
      <c r="P79" s="393"/>
    </row>
    <row r="80" spans="2:16" ht="15.75">
      <c r="B80" s="71" t="s">
        <v>73</v>
      </c>
      <c r="C80" s="51">
        <f>I81*$C$44</f>
        <v>-321.94736842105266</v>
      </c>
      <c r="D80" s="48">
        <f>C80*H34</f>
        <v>0</v>
      </c>
      <c r="E80" s="17">
        <f>((C29/2)-(C29/2))*J102</f>
        <v>0</v>
      </c>
      <c r="F80" s="70">
        <f>D80*E80</f>
        <v>0</v>
      </c>
      <c r="G80" s="62" t="s">
        <v>64</v>
      </c>
      <c r="H80" s="63">
        <f>C67*(C71-C49)/C71</f>
        <v>2.6052631578947368E-3</v>
      </c>
      <c r="I80" s="63">
        <f>(IF(ABS(H80)&gt;C68,C68,ABS(H80)))*J101</f>
        <v>2.0598332515939185E-3</v>
      </c>
      <c r="J80" s="34"/>
      <c r="K80" s="34"/>
      <c r="L80" s="34"/>
      <c r="M80" s="34"/>
      <c r="N80" s="34"/>
      <c r="O80" s="34"/>
      <c r="P80" s="393"/>
    </row>
    <row r="81" spans="2:16" ht="15.75">
      <c r="B81" s="71" t="s">
        <v>74</v>
      </c>
      <c r="C81" s="51">
        <f>I82*$C$44</f>
        <v>-4200</v>
      </c>
      <c r="D81" s="48">
        <f>C81*C60</f>
        <v>-168000</v>
      </c>
      <c r="E81" s="17">
        <f>((C29/2)-C49)*J103</f>
        <v>-35</v>
      </c>
      <c r="F81" s="70">
        <f>D81*E81</f>
        <v>5880000</v>
      </c>
      <c r="G81" s="62" t="s">
        <v>66</v>
      </c>
      <c r="H81" s="63">
        <f>(C67*((C29/2)-C71)/C71)*(-1)</f>
        <v>-1.5789473684210527E-4</v>
      </c>
      <c r="I81" s="63">
        <f>(IF(ABS(H81)&gt;C68,C68,ABS(H81)))*J102</f>
        <v>-1.5789473684210527E-4</v>
      </c>
      <c r="J81" s="34"/>
      <c r="K81" s="34"/>
      <c r="L81" s="34"/>
      <c r="M81" s="34"/>
      <c r="N81" s="34"/>
      <c r="O81" s="34"/>
      <c r="P81" s="393"/>
    </row>
    <row r="82" spans="2:16" ht="15.75">
      <c r="B82" s="72" t="s">
        <v>11</v>
      </c>
      <c r="C82" s="51"/>
      <c r="D82" s="48">
        <f>C46*C31*C72*C28</f>
        <v>629356</v>
      </c>
      <c r="E82" s="17">
        <f>(C29/2)-(C72/2)</f>
        <v>27.65</v>
      </c>
      <c r="F82" s="70">
        <f>D82*E82</f>
        <v>17401693.399999999</v>
      </c>
      <c r="G82" s="62" t="s">
        <v>69</v>
      </c>
      <c r="H82" s="63">
        <f>(C67*((C66-C71)/C71))*(-1)</f>
        <v>-2.9210526315789475E-3</v>
      </c>
      <c r="I82" s="63">
        <f>(IF(ABS(H82)&gt;C68,C68,ABS(H82)))*J103</f>
        <v>-2.0598332515939185E-3</v>
      </c>
      <c r="J82" s="34"/>
      <c r="K82" s="34"/>
      <c r="L82" s="34"/>
      <c r="M82" s="34"/>
      <c r="N82" s="34"/>
      <c r="O82" s="34"/>
      <c r="P82" s="393"/>
    </row>
    <row r="83" spans="2:16" ht="13.5" thickBot="1">
      <c r="B83" s="73"/>
      <c r="C83" s="59" t="s">
        <v>77</v>
      </c>
      <c r="D83" s="57">
        <f>SUM(D79:D82)/1000</f>
        <v>629.35599999999999</v>
      </c>
      <c r="E83" s="56" t="s">
        <v>78</v>
      </c>
      <c r="F83" s="58">
        <f>SUM(F79:F82)/100000</f>
        <v>291.61693399999996</v>
      </c>
      <c r="J83" s="34"/>
      <c r="K83" s="34"/>
      <c r="L83" s="34"/>
      <c r="M83" s="34"/>
      <c r="N83" s="34"/>
      <c r="O83" s="34"/>
      <c r="P83" s="393"/>
    </row>
    <row r="84" spans="2:16">
      <c r="F84" s="74"/>
      <c r="J84" s="34"/>
      <c r="K84" s="34"/>
      <c r="L84" s="34"/>
      <c r="M84" s="34"/>
      <c r="N84" s="34"/>
      <c r="O84" s="34"/>
      <c r="P84" s="393"/>
    </row>
    <row r="85" spans="2:16">
      <c r="C85" s="404" t="s">
        <v>319</v>
      </c>
      <c r="D85" s="404"/>
      <c r="E85" s="404"/>
      <c r="F85" s="74"/>
      <c r="J85" s="34"/>
      <c r="K85" s="34"/>
      <c r="L85" s="34"/>
      <c r="M85" s="34"/>
      <c r="N85" s="34"/>
      <c r="O85" s="34"/>
      <c r="P85" s="393"/>
    </row>
    <row r="86" spans="2:16">
      <c r="B86" s="55"/>
      <c r="C86" s="3" t="s">
        <v>38</v>
      </c>
      <c r="D86" s="3" t="s">
        <v>54</v>
      </c>
      <c r="E86" s="76" t="s">
        <v>37</v>
      </c>
      <c r="J86" s="34"/>
      <c r="K86" s="45"/>
      <c r="L86" s="39"/>
      <c r="M86" s="39"/>
      <c r="N86" s="45"/>
      <c r="O86" s="34"/>
      <c r="P86" s="393"/>
    </row>
    <row r="87" spans="2:16" ht="15.75">
      <c r="B87" s="4" t="s">
        <v>80</v>
      </c>
      <c r="C87" s="5">
        <v>0</v>
      </c>
      <c r="D87" s="6">
        <f>((C46*C31*C33)+(C30*C32))/1000</f>
        <v>2374.4</v>
      </c>
      <c r="E87" s="55"/>
      <c r="J87" s="34"/>
      <c r="K87" s="45"/>
      <c r="L87" s="39"/>
      <c r="M87" s="39"/>
      <c r="N87" s="45"/>
      <c r="O87" s="34"/>
      <c r="P87" s="393"/>
    </row>
    <row r="88" spans="2:16">
      <c r="B88" s="4" t="s">
        <v>201</v>
      </c>
      <c r="C88" s="5">
        <v>0</v>
      </c>
      <c r="D88" s="6">
        <f>C34/1000</f>
        <v>1662.2367999999999</v>
      </c>
      <c r="E88" s="77"/>
      <c r="H88" s="167"/>
      <c r="I88" s="166"/>
      <c r="J88" s="34"/>
      <c r="K88" s="45"/>
      <c r="L88" s="39"/>
      <c r="M88" s="39"/>
      <c r="N88" s="45"/>
      <c r="O88" s="34"/>
      <c r="P88" s="393"/>
    </row>
    <row r="89" spans="2:16">
      <c r="B89" s="4" t="s">
        <v>55</v>
      </c>
      <c r="C89" s="5">
        <f>'Col bal'!E29</f>
        <v>305.75468099407578</v>
      </c>
      <c r="D89" s="6">
        <f>'Col bal'!C29</f>
        <v>736.47683919744111</v>
      </c>
      <c r="E89" s="77">
        <f>'Col bal'!G25</f>
        <v>44.467868566443734</v>
      </c>
      <c r="H89" s="407"/>
      <c r="I89" s="407"/>
      <c r="J89" s="388"/>
      <c r="K89" s="389"/>
      <c r="L89" s="361"/>
      <c r="M89" s="361"/>
      <c r="N89" s="390"/>
      <c r="O89" s="388"/>
      <c r="P89" s="393"/>
    </row>
    <row r="90" spans="2:16" ht="15.75">
      <c r="B90" s="4" t="s">
        <v>81</v>
      </c>
      <c r="C90" s="5">
        <f>Momento!E29</f>
        <v>21.203097924235799</v>
      </c>
      <c r="D90" s="6">
        <f>Momento!C29</f>
        <v>281.13642757554982</v>
      </c>
      <c r="E90" s="77">
        <f>Momento!G25</f>
        <v>3.00195248628751</v>
      </c>
      <c r="H90" s="87"/>
      <c r="I90" s="87"/>
      <c r="J90" s="354"/>
      <c r="K90" s="355">
        <v>5</v>
      </c>
      <c r="L90" s="356" t="s">
        <v>17</v>
      </c>
      <c r="M90" s="356">
        <v>280</v>
      </c>
      <c r="N90" s="357">
        <f xml:space="preserve"> 0.85-((M90-200)/1400)</f>
        <v>0.79285714285714282</v>
      </c>
      <c r="O90" s="354"/>
      <c r="P90" s="354"/>
    </row>
    <row r="91" spans="2:16">
      <c r="B91" s="11"/>
      <c r="C91" s="386"/>
      <c r="D91" s="384"/>
      <c r="E91" s="384"/>
      <c r="H91" s="87"/>
      <c r="I91" s="87"/>
      <c r="J91" s="354"/>
      <c r="K91" s="355">
        <v>6</v>
      </c>
      <c r="L91" s="356" t="s">
        <v>18</v>
      </c>
      <c r="M91" s="356">
        <v>300</v>
      </c>
      <c r="N91" s="357">
        <f xml:space="preserve"> 0.85-((M91-200)/1400)</f>
        <v>0.77857142857142858</v>
      </c>
      <c r="O91" s="354"/>
      <c r="P91" s="354"/>
    </row>
    <row r="92" spans="2:16">
      <c r="B92" s="11"/>
      <c r="C92" s="387" t="s">
        <v>320</v>
      </c>
      <c r="D92" s="385"/>
      <c r="E92" s="385"/>
      <c r="H92" s="87"/>
      <c r="I92" s="87"/>
      <c r="J92" s="354"/>
      <c r="K92" s="355">
        <v>7</v>
      </c>
      <c r="L92" s="356" t="s">
        <v>19</v>
      </c>
      <c r="M92" s="356">
        <v>350</v>
      </c>
      <c r="N92" s="357">
        <f xml:space="preserve"> 0.85-((M92-200)/1400)</f>
        <v>0.74285714285714288</v>
      </c>
      <c r="O92" s="354"/>
      <c r="P92" s="354"/>
    </row>
    <row r="93" spans="2:16">
      <c r="B93" s="11"/>
      <c r="C93" s="364" t="s">
        <v>38</v>
      </c>
      <c r="D93" s="364" t="s">
        <v>54</v>
      </c>
      <c r="E93" s="364" t="s">
        <v>37</v>
      </c>
      <c r="H93" s="87"/>
      <c r="I93" s="87"/>
      <c r="J93" s="354"/>
      <c r="K93" s="355">
        <v>8</v>
      </c>
      <c r="L93" s="356" t="s">
        <v>20</v>
      </c>
      <c r="M93" s="356">
        <v>400</v>
      </c>
      <c r="N93" s="357">
        <f xml:space="preserve"> 0.85-((M93-200)/1400)</f>
        <v>0.70714285714285707</v>
      </c>
      <c r="O93" s="354"/>
      <c r="P93" s="354"/>
    </row>
    <row r="94" spans="2:16">
      <c r="B94" s="11"/>
      <c r="C94" s="76">
        <v>0</v>
      </c>
      <c r="D94" s="365">
        <f>0.8*D87</f>
        <v>1899.5200000000002</v>
      </c>
      <c r="E94" s="76"/>
      <c r="H94" s="87"/>
      <c r="I94" s="87"/>
      <c r="J94" s="354"/>
      <c r="K94" s="355">
        <v>9</v>
      </c>
      <c r="L94" s="356" t="s">
        <v>21</v>
      </c>
      <c r="M94" s="356">
        <v>420</v>
      </c>
      <c r="N94" s="357">
        <f xml:space="preserve"> 0.85-((M94-200)/1400)</f>
        <v>0.69285714285714284</v>
      </c>
      <c r="O94" s="354"/>
      <c r="P94" s="354"/>
    </row>
    <row r="95" spans="2:16">
      <c r="B95" s="11"/>
      <c r="C95" s="365">
        <f>'Col bal'!E55</f>
        <v>252.88593750000001</v>
      </c>
      <c r="D95" s="365">
        <f>'Col bal'!C55</f>
        <v>1410.15</v>
      </c>
      <c r="E95" s="365">
        <f>'Col bal'!G51</f>
        <v>75</v>
      </c>
      <c r="H95" s="87"/>
      <c r="I95" s="87"/>
      <c r="J95" s="354"/>
      <c r="K95" s="355">
        <v>10</v>
      </c>
      <c r="L95" s="356" t="s">
        <v>23</v>
      </c>
      <c r="M95" s="356">
        <v>490</v>
      </c>
      <c r="N95" s="355">
        <v>0.65</v>
      </c>
      <c r="O95" s="354"/>
      <c r="P95" s="354"/>
    </row>
    <row r="96" spans="2:16">
      <c r="B96" s="11"/>
      <c r="C96" s="365">
        <f>'Col bal'!E81</f>
        <v>264.90314999999998</v>
      </c>
      <c r="D96" s="365">
        <f>'Col bal'!C81</f>
        <v>1309.8628571428574</v>
      </c>
      <c r="E96" s="365">
        <f>'Col bal'!G77</f>
        <v>70</v>
      </c>
      <c r="H96" s="87"/>
      <c r="I96" s="87"/>
      <c r="J96" s="354"/>
      <c r="K96" s="355">
        <v>11</v>
      </c>
      <c r="L96" s="356" t="s">
        <v>24</v>
      </c>
      <c r="M96" s="356">
        <v>562</v>
      </c>
      <c r="N96" s="355">
        <v>0.65</v>
      </c>
      <c r="O96" s="354"/>
      <c r="P96" s="354"/>
    </row>
    <row r="97" spans="2:16">
      <c r="B97" s="16"/>
      <c r="C97" s="365">
        <f>'Col bal'!E107</f>
        <v>275.17011442307694</v>
      </c>
      <c r="D97" s="365">
        <f>'Col bal'!C107</f>
        <v>1206.886923076923</v>
      </c>
      <c r="E97" s="365">
        <f>'Col bal'!G103</f>
        <v>65</v>
      </c>
      <c r="H97" s="87"/>
      <c r="I97" s="87"/>
      <c r="J97" s="354"/>
      <c r="K97" s="355">
        <v>12</v>
      </c>
      <c r="L97" s="356" t="s">
        <v>25</v>
      </c>
      <c r="M97" s="356">
        <v>630</v>
      </c>
      <c r="N97" s="355">
        <v>0.65</v>
      </c>
      <c r="O97" s="354"/>
      <c r="P97" s="354"/>
    </row>
    <row r="98" spans="2:16">
      <c r="B98" s="16"/>
      <c r="C98" s="365">
        <f>'Col bal'!E29</f>
        <v>305.75468099407578</v>
      </c>
      <c r="D98" s="365">
        <f>'Col bal'!C29</f>
        <v>736.47683919744111</v>
      </c>
      <c r="E98" s="365">
        <f>'Col bal'!G25</f>
        <v>44.467868566443734</v>
      </c>
      <c r="H98" s="87"/>
      <c r="I98" s="87"/>
      <c r="J98" s="354"/>
      <c r="K98" s="354"/>
      <c r="L98" s="354"/>
      <c r="M98" s="354"/>
      <c r="N98" s="354"/>
      <c r="O98" s="354"/>
      <c r="P98" s="354"/>
    </row>
    <row r="99" spans="2:16">
      <c r="C99" s="365">
        <f>'Col bal'!E133</f>
        <v>283.9221</v>
      </c>
      <c r="D99" s="365">
        <f>'Col bal'!C133</f>
        <v>1100.55</v>
      </c>
      <c r="E99" s="365">
        <f>'Col bal'!G129</f>
        <v>60</v>
      </c>
      <c r="H99" s="87"/>
      <c r="I99" s="87"/>
      <c r="J99" s="354"/>
      <c r="K99" s="354"/>
      <c r="L99" s="354"/>
      <c r="M99" s="354"/>
      <c r="N99" s="354"/>
      <c r="O99" s="354"/>
      <c r="P99" s="354"/>
    </row>
    <row r="100" spans="2:16">
      <c r="C100" s="365">
        <f>'Col bal'!E159</f>
        <v>291.47992840909092</v>
      </c>
      <c r="D100" s="365">
        <f>'Col bal'!C159</f>
        <v>989.9354545454546</v>
      </c>
      <c r="E100" s="365">
        <f>'Col bal'!G155</f>
        <v>55</v>
      </c>
      <c r="H100" s="87"/>
      <c r="I100" s="87"/>
      <c r="J100" s="354" t="s">
        <v>2</v>
      </c>
      <c r="K100" s="354"/>
      <c r="L100" s="354"/>
      <c r="M100" s="354"/>
      <c r="N100" s="354"/>
      <c r="O100" s="354"/>
      <c r="P100" s="354"/>
    </row>
    <row r="101" spans="2:16">
      <c r="C101" s="365">
        <f>'Col bal'!E185</f>
        <v>298.29275000000001</v>
      </c>
      <c r="D101" s="365">
        <f>'Col bal'!C185</f>
        <v>873.76</v>
      </c>
      <c r="E101" s="365">
        <f>'Col bal'!G181</f>
        <v>50</v>
      </c>
      <c r="H101" s="87"/>
      <c r="I101" s="87"/>
      <c r="J101" s="354">
        <f>SIGN(H80)</f>
        <v>1</v>
      </c>
      <c r="K101" s="354"/>
      <c r="L101" s="354"/>
      <c r="M101" s="354"/>
      <c r="N101" s="354"/>
      <c r="O101" s="354"/>
      <c r="P101" s="354"/>
    </row>
    <row r="102" spans="2:16">
      <c r="C102" s="365">
        <f>'Col bal'!E211</f>
        <v>305.00933750000002</v>
      </c>
      <c r="D102" s="365">
        <f>'Col bal'!C211</f>
        <v>750.17</v>
      </c>
      <c r="E102" s="365">
        <f>'Col bal'!G207</f>
        <v>45</v>
      </c>
      <c r="H102" s="87"/>
      <c r="I102" s="87"/>
      <c r="J102" s="354">
        <f>SIGN(H81)</f>
        <v>-1</v>
      </c>
      <c r="K102" s="354"/>
      <c r="L102" s="356" t="s">
        <v>27</v>
      </c>
      <c r="M102" s="354"/>
      <c r="N102" s="354"/>
      <c r="O102" s="354"/>
      <c r="P102" s="354"/>
    </row>
    <row r="103" spans="2:16">
      <c r="C103" s="365">
        <f>'Col bal'!E237</f>
        <v>296.46960000000001</v>
      </c>
      <c r="D103" s="365">
        <f>'Col bal'!C237</f>
        <v>662.48</v>
      </c>
      <c r="E103" s="365">
        <f>'Col bal'!G233</f>
        <v>40</v>
      </c>
      <c r="H103" s="87"/>
      <c r="I103" s="87"/>
      <c r="J103" s="354">
        <f>SIGN(H82)</f>
        <v>-1</v>
      </c>
      <c r="K103" s="355"/>
      <c r="L103" s="356" t="s">
        <v>28</v>
      </c>
      <c r="M103" s="356">
        <v>2530</v>
      </c>
      <c r="N103" s="354"/>
      <c r="O103" s="354"/>
      <c r="P103" s="354"/>
    </row>
    <row r="104" spans="2:16">
      <c r="C104" s="365">
        <f>'Col bal'!E263</f>
        <v>283.53053749999998</v>
      </c>
      <c r="D104" s="365">
        <f>'Col bal'!C263</f>
        <v>579.66999999999996</v>
      </c>
      <c r="E104" s="365">
        <f>'Col bal'!G259</f>
        <v>35</v>
      </c>
      <c r="F104" s="22"/>
      <c r="H104" s="87"/>
      <c r="I104" s="87"/>
      <c r="J104" s="354"/>
      <c r="K104" s="355"/>
      <c r="L104" s="356" t="s">
        <v>29</v>
      </c>
      <c r="M104" s="356">
        <v>4200</v>
      </c>
      <c r="N104" s="354"/>
      <c r="O104" s="354"/>
      <c r="P104" s="354"/>
    </row>
    <row r="105" spans="2:16">
      <c r="C105" s="365">
        <f>'Col bal'!E289</f>
        <v>267.90015</v>
      </c>
      <c r="D105" s="365">
        <f>'Col bal'!C289</f>
        <v>496.86</v>
      </c>
      <c r="E105" s="365">
        <f>'Col bal'!G285</f>
        <v>30</v>
      </c>
      <c r="H105" s="87"/>
      <c r="I105" s="87"/>
      <c r="J105" s="354"/>
      <c r="K105" s="354"/>
      <c r="L105" s="354"/>
      <c r="M105" s="354"/>
      <c r="N105" s="354"/>
      <c r="O105" s="354"/>
      <c r="P105" s="354"/>
    </row>
    <row r="106" spans="2:16" s="34" customFormat="1">
      <c r="C106" s="365">
        <f>'Col bal'!E315</f>
        <v>249.57843750000001</v>
      </c>
      <c r="D106" s="365">
        <f>'Col bal'!C315</f>
        <v>414.05</v>
      </c>
      <c r="E106" s="365">
        <f>'Col bal'!G311</f>
        <v>25</v>
      </c>
      <c r="G106" s="39"/>
      <c r="H106" s="388"/>
      <c r="I106" s="388"/>
      <c r="J106" s="239"/>
      <c r="K106" s="239"/>
      <c r="L106" s="362" t="s">
        <v>31</v>
      </c>
      <c r="M106" s="363" t="s">
        <v>32</v>
      </c>
      <c r="N106" s="239" t="s">
        <v>33</v>
      </c>
      <c r="O106" s="239" t="s">
        <v>34</v>
      </c>
      <c r="P106" s="239"/>
    </row>
    <row r="107" spans="2:16">
      <c r="H107" s="87"/>
      <c r="I107" s="87"/>
      <c r="J107" s="354"/>
      <c r="K107" s="355"/>
      <c r="L107" s="355" t="s">
        <v>35</v>
      </c>
      <c r="M107" s="355">
        <v>0.7</v>
      </c>
      <c r="N107" s="354">
        <v>0.8</v>
      </c>
      <c r="O107" s="354">
        <f>0.8*C40*(0.85*C31*(C34-C33)+C32*C33)</f>
        <v>401260175.23199993</v>
      </c>
      <c r="P107" s="354"/>
    </row>
    <row r="108" spans="2:16">
      <c r="H108" s="87"/>
      <c r="I108" s="87"/>
      <c r="J108" s="354"/>
      <c r="K108" s="355"/>
      <c r="L108" s="355" t="s">
        <v>36</v>
      </c>
      <c r="M108" s="355">
        <v>0.75</v>
      </c>
      <c r="N108" s="354">
        <v>0.85</v>
      </c>
      <c r="O108" s="354"/>
      <c r="P108" s="354"/>
    </row>
    <row r="109" spans="2:16">
      <c r="H109" s="87"/>
      <c r="I109" s="87"/>
      <c r="J109" s="354"/>
      <c r="K109" s="355"/>
      <c r="L109" s="355"/>
      <c r="M109" s="355"/>
      <c r="N109" s="354"/>
      <c r="O109" s="354"/>
      <c r="P109" s="354"/>
    </row>
    <row r="110" spans="2:16">
      <c r="H110" s="87"/>
      <c r="I110" s="87"/>
      <c r="J110" s="354"/>
      <c r="K110" s="354" t="s">
        <v>39</v>
      </c>
      <c r="L110" s="355"/>
      <c r="M110" s="355"/>
      <c r="N110" s="354"/>
      <c r="O110" s="354"/>
      <c r="P110" s="354"/>
    </row>
    <row r="111" spans="2:16">
      <c r="H111" s="87"/>
      <c r="I111" s="87"/>
      <c r="J111" s="358" t="s">
        <v>40</v>
      </c>
      <c r="K111" s="359">
        <v>0.32</v>
      </c>
      <c r="L111" s="354"/>
      <c r="M111" s="354"/>
      <c r="N111" s="354"/>
      <c r="O111" s="354"/>
      <c r="P111" s="354"/>
    </row>
    <row r="112" spans="2:16">
      <c r="J112" s="358" t="s">
        <v>41</v>
      </c>
      <c r="K112" s="359">
        <v>0.49</v>
      </c>
      <c r="L112" s="354"/>
      <c r="M112" s="354"/>
      <c r="N112" s="354"/>
      <c r="O112" s="354"/>
    </row>
    <row r="113" spans="3:15">
      <c r="G113" s="9"/>
      <c r="J113" s="358" t="s">
        <v>42</v>
      </c>
      <c r="K113" s="359">
        <v>0.71</v>
      </c>
      <c r="L113" s="354"/>
      <c r="M113" s="354"/>
      <c r="N113" s="354"/>
      <c r="O113" s="354"/>
    </row>
    <row r="114" spans="3:15">
      <c r="F114" s="75"/>
      <c r="G114" s="65"/>
      <c r="J114" s="358" t="s">
        <v>43</v>
      </c>
      <c r="K114" s="359">
        <v>1.27</v>
      </c>
      <c r="L114" s="354"/>
      <c r="M114" s="354"/>
      <c r="N114" s="354"/>
      <c r="O114" s="354"/>
    </row>
    <row r="115" spans="3:15">
      <c r="J115" s="358" t="s">
        <v>44</v>
      </c>
      <c r="K115" s="359">
        <v>1.98</v>
      </c>
      <c r="L115" s="354"/>
      <c r="M115" s="354"/>
      <c r="N115" s="354"/>
      <c r="O115" s="354"/>
    </row>
    <row r="116" spans="3:15">
      <c r="J116" s="358" t="s">
        <v>45</v>
      </c>
      <c r="K116" s="359">
        <v>2.87</v>
      </c>
      <c r="L116" s="354"/>
      <c r="M116" s="354"/>
      <c r="N116" s="354"/>
      <c r="O116" s="354"/>
    </row>
    <row r="117" spans="3:15">
      <c r="J117" s="358" t="s">
        <v>46</v>
      </c>
      <c r="K117" s="359">
        <v>3.87</v>
      </c>
      <c r="L117" s="354"/>
      <c r="M117" s="354"/>
      <c r="N117" s="354"/>
      <c r="O117" s="354"/>
    </row>
    <row r="118" spans="3:15">
      <c r="C118" s="21"/>
      <c r="D118" s="21"/>
      <c r="J118" s="358" t="s">
        <v>47</v>
      </c>
      <c r="K118" s="359">
        <v>5.07</v>
      </c>
      <c r="L118" s="354"/>
      <c r="M118" s="354"/>
      <c r="N118" s="354"/>
      <c r="O118" s="354"/>
    </row>
    <row r="119" spans="3:15">
      <c r="C119" s="21"/>
      <c r="D119" s="21"/>
      <c r="J119" s="358" t="s">
        <v>48</v>
      </c>
      <c r="K119" s="359">
        <v>6.42</v>
      </c>
      <c r="L119" s="359"/>
      <c r="M119" s="354"/>
      <c r="N119" s="354"/>
      <c r="O119" s="354"/>
    </row>
    <row r="120" spans="3:15">
      <c r="C120" s="21"/>
      <c r="D120" s="21"/>
      <c r="J120" s="358" t="s">
        <v>49</v>
      </c>
      <c r="K120" s="359">
        <v>7.94</v>
      </c>
      <c r="L120" s="354"/>
      <c r="M120" s="354"/>
      <c r="N120" s="354"/>
      <c r="O120" s="354"/>
    </row>
    <row r="121" spans="3:15">
      <c r="C121" s="21"/>
      <c r="D121" s="21"/>
      <c r="J121" s="358" t="s">
        <v>50</v>
      </c>
      <c r="K121" s="359">
        <v>9.57</v>
      </c>
      <c r="L121" s="359"/>
      <c r="M121" s="354"/>
      <c r="N121" s="354"/>
      <c r="O121" s="354"/>
    </row>
    <row r="122" spans="3:15">
      <c r="C122" s="21"/>
      <c r="D122" s="21"/>
      <c r="J122" s="358" t="s">
        <v>51</v>
      </c>
      <c r="K122" s="359">
        <v>11.4</v>
      </c>
      <c r="L122" s="359"/>
      <c r="M122" s="354"/>
      <c r="N122" s="354"/>
      <c r="O122" s="354"/>
    </row>
    <row r="123" spans="3:15">
      <c r="C123" s="21"/>
      <c r="D123" s="21"/>
      <c r="K123" s="11"/>
      <c r="L123" s="29"/>
    </row>
    <row r="124" spans="3:15">
      <c r="K124" s="11"/>
      <c r="L124" s="29"/>
    </row>
    <row r="125" spans="3:15">
      <c r="K125" s="11"/>
      <c r="L125" s="29"/>
    </row>
    <row r="126" spans="3:15">
      <c r="K126" s="11"/>
      <c r="L126" s="29"/>
    </row>
    <row r="127" spans="3:15">
      <c r="K127" s="11"/>
      <c r="L127" s="29"/>
    </row>
    <row r="132" spans="5:7">
      <c r="F132" s="9"/>
      <c r="G132" s="9"/>
    </row>
    <row r="133" spans="5:7">
      <c r="E133" s="9"/>
      <c r="F133" s="9"/>
      <c r="G133" s="9"/>
    </row>
    <row r="134" spans="5:7">
      <c r="F134" s="74"/>
      <c r="G134" s="64"/>
    </row>
    <row r="135" spans="5:7">
      <c r="F135" s="74"/>
      <c r="G135" s="64"/>
    </row>
    <row r="136" spans="5:7">
      <c r="F136" s="74"/>
      <c r="G136" s="64"/>
    </row>
    <row r="137" spans="5:7">
      <c r="F137" s="74"/>
      <c r="G137" s="64"/>
    </row>
    <row r="138" spans="5:7">
      <c r="F138" s="74"/>
      <c r="G138" s="64"/>
    </row>
    <row r="139" spans="5:7">
      <c r="F139" s="74"/>
      <c r="G139" s="64"/>
    </row>
    <row r="140" spans="5:7">
      <c r="F140" s="74"/>
      <c r="G140" s="64"/>
    </row>
    <row r="141" spans="5:7">
      <c r="F141" s="74"/>
      <c r="G141" s="64"/>
    </row>
    <row r="142" spans="5:7">
      <c r="F142" s="74"/>
      <c r="G142" s="64"/>
    </row>
    <row r="143" spans="5:7">
      <c r="F143" s="74"/>
      <c r="G143" s="64"/>
    </row>
    <row r="144" spans="5:7">
      <c r="F144" s="74"/>
      <c r="G144" s="64"/>
    </row>
    <row r="145" spans="6:7">
      <c r="F145" s="74"/>
      <c r="G145" s="64"/>
    </row>
    <row r="146" spans="6:7">
      <c r="F146" s="74"/>
      <c r="G146" s="64"/>
    </row>
    <row r="147" spans="6:7">
      <c r="F147" s="74"/>
      <c r="G147" s="64"/>
    </row>
    <row r="148" spans="6:7">
      <c r="F148" s="74"/>
      <c r="G148" s="64"/>
    </row>
    <row r="149" spans="6:7">
      <c r="F149" s="74"/>
      <c r="G149" s="64"/>
    </row>
    <row r="150" spans="6:7">
      <c r="F150" s="74"/>
      <c r="G150" s="64"/>
    </row>
    <row r="151" spans="6:7">
      <c r="F151" s="74"/>
      <c r="G151" s="64"/>
    </row>
  </sheetData>
  <mergeCells count="12">
    <mergeCell ref="P78:P89"/>
    <mergeCell ref="G51:H51"/>
    <mergeCell ref="B1:H3"/>
    <mergeCell ref="G79:H79"/>
    <mergeCell ref="G32:H32"/>
    <mergeCell ref="H89:I89"/>
    <mergeCell ref="G48:H48"/>
    <mergeCell ref="H49:H50"/>
    <mergeCell ref="D29:E30"/>
    <mergeCell ref="I52:I53"/>
    <mergeCell ref="C85:E85"/>
    <mergeCell ref="B15:H25"/>
  </mergeCells>
  <phoneticPr fontId="0" type="noConversion"/>
  <dataValidations count="4">
    <dataValidation type="list" allowBlank="1" showInputMessage="1" showErrorMessage="1" sqref="C31" xr:uid="{00000000-0002-0000-0000-000000000000}">
      <formula1>f´c</formula1>
    </dataValidation>
    <dataValidation type="list" allowBlank="1" showInputMessage="1" showErrorMessage="1" sqref="C32" xr:uid="{00000000-0002-0000-0000-000001000000}">
      <formula1>fyt</formula1>
    </dataValidation>
    <dataValidation type="list" allowBlank="1" showInputMessage="1" showErrorMessage="1" sqref="C27" xr:uid="{00000000-0002-0000-0000-000002000000}">
      <formula1>TIPO</formula1>
    </dataValidation>
    <dataValidation type="list" allowBlank="1" showInputMessage="1" showErrorMessage="1" sqref="C58 C61" xr:uid="{9E8CE443-0036-4A92-80E5-BF519F0F0341}">
      <formula1>Nvarilla</formula1>
    </dataValidation>
  </dataValidations>
  <printOptions horizontalCentered="1"/>
  <pageMargins left="0.39370078740157483" right="0.39370078740157483" top="0.39370078740157483" bottom="0.39370078740157483" header="0" footer="0"/>
  <pageSetup scale="81" orientation="portrait" r:id="rId1"/>
  <headerFooter alignWithMargins="0"/>
  <rowBreaks count="1" manualBreakCount="1">
    <brk id="72"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2CA2-0A72-421A-8110-851395C47648}">
  <dimension ref="A2:B6"/>
  <sheetViews>
    <sheetView workbookViewId="0">
      <selection activeCell="B6" sqref="B6"/>
    </sheetView>
  </sheetViews>
  <sheetFormatPr baseColWidth="10" defaultRowHeight="12.75"/>
  <cols>
    <col min="1" max="16384" width="11.42578125" style="7"/>
  </cols>
  <sheetData>
    <row r="2" spans="1:2">
      <c r="A2" s="7" t="s">
        <v>236</v>
      </c>
    </row>
    <row r="4" spans="1:2">
      <c r="A4" s="55" t="s">
        <v>238</v>
      </c>
      <c r="B4" s="183">
        <v>0.35</v>
      </c>
    </row>
    <row r="5" spans="1:2">
      <c r="A5" s="55" t="s">
        <v>237</v>
      </c>
      <c r="B5" s="183">
        <f>(0.8+(25*(Columnas!C52/Columnas!C33)))*((1-(Columnas!F83/Columnas!D83))-(0.5*(Columnas!D88/Columnas!D83)))</f>
        <v>-0.87213677008720014</v>
      </c>
    </row>
    <row r="6" spans="1:2">
      <c r="A6" s="55" t="s">
        <v>204</v>
      </c>
      <c r="B6" s="183">
        <v>0.875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M44"/>
  <sheetViews>
    <sheetView workbookViewId="0">
      <selection activeCell="E30" sqref="E30"/>
    </sheetView>
  </sheetViews>
  <sheetFormatPr baseColWidth="10" defaultRowHeight="12.75"/>
  <cols>
    <col min="1" max="1" width="12.5703125" style="7" customWidth="1"/>
    <col min="2" max="2" width="13.28515625" style="7" bestFit="1" customWidth="1"/>
    <col min="3" max="3" width="13.140625" style="7" bestFit="1" customWidth="1"/>
    <col min="4" max="4" width="9.28515625" style="7" customWidth="1"/>
    <col min="5" max="5" width="15.85546875" style="7" customWidth="1"/>
    <col min="6" max="6" width="11" style="7" customWidth="1"/>
    <col min="7" max="7" width="17.28515625" style="7" customWidth="1"/>
    <col min="8" max="8" width="11.42578125" style="7"/>
    <col min="9" max="14" width="11.5703125" style="7" bestFit="1" customWidth="1"/>
    <col min="15" max="16384" width="11.42578125" style="7"/>
  </cols>
  <sheetData>
    <row r="1" spans="1:13" ht="13.5" thickTop="1">
      <c r="A1" s="419" t="s">
        <v>56</v>
      </c>
      <c r="B1" s="420"/>
      <c r="C1" s="420"/>
      <c r="D1" s="420"/>
      <c r="E1" s="420"/>
      <c r="F1" s="420"/>
      <c r="G1" s="421"/>
    </row>
    <row r="2" spans="1:13">
      <c r="A2" s="422"/>
      <c r="B2" s="423"/>
      <c r="C2" s="423"/>
      <c r="D2" s="423"/>
      <c r="E2" s="423"/>
      <c r="F2" s="423"/>
      <c r="G2" s="424"/>
    </row>
    <row r="3" spans="1:13" ht="13.5" thickBot="1">
      <c r="A3" s="425"/>
      <c r="B3" s="426"/>
      <c r="C3" s="426"/>
      <c r="D3" s="426"/>
      <c r="E3" s="426"/>
      <c r="F3" s="426"/>
      <c r="G3" s="427"/>
    </row>
    <row r="4" spans="1:13" ht="13.5" thickTop="1">
      <c r="M4" s="8"/>
    </row>
    <row r="5" spans="1:13">
      <c r="J5" s="9"/>
      <c r="K5" s="10"/>
      <c r="L5" s="10"/>
      <c r="M5" s="9"/>
    </row>
    <row r="6" spans="1:13">
      <c r="A6" s="11" t="s">
        <v>12</v>
      </c>
      <c r="B6" s="7">
        <f>Columnas!C28</f>
        <v>80</v>
      </c>
      <c r="D6" s="12" t="s">
        <v>13</v>
      </c>
      <c r="E6" s="13">
        <f>Columnas!C40</f>
        <v>0.7</v>
      </c>
      <c r="G6" s="14">
        <f>Columnas!C31</f>
        <v>490</v>
      </c>
      <c r="J6" s="9"/>
      <c r="K6" s="10"/>
      <c r="L6" s="10"/>
      <c r="M6" s="9"/>
    </row>
    <row r="7" spans="1:13">
      <c r="A7" s="11" t="s">
        <v>14</v>
      </c>
      <c r="B7" s="7">
        <f>Columnas!C29</f>
        <v>80</v>
      </c>
      <c r="D7" s="11" t="s">
        <v>15</v>
      </c>
      <c r="E7" s="13">
        <f>Columnas!C42</f>
        <v>0.8</v>
      </c>
      <c r="J7" s="9"/>
      <c r="K7" s="10"/>
      <c r="L7" s="10"/>
      <c r="M7" s="9"/>
    </row>
    <row r="8" spans="1:13" ht="15.75">
      <c r="A8" s="11" t="s">
        <v>16</v>
      </c>
      <c r="B8" s="10">
        <f>B6*B7</f>
        <v>6400</v>
      </c>
      <c r="D8" s="11" t="s">
        <v>57</v>
      </c>
      <c r="E8" s="14">
        <f>Columnas!C43</f>
        <v>309903.21069650113</v>
      </c>
      <c r="G8" s="14">
        <f>Columnas!C32</f>
        <v>4200</v>
      </c>
      <c r="J8" s="9"/>
      <c r="K8" s="10"/>
      <c r="L8" s="10"/>
      <c r="M8" s="15"/>
    </row>
    <row r="9" spans="1:13" ht="15.75">
      <c r="A9" s="16" t="s">
        <v>58</v>
      </c>
      <c r="B9" s="17">
        <f>E7*E6*(0.85*G6*(B8-B10)+G8*B10)</f>
        <v>1662236.7999999998</v>
      </c>
      <c r="D9" s="11" t="s">
        <v>59</v>
      </c>
      <c r="E9" s="14">
        <f>Columnas!C44</f>
        <v>2039000</v>
      </c>
      <c r="J9" s="9"/>
      <c r="K9" s="10"/>
      <c r="L9" s="10"/>
      <c r="M9" s="15"/>
    </row>
    <row r="10" spans="1:13" ht="15.75">
      <c r="A10" s="16" t="s">
        <v>5</v>
      </c>
      <c r="B10" s="17">
        <f>G15+G16</f>
        <v>80</v>
      </c>
      <c r="F10" s="12" t="s">
        <v>60</v>
      </c>
      <c r="G10" s="18">
        <f>Columnas!C46</f>
        <v>0.65</v>
      </c>
      <c r="J10" s="9"/>
      <c r="K10" s="10"/>
      <c r="L10" s="10"/>
      <c r="M10" s="15"/>
    </row>
    <row r="11" spans="1:13">
      <c r="A11" s="12"/>
      <c r="J11" s="9"/>
      <c r="K11" s="10"/>
      <c r="L11" s="10"/>
      <c r="M11" s="15"/>
    </row>
    <row r="12" spans="1:13">
      <c r="A12" s="12"/>
      <c r="F12" s="11" t="s">
        <v>0</v>
      </c>
      <c r="G12" s="19" t="s">
        <v>1</v>
      </c>
      <c r="J12" s="9"/>
      <c r="K12" s="10"/>
      <c r="L12" s="10"/>
      <c r="M12" s="15"/>
    </row>
    <row r="13" spans="1:13">
      <c r="F13" s="11" t="s">
        <v>3</v>
      </c>
      <c r="G13" s="19" t="s">
        <v>4</v>
      </c>
      <c r="J13" s="9"/>
      <c r="K13" s="10"/>
      <c r="L13" s="10"/>
      <c r="M13" s="15"/>
    </row>
    <row r="14" spans="1:13">
      <c r="A14" s="16"/>
      <c r="B14" s="17"/>
      <c r="F14" s="20" t="s">
        <v>22</v>
      </c>
      <c r="G14" s="10">
        <f>Columnas!C49</f>
        <v>5</v>
      </c>
      <c r="J14" s="9"/>
      <c r="K14" s="10"/>
      <c r="L14" s="10"/>
      <c r="M14" s="9"/>
    </row>
    <row r="15" spans="1:13">
      <c r="A15" s="16"/>
      <c r="B15" s="17"/>
      <c r="F15" s="11" t="s">
        <v>0</v>
      </c>
      <c r="G15" s="7">
        <f>Columnas!C50</f>
        <v>40</v>
      </c>
      <c r="J15" s="9"/>
      <c r="K15" s="10"/>
      <c r="L15" s="10"/>
      <c r="M15" s="9"/>
    </row>
    <row r="16" spans="1:13">
      <c r="A16" s="16"/>
      <c r="B16" s="9"/>
      <c r="F16" s="11" t="s">
        <v>3</v>
      </c>
      <c r="G16" s="7">
        <f>Columnas!C51</f>
        <v>40</v>
      </c>
      <c r="J16" s="9"/>
      <c r="K16" s="10"/>
      <c r="L16" s="10"/>
      <c r="M16" s="9"/>
    </row>
    <row r="17" spans="1:12">
      <c r="F17" s="16" t="s">
        <v>5</v>
      </c>
      <c r="G17" s="7">
        <f>G15+G16</f>
        <v>80</v>
      </c>
    </row>
    <row r="18" spans="1:12" ht="15.75">
      <c r="E18" s="8" t="s">
        <v>61</v>
      </c>
      <c r="F18" s="16" t="s">
        <v>62</v>
      </c>
      <c r="G18" s="21">
        <f>(G20*G19)/(G20+G21)</f>
        <v>44.467868566443734</v>
      </c>
      <c r="I18" s="7" t="s">
        <v>2</v>
      </c>
    </row>
    <row r="19" spans="1:12" ht="15.75">
      <c r="A19" s="11" t="s">
        <v>63</v>
      </c>
      <c r="B19" s="7">
        <f>G15</f>
        <v>40</v>
      </c>
      <c r="C19" s="12" t="s">
        <v>64</v>
      </c>
      <c r="D19" s="22">
        <f>G20*(G25-G14)/G25</f>
        <v>-1.9967479727003865E-3</v>
      </c>
      <c r="E19" s="22">
        <f>(IF(ABS(D19)&gt;G21,G21,ABS(D19)))*I19</f>
        <v>-1.9967479727003865E-3</v>
      </c>
      <c r="F19" s="16" t="s">
        <v>26</v>
      </c>
      <c r="G19" s="7">
        <f>B7-G14</f>
        <v>75</v>
      </c>
      <c r="I19" s="7">
        <f>SIGN(D19)</f>
        <v>-1</v>
      </c>
    </row>
    <row r="20" spans="1:12" ht="15.75">
      <c r="A20" s="11" t="s">
        <v>65</v>
      </c>
      <c r="B20" s="7">
        <v>0</v>
      </c>
      <c r="C20" s="12" t="s">
        <v>66</v>
      </c>
      <c r="D20" s="22">
        <f>(G20*((B7/2)-G25)/G25)*(-1)</f>
        <v>-3.6973983781603097E-2</v>
      </c>
      <c r="E20" s="22">
        <f>(IF(ABS(D20)&gt;G21,G21,ABS(D20)))*I20</f>
        <v>-2.0598332515939185E-3</v>
      </c>
      <c r="F20" s="12" t="s">
        <v>67</v>
      </c>
      <c r="G20" s="7">
        <v>3.0000000000000001E-3</v>
      </c>
      <c r="I20" s="7">
        <f>SIGN(D20)</f>
        <v>-1</v>
      </c>
      <c r="K20" s="10"/>
    </row>
    <row r="21" spans="1:12" ht="15.75">
      <c r="A21" s="11" t="s">
        <v>68</v>
      </c>
      <c r="B21" s="7">
        <f>G16</f>
        <v>40</v>
      </c>
      <c r="C21" s="12" t="s">
        <v>69</v>
      </c>
      <c r="D21" s="22">
        <f>(G20*((G19-G25)/G25))*(-1)</f>
        <v>-7.1951219590505794E-2</v>
      </c>
      <c r="E21" s="22">
        <f>(IF(ABS(D21)&gt;G21,G21,ABS(D21)))*I21</f>
        <v>-2.0598332515939185E-3</v>
      </c>
      <c r="F21" s="12" t="s">
        <v>70</v>
      </c>
      <c r="G21" s="23">
        <f>G8/G22</f>
        <v>2.0598332515939185E-3</v>
      </c>
      <c r="I21" s="7">
        <f>SIGN(D21)</f>
        <v>-1</v>
      </c>
      <c r="J21" s="9"/>
      <c r="K21" s="10"/>
      <c r="L21" s="10"/>
    </row>
    <row r="22" spans="1:12">
      <c r="A22" s="16" t="s">
        <v>5</v>
      </c>
      <c r="B22" s="7">
        <f>SUM(B19:B21)</f>
        <v>80</v>
      </c>
      <c r="C22" s="12"/>
      <c r="D22" s="22"/>
      <c r="E22" s="22"/>
      <c r="F22" s="11" t="s">
        <v>7</v>
      </c>
      <c r="G22" s="24">
        <v>2039000</v>
      </c>
      <c r="J22" s="9"/>
      <c r="K22" s="10"/>
      <c r="L22" s="10"/>
    </row>
    <row r="23" spans="1:12">
      <c r="F23" s="11" t="s">
        <v>30</v>
      </c>
      <c r="G23" s="21">
        <f>0.85*G18</f>
        <v>37.797688281477171</v>
      </c>
    </row>
    <row r="24" spans="1:12" ht="15.75">
      <c r="A24" s="11"/>
      <c r="B24" s="9" t="s">
        <v>71</v>
      </c>
      <c r="C24" s="9" t="s">
        <v>8</v>
      </c>
      <c r="D24" s="9" t="s">
        <v>9</v>
      </c>
      <c r="E24" s="9" t="s">
        <v>10</v>
      </c>
      <c r="F24" s="10"/>
      <c r="K24" s="9"/>
      <c r="L24" s="8"/>
    </row>
    <row r="25" spans="1:12" ht="15.75">
      <c r="A25" s="11" t="s">
        <v>72</v>
      </c>
      <c r="B25" s="24">
        <f>E19*$E$9</f>
        <v>-4071.3691163360882</v>
      </c>
      <c r="C25" s="21">
        <f>B25*B19</f>
        <v>-162854.76465344353</v>
      </c>
      <c r="D25" s="15">
        <f>(B7/2)-G14</f>
        <v>35</v>
      </c>
      <c r="E25" s="15">
        <f>C25*D25</f>
        <v>-5699916.7628705241</v>
      </c>
      <c r="F25" s="11" t="s">
        <v>6</v>
      </c>
      <c r="G25" s="15">
        <v>3.00195248628751</v>
      </c>
      <c r="J25" s="9"/>
      <c r="K25" s="9"/>
      <c r="L25" s="9"/>
    </row>
    <row r="26" spans="1:12" ht="15.75">
      <c r="A26" s="11" t="s">
        <v>73</v>
      </c>
      <c r="B26" s="24">
        <f>E20*$E$9</f>
        <v>-4200</v>
      </c>
      <c r="C26" s="21">
        <f>B26*B20</f>
        <v>0</v>
      </c>
      <c r="D26" s="15">
        <f>((B7/2)-(B7/2))*I20</f>
        <v>0</v>
      </c>
      <c r="E26" s="15">
        <f>C26*D26</f>
        <v>0</v>
      </c>
      <c r="F26" s="11" t="s">
        <v>30</v>
      </c>
      <c r="G26" s="15">
        <f>G10*G25</f>
        <v>1.9512691160868816</v>
      </c>
      <c r="J26" s="9"/>
      <c r="K26" s="9"/>
      <c r="L26" s="9"/>
    </row>
    <row r="27" spans="1:12" ht="15.75">
      <c r="A27" s="11" t="s">
        <v>74</v>
      </c>
      <c r="B27" s="24">
        <f>E21*$E$9</f>
        <v>-4200</v>
      </c>
      <c r="C27" s="21">
        <f>B27*B21</f>
        <v>-168000</v>
      </c>
      <c r="D27" s="15">
        <f>((B7/2)-G14)*I21</f>
        <v>-35</v>
      </c>
      <c r="E27" s="15">
        <f>C27*D27</f>
        <v>5880000</v>
      </c>
      <c r="J27" s="9"/>
      <c r="K27" s="9"/>
      <c r="L27" s="9"/>
    </row>
    <row r="28" spans="1:12">
      <c r="A28" s="11" t="s">
        <v>11</v>
      </c>
      <c r="B28" s="24"/>
      <c r="C28" s="21">
        <f>G10*G6*G26*B6</f>
        <v>49718.337077893739</v>
      </c>
      <c r="D28" s="15">
        <f>(B7/2)-(G26/2)</f>
        <v>39.024365441956562</v>
      </c>
      <c r="E28" s="15">
        <f>C28*D28</f>
        <v>1940226.5552941039</v>
      </c>
      <c r="J28" s="9"/>
      <c r="K28" s="9"/>
      <c r="L28" s="9"/>
    </row>
    <row r="29" spans="1:12">
      <c r="A29" s="11"/>
      <c r="B29" s="25" t="s">
        <v>77</v>
      </c>
      <c r="C29" s="26">
        <f>ABS(SUM(C25:C28)/1000)</f>
        <v>281.13642757554982</v>
      </c>
      <c r="D29" s="25" t="s">
        <v>78</v>
      </c>
      <c r="E29" s="27">
        <f>ABS(SUM(E25:E28)/100000)</f>
        <v>21.203097924235799</v>
      </c>
    </row>
    <row r="31" spans="1:12">
      <c r="B31" s="9"/>
      <c r="C31" s="9"/>
      <c r="D31" s="9"/>
      <c r="E31" s="9"/>
      <c r="F31" s="9"/>
    </row>
    <row r="32" spans="1:12">
      <c r="A32" s="11"/>
      <c r="E32" s="28"/>
      <c r="J32" s="11"/>
      <c r="K32" s="29"/>
    </row>
    <row r="33" spans="1:11">
      <c r="A33" s="11"/>
      <c r="B33" s="21"/>
      <c r="C33" s="21"/>
      <c r="E33" s="21"/>
      <c r="F33" s="21"/>
      <c r="J33" s="11"/>
      <c r="K33" s="29"/>
    </row>
    <row r="34" spans="1:11">
      <c r="E34" s="21"/>
      <c r="F34" s="21"/>
      <c r="J34" s="11"/>
      <c r="K34" s="29"/>
    </row>
    <row r="35" spans="1:11">
      <c r="E35" s="21"/>
      <c r="F35" s="21"/>
      <c r="J35" s="11"/>
      <c r="K35" s="29"/>
    </row>
    <row r="36" spans="1:11">
      <c r="E36" s="21"/>
      <c r="F36" s="21"/>
      <c r="J36" s="11"/>
      <c r="K36" s="29"/>
    </row>
    <row r="37" spans="1:11">
      <c r="E37" s="21"/>
      <c r="F37" s="21"/>
      <c r="J37" s="11"/>
      <c r="K37" s="29"/>
    </row>
    <row r="38" spans="1:11">
      <c r="E38" s="21"/>
      <c r="F38" s="21"/>
      <c r="J38" s="11"/>
      <c r="K38" s="29"/>
    </row>
    <row r="39" spans="1:11">
      <c r="E39" s="21"/>
      <c r="F39" s="21"/>
      <c r="J39" s="11"/>
      <c r="K39" s="29"/>
    </row>
    <row r="40" spans="1:11">
      <c r="E40" s="21"/>
      <c r="F40" s="21"/>
      <c r="J40" s="11"/>
      <c r="K40" s="29"/>
    </row>
    <row r="41" spans="1:11">
      <c r="E41" s="21"/>
      <c r="F41" s="21"/>
      <c r="J41" s="11"/>
      <c r="K41" s="29"/>
    </row>
    <row r="42" spans="1:11">
      <c r="E42" s="21"/>
      <c r="F42" s="21"/>
      <c r="J42" s="11"/>
      <c r="K42" s="29"/>
    </row>
    <row r="43" spans="1:11">
      <c r="E43" s="21"/>
      <c r="F43" s="21"/>
      <c r="J43" s="11"/>
      <c r="K43" s="29"/>
    </row>
    <row r="44" spans="1:11">
      <c r="E44" s="21"/>
      <c r="F44" s="21"/>
    </row>
  </sheetData>
  <mergeCells count="1">
    <mergeCell ref="A1:G3"/>
  </mergeCells>
  <phoneticPr fontId="0"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M316"/>
  <sheetViews>
    <sheetView zoomScale="115" zoomScaleNormal="115" workbookViewId="0">
      <selection activeCell="B10" sqref="B10"/>
    </sheetView>
  </sheetViews>
  <sheetFormatPr baseColWidth="10" defaultRowHeight="12.75"/>
  <cols>
    <col min="1" max="1" width="12.5703125" style="7" customWidth="1"/>
    <col min="2" max="2" width="13.28515625" style="7" bestFit="1" customWidth="1"/>
    <col min="3" max="3" width="13.140625" style="7" bestFit="1" customWidth="1"/>
    <col min="4" max="4" width="9.28515625" style="7" customWidth="1"/>
    <col min="5" max="5" width="15.85546875" style="7" customWidth="1"/>
    <col min="6" max="6" width="11" style="7" customWidth="1"/>
    <col min="7" max="7" width="17.28515625" style="7" customWidth="1"/>
    <col min="8" max="8" width="11.42578125" style="7"/>
    <col min="9" max="14" width="11.5703125" style="7" bestFit="1" customWidth="1"/>
    <col min="15" max="16384" width="11.42578125" style="7"/>
  </cols>
  <sheetData>
    <row r="1" spans="1:13" ht="13.5" thickTop="1">
      <c r="A1" s="428" t="s">
        <v>53</v>
      </c>
      <c r="B1" s="429"/>
      <c r="C1" s="429"/>
      <c r="D1" s="429"/>
      <c r="E1" s="429"/>
      <c r="F1" s="429"/>
      <c r="G1" s="430"/>
    </row>
    <row r="2" spans="1:13">
      <c r="A2" s="431"/>
      <c r="B2" s="432"/>
      <c r="C2" s="432"/>
      <c r="D2" s="432"/>
      <c r="E2" s="432"/>
      <c r="F2" s="432"/>
      <c r="G2" s="433"/>
    </row>
    <row r="3" spans="1:13" ht="13.5" thickBot="1">
      <c r="A3" s="434"/>
      <c r="B3" s="435"/>
      <c r="C3" s="435"/>
      <c r="D3" s="435"/>
      <c r="E3" s="435"/>
      <c r="F3" s="435"/>
      <c r="G3" s="436"/>
    </row>
    <row r="4" spans="1:13" ht="14.25" thickTop="1" thickBot="1">
      <c r="M4" s="8"/>
    </row>
    <row r="5" spans="1:13">
      <c r="A5" s="30"/>
      <c r="B5" s="31"/>
      <c r="C5" s="31"/>
      <c r="D5" s="31"/>
      <c r="E5" s="31"/>
      <c r="F5" s="31"/>
      <c r="G5" s="31"/>
      <c r="H5" s="31"/>
      <c r="I5" s="31"/>
      <c r="J5" s="32"/>
      <c r="K5" s="10"/>
      <c r="L5" s="10"/>
      <c r="M5" s="9"/>
    </row>
    <row r="6" spans="1:13">
      <c r="A6" s="33" t="s">
        <v>12</v>
      </c>
      <c r="B6" s="34">
        <f>Columnas!C28</f>
        <v>80</v>
      </c>
      <c r="C6" s="34"/>
      <c r="D6" s="35" t="s">
        <v>13</v>
      </c>
      <c r="E6" s="36">
        <f>Columnas!C40</f>
        <v>0.7</v>
      </c>
      <c r="F6" s="34"/>
      <c r="G6" s="37">
        <f>Columnas!C31</f>
        <v>490</v>
      </c>
      <c r="H6" s="34"/>
      <c r="I6" s="34"/>
      <c r="J6" s="38"/>
      <c r="K6" s="10"/>
      <c r="L6" s="10"/>
      <c r="M6" s="9"/>
    </row>
    <row r="7" spans="1:13">
      <c r="A7" s="33" t="s">
        <v>14</v>
      </c>
      <c r="B7" s="34">
        <f>Columnas!C29</f>
        <v>80</v>
      </c>
      <c r="C7" s="34"/>
      <c r="D7" s="16" t="s">
        <v>15</v>
      </c>
      <c r="E7" s="36">
        <f>Columnas!C42</f>
        <v>0.8</v>
      </c>
      <c r="F7" s="34"/>
      <c r="G7" s="34"/>
      <c r="H7" s="34"/>
      <c r="I7" s="34"/>
      <c r="J7" s="38"/>
      <c r="K7" s="10"/>
      <c r="L7" s="10"/>
      <c r="M7" s="9"/>
    </row>
    <row r="8" spans="1:13" ht="15.75">
      <c r="A8" s="33" t="s">
        <v>16</v>
      </c>
      <c r="B8" s="39">
        <f>B6*B7</f>
        <v>6400</v>
      </c>
      <c r="C8" s="34"/>
      <c r="D8" s="16" t="s">
        <v>57</v>
      </c>
      <c r="E8" s="37">
        <f>Columnas!C43</f>
        <v>309903.21069650113</v>
      </c>
      <c r="F8" s="34"/>
      <c r="G8" s="37">
        <f>Columnas!C32</f>
        <v>4200</v>
      </c>
      <c r="H8" s="34"/>
      <c r="I8" s="34"/>
      <c r="J8" s="38"/>
      <c r="K8" s="10"/>
      <c r="L8" s="10"/>
      <c r="M8" s="15"/>
    </row>
    <row r="9" spans="1:13" ht="15.75">
      <c r="A9" s="33" t="s">
        <v>58</v>
      </c>
      <c r="B9" s="17">
        <f>E7*E6*(0.85*G6*(B8-B10)+G8*B10)</f>
        <v>1662236.7999999998</v>
      </c>
      <c r="C9" s="34"/>
      <c r="D9" s="16" t="s">
        <v>59</v>
      </c>
      <c r="E9" s="37">
        <f>Columnas!C44</f>
        <v>2039000</v>
      </c>
      <c r="F9" s="34"/>
      <c r="G9" s="34"/>
      <c r="H9" s="34"/>
      <c r="I9" s="34"/>
      <c r="J9" s="38"/>
      <c r="K9" s="10"/>
      <c r="L9" s="10"/>
      <c r="M9" s="15"/>
    </row>
    <row r="10" spans="1:13" ht="15.75">
      <c r="A10" s="33" t="s">
        <v>5</v>
      </c>
      <c r="B10" s="17">
        <f>G15+G16</f>
        <v>80</v>
      </c>
      <c r="C10" s="34"/>
      <c r="D10" s="34"/>
      <c r="E10" s="34"/>
      <c r="F10" s="35" t="s">
        <v>60</v>
      </c>
      <c r="G10" s="40">
        <f>Columnas!C46</f>
        <v>0.65</v>
      </c>
      <c r="H10" s="34"/>
      <c r="I10" s="34"/>
      <c r="J10" s="38"/>
      <c r="K10" s="10"/>
      <c r="L10" s="10"/>
      <c r="M10" s="15"/>
    </row>
    <row r="11" spans="1:13">
      <c r="A11" s="41"/>
      <c r="B11" s="34"/>
      <c r="C11" s="34"/>
      <c r="D11" s="34"/>
      <c r="E11" s="34"/>
      <c r="F11" s="34"/>
      <c r="G11" s="34"/>
      <c r="H11" s="34"/>
      <c r="I11" s="34"/>
      <c r="J11" s="38"/>
      <c r="K11" s="10"/>
      <c r="L11" s="10"/>
      <c r="M11" s="15"/>
    </row>
    <row r="12" spans="1:13">
      <c r="A12" s="41"/>
      <c r="B12" s="34"/>
      <c r="C12" s="34"/>
      <c r="D12" s="34"/>
      <c r="E12" s="34"/>
      <c r="F12" s="16" t="s">
        <v>0</v>
      </c>
      <c r="G12" s="42" t="s">
        <v>1</v>
      </c>
      <c r="H12" s="34"/>
      <c r="I12" s="34"/>
      <c r="J12" s="38"/>
      <c r="K12" s="10"/>
      <c r="L12" s="10"/>
      <c r="M12" s="15"/>
    </row>
    <row r="13" spans="1:13">
      <c r="A13" s="43"/>
      <c r="B13" s="34"/>
      <c r="C13" s="34"/>
      <c r="D13" s="34"/>
      <c r="E13" s="34"/>
      <c r="F13" s="16" t="s">
        <v>3</v>
      </c>
      <c r="G13" s="42" t="s">
        <v>4</v>
      </c>
      <c r="H13" s="34"/>
      <c r="I13" s="34"/>
      <c r="J13" s="38"/>
      <c r="K13" s="10"/>
      <c r="L13" s="10"/>
      <c r="M13" s="15"/>
    </row>
    <row r="14" spans="1:13">
      <c r="A14" s="33"/>
      <c r="B14" s="17"/>
      <c r="C14" s="34"/>
      <c r="D14" s="34"/>
      <c r="E14" s="34"/>
      <c r="F14" s="44" t="s">
        <v>22</v>
      </c>
      <c r="G14" s="39">
        <f>Columnas!C49</f>
        <v>5</v>
      </c>
      <c r="H14" s="34"/>
      <c r="I14" s="34"/>
      <c r="J14" s="38"/>
      <c r="K14" s="10"/>
      <c r="L14" s="10"/>
      <c r="M14" s="9"/>
    </row>
    <row r="15" spans="1:13">
      <c r="A15" s="33"/>
      <c r="B15" s="17"/>
      <c r="C15" s="34"/>
      <c r="D15" s="34"/>
      <c r="E15" s="34"/>
      <c r="F15" s="16" t="s">
        <v>0</v>
      </c>
      <c r="G15" s="34">
        <f>Columnas!C50</f>
        <v>40</v>
      </c>
      <c r="H15" s="34"/>
      <c r="I15" s="34"/>
      <c r="J15" s="38"/>
      <c r="K15" s="10"/>
      <c r="L15" s="10"/>
      <c r="M15" s="9"/>
    </row>
    <row r="16" spans="1:13">
      <c r="A16" s="33"/>
      <c r="B16" s="45"/>
      <c r="C16" s="34"/>
      <c r="D16" s="34"/>
      <c r="E16" s="34"/>
      <c r="F16" s="16" t="s">
        <v>3</v>
      </c>
      <c r="G16" s="34">
        <f>Columnas!C51</f>
        <v>40</v>
      </c>
      <c r="H16" s="34"/>
      <c r="I16" s="34"/>
      <c r="J16" s="38"/>
      <c r="K16" s="10"/>
      <c r="L16" s="10"/>
      <c r="M16" s="9"/>
    </row>
    <row r="17" spans="1:12">
      <c r="A17" s="43"/>
      <c r="B17" s="34"/>
      <c r="C17" s="34"/>
      <c r="D17" s="34"/>
      <c r="E17" s="34"/>
      <c r="F17" s="16" t="s">
        <v>5</v>
      </c>
      <c r="G17" s="34">
        <f>G15+G16</f>
        <v>80</v>
      </c>
      <c r="H17" s="34"/>
      <c r="I17" s="34"/>
      <c r="J17" s="46"/>
    </row>
    <row r="18" spans="1:12" ht="15.75">
      <c r="A18" s="43"/>
      <c r="B18" s="34"/>
      <c r="C18" s="34"/>
      <c r="D18" s="34"/>
      <c r="E18" s="47" t="s">
        <v>61</v>
      </c>
      <c r="F18" s="16" t="s">
        <v>62</v>
      </c>
      <c r="G18" s="48">
        <f>(G20*G19)/(G20+G21)</f>
        <v>44.467868566443734</v>
      </c>
      <c r="H18" s="34"/>
      <c r="I18" s="34" t="s">
        <v>2</v>
      </c>
      <c r="J18" s="46"/>
    </row>
    <row r="19" spans="1:12" ht="15.75">
      <c r="A19" s="33" t="s">
        <v>63</v>
      </c>
      <c r="B19" s="34">
        <f>G15</f>
        <v>40</v>
      </c>
      <c r="C19" s="35" t="s">
        <v>64</v>
      </c>
      <c r="D19" s="49">
        <f>G20*(G25-G14)/G25</f>
        <v>2.6626777832270722E-3</v>
      </c>
      <c r="E19" s="49">
        <f>(IF(ABS(D19)&gt;G21,G21,ABS(D19)))*I19</f>
        <v>2.0598332515939185E-3</v>
      </c>
      <c r="F19" s="16" t="s">
        <v>26</v>
      </c>
      <c r="G19" s="34">
        <f>B7-G14</f>
        <v>75</v>
      </c>
      <c r="H19" s="34"/>
      <c r="I19" s="34">
        <f>SIGN(D19)</f>
        <v>1</v>
      </c>
      <c r="J19" s="46"/>
    </row>
    <row r="20" spans="1:12" ht="15.75">
      <c r="A20" s="33" t="s">
        <v>65</v>
      </c>
      <c r="B20" s="34">
        <v>0</v>
      </c>
      <c r="C20" s="35" t="s">
        <v>66</v>
      </c>
      <c r="D20" s="49">
        <f>(G20*((B7/2)-G25)/G25)*(-1)</f>
        <v>3.0142226581657679E-4</v>
      </c>
      <c r="E20" s="49">
        <f>(IF(ABS(D20)&gt;G21,G21,ABS(D20)))*I20</f>
        <v>3.0142226581657679E-4</v>
      </c>
      <c r="F20" s="35" t="s">
        <v>67</v>
      </c>
      <c r="G20" s="34">
        <v>3.0000000000000001E-3</v>
      </c>
      <c r="H20" s="34"/>
      <c r="I20" s="34">
        <f>SIGN(D20)</f>
        <v>1</v>
      </c>
      <c r="J20" s="46"/>
      <c r="K20" s="10"/>
    </row>
    <row r="21" spans="1:12" ht="15.75">
      <c r="A21" s="33" t="s">
        <v>68</v>
      </c>
      <c r="B21" s="34">
        <f>G16</f>
        <v>40</v>
      </c>
      <c r="C21" s="35" t="s">
        <v>69</v>
      </c>
      <c r="D21" s="49">
        <f>(G20*((G19-G25)/G25))*(-1)</f>
        <v>-2.0598332515939185E-3</v>
      </c>
      <c r="E21" s="49">
        <f>(IF(ABS(D21)&gt;G21,G21,ABS(D21)))*I21</f>
        <v>-2.0598332515939185E-3</v>
      </c>
      <c r="F21" s="35" t="s">
        <v>70</v>
      </c>
      <c r="G21" s="50">
        <f>G8/G22</f>
        <v>2.0598332515939185E-3</v>
      </c>
      <c r="H21" s="34"/>
      <c r="I21" s="34">
        <f>SIGN(D21)</f>
        <v>-1</v>
      </c>
      <c r="J21" s="38"/>
      <c r="K21" s="10"/>
      <c r="L21" s="10"/>
    </row>
    <row r="22" spans="1:12">
      <c r="A22" s="33" t="s">
        <v>5</v>
      </c>
      <c r="B22" s="34">
        <f>SUM(B19:B21)</f>
        <v>80</v>
      </c>
      <c r="C22" s="35"/>
      <c r="D22" s="49"/>
      <c r="E22" s="49"/>
      <c r="F22" s="16" t="s">
        <v>7</v>
      </c>
      <c r="G22" s="51">
        <v>2039000</v>
      </c>
      <c r="H22" s="34"/>
      <c r="I22" s="34"/>
      <c r="J22" s="38"/>
      <c r="K22" s="10"/>
      <c r="L22" s="10"/>
    </row>
    <row r="23" spans="1:12">
      <c r="A23" s="43"/>
      <c r="B23" s="34"/>
      <c r="C23" s="34"/>
      <c r="D23" s="34"/>
      <c r="E23" s="34"/>
      <c r="F23" s="16" t="s">
        <v>30</v>
      </c>
      <c r="G23" s="48">
        <f>0.85*G18</f>
        <v>37.797688281477171</v>
      </c>
      <c r="H23" s="34"/>
      <c r="I23" s="34"/>
      <c r="J23" s="46"/>
    </row>
    <row r="24" spans="1:12" ht="15.75">
      <c r="A24" s="33"/>
      <c r="B24" s="45" t="s">
        <v>71</v>
      </c>
      <c r="C24" s="45" t="s">
        <v>8</v>
      </c>
      <c r="D24" s="45" t="s">
        <v>9</v>
      </c>
      <c r="E24" s="45" t="s">
        <v>10</v>
      </c>
      <c r="F24" s="39"/>
      <c r="G24" s="34"/>
      <c r="H24" s="34"/>
      <c r="I24" s="34"/>
      <c r="J24" s="46"/>
      <c r="K24" s="9"/>
      <c r="L24" s="8"/>
    </row>
    <row r="25" spans="1:12" ht="15.75">
      <c r="A25" s="33" t="s">
        <v>72</v>
      </c>
      <c r="B25" s="51">
        <f>E19*$E$9</f>
        <v>4200</v>
      </c>
      <c r="C25" s="48">
        <f>B25*B19</f>
        <v>168000</v>
      </c>
      <c r="D25" s="17">
        <f>(B7/2)-G14</f>
        <v>35</v>
      </c>
      <c r="E25" s="17">
        <f>C25*D25</f>
        <v>5880000</v>
      </c>
      <c r="F25" s="16" t="s">
        <v>6</v>
      </c>
      <c r="G25" s="17">
        <f>G18</f>
        <v>44.467868566443734</v>
      </c>
      <c r="H25" s="34"/>
      <c r="I25" s="34"/>
      <c r="J25" s="38"/>
      <c r="K25" s="9"/>
      <c r="L25" s="9"/>
    </row>
    <row r="26" spans="1:12" ht="15.75">
      <c r="A26" s="33" t="s">
        <v>73</v>
      </c>
      <c r="B26" s="51">
        <f>E20*$E$9</f>
        <v>614.6</v>
      </c>
      <c r="C26" s="48">
        <f>B26*B20</f>
        <v>0</v>
      </c>
      <c r="D26" s="17">
        <f>((B7/2)-(B7/2))*I20</f>
        <v>0</v>
      </c>
      <c r="E26" s="17">
        <f>C26*D26</f>
        <v>0</v>
      </c>
      <c r="F26" s="16" t="s">
        <v>30</v>
      </c>
      <c r="G26" s="17">
        <f>G10*G25</f>
        <v>28.90411456818843</v>
      </c>
      <c r="H26" s="34"/>
      <c r="I26" s="34"/>
      <c r="J26" s="38"/>
      <c r="K26" s="9"/>
      <c r="L26" s="9"/>
    </row>
    <row r="27" spans="1:12" ht="15.75">
      <c r="A27" s="33" t="s">
        <v>74</v>
      </c>
      <c r="B27" s="51">
        <f>E21*$E$9</f>
        <v>-4200</v>
      </c>
      <c r="C27" s="48">
        <f>B27*B21</f>
        <v>-168000</v>
      </c>
      <c r="D27" s="17">
        <f>((B7/2)-G14)*I21</f>
        <v>-35</v>
      </c>
      <c r="E27" s="17">
        <f>C27*D27</f>
        <v>5880000</v>
      </c>
      <c r="F27" s="34"/>
      <c r="G27" s="34"/>
      <c r="H27" s="34"/>
      <c r="I27" s="34"/>
      <c r="J27" s="38"/>
      <c r="K27" s="9"/>
      <c r="L27" s="9"/>
    </row>
    <row r="28" spans="1:12">
      <c r="A28" s="33" t="s">
        <v>11</v>
      </c>
      <c r="B28" s="51"/>
      <c r="C28" s="48">
        <f>G10*G6*G26*B6</f>
        <v>736476.83919744112</v>
      </c>
      <c r="D28" s="17">
        <f>(B7/2)-(G26/2)</f>
        <v>25.547942715905783</v>
      </c>
      <c r="E28" s="17">
        <f>C28*D28</f>
        <v>18815468.09940758</v>
      </c>
      <c r="F28" s="34"/>
      <c r="G28" s="34"/>
      <c r="H28" s="34"/>
      <c r="I28" s="34"/>
      <c r="J28" s="38"/>
      <c r="K28" s="9"/>
      <c r="L28" s="9"/>
    </row>
    <row r="29" spans="1:12">
      <c r="A29" s="33"/>
      <c r="B29" s="25" t="s">
        <v>77</v>
      </c>
      <c r="C29" s="26">
        <f>SUM(C25:C28)/1000</f>
        <v>736.47683919744111</v>
      </c>
      <c r="D29" s="25" t="s">
        <v>78</v>
      </c>
      <c r="E29" s="27">
        <f>SUM(E25:E28)/100000</f>
        <v>305.75468099407578</v>
      </c>
      <c r="F29" s="34"/>
      <c r="G29" s="34"/>
      <c r="H29" s="34"/>
      <c r="I29" s="34"/>
      <c r="J29" s="46"/>
    </row>
    <row r="30" spans="1:12" ht="13.5" thickBot="1">
      <c r="A30" s="52"/>
      <c r="B30" s="53"/>
      <c r="C30" s="53"/>
      <c r="D30" s="53"/>
      <c r="E30" s="53"/>
      <c r="F30" s="53"/>
      <c r="G30" s="53"/>
      <c r="H30" s="53"/>
      <c r="I30" s="53"/>
      <c r="J30" s="54"/>
    </row>
    <row r="31" spans="1:12">
      <c r="A31" s="30"/>
      <c r="B31" s="31"/>
      <c r="C31" s="31"/>
      <c r="D31" s="31"/>
      <c r="E31" s="31"/>
      <c r="F31" s="31"/>
      <c r="G31" s="31"/>
      <c r="H31" s="31"/>
      <c r="I31" s="31"/>
      <c r="J31" s="32"/>
    </row>
    <row r="32" spans="1:12">
      <c r="A32" s="33" t="s">
        <v>12</v>
      </c>
      <c r="B32" s="34">
        <f>B6</f>
        <v>80</v>
      </c>
      <c r="C32" s="34"/>
      <c r="D32" s="35" t="s">
        <v>13</v>
      </c>
      <c r="E32" s="36">
        <f>E6</f>
        <v>0.7</v>
      </c>
      <c r="F32" s="34"/>
      <c r="G32" s="37">
        <f>G6</f>
        <v>490</v>
      </c>
      <c r="H32" s="34"/>
      <c r="I32" s="34"/>
      <c r="J32" s="38"/>
      <c r="K32" s="29"/>
    </row>
    <row r="33" spans="1:11">
      <c r="A33" s="33" t="s">
        <v>14</v>
      </c>
      <c r="B33" s="34">
        <f>B7</f>
        <v>80</v>
      </c>
      <c r="C33" s="34"/>
      <c r="D33" s="16" t="s">
        <v>15</v>
      </c>
      <c r="E33" s="36">
        <f>E7</f>
        <v>0.8</v>
      </c>
      <c r="F33" s="34"/>
      <c r="G33" s="34"/>
      <c r="H33" s="34"/>
      <c r="I33" s="34"/>
      <c r="J33" s="38"/>
      <c r="K33" s="29"/>
    </row>
    <row r="34" spans="1:11" ht="15.75">
      <c r="A34" s="33" t="s">
        <v>16</v>
      </c>
      <c r="B34" s="39">
        <f>B32*B33</f>
        <v>6400</v>
      </c>
      <c r="C34" s="34"/>
      <c r="D34" s="16" t="s">
        <v>57</v>
      </c>
      <c r="E34" s="37">
        <f>E8</f>
        <v>309903.21069650113</v>
      </c>
      <c r="F34" s="34"/>
      <c r="G34" s="37">
        <f>G8</f>
        <v>4200</v>
      </c>
      <c r="H34" s="34"/>
      <c r="I34" s="34"/>
      <c r="J34" s="38"/>
      <c r="K34" s="29"/>
    </row>
    <row r="35" spans="1:11" ht="15.75">
      <c r="A35" s="33" t="s">
        <v>58</v>
      </c>
      <c r="B35" s="17">
        <f>E7*E6*(0.85*G6*(B8-B10)+G8*B10)</f>
        <v>1662236.7999999998</v>
      </c>
      <c r="C35" s="34"/>
      <c r="D35" s="16" t="s">
        <v>59</v>
      </c>
      <c r="E35" s="37">
        <f>E9</f>
        <v>2039000</v>
      </c>
      <c r="F35" s="34"/>
      <c r="G35" s="34"/>
      <c r="H35" s="34"/>
      <c r="I35" s="34"/>
      <c r="J35" s="38"/>
      <c r="K35" s="29"/>
    </row>
    <row r="36" spans="1:11" ht="15.75">
      <c r="A36" s="33" t="s">
        <v>5</v>
      </c>
      <c r="B36" s="17">
        <f>G41+G42</f>
        <v>80</v>
      </c>
      <c r="C36" s="34"/>
      <c r="D36" s="34"/>
      <c r="E36" s="34"/>
      <c r="F36" s="35" t="s">
        <v>60</v>
      </c>
      <c r="G36" s="40">
        <f>G10</f>
        <v>0.65</v>
      </c>
      <c r="H36" s="34"/>
      <c r="I36" s="34"/>
      <c r="J36" s="38"/>
      <c r="K36" s="29"/>
    </row>
    <row r="37" spans="1:11">
      <c r="A37" s="41"/>
      <c r="B37" s="34"/>
      <c r="C37" s="34"/>
      <c r="D37" s="34"/>
      <c r="E37" s="34"/>
      <c r="F37" s="34"/>
      <c r="G37" s="34"/>
      <c r="H37" s="34"/>
      <c r="I37" s="34"/>
      <c r="J37" s="38"/>
      <c r="K37" s="29"/>
    </row>
    <row r="38" spans="1:11">
      <c r="A38" s="41"/>
      <c r="B38" s="34"/>
      <c r="C38" s="34"/>
      <c r="D38" s="34"/>
      <c r="E38" s="34"/>
      <c r="F38" s="16" t="s">
        <v>0</v>
      </c>
      <c r="G38" s="42" t="s">
        <v>1</v>
      </c>
      <c r="H38" s="34"/>
      <c r="I38" s="34"/>
      <c r="J38" s="38"/>
      <c r="K38" s="29"/>
    </row>
    <row r="39" spans="1:11">
      <c r="A39" s="43"/>
      <c r="B39" s="34"/>
      <c r="C39" s="34"/>
      <c r="D39" s="34"/>
      <c r="E39" s="34"/>
      <c r="F39" s="16" t="s">
        <v>3</v>
      </c>
      <c r="G39" s="42" t="s">
        <v>4</v>
      </c>
      <c r="H39" s="34"/>
      <c r="I39" s="34"/>
      <c r="J39" s="38"/>
      <c r="K39" s="29"/>
    </row>
    <row r="40" spans="1:11">
      <c r="A40" s="33"/>
      <c r="B40" s="17"/>
      <c r="C40" s="34"/>
      <c r="D40" s="34"/>
      <c r="E40" s="34"/>
      <c r="F40" s="44" t="s">
        <v>22</v>
      </c>
      <c r="G40" s="39">
        <f>G14</f>
        <v>5</v>
      </c>
      <c r="H40" s="34"/>
      <c r="I40" s="34"/>
      <c r="J40" s="38"/>
      <c r="K40" s="29"/>
    </row>
    <row r="41" spans="1:11">
      <c r="A41" s="33"/>
      <c r="B41" s="17"/>
      <c r="C41" s="34"/>
      <c r="D41" s="34"/>
      <c r="E41" s="34"/>
      <c r="F41" s="16" t="s">
        <v>0</v>
      </c>
      <c r="G41" s="34">
        <f>G15</f>
        <v>40</v>
      </c>
      <c r="H41" s="34"/>
      <c r="I41" s="34"/>
      <c r="J41" s="38"/>
      <c r="K41" s="29"/>
    </row>
    <row r="42" spans="1:11">
      <c r="A42" s="33"/>
      <c r="B42" s="45"/>
      <c r="C42" s="34"/>
      <c r="D42" s="34"/>
      <c r="E42" s="34"/>
      <c r="F42" s="16" t="s">
        <v>3</v>
      </c>
      <c r="G42" s="34">
        <f>G16</f>
        <v>40</v>
      </c>
      <c r="H42" s="34"/>
      <c r="I42" s="34"/>
      <c r="J42" s="38"/>
      <c r="K42" s="29"/>
    </row>
    <row r="43" spans="1:11">
      <c r="A43" s="43"/>
      <c r="B43" s="34"/>
      <c r="C43" s="34"/>
      <c r="D43" s="34"/>
      <c r="E43" s="34"/>
      <c r="F43" s="16" t="s">
        <v>5</v>
      </c>
      <c r="G43" s="34">
        <f>G41+G42</f>
        <v>80</v>
      </c>
      <c r="H43" s="34"/>
      <c r="I43" s="34"/>
      <c r="J43" s="46"/>
      <c r="K43" s="29"/>
    </row>
    <row r="44" spans="1:11" ht="15.75">
      <c r="A44" s="43"/>
      <c r="B44" s="34"/>
      <c r="C44" s="34"/>
      <c r="D44" s="34"/>
      <c r="E44" s="47" t="s">
        <v>61</v>
      </c>
      <c r="F44" s="16" t="s">
        <v>62</v>
      </c>
      <c r="G44" s="48">
        <f>(G46*G45)/(G46+G47)</f>
        <v>44.467868566443734</v>
      </c>
      <c r="H44" s="34"/>
      <c r="I44" s="34" t="s">
        <v>2</v>
      </c>
      <c r="J44" s="46"/>
    </row>
    <row r="45" spans="1:11" ht="15.75">
      <c r="A45" s="33" t="s">
        <v>63</v>
      </c>
      <c r="B45" s="34">
        <f>G41</f>
        <v>40</v>
      </c>
      <c r="C45" s="35" t="s">
        <v>64</v>
      </c>
      <c r="D45" s="49">
        <f>G46*(G51-G40)/G51</f>
        <v>2.8E-3</v>
      </c>
      <c r="E45" s="49">
        <f>(IF(ABS(D45)&gt;G47,G47,ABS(D45)))*I45</f>
        <v>2.0598332515939185E-3</v>
      </c>
      <c r="F45" s="16" t="s">
        <v>26</v>
      </c>
      <c r="G45" s="34">
        <f>B33-G40</f>
        <v>75</v>
      </c>
      <c r="H45" s="34"/>
      <c r="I45" s="34">
        <f>SIGN(D45)</f>
        <v>1</v>
      </c>
      <c r="J45" s="46"/>
    </row>
    <row r="46" spans="1:11" ht="15.75">
      <c r="A46" s="33" t="s">
        <v>65</v>
      </c>
      <c r="B46" s="34">
        <v>0</v>
      </c>
      <c r="C46" s="35" t="s">
        <v>66</v>
      </c>
      <c r="D46" s="49">
        <f>(G46*((B33/2)-G51)/G51)*(-1)</f>
        <v>1.4E-3</v>
      </c>
      <c r="E46" s="49">
        <f>(IF(ABS(D46)&gt;G47,G47,ABS(D46)))*I46</f>
        <v>1.4E-3</v>
      </c>
      <c r="F46" s="35" t="s">
        <v>67</v>
      </c>
      <c r="G46" s="34">
        <v>3.0000000000000001E-3</v>
      </c>
      <c r="H46" s="34"/>
      <c r="I46" s="34">
        <f>SIGN(D46)</f>
        <v>1</v>
      </c>
      <c r="J46" s="46"/>
    </row>
    <row r="47" spans="1:11" ht="15.75">
      <c r="A47" s="33" t="s">
        <v>68</v>
      </c>
      <c r="B47" s="34">
        <f>G42</f>
        <v>40</v>
      </c>
      <c r="C47" s="35" t="s">
        <v>69</v>
      </c>
      <c r="D47" s="49">
        <f>(G46*((G45-G51)/G51))*(-1)</f>
        <v>0</v>
      </c>
      <c r="E47" s="49">
        <f>(IF(ABS(D47)&gt;G47,G47,ABS(D47)))*I47</f>
        <v>0</v>
      </c>
      <c r="F47" s="35" t="s">
        <v>70</v>
      </c>
      <c r="G47" s="50">
        <f>G34/G48</f>
        <v>2.0598332515939185E-3</v>
      </c>
      <c r="H47" s="34"/>
      <c r="I47" s="34">
        <f>SIGN(D47)</f>
        <v>0</v>
      </c>
      <c r="J47" s="38"/>
    </row>
    <row r="48" spans="1:11">
      <c r="A48" s="33" t="s">
        <v>5</v>
      </c>
      <c r="B48" s="34">
        <f>SUM(B45:B47)</f>
        <v>80</v>
      </c>
      <c r="C48" s="35"/>
      <c r="D48" s="49"/>
      <c r="E48" s="49"/>
      <c r="F48" s="16" t="s">
        <v>7</v>
      </c>
      <c r="G48" s="51">
        <v>2039000</v>
      </c>
      <c r="H48" s="34"/>
      <c r="I48" s="34"/>
      <c r="J48" s="38"/>
    </row>
    <row r="49" spans="1:10">
      <c r="A49" s="43"/>
      <c r="B49" s="34"/>
      <c r="C49" s="34"/>
      <c r="D49" s="34"/>
      <c r="E49" s="34"/>
      <c r="F49" s="16" t="s">
        <v>30</v>
      </c>
      <c r="G49" s="48">
        <f>0.85*G44</f>
        <v>37.797688281477171</v>
      </c>
      <c r="H49" s="34"/>
      <c r="I49" s="34"/>
      <c r="J49" s="46"/>
    </row>
    <row r="50" spans="1:10" ht="15.75">
      <c r="A50" s="33"/>
      <c r="B50" s="45" t="s">
        <v>71</v>
      </c>
      <c r="C50" s="45" t="s">
        <v>8</v>
      </c>
      <c r="D50" s="45" t="s">
        <v>9</v>
      </c>
      <c r="E50" s="45" t="s">
        <v>10</v>
      </c>
      <c r="F50" s="39"/>
      <c r="G50" s="34"/>
      <c r="H50" s="34"/>
      <c r="I50" s="34"/>
      <c r="J50" s="46"/>
    </row>
    <row r="51" spans="1:10" ht="15.75">
      <c r="A51" s="33" t="s">
        <v>72</v>
      </c>
      <c r="B51" s="51">
        <f>E45*$E$9</f>
        <v>4200</v>
      </c>
      <c r="C51" s="48">
        <f>B51*B45</f>
        <v>168000</v>
      </c>
      <c r="D51" s="17">
        <f>(B33/2)-G40</f>
        <v>35</v>
      </c>
      <c r="E51" s="17">
        <f>C51*D51</f>
        <v>5880000</v>
      </c>
      <c r="F51" s="16" t="s">
        <v>6</v>
      </c>
      <c r="G51" s="17">
        <f>G45</f>
        <v>75</v>
      </c>
      <c r="H51" s="34"/>
      <c r="I51" s="34"/>
      <c r="J51" s="38"/>
    </row>
    <row r="52" spans="1:10" ht="15.75">
      <c r="A52" s="33" t="s">
        <v>73</v>
      </c>
      <c r="B52" s="51">
        <f>E46*$E$9</f>
        <v>2854.6</v>
      </c>
      <c r="C52" s="48">
        <f>B52*B46</f>
        <v>0</v>
      </c>
      <c r="D52" s="17">
        <f>((B33/2)-(B33/2))*I46</f>
        <v>0</v>
      </c>
      <c r="E52" s="17">
        <f>C52*D52</f>
        <v>0</v>
      </c>
      <c r="F52" s="16" t="s">
        <v>30</v>
      </c>
      <c r="G52" s="17">
        <f>G36*G51</f>
        <v>48.75</v>
      </c>
      <c r="H52" s="34"/>
      <c r="I52" s="34"/>
      <c r="J52" s="38"/>
    </row>
    <row r="53" spans="1:10" ht="15.75">
      <c r="A53" s="33" t="s">
        <v>74</v>
      </c>
      <c r="B53" s="51">
        <f>E47*$E$9</f>
        <v>0</v>
      </c>
      <c r="C53" s="48">
        <f>B53*B47</f>
        <v>0</v>
      </c>
      <c r="D53" s="17">
        <f>((B33/2)-G40)*I47</f>
        <v>0</v>
      </c>
      <c r="E53" s="17">
        <f>C53*D53</f>
        <v>0</v>
      </c>
      <c r="F53" s="34"/>
      <c r="G53" s="34"/>
      <c r="H53" s="34"/>
      <c r="I53" s="34"/>
      <c r="J53" s="38"/>
    </row>
    <row r="54" spans="1:10">
      <c r="A54" s="33" t="s">
        <v>11</v>
      </c>
      <c r="B54" s="51"/>
      <c r="C54" s="48">
        <f>G36*G32*G52*B32</f>
        <v>1242150</v>
      </c>
      <c r="D54" s="17">
        <f>(B33/2)-(G52/2)</f>
        <v>15.625</v>
      </c>
      <c r="E54" s="17">
        <f>C54*D54</f>
        <v>19408593.75</v>
      </c>
      <c r="F54" s="34"/>
      <c r="G54" s="34"/>
      <c r="H54" s="34"/>
      <c r="I54" s="34"/>
      <c r="J54" s="38"/>
    </row>
    <row r="55" spans="1:10">
      <c r="A55" s="33"/>
      <c r="B55" s="25" t="s">
        <v>77</v>
      </c>
      <c r="C55" s="26">
        <f>SUM(C51:C54)/1000</f>
        <v>1410.15</v>
      </c>
      <c r="D55" s="25" t="s">
        <v>78</v>
      </c>
      <c r="E55" s="27">
        <f>SUM(E51:E54)/100000</f>
        <v>252.88593750000001</v>
      </c>
      <c r="F55" s="34"/>
      <c r="G55" s="34"/>
      <c r="H55" s="34"/>
      <c r="I55" s="34"/>
      <c r="J55" s="46"/>
    </row>
    <row r="56" spans="1:10" ht="13.5" thickBot="1">
      <c r="A56" s="52"/>
      <c r="B56" s="53"/>
      <c r="C56" s="53"/>
      <c r="D56" s="53"/>
      <c r="E56" s="53"/>
      <c r="F56" s="53"/>
      <c r="G56" s="53"/>
      <c r="H56" s="53"/>
      <c r="I56" s="53"/>
      <c r="J56" s="54"/>
    </row>
    <row r="57" spans="1:10">
      <c r="A57" s="30"/>
      <c r="B57" s="31"/>
      <c r="C57" s="31"/>
      <c r="D57" s="31"/>
      <c r="E57" s="31"/>
      <c r="F57" s="31"/>
      <c r="G57" s="31"/>
      <c r="H57" s="31"/>
      <c r="I57" s="31"/>
      <c r="J57" s="32"/>
    </row>
    <row r="58" spans="1:10">
      <c r="A58" s="33" t="s">
        <v>12</v>
      </c>
      <c r="B58" s="34">
        <f>B32</f>
        <v>80</v>
      </c>
      <c r="C58" s="34"/>
      <c r="D58" s="35" t="s">
        <v>13</v>
      </c>
      <c r="E58" s="36">
        <f>E32</f>
        <v>0.7</v>
      </c>
      <c r="F58" s="34"/>
      <c r="G58" s="37">
        <f>G32</f>
        <v>490</v>
      </c>
      <c r="H58" s="34"/>
      <c r="I58" s="34"/>
      <c r="J58" s="38"/>
    </row>
    <row r="59" spans="1:10">
      <c r="A59" s="33" t="s">
        <v>14</v>
      </c>
      <c r="B59" s="34">
        <f>B33</f>
        <v>80</v>
      </c>
      <c r="C59" s="34"/>
      <c r="D59" s="16" t="s">
        <v>15</v>
      </c>
      <c r="E59" s="36">
        <f>E33</f>
        <v>0.8</v>
      </c>
      <c r="F59" s="34"/>
      <c r="G59" s="34"/>
      <c r="H59" s="34"/>
      <c r="I59" s="34"/>
      <c r="J59" s="38"/>
    </row>
    <row r="60" spans="1:10" ht="15.75">
      <c r="A60" s="33" t="s">
        <v>16</v>
      </c>
      <c r="B60" s="39">
        <f>B58*B59</f>
        <v>6400</v>
      </c>
      <c r="C60" s="34"/>
      <c r="D60" s="16" t="s">
        <v>57</v>
      </c>
      <c r="E60" s="37">
        <f>E34</f>
        <v>309903.21069650113</v>
      </c>
      <c r="F60" s="34"/>
      <c r="G60" s="37">
        <f>G34</f>
        <v>4200</v>
      </c>
      <c r="H60" s="34"/>
      <c r="I60" s="34"/>
      <c r="J60" s="38"/>
    </row>
    <row r="61" spans="1:10" ht="15.75">
      <c r="A61" s="33" t="s">
        <v>58</v>
      </c>
      <c r="B61" s="17">
        <f>E33*E32*(0.85*G32*(B34-B36)+G34*B36)</f>
        <v>1662236.7999999998</v>
      </c>
      <c r="C61" s="34"/>
      <c r="D61" s="16" t="s">
        <v>59</v>
      </c>
      <c r="E61" s="37">
        <f>E35</f>
        <v>2039000</v>
      </c>
      <c r="F61" s="34"/>
      <c r="G61" s="34"/>
      <c r="H61" s="34"/>
      <c r="I61" s="34"/>
      <c r="J61" s="38"/>
    </row>
    <row r="62" spans="1:10" ht="15.75">
      <c r="A62" s="33" t="s">
        <v>5</v>
      </c>
      <c r="B62" s="17">
        <f>G67+G68</f>
        <v>80</v>
      </c>
      <c r="C62" s="34"/>
      <c r="D62" s="34"/>
      <c r="E62" s="34"/>
      <c r="F62" s="35" t="s">
        <v>60</v>
      </c>
      <c r="G62" s="40">
        <f>G36</f>
        <v>0.65</v>
      </c>
      <c r="H62" s="34"/>
      <c r="I62" s="34"/>
      <c r="J62" s="38"/>
    </row>
    <row r="63" spans="1:10">
      <c r="A63" s="41"/>
      <c r="B63" s="34"/>
      <c r="C63" s="34"/>
      <c r="D63" s="34"/>
      <c r="E63" s="34"/>
      <c r="F63" s="34"/>
      <c r="G63" s="34"/>
      <c r="H63" s="34"/>
      <c r="I63" s="34"/>
      <c r="J63" s="38"/>
    </row>
    <row r="64" spans="1:10">
      <c r="A64" s="41"/>
      <c r="B64" s="34"/>
      <c r="C64" s="34"/>
      <c r="D64" s="34"/>
      <c r="E64" s="34"/>
      <c r="F64" s="16" t="s">
        <v>0</v>
      </c>
      <c r="G64" s="42" t="s">
        <v>1</v>
      </c>
      <c r="H64" s="34"/>
      <c r="I64" s="34"/>
      <c r="J64" s="38"/>
    </row>
    <row r="65" spans="1:10">
      <c r="A65" s="43"/>
      <c r="B65" s="34"/>
      <c r="C65" s="34"/>
      <c r="D65" s="34"/>
      <c r="E65" s="34"/>
      <c r="F65" s="16" t="s">
        <v>3</v>
      </c>
      <c r="G65" s="42" t="s">
        <v>4</v>
      </c>
      <c r="H65" s="34"/>
      <c r="I65" s="34"/>
      <c r="J65" s="38"/>
    </row>
    <row r="66" spans="1:10">
      <c r="A66" s="33"/>
      <c r="B66" s="17"/>
      <c r="C66" s="34"/>
      <c r="D66" s="34"/>
      <c r="E66" s="34"/>
      <c r="F66" s="44" t="s">
        <v>22</v>
      </c>
      <c r="G66" s="39">
        <f>G40</f>
        <v>5</v>
      </c>
      <c r="H66" s="34"/>
      <c r="I66" s="34"/>
      <c r="J66" s="38"/>
    </row>
    <row r="67" spans="1:10">
      <c r="A67" s="33"/>
      <c r="B67" s="17"/>
      <c r="C67" s="34"/>
      <c r="D67" s="34"/>
      <c r="E67" s="34"/>
      <c r="F67" s="16" t="s">
        <v>0</v>
      </c>
      <c r="G67" s="34">
        <f>G41</f>
        <v>40</v>
      </c>
      <c r="H67" s="34"/>
      <c r="I67" s="34"/>
      <c r="J67" s="38"/>
    </row>
    <row r="68" spans="1:10">
      <c r="A68" s="33"/>
      <c r="B68" s="45"/>
      <c r="C68" s="34"/>
      <c r="D68" s="34"/>
      <c r="E68" s="34"/>
      <c r="F68" s="16" t="s">
        <v>3</v>
      </c>
      <c r="G68" s="34">
        <f>G42</f>
        <v>40</v>
      </c>
      <c r="H68" s="34"/>
      <c r="I68" s="34"/>
      <c r="J68" s="38"/>
    </row>
    <row r="69" spans="1:10">
      <c r="A69" s="43"/>
      <c r="B69" s="34"/>
      <c r="C69" s="34"/>
      <c r="D69" s="34"/>
      <c r="E69" s="34"/>
      <c r="F69" s="16" t="s">
        <v>5</v>
      </c>
      <c r="G69" s="34">
        <f>G67+G68</f>
        <v>80</v>
      </c>
      <c r="H69" s="34"/>
      <c r="I69" s="34"/>
      <c r="J69" s="46"/>
    </row>
    <row r="70" spans="1:10" ht="15.75">
      <c r="A70" s="43"/>
      <c r="B70" s="34"/>
      <c r="C70" s="34"/>
      <c r="D70" s="34"/>
      <c r="E70" s="47" t="s">
        <v>61</v>
      </c>
      <c r="F70" s="16" t="s">
        <v>62</v>
      </c>
      <c r="G70" s="48">
        <f>(G72*G71)/(G72+G73)</f>
        <v>44.467868566443734</v>
      </c>
      <c r="H70" s="34"/>
      <c r="I70" s="34" t="s">
        <v>2</v>
      </c>
      <c r="J70" s="46"/>
    </row>
    <row r="71" spans="1:10" ht="15.75">
      <c r="A71" s="33" t="s">
        <v>63</v>
      </c>
      <c r="B71" s="34">
        <f>G67</f>
        <v>40</v>
      </c>
      <c r="C71" s="35" t="s">
        <v>64</v>
      </c>
      <c r="D71" s="49">
        <f>G72*(G77-G66)/G77</f>
        <v>2.7857142857142859E-3</v>
      </c>
      <c r="E71" s="49">
        <f>(IF(ABS(D71)&gt;G73,G73,ABS(D71)))*I71</f>
        <v>2.0598332515939185E-3</v>
      </c>
      <c r="F71" s="16" t="s">
        <v>26</v>
      </c>
      <c r="G71" s="34">
        <f>B59-G66</f>
        <v>75</v>
      </c>
      <c r="H71" s="34"/>
      <c r="I71" s="34">
        <f>SIGN(D71)</f>
        <v>1</v>
      </c>
      <c r="J71" s="46"/>
    </row>
    <row r="72" spans="1:10" ht="15.75">
      <c r="A72" s="33" t="s">
        <v>65</v>
      </c>
      <c r="B72" s="34">
        <v>0</v>
      </c>
      <c r="C72" s="35" t="s">
        <v>66</v>
      </c>
      <c r="D72" s="49">
        <f>(G72*((B59/2)-G77)/G77)*(-1)</f>
        <v>1.2857142857142856E-3</v>
      </c>
      <c r="E72" s="49">
        <f>(IF(ABS(D72)&gt;G73,G73,ABS(D72)))*I72</f>
        <v>1.2857142857142856E-3</v>
      </c>
      <c r="F72" s="35" t="s">
        <v>67</v>
      </c>
      <c r="G72" s="34">
        <v>3.0000000000000001E-3</v>
      </c>
      <c r="H72" s="34"/>
      <c r="I72" s="34">
        <f>SIGN(D72)</f>
        <v>1</v>
      </c>
      <c r="J72" s="46"/>
    </row>
    <row r="73" spans="1:10" ht="15.75">
      <c r="A73" s="33" t="s">
        <v>68</v>
      </c>
      <c r="B73" s="34">
        <f>G68</f>
        <v>40</v>
      </c>
      <c r="C73" s="35" t="s">
        <v>69</v>
      </c>
      <c r="D73" s="49">
        <f>(G72*((G71-G77)/G77))*(-1)</f>
        <v>-2.1428571428571427E-4</v>
      </c>
      <c r="E73" s="49">
        <f>(IF(ABS(D73)&gt;G73,G73,ABS(D73)))*I73</f>
        <v>-2.1428571428571427E-4</v>
      </c>
      <c r="F73" s="35" t="s">
        <v>70</v>
      </c>
      <c r="G73" s="50">
        <f>G60/G74</f>
        <v>2.0598332515939185E-3</v>
      </c>
      <c r="H73" s="34"/>
      <c r="I73" s="34">
        <f>SIGN(D73)</f>
        <v>-1</v>
      </c>
      <c r="J73" s="38"/>
    </row>
    <row r="74" spans="1:10">
      <c r="A74" s="33" t="s">
        <v>5</v>
      </c>
      <c r="B74" s="34">
        <f>SUM(B71:B73)</f>
        <v>80</v>
      </c>
      <c r="C74" s="35"/>
      <c r="D74" s="49"/>
      <c r="E74" s="49"/>
      <c r="F74" s="16" t="s">
        <v>7</v>
      </c>
      <c r="G74" s="51">
        <v>2039000</v>
      </c>
      <c r="H74" s="34"/>
      <c r="I74" s="34"/>
      <c r="J74" s="38"/>
    </row>
    <row r="75" spans="1:10">
      <c r="A75" s="43"/>
      <c r="B75" s="34"/>
      <c r="C75" s="34"/>
      <c r="D75" s="34"/>
      <c r="E75" s="34"/>
      <c r="F75" s="16" t="s">
        <v>30</v>
      </c>
      <c r="G75" s="48">
        <f>0.85*G70</f>
        <v>37.797688281477171</v>
      </c>
      <c r="H75" s="34"/>
      <c r="I75" s="34"/>
      <c r="J75" s="46"/>
    </row>
    <row r="76" spans="1:10" ht="15.75">
      <c r="A76" s="33"/>
      <c r="B76" s="45" t="s">
        <v>71</v>
      </c>
      <c r="C76" s="45" t="s">
        <v>8</v>
      </c>
      <c r="D76" s="45" t="s">
        <v>9</v>
      </c>
      <c r="E76" s="45" t="s">
        <v>10</v>
      </c>
      <c r="F76" s="39"/>
      <c r="G76" s="34"/>
      <c r="H76" s="34"/>
      <c r="I76" s="34"/>
      <c r="J76" s="46"/>
    </row>
    <row r="77" spans="1:10" ht="15.75">
      <c r="A77" s="33" t="s">
        <v>72</v>
      </c>
      <c r="B77" s="51">
        <f>E71*$E$9</f>
        <v>4200</v>
      </c>
      <c r="C77" s="48">
        <f>B77*B71</f>
        <v>168000</v>
      </c>
      <c r="D77" s="17">
        <f>(B59/2)-G66</f>
        <v>35</v>
      </c>
      <c r="E77" s="17">
        <f>C77*D77</f>
        <v>5880000</v>
      </c>
      <c r="F77" s="16" t="s">
        <v>6</v>
      </c>
      <c r="G77" s="17">
        <f>G71-5</f>
        <v>70</v>
      </c>
      <c r="H77" s="34"/>
      <c r="I77" s="34"/>
      <c r="J77" s="38"/>
    </row>
    <row r="78" spans="1:10" ht="15.75">
      <c r="A78" s="33" t="s">
        <v>73</v>
      </c>
      <c r="B78" s="51">
        <f>E72*$E$9</f>
        <v>2621.5714285714284</v>
      </c>
      <c r="C78" s="48">
        <f>B78*B72</f>
        <v>0</v>
      </c>
      <c r="D78" s="17">
        <f>((B59/2)-(B59/2))*I72</f>
        <v>0</v>
      </c>
      <c r="E78" s="17">
        <f>C78*D78</f>
        <v>0</v>
      </c>
      <c r="F78" s="16" t="s">
        <v>30</v>
      </c>
      <c r="G78" s="17">
        <f>G62*G77</f>
        <v>45.5</v>
      </c>
      <c r="H78" s="34"/>
      <c r="I78" s="34"/>
      <c r="J78" s="38"/>
    </row>
    <row r="79" spans="1:10" ht="15.75">
      <c r="A79" s="33" t="s">
        <v>74</v>
      </c>
      <c r="B79" s="51">
        <f>E73*$E$9</f>
        <v>-436.92857142857139</v>
      </c>
      <c r="C79" s="48">
        <f>B79*B73</f>
        <v>-17477.142857142855</v>
      </c>
      <c r="D79" s="17">
        <f>((B59/2)-G66)*I73</f>
        <v>-35</v>
      </c>
      <c r="E79" s="17">
        <f>C79*D79</f>
        <v>611699.99999999988</v>
      </c>
      <c r="F79" s="34"/>
      <c r="G79" s="34"/>
      <c r="H79" s="34"/>
      <c r="I79" s="34"/>
      <c r="J79" s="38"/>
    </row>
    <row r="80" spans="1:10">
      <c r="A80" s="33" t="s">
        <v>11</v>
      </c>
      <c r="B80" s="51"/>
      <c r="C80" s="48">
        <f>G62*G58*G78*B58</f>
        <v>1159340</v>
      </c>
      <c r="D80" s="17">
        <f>(B59/2)-(G78/2)</f>
        <v>17.25</v>
      </c>
      <c r="E80" s="17">
        <f>C80*D80</f>
        <v>19998615</v>
      </c>
      <c r="F80" s="34"/>
      <c r="G80" s="34"/>
      <c r="H80" s="34"/>
      <c r="I80" s="34"/>
      <c r="J80" s="38"/>
    </row>
    <row r="81" spans="1:10">
      <c r="A81" s="33"/>
      <c r="B81" s="25" t="s">
        <v>77</v>
      </c>
      <c r="C81" s="26">
        <f>SUM(C77:C80)/1000</f>
        <v>1309.8628571428574</v>
      </c>
      <c r="D81" s="25" t="s">
        <v>78</v>
      </c>
      <c r="E81" s="27">
        <f>SUM(E77:E80)/100000</f>
        <v>264.90314999999998</v>
      </c>
      <c r="F81" s="34"/>
      <c r="G81" s="34"/>
      <c r="H81" s="34"/>
      <c r="I81" s="34"/>
      <c r="J81" s="46"/>
    </row>
    <row r="82" spans="1:10" ht="13.5" thickBot="1">
      <c r="A82" s="52"/>
      <c r="B82" s="53"/>
      <c r="C82" s="53"/>
      <c r="D82" s="53"/>
      <c r="E82" s="53"/>
      <c r="F82" s="53"/>
      <c r="G82" s="53"/>
      <c r="H82" s="53"/>
      <c r="I82" s="53"/>
      <c r="J82" s="54"/>
    </row>
    <row r="83" spans="1:10">
      <c r="A83" s="30"/>
      <c r="B83" s="31"/>
      <c r="C83" s="31"/>
      <c r="D83" s="31"/>
      <c r="E83" s="31"/>
      <c r="F83" s="31"/>
      <c r="G83" s="31"/>
      <c r="H83" s="31"/>
      <c r="I83" s="31"/>
      <c r="J83" s="32"/>
    </row>
    <row r="84" spans="1:10">
      <c r="A84" s="33" t="s">
        <v>12</v>
      </c>
      <c r="B84" s="34">
        <f>B58</f>
        <v>80</v>
      </c>
      <c r="C84" s="34"/>
      <c r="D84" s="35" t="s">
        <v>13</v>
      </c>
      <c r="E84" s="36">
        <f>E58</f>
        <v>0.7</v>
      </c>
      <c r="F84" s="34"/>
      <c r="G84" s="37">
        <f>G58</f>
        <v>490</v>
      </c>
      <c r="H84" s="34"/>
      <c r="I84" s="34"/>
      <c r="J84" s="38"/>
    </row>
    <row r="85" spans="1:10">
      <c r="A85" s="33" t="s">
        <v>14</v>
      </c>
      <c r="B85" s="34">
        <f>B59</f>
        <v>80</v>
      </c>
      <c r="C85" s="34"/>
      <c r="D85" s="16" t="s">
        <v>15</v>
      </c>
      <c r="E85" s="36">
        <f>E59</f>
        <v>0.8</v>
      </c>
      <c r="F85" s="34"/>
      <c r="G85" s="34"/>
      <c r="H85" s="34"/>
      <c r="I85" s="34"/>
      <c r="J85" s="38"/>
    </row>
    <row r="86" spans="1:10" ht="15.75">
      <c r="A86" s="33" t="s">
        <v>16</v>
      </c>
      <c r="B86" s="39">
        <f>B84*B85</f>
        <v>6400</v>
      </c>
      <c r="C86" s="34"/>
      <c r="D86" s="16" t="s">
        <v>57</v>
      </c>
      <c r="E86" s="37">
        <f>E60</f>
        <v>309903.21069650113</v>
      </c>
      <c r="F86" s="34"/>
      <c r="G86" s="37">
        <f>G60</f>
        <v>4200</v>
      </c>
      <c r="H86" s="34"/>
      <c r="I86" s="34"/>
      <c r="J86" s="38"/>
    </row>
    <row r="87" spans="1:10" ht="15.75">
      <c r="A87" s="33" t="s">
        <v>58</v>
      </c>
      <c r="B87" s="17">
        <f>E59*E58*(0.85*G58*(B60-B62)+G60*B62)</f>
        <v>1662236.7999999998</v>
      </c>
      <c r="C87" s="34"/>
      <c r="D87" s="16" t="s">
        <v>59</v>
      </c>
      <c r="E87" s="37">
        <f>E61</f>
        <v>2039000</v>
      </c>
      <c r="F87" s="34"/>
      <c r="G87" s="34"/>
      <c r="H87" s="34"/>
      <c r="I87" s="34"/>
      <c r="J87" s="38"/>
    </row>
    <row r="88" spans="1:10" ht="15.75">
      <c r="A88" s="33" t="s">
        <v>5</v>
      </c>
      <c r="B88" s="17">
        <f>G93+G94</f>
        <v>80</v>
      </c>
      <c r="C88" s="34"/>
      <c r="D88" s="34"/>
      <c r="E88" s="34"/>
      <c r="F88" s="35" t="s">
        <v>60</v>
      </c>
      <c r="G88" s="40">
        <f>G62</f>
        <v>0.65</v>
      </c>
      <c r="H88" s="34"/>
      <c r="I88" s="34"/>
      <c r="J88" s="38"/>
    </row>
    <row r="89" spans="1:10">
      <c r="A89" s="41"/>
      <c r="B89" s="34"/>
      <c r="C89" s="34"/>
      <c r="D89" s="34"/>
      <c r="E89" s="34"/>
      <c r="F89" s="34"/>
      <c r="G89" s="34"/>
      <c r="H89" s="34"/>
      <c r="I89" s="34"/>
      <c r="J89" s="38"/>
    </row>
    <row r="90" spans="1:10">
      <c r="A90" s="41"/>
      <c r="B90" s="34"/>
      <c r="C90" s="34"/>
      <c r="D90" s="34"/>
      <c r="E90" s="34"/>
      <c r="F90" s="16" t="s">
        <v>0</v>
      </c>
      <c r="G90" s="42" t="s">
        <v>1</v>
      </c>
      <c r="H90" s="34"/>
      <c r="I90" s="34"/>
      <c r="J90" s="38"/>
    </row>
    <row r="91" spans="1:10">
      <c r="A91" s="43"/>
      <c r="B91" s="34"/>
      <c r="C91" s="34"/>
      <c r="D91" s="34"/>
      <c r="E91" s="34"/>
      <c r="F91" s="16" t="s">
        <v>3</v>
      </c>
      <c r="G91" s="42" t="s">
        <v>4</v>
      </c>
      <c r="H91" s="34"/>
      <c r="I91" s="34"/>
      <c r="J91" s="38"/>
    </row>
    <row r="92" spans="1:10">
      <c r="A92" s="33"/>
      <c r="B92" s="17"/>
      <c r="C92" s="34"/>
      <c r="D92" s="34"/>
      <c r="E92" s="34"/>
      <c r="F92" s="44" t="s">
        <v>22</v>
      </c>
      <c r="G92" s="39">
        <f>G66</f>
        <v>5</v>
      </c>
      <c r="H92" s="34"/>
      <c r="I92" s="34"/>
      <c r="J92" s="38"/>
    </row>
    <row r="93" spans="1:10">
      <c r="A93" s="33"/>
      <c r="B93" s="17"/>
      <c r="C93" s="34"/>
      <c r="D93" s="34"/>
      <c r="E93" s="34"/>
      <c r="F93" s="16" t="s">
        <v>0</v>
      </c>
      <c r="G93" s="34">
        <f>G67</f>
        <v>40</v>
      </c>
      <c r="H93" s="34"/>
      <c r="I93" s="34"/>
      <c r="J93" s="38"/>
    </row>
    <row r="94" spans="1:10">
      <c r="A94" s="33"/>
      <c r="B94" s="45"/>
      <c r="C94" s="34"/>
      <c r="D94" s="34"/>
      <c r="E94" s="34"/>
      <c r="F94" s="16" t="s">
        <v>3</v>
      </c>
      <c r="G94" s="34">
        <f>G68</f>
        <v>40</v>
      </c>
      <c r="H94" s="34"/>
      <c r="I94" s="34"/>
      <c r="J94" s="38"/>
    </row>
    <row r="95" spans="1:10">
      <c r="A95" s="43"/>
      <c r="B95" s="34"/>
      <c r="C95" s="34"/>
      <c r="D95" s="34"/>
      <c r="E95" s="34"/>
      <c r="F95" s="16" t="s">
        <v>5</v>
      </c>
      <c r="G95" s="34">
        <f>G93+G94</f>
        <v>80</v>
      </c>
      <c r="H95" s="34"/>
      <c r="I95" s="34"/>
      <c r="J95" s="46"/>
    </row>
    <row r="96" spans="1:10" ht="15.75">
      <c r="A96" s="43"/>
      <c r="B96" s="34"/>
      <c r="C96" s="34"/>
      <c r="D96" s="34"/>
      <c r="E96" s="47" t="s">
        <v>61</v>
      </c>
      <c r="F96" s="16" t="s">
        <v>62</v>
      </c>
      <c r="G96" s="48">
        <f>(G98*G97)/(G98+G99)</f>
        <v>44.467868566443734</v>
      </c>
      <c r="H96" s="34"/>
      <c r="I96" s="34" t="s">
        <v>2</v>
      </c>
      <c r="J96" s="46"/>
    </row>
    <row r="97" spans="1:10" ht="15.75">
      <c r="A97" s="33" t="s">
        <v>63</v>
      </c>
      <c r="B97" s="34">
        <f>G93</f>
        <v>40</v>
      </c>
      <c r="C97" s="35" t="s">
        <v>64</v>
      </c>
      <c r="D97" s="49">
        <f>G98*(G103-G92)/G103</f>
        <v>2.7692307692307691E-3</v>
      </c>
      <c r="E97" s="49">
        <f>(IF(ABS(D97)&gt;G99,G99,ABS(D97)))*I97</f>
        <v>2.0598332515939185E-3</v>
      </c>
      <c r="F97" s="16" t="s">
        <v>26</v>
      </c>
      <c r="G97" s="34">
        <f>B85-G92</f>
        <v>75</v>
      </c>
      <c r="H97" s="34"/>
      <c r="I97" s="34">
        <f>SIGN(D97)</f>
        <v>1</v>
      </c>
      <c r="J97" s="46"/>
    </row>
    <row r="98" spans="1:10" ht="15.75">
      <c r="A98" s="33" t="s">
        <v>65</v>
      </c>
      <c r="B98" s="34">
        <v>0</v>
      </c>
      <c r="C98" s="35" t="s">
        <v>66</v>
      </c>
      <c r="D98" s="49">
        <f>(G98*((B85/2)-G103)/G103)*(-1)</f>
        <v>1.1538461538461537E-3</v>
      </c>
      <c r="E98" s="49">
        <f>(IF(ABS(D98)&gt;G99,G99,ABS(D98)))*I98</f>
        <v>1.1538461538461537E-3</v>
      </c>
      <c r="F98" s="35" t="s">
        <v>67</v>
      </c>
      <c r="G98" s="34">
        <v>3.0000000000000001E-3</v>
      </c>
      <c r="H98" s="34"/>
      <c r="I98" s="34">
        <f>SIGN(D98)</f>
        <v>1</v>
      </c>
      <c r="J98" s="46"/>
    </row>
    <row r="99" spans="1:10" ht="15.75">
      <c r="A99" s="33" t="s">
        <v>68</v>
      </c>
      <c r="B99" s="34">
        <f>G94</f>
        <v>40</v>
      </c>
      <c r="C99" s="35" t="s">
        <v>69</v>
      </c>
      <c r="D99" s="49">
        <f>(G98*((G97-G103)/G103))*(-1)</f>
        <v>-4.6153846153846158E-4</v>
      </c>
      <c r="E99" s="49">
        <f>(IF(ABS(D99)&gt;G99,G99,ABS(D99)))*I99</f>
        <v>-4.6153846153846158E-4</v>
      </c>
      <c r="F99" s="35" t="s">
        <v>70</v>
      </c>
      <c r="G99" s="50">
        <f>G86/G100</f>
        <v>2.0598332515939185E-3</v>
      </c>
      <c r="H99" s="34"/>
      <c r="I99" s="34">
        <f>SIGN(D99)</f>
        <v>-1</v>
      </c>
      <c r="J99" s="38"/>
    </row>
    <row r="100" spans="1:10">
      <c r="A100" s="33" t="s">
        <v>5</v>
      </c>
      <c r="B100" s="34">
        <f>SUM(B97:B99)</f>
        <v>80</v>
      </c>
      <c r="C100" s="35"/>
      <c r="D100" s="49"/>
      <c r="E100" s="49"/>
      <c r="F100" s="16" t="s">
        <v>7</v>
      </c>
      <c r="G100" s="51">
        <v>2039000</v>
      </c>
      <c r="H100" s="34"/>
      <c r="I100" s="34"/>
      <c r="J100" s="38"/>
    </row>
    <row r="101" spans="1:10">
      <c r="A101" s="43"/>
      <c r="B101" s="34"/>
      <c r="C101" s="34"/>
      <c r="D101" s="34"/>
      <c r="E101" s="34"/>
      <c r="F101" s="16" t="s">
        <v>30</v>
      </c>
      <c r="G101" s="48">
        <f>0.85*G96</f>
        <v>37.797688281477171</v>
      </c>
      <c r="H101" s="34"/>
      <c r="I101" s="34"/>
      <c r="J101" s="46"/>
    </row>
    <row r="102" spans="1:10" ht="15.75">
      <c r="A102" s="33"/>
      <c r="B102" s="45" t="s">
        <v>71</v>
      </c>
      <c r="C102" s="45" t="s">
        <v>8</v>
      </c>
      <c r="D102" s="45" t="s">
        <v>9</v>
      </c>
      <c r="E102" s="45" t="s">
        <v>10</v>
      </c>
      <c r="F102" s="39"/>
      <c r="G102" s="34"/>
      <c r="H102" s="34"/>
      <c r="I102" s="34"/>
      <c r="J102" s="46"/>
    </row>
    <row r="103" spans="1:10" ht="15.75">
      <c r="A103" s="33" t="s">
        <v>72</v>
      </c>
      <c r="B103" s="51">
        <f>E97*$E$9</f>
        <v>4200</v>
      </c>
      <c r="C103" s="48">
        <f>B103*B97</f>
        <v>168000</v>
      </c>
      <c r="D103" s="17">
        <f>(B85/2)-G92</f>
        <v>35</v>
      </c>
      <c r="E103" s="17">
        <f>C103*D103</f>
        <v>5880000</v>
      </c>
      <c r="F103" s="16" t="s">
        <v>6</v>
      </c>
      <c r="G103" s="17">
        <f>G97-10</f>
        <v>65</v>
      </c>
      <c r="H103" s="34"/>
      <c r="I103" s="34"/>
      <c r="J103" s="38"/>
    </row>
    <row r="104" spans="1:10" ht="15.75">
      <c r="A104" s="33" t="s">
        <v>73</v>
      </c>
      <c r="B104" s="51">
        <f>E98*$E$9</f>
        <v>2352.6923076923076</v>
      </c>
      <c r="C104" s="48">
        <f>B104*B98</f>
        <v>0</v>
      </c>
      <c r="D104" s="17">
        <f>((B85/2)-(B85/2))*I98</f>
        <v>0</v>
      </c>
      <c r="E104" s="17">
        <f>C104*D104</f>
        <v>0</v>
      </c>
      <c r="F104" s="16" t="s">
        <v>30</v>
      </c>
      <c r="G104" s="17">
        <f>G88*G103</f>
        <v>42.25</v>
      </c>
      <c r="H104" s="34"/>
      <c r="I104" s="34"/>
      <c r="J104" s="38"/>
    </row>
    <row r="105" spans="1:10" ht="15.75">
      <c r="A105" s="33" t="s">
        <v>74</v>
      </c>
      <c r="B105" s="51">
        <f>E99*$E$9</f>
        <v>-941.07692307692321</v>
      </c>
      <c r="C105" s="48">
        <f>B105*B99</f>
        <v>-37643.076923076929</v>
      </c>
      <c r="D105" s="17">
        <f>((B85/2)-G92)*I99</f>
        <v>-35</v>
      </c>
      <c r="E105" s="17">
        <f>C105*D105</f>
        <v>1317507.6923076925</v>
      </c>
      <c r="F105" s="34"/>
      <c r="G105" s="34"/>
      <c r="H105" s="34"/>
      <c r="I105" s="34"/>
      <c r="J105" s="38"/>
    </row>
    <row r="106" spans="1:10">
      <c r="A106" s="33" t="s">
        <v>11</v>
      </c>
      <c r="B106" s="51"/>
      <c r="C106" s="48">
        <f>G88*G84*G104*B84</f>
        <v>1076530</v>
      </c>
      <c r="D106" s="17">
        <f>(B85/2)-(G104/2)</f>
        <v>18.875</v>
      </c>
      <c r="E106" s="17">
        <f>C106*D106</f>
        <v>20319503.75</v>
      </c>
      <c r="F106" s="34"/>
      <c r="G106" s="34"/>
      <c r="H106" s="34"/>
      <c r="I106" s="34"/>
      <c r="J106" s="38"/>
    </row>
    <row r="107" spans="1:10">
      <c r="A107" s="33"/>
      <c r="B107" s="25" t="s">
        <v>77</v>
      </c>
      <c r="C107" s="26">
        <f>SUM(C103:C106)/1000</f>
        <v>1206.886923076923</v>
      </c>
      <c r="D107" s="25" t="s">
        <v>78</v>
      </c>
      <c r="E107" s="27">
        <f>SUM(E103:E106)/100000</f>
        <v>275.17011442307694</v>
      </c>
      <c r="F107" s="34"/>
      <c r="G107" s="34"/>
      <c r="H107" s="34"/>
      <c r="I107" s="34"/>
      <c r="J107" s="46"/>
    </row>
    <row r="108" spans="1:10" ht="13.5" thickBot="1">
      <c r="A108" s="52"/>
      <c r="B108" s="53"/>
      <c r="C108" s="53"/>
      <c r="D108" s="53"/>
      <c r="E108" s="53"/>
      <c r="F108" s="53"/>
      <c r="G108" s="53"/>
      <c r="H108" s="53"/>
      <c r="I108" s="53"/>
      <c r="J108" s="54"/>
    </row>
    <row r="109" spans="1:10">
      <c r="A109" s="30"/>
      <c r="B109" s="31"/>
      <c r="C109" s="31"/>
      <c r="D109" s="31"/>
      <c r="E109" s="31"/>
      <c r="F109" s="31"/>
      <c r="G109" s="31"/>
      <c r="H109" s="31"/>
      <c r="I109" s="31"/>
      <c r="J109" s="32"/>
    </row>
    <row r="110" spans="1:10">
      <c r="A110" s="33" t="s">
        <v>12</v>
      </c>
      <c r="B110" s="34">
        <f>B84</f>
        <v>80</v>
      </c>
      <c r="C110" s="34"/>
      <c r="D110" s="35" t="s">
        <v>13</v>
      </c>
      <c r="E110" s="36">
        <f>E84</f>
        <v>0.7</v>
      </c>
      <c r="F110" s="34"/>
      <c r="G110" s="37">
        <f>G84</f>
        <v>490</v>
      </c>
      <c r="H110" s="34"/>
      <c r="I110" s="34"/>
      <c r="J110" s="38"/>
    </row>
    <row r="111" spans="1:10">
      <c r="A111" s="33" t="s">
        <v>14</v>
      </c>
      <c r="B111" s="34">
        <f>B85</f>
        <v>80</v>
      </c>
      <c r="C111" s="34"/>
      <c r="D111" s="16" t="s">
        <v>15</v>
      </c>
      <c r="E111" s="36">
        <f>E85</f>
        <v>0.8</v>
      </c>
      <c r="F111" s="34"/>
      <c r="G111" s="34"/>
      <c r="H111" s="34"/>
      <c r="I111" s="34"/>
      <c r="J111" s="38"/>
    </row>
    <row r="112" spans="1:10" ht="15.75">
      <c r="A112" s="33" t="s">
        <v>16</v>
      </c>
      <c r="B112" s="39">
        <f>B110*B111</f>
        <v>6400</v>
      </c>
      <c r="C112" s="34"/>
      <c r="D112" s="16" t="s">
        <v>57</v>
      </c>
      <c r="E112" s="37">
        <f>E86</f>
        <v>309903.21069650113</v>
      </c>
      <c r="F112" s="34"/>
      <c r="G112" s="37">
        <f>G86</f>
        <v>4200</v>
      </c>
      <c r="H112" s="34"/>
      <c r="I112" s="34"/>
      <c r="J112" s="38"/>
    </row>
    <row r="113" spans="1:10" ht="15.75">
      <c r="A113" s="33" t="s">
        <v>58</v>
      </c>
      <c r="B113" s="17">
        <f>E85*E84*(0.85*G84*(B86-B88)+G86*B88)</f>
        <v>1662236.7999999998</v>
      </c>
      <c r="C113" s="34"/>
      <c r="D113" s="16" t="s">
        <v>59</v>
      </c>
      <c r="E113" s="37">
        <f>E87</f>
        <v>2039000</v>
      </c>
      <c r="F113" s="34"/>
      <c r="G113" s="34"/>
      <c r="H113" s="34"/>
      <c r="I113" s="34"/>
      <c r="J113" s="38"/>
    </row>
    <row r="114" spans="1:10" ht="15.75">
      <c r="A114" s="33" t="s">
        <v>5</v>
      </c>
      <c r="B114" s="17">
        <f>G119+G120</f>
        <v>80</v>
      </c>
      <c r="C114" s="34"/>
      <c r="D114" s="34"/>
      <c r="E114" s="34"/>
      <c r="F114" s="35" t="s">
        <v>60</v>
      </c>
      <c r="G114" s="40">
        <f>G88</f>
        <v>0.65</v>
      </c>
      <c r="H114" s="34"/>
      <c r="I114" s="34"/>
      <c r="J114" s="38"/>
    </row>
    <row r="115" spans="1:10">
      <c r="A115" s="41"/>
      <c r="B115" s="34"/>
      <c r="C115" s="34"/>
      <c r="D115" s="34"/>
      <c r="E115" s="34"/>
      <c r="F115" s="34"/>
      <c r="G115" s="34"/>
      <c r="H115" s="34"/>
      <c r="I115" s="34"/>
      <c r="J115" s="38"/>
    </row>
    <row r="116" spans="1:10">
      <c r="A116" s="41"/>
      <c r="B116" s="34"/>
      <c r="C116" s="34"/>
      <c r="D116" s="34"/>
      <c r="E116" s="34"/>
      <c r="F116" s="16" t="s">
        <v>0</v>
      </c>
      <c r="G116" s="42" t="s">
        <v>1</v>
      </c>
      <c r="H116" s="34"/>
      <c r="I116" s="34"/>
      <c r="J116" s="38"/>
    </row>
    <row r="117" spans="1:10">
      <c r="A117" s="43"/>
      <c r="B117" s="34"/>
      <c r="C117" s="34"/>
      <c r="D117" s="34"/>
      <c r="E117" s="34"/>
      <c r="F117" s="16" t="s">
        <v>3</v>
      </c>
      <c r="G117" s="42" t="s">
        <v>4</v>
      </c>
      <c r="H117" s="34"/>
      <c r="I117" s="34"/>
      <c r="J117" s="38"/>
    </row>
    <row r="118" spans="1:10">
      <c r="A118" s="33"/>
      <c r="B118" s="17"/>
      <c r="C118" s="34"/>
      <c r="D118" s="34"/>
      <c r="E118" s="34"/>
      <c r="F118" s="44" t="s">
        <v>22</v>
      </c>
      <c r="G118" s="39">
        <f>G92</f>
        <v>5</v>
      </c>
      <c r="H118" s="34"/>
      <c r="I118" s="34"/>
      <c r="J118" s="38"/>
    </row>
    <row r="119" spans="1:10">
      <c r="A119" s="33"/>
      <c r="B119" s="17"/>
      <c r="C119" s="34"/>
      <c r="D119" s="34"/>
      <c r="E119" s="34"/>
      <c r="F119" s="16" t="s">
        <v>0</v>
      </c>
      <c r="G119" s="34">
        <f>G93</f>
        <v>40</v>
      </c>
      <c r="H119" s="34"/>
      <c r="I119" s="34"/>
      <c r="J119" s="38"/>
    </row>
    <row r="120" spans="1:10">
      <c r="A120" s="33"/>
      <c r="B120" s="45"/>
      <c r="C120" s="34"/>
      <c r="D120" s="34"/>
      <c r="E120" s="34"/>
      <c r="F120" s="16" t="s">
        <v>3</v>
      </c>
      <c r="G120" s="34">
        <f>G94</f>
        <v>40</v>
      </c>
      <c r="H120" s="34"/>
      <c r="I120" s="34"/>
      <c r="J120" s="38"/>
    </row>
    <row r="121" spans="1:10">
      <c r="A121" s="43"/>
      <c r="B121" s="34"/>
      <c r="C121" s="34"/>
      <c r="D121" s="34"/>
      <c r="E121" s="34"/>
      <c r="F121" s="16" t="s">
        <v>5</v>
      </c>
      <c r="G121" s="34">
        <f>G119+G120</f>
        <v>80</v>
      </c>
      <c r="H121" s="34"/>
      <c r="I121" s="34"/>
      <c r="J121" s="46"/>
    </row>
    <row r="122" spans="1:10" ht="15.75">
      <c r="A122" s="43"/>
      <c r="B122" s="34"/>
      <c r="C122" s="34"/>
      <c r="D122" s="34"/>
      <c r="E122" s="47" t="s">
        <v>61</v>
      </c>
      <c r="F122" s="16" t="s">
        <v>62</v>
      </c>
      <c r="G122" s="48">
        <f>(G124*G123)/(G124+G125)</f>
        <v>44.467868566443734</v>
      </c>
      <c r="H122" s="34"/>
      <c r="I122" s="34" t="s">
        <v>2</v>
      </c>
      <c r="J122" s="46"/>
    </row>
    <row r="123" spans="1:10" ht="15.75">
      <c r="A123" s="33" t="s">
        <v>63</v>
      </c>
      <c r="B123" s="34">
        <f>G119</f>
        <v>40</v>
      </c>
      <c r="C123" s="35" t="s">
        <v>64</v>
      </c>
      <c r="D123" s="49">
        <f>G124*(G129-G118)/G129</f>
        <v>2.7500000000000003E-3</v>
      </c>
      <c r="E123" s="49">
        <f>(IF(ABS(D123)&gt;G125,G125,ABS(D123)))*I123</f>
        <v>2.0598332515939185E-3</v>
      </c>
      <c r="F123" s="16" t="s">
        <v>26</v>
      </c>
      <c r="G123" s="34">
        <f>B111-G118</f>
        <v>75</v>
      </c>
      <c r="H123" s="34"/>
      <c r="I123" s="34">
        <f>SIGN(D123)</f>
        <v>1</v>
      </c>
      <c r="J123" s="46"/>
    </row>
    <row r="124" spans="1:10" ht="15.75">
      <c r="A124" s="33" t="s">
        <v>65</v>
      </c>
      <c r="B124" s="34">
        <v>0</v>
      </c>
      <c r="C124" s="35" t="s">
        <v>66</v>
      </c>
      <c r="D124" s="49">
        <f>(G124*((B111/2)-G129)/G129)*(-1)</f>
        <v>1E-3</v>
      </c>
      <c r="E124" s="49">
        <f>(IF(ABS(D124)&gt;G125,G125,ABS(D124)))*I124</f>
        <v>1E-3</v>
      </c>
      <c r="F124" s="35" t="s">
        <v>67</v>
      </c>
      <c r="G124" s="34">
        <v>3.0000000000000001E-3</v>
      </c>
      <c r="H124" s="34"/>
      <c r="I124" s="34">
        <f>SIGN(D124)</f>
        <v>1</v>
      </c>
      <c r="J124" s="46"/>
    </row>
    <row r="125" spans="1:10" ht="15.75">
      <c r="A125" s="33" t="s">
        <v>68</v>
      </c>
      <c r="B125" s="34">
        <f>G120</f>
        <v>40</v>
      </c>
      <c r="C125" s="35" t="s">
        <v>69</v>
      </c>
      <c r="D125" s="49">
        <f>(G124*((G123-G129)/G129))*(-1)</f>
        <v>-7.5000000000000002E-4</v>
      </c>
      <c r="E125" s="49">
        <f>(IF(ABS(D125)&gt;G125,G125,ABS(D125)))*I125</f>
        <v>-7.5000000000000002E-4</v>
      </c>
      <c r="F125" s="35" t="s">
        <v>70</v>
      </c>
      <c r="G125" s="50">
        <f>G112/G126</f>
        <v>2.0598332515939185E-3</v>
      </c>
      <c r="H125" s="34"/>
      <c r="I125" s="34">
        <f>SIGN(D125)</f>
        <v>-1</v>
      </c>
      <c r="J125" s="38"/>
    </row>
    <row r="126" spans="1:10">
      <c r="A126" s="33" t="s">
        <v>5</v>
      </c>
      <c r="B126" s="34">
        <f>SUM(B123:B125)</f>
        <v>80</v>
      </c>
      <c r="C126" s="35"/>
      <c r="D126" s="49"/>
      <c r="E126" s="49"/>
      <c r="F126" s="16" t="s">
        <v>7</v>
      </c>
      <c r="G126" s="51">
        <v>2039000</v>
      </c>
      <c r="H126" s="34"/>
      <c r="I126" s="34"/>
      <c r="J126" s="38"/>
    </row>
    <row r="127" spans="1:10">
      <c r="A127" s="43"/>
      <c r="B127" s="34"/>
      <c r="C127" s="34"/>
      <c r="D127" s="34"/>
      <c r="E127" s="34"/>
      <c r="F127" s="16" t="s">
        <v>30</v>
      </c>
      <c r="G127" s="48">
        <f>0.85*G122</f>
        <v>37.797688281477171</v>
      </c>
      <c r="H127" s="34"/>
      <c r="I127" s="34"/>
      <c r="J127" s="46"/>
    </row>
    <row r="128" spans="1:10" ht="15.75">
      <c r="A128" s="33"/>
      <c r="B128" s="45" t="s">
        <v>71</v>
      </c>
      <c r="C128" s="45" t="s">
        <v>8</v>
      </c>
      <c r="D128" s="45" t="s">
        <v>9</v>
      </c>
      <c r="E128" s="45" t="s">
        <v>10</v>
      </c>
      <c r="F128" s="39"/>
      <c r="G128" s="34"/>
      <c r="H128" s="34"/>
      <c r="I128" s="34"/>
      <c r="J128" s="46"/>
    </row>
    <row r="129" spans="1:10" ht="15.75">
      <c r="A129" s="33" t="s">
        <v>72</v>
      </c>
      <c r="B129" s="51">
        <f>E123*$E$9</f>
        <v>4200</v>
      </c>
      <c r="C129" s="48">
        <f>B129*B123</f>
        <v>168000</v>
      </c>
      <c r="D129" s="17">
        <f>(B111/2)-G118</f>
        <v>35</v>
      </c>
      <c r="E129" s="17">
        <f>C129*D129</f>
        <v>5880000</v>
      </c>
      <c r="F129" s="16" t="s">
        <v>6</v>
      </c>
      <c r="G129" s="17">
        <f>G123-15</f>
        <v>60</v>
      </c>
      <c r="H129" s="34"/>
      <c r="I129" s="34"/>
      <c r="J129" s="38"/>
    </row>
    <row r="130" spans="1:10" ht="15.75">
      <c r="A130" s="33" t="s">
        <v>73</v>
      </c>
      <c r="B130" s="51">
        <f>E124*$E$9</f>
        <v>2039</v>
      </c>
      <c r="C130" s="48">
        <f>B130*B124</f>
        <v>0</v>
      </c>
      <c r="D130" s="17">
        <f>((B111/2)-(B111/2))*I124</f>
        <v>0</v>
      </c>
      <c r="E130" s="17">
        <f>C130*D130</f>
        <v>0</v>
      </c>
      <c r="F130" s="16" t="s">
        <v>30</v>
      </c>
      <c r="G130" s="17">
        <f>G114*G129</f>
        <v>39</v>
      </c>
      <c r="H130" s="34"/>
      <c r="I130" s="34"/>
      <c r="J130" s="38"/>
    </row>
    <row r="131" spans="1:10" ht="15.75">
      <c r="A131" s="33" t="s">
        <v>74</v>
      </c>
      <c r="B131" s="51">
        <f>E125*$E$9</f>
        <v>-1529.25</v>
      </c>
      <c r="C131" s="48">
        <f>B131*B125</f>
        <v>-61170</v>
      </c>
      <c r="D131" s="17">
        <f>((B111/2)-G118)*I125</f>
        <v>-35</v>
      </c>
      <c r="E131" s="17">
        <f>C131*D131</f>
        <v>2140950</v>
      </c>
      <c r="F131" s="34"/>
      <c r="G131" s="34"/>
      <c r="H131" s="34"/>
      <c r="I131" s="34"/>
      <c r="J131" s="38"/>
    </row>
    <row r="132" spans="1:10">
      <c r="A132" s="33" t="s">
        <v>11</v>
      </c>
      <c r="B132" s="51"/>
      <c r="C132" s="48">
        <f>G114*G110*G130*B110</f>
        <v>993720</v>
      </c>
      <c r="D132" s="17">
        <f>(B111/2)-(G130/2)</f>
        <v>20.5</v>
      </c>
      <c r="E132" s="17">
        <f>C132*D132</f>
        <v>20371260</v>
      </c>
      <c r="F132" s="34"/>
      <c r="G132" s="34"/>
      <c r="H132" s="34"/>
      <c r="I132" s="34"/>
      <c r="J132" s="38"/>
    </row>
    <row r="133" spans="1:10">
      <c r="A133" s="33"/>
      <c r="B133" s="25" t="s">
        <v>77</v>
      </c>
      <c r="C133" s="26">
        <f>SUM(C129:C132)/1000</f>
        <v>1100.55</v>
      </c>
      <c r="D133" s="25" t="s">
        <v>78</v>
      </c>
      <c r="E133" s="27">
        <f>SUM(E129:E132)/100000</f>
        <v>283.9221</v>
      </c>
      <c r="F133" s="34"/>
      <c r="G133" s="34"/>
      <c r="H133" s="34"/>
      <c r="I133" s="34"/>
      <c r="J133" s="46"/>
    </row>
    <row r="134" spans="1:10" ht="13.5" thickBot="1">
      <c r="A134" s="52"/>
      <c r="B134" s="53"/>
      <c r="C134" s="53"/>
      <c r="D134" s="53"/>
      <c r="E134" s="53"/>
      <c r="F134" s="53"/>
      <c r="G134" s="53"/>
      <c r="H134" s="53"/>
      <c r="I134" s="53"/>
      <c r="J134" s="54"/>
    </row>
    <row r="135" spans="1:10">
      <c r="A135" s="30"/>
      <c r="B135" s="31"/>
      <c r="C135" s="31"/>
      <c r="D135" s="31"/>
      <c r="E135" s="31"/>
      <c r="F135" s="31"/>
      <c r="G135" s="31"/>
      <c r="H135" s="31"/>
      <c r="I135" s="31"/>
      <c r="J135" s="32"/>
    </row>
    <row r="136" spans="1:10">
      <c r="A136" s="33" t="s">
        <v>12</v>
      </c>
      <c r="B136" s="34">
        <f>B110</f>
        <v>80</v>
      </c>
      <c r="C136" s="34"/>
      <c r="D136" s="35" t="s">
        <v>13</v>
      </c>
      <c r="E136" s="36">
        <f>E110</f>
        <v>0.7</v>
      </c>
      <c r="F136" s="34"/>
      <c r="G136" s="37">
        <f>G110</f>
        <v>490</v>
      </c>
      <c r="H136" s="34"/>
      <c r="I136" s="34"/>
      <c r="J136" s="38"/>
    </row>
    <row r="137" spans="1:10">
      <c r="A137" s="33" t="s">
        <v>14</v>
      </c>
      <c r="B137" s="34">
        <f>B111</f>
        <v>80</v>
      </c>
      <c r="C137" s="34"/>
      <c r="D137" s="16" t="s">
        <v>15</v>
      </c>
      <c r="E137" s="36">
        <f>E111</f>
        <v>0.8</v>
      </c>
      <c r="F137" s="34"/>
      <c r="G137" s="34"/>
      <c r="H137" s="34"/>
      <c r="I137" s="34"/>
      <c r="J137" s="38"/>
    </row>
    <row r="138" spans="1:10" ht="15.75">
      <c r="A138" s="33" t="s">
        <v>16</v>
      </c>
      <c r="B138" s="39">
        <f>B136*B137</f>
        <v>6400</v>
      </c>
      <c r="C138" s="34"/>
      <c r="D138" s="16" t="s">
        <v>57</v>
      </c>
      <c r="E138" s="37">
        <f>E112</f>
        <v>309903.21069650113</v>
      </c>
      <c r="F138" s="34"/>
      <c r="G138" s="37">
        <f>G112</f>
        <v>4200</v>
      </c>
      <c r="H138" s="34"/>
      <c r="I138" s="34"/>
      <c r="J138" s="38"/>
    </row>
    <row r="139" spans="1:10" ht="15.75">
      <c r="A139" s="33" t="s">
        <v>58</v>
      </c>
      <c r="B139" s="17">
        <f>E111*E110*(0.85*G110*(B112-B114)+G112*B114)</f>
        <v>1662236.7999999998</v>
      </c>
      <c r="C139" s="34"/>
      <c r="D139" s="16" t="s">
        <v>59</v>
      </c>
      <c r="E139" s="37">
        <f>E113</f>
        <v>2039000</v>
      </c>
      <c r="F139" s="34"/>
      <c r="G139" s="34"/>
      <c r="H139" s="34"/>
      <c r="I139" s="34"/>
      <c r="J139" s="38"/>
    </row>
    <row r="140" spans="1:10" ht="15.75">
      <c r="A140" s="33" t="s">
        <v>5</v>
      </c>
      <c r="B140" s="17">
        <f>G145+G146</f>
        <v>80</v>
      </c>
      <c r="C140" s="34"/>
      <c r="D140" s="34"/>
      <c r="E140" s="34"/>
      <c r="F140" s="35" t="s">
        <v>60</v>
      </c>
      <c r="G140" s="40">
        <f>G114</f>
        <v>0.65</v>
      </c>
      <c r="H140" s="34"/>
      <c r="I140" s="34"/>
      <c r="J140" s="38"/>
    </row>
    <row r="141" spans="1:10">
      <c r="A141" s="41"/>
      <c r="B141" s="34"/>
      <c r="C141" s="34"/>
      <c r="D141" s="34"/>
      <c r="E141" s="34"/>
      <c r="F141" s="34"/>
      <c r="G141" s="34"/>
      <c r="H141" s="34"/>
      <c r="I141" s="34"/>
      <c r="J141" s="38"/>
    </row>
    <row r="142" spans="1:10">
      <c r="A142" s="41"/>
      <c r="B142" s="34"/>
      <c r="C142" s="34"/>
      <c r="D142" s="34"/>
      <c r="E142" s="34"/>
      <c r="F142" s="16" t="s">
        <v>0</v>
      </c>
      <c r="G142" s="42" t="s">
        <v>1</v>
      </c>
      <c r="H142" s="34"/>
      <c r="I142" s="34"/>
      <c r="J142" s="38"/>
    </row>
    <row r="143" spans="1:10">
      <c r="A143" s="43"/>
      <c r="B143" s="34"/>
      <c r="C143" s="34"/>
      <c r="D143" s="34"/>
      <c r="E143" s="34"/>
      <c r="F143" s="16" t="s">
        <v>3</v>
      </c>
      <c r="G143" s="42" t="s">
        <v>4</v>
      </c>
      <c r="H143" s="34"/>
      <c r="I143" s="34"/>
      <c r="J143" s="38"/>
    </row>
    <row r="144" spans="1:10">
      <c r="A144" s="33"/>
      <c r="B144" s="17"/>
      <c r="C144" s="34"/>
      <c r="D144" s="34"/>
      <c r="E144" s="34"/>
      <c r="F144" s="44" t="s">
        <v>22</v>
      </c>
      <c r="G144" s="39">
        <f>G118</f>
        <v>5</v>
      </c>
      <c r="H144" s="34"/>
      <c r="I144" s="34"/>
      <c r="J144" s="38"/>
    </row>
    <row r="145" spans="1:10">
      <c r="A145" s="33"/>
      <c r="B145" s="17"/>
      <c r="C145" s="34"/>
      <c r="D145" s="34"/>
      <c r="E145" s="34"/>
      <c r="F145" s="16" t="s">
        <v>0</v>
      </c>
      <c r="G145" s="34">
        <f>G119</f>
        <v>40</v>
      </c>
      <c r="H145" s="34"/>
      <c r="I145" s="34"/>
      <c r="J145" s="38"/>
    </row>
    <row r="146" spans="1:10">
      <c r="A146" s="33"/>
      <c r="B146" s="45"/>
      <c r="C146" s="34"/>
      <c r="D146" s="34"/>
      <c r="E146" s="34"/>
      <c r="F146" s="16" t="s">
        <v>3</v>
      </c>
      <c r="G146" s="34">
        <f>G120</f>
        <v>40</v>
      </c>
      <c r="H146" s="34"/>
      <c r="I146" s="34"/>
      <c r="J146" s="38"/>
    </row>
    <row r="147" spans="1:10">
      <c r="A147" s="43"/>
      <c r="B147" s="34"/>
      <c r="C147" s="34"/>
      <c r="D147" s="34"/>
      <c r="E147" s="34"/>
      <c r="F147" s="16" t="s">
        <v>5</v>
      </c>
      <c r="G147" s="34">
        <f>G145+G146</f>
        <v>80</v>
      </c>
      <c r="H147" s="34"/>
      <c r="I147" s="34"/>
      <c r="J147" s="46"/>
    </row>
    <row r="148" spans="1:10" ht="15.75">
      <c r="A148" s="43"/>
      <c r="B148" s="34"/>
      <c r="C148" s="34"/>
      <c r="D148" s="34"/>
      <c r="E148" s="47" t="s">
        <v>61</v>
      </c>
      <c r="F148" s="16" t="s">
        <v>62</v>
      </c>
      <c r="G148" s="48">
        <f>(G150*G149)/(G150+G151)</f>
        <v>44.467868566443734</v>
      </c>
      <c r="H148" s="34"/>
      <c r="I148" s="34" t="s">
        <v>2</v>
      </c>
      <c r="J148" s="46"/>
    </row>
    <row r="149" spans="1:10" ht="15.75">
      <c r="A149" s="33" t="s">
        <v>63</v>
      </c>
      <c r="B149" s="34">
        <f>G145</f>
        <v>40</v>
      </c>
      <c r="C149" s="35" t="s">
        <v>64</v>
      </c>
      <c r="D149" s="49">
        <f>G150*(G155-G144)/G155</f>
        <v>2.7272727272727271E-3</v>
      </c>
      <c r="E149" s="49">
        <f>(IF(ABS(D149)&gt;G151,G151,ABS(D149)))*I149</f>
        <v>2.0598332515939185E-3</v>
      </c>
      <c r="F149" s="16" t="s">
        <v>26</v>
      </c>
      <c r="G149" s="34">
        <f>B137-G144</f>
        <v>75</v>
      </c>
      <c r="H149" s="34"/>
      <c r="I149" s="34">
        <f>SIGN(D149)</f>
        <v>1</v>
      </c>
      <c r="J149" s="46"/>
    </row>
    <row r="150" spans="1:10" ht="15.75">
      <c r="A150" s="33" t="s">
        <v>65</v>
      </c>
      <c r="B150" s="34">
        <v>0</v>
      </c>
      <c r="C150" s="35" t="s">
        <v>66</v>
      </c>
      <c r="D150" s="49">
        <f>(G150*((B137/2)-G155)/G155)*(-1)</f>
        <v>8.1818181818181816E-4</v>
      </c>
      <c r="E150" s="49">
        <f>(IF(ABS(D150)&gt;G151,G151,ABS(D150)))*I150</f>
        <v>8.1818181818181816E-4</v>
      </c>
      <c r="F150" s="35" t="s">
        <v>67</v>
      </c>
      <c r="G150" s="34">
        <v>3.0000000000000001E-3</v>
      </c>
      <c r="H150" s="34"/>
      <c r="I150" s="34">
        <f>SIGN(D150)</f>
        <v>1</v>
      </c>
      <c r="J150" s="46"/>
    </row>
    <row r="151" spans="1:10" ht="15.75">
      <c r="A151" s="33" t="s">
        <v>68</v>
      </c>
      <c r="B151" s="34">
        <f>G146</f>
        <v>40</v>
      </c>
      <c r="C151" s="35" t="s">
        <v>69</v>
      </c>
      <c r="D151" s="49">
        <f>(G150*((G149-G155)/G155))*(-1)</f>
        <v>-1.090909090909091E-3</v>
      </c>
      <c r="E151" s="49">
        <f>(IF(ABS(D151)&gt;G151,G151,ABS(D151)))*I151</f>
        <v>-1.090909090909091E-3</v>
      </c>
      <c r="F151" s="35" t="s">
        <v>70</v>
      </c>
      <c r="G151" s="50">
        <f>G138/G152</f>
        <v>2.0598332515939185E-3</v>
      </c>
      <c r="H151" s="34"/>
      <c r="I151" s="34">
        <f>SIGN(D151)</f>
        <v>-1</v>
      </c>
      <c r="J151" s="38"/>
    </row>
    <row r="152" spans="1:10">
      <c r="A152" s="33" t="s">
        <v>5</v>
      </c>
      <c r="B152" s="34">
        <f>SUM(B149:B151)</f>
        <v>80</v>
      </c>
      <c r="C152" s="35"/>
      <c r="D152" s="49"/>
      <c r="E152" s="49"/>
      <c r="F152" s="16" t="s">
        <v>7</v>
      </c>
      <c r="G152" s="51">
        <v>2039000</v>
      </c>
      <c r="H152" s="34"/>
      <c r="I152" s="34"/>
      <c r="J152" s="38"/>
    </row>
    <row r="153" spans="1:10">
      <c r="A153" s="43"/>
      <c r="B153" s="34"/>
      <c r="C153" s="34"/>
      <c r="D153" s="34"/>
      <c r="E153" s="34"/>
      <c r="F153" s="16" t="s">
        <v>30</v>
      </c>
      <c r="G153" s="48">
        <f>0.85*G148</f>
        <v>37.797688281477171</v>
      </c>
      <c r="H153" s="34"/>
      <c r="I153" s="34"/>
      <c r="J153" s="46"/>
    </row>
    <row r="154" spans="1:10" ht="15.75">
      <c r="A154" s="33"/>
      <c r="B154" s="45" t="s">
        <v>71</v>
      </c>
      <c r="C154" s="45" t="s">
        <v>8</v>
      </c>
      <c r="D154" s="45" t="s">
        <v>9</v>
      </c>
      <c r="E154" s="45" t="s">
        <v>10</v>
      </c>
      <c r="F154" s="39"/>
      <c r="G154" s="34"/>
      <c r="H154" s="34"/>
      <c r="I154" s="34"/>
      <c r="J154" s="46"/>
    </row>
    <row r="155" spans="1:10" ht="15.75">
      <c r="A155" s="33" t="s">
        <v>72</v>
      </c>
      <c r="B155" s="51">
        <f>E149*$E$9</f>
        <v>4200</v>
      </c>
      <c r="C155" s="48">
        <f>B155*B149</f>
        <v>168000</v>
      </c>
      <c r="D155" s="17">
        <f>(B137/2)-G144</f>
        <v>35</v>
      </c>
      <c r="E155" s="17">
        <f>C155*D155</f>
        <v>5880000</v>
      </c>
      <c r="F155" s="16" t="s">
        <v>6</v>
      </c>
      <c r="G155" s="17">
        <f>G149-20</f>
        <v>55</v>
      </c>
      <c r="H155" s="34"/>
      <c r="I155" s="34"/>
      <c r="J155" s="38"/>
    </row>
    <row r="156" spans="1:10" ht="15.75">
      <c r="A156" s="33" t="s">
        <v>73</v>
      </c>
      <c r="B156" s="51">
        <f>E150*$E$9</f>
        <v>1668.2727272727273</v>
      </c>
      <c r="C156" s="48">
        <f>B156*B150</f>
        <v>0</v>
      </c>
      <c r="D156" s="17">
        <f>((B137/2)-(B137/2))*I150</f>
        <v>0</v>
      </c>
      <c r="E156" s="17">
        <f>C156*D156</f>
        <v>0</v>
      </c>
      <c r="F156" s="16" t="s">
        <v>30</v>
      </c>
      <c r="G156" s="17">
        <f>G140*G155</f>
        <v>35.75</v>
      </c>
      <c r="H156" s="34"/>
      <c r="I156" s="34"/>
      <c r="J156" s="38"/>
    </row>
    <row r="157" spans="1:10" ht="15.75">
      <c r="A157" s="33" t="s">
        <v>74</v>
      </c>
      <c r="B157" s="51">
        <f>E151*$E$9</f>
        <v>-2224.3636363636365</v>
      </c>
      <c r="C157" s="48">
        <f>B157*B151</f>
        <v>-88974.545454545456</v>
      </c>
      <c r="D157" s="17">
        <f>((B137/2)-G144)*I151</f>
        <v>-35</v>
      </c>
      <c r="E157" s="17">
        <f>C157*D157</f>
        <v>3114109.0909090908</v>
      </c>
      <c r="F157" s="34"/>
      <c r="G157" s="34"/>
      <c r="H157" s="34"/>
      <c r="I157" s="34"/>
      <c r="J157" s="38"/>
    </row>
    <row r="158" spans="1:10">
      <c r="A158" s="33" t="s">
        <v>11</v>
      </c>
      <c r="B158" s="51"/>
      <c r="C158" s="48">
        <f>G140*G136*G156*B136</f>
        <v>910910</v>
      </c>
      <c r="D158" s="17">
        <f>(B137/2)-(G156/2)</f>
        <v>22.125</v>
      </c>
      <c r="E158" s="17">
        <f>C158*D158</f>
        <v>20153883.75</v>
      </c>
      <c r="F158" s="34"/>
      <c r="G158" s="34"/>
      <c r="H158" s="34"/>
      <c r="I158" s="34"/>
      <c r="J158" s="38"/>
    </row>
    <row r="159" spans="1:10">
      <c r="A159" s="33"/>
      <c r="B159" s="25" t="s">
        <v>77</v>
      </c>
      <c r="C159" s="26">
        <f>SUM(C155:C158)/1000</f>
        <v>989.9354545454546</v>
      </c>
      <c r="D159" s="25" t="s">
        <v>78</v>
      </c>
      <c r="E159" s="27">
        <f>SUM(E155:E158)/100000</f>
        <v>291.47992840909092</v>
      </c>
      <c r="F159" s="34"/>
      <c r="G159" s="34"/>
      <c r="H159" s="34"/>
      <c r="I159" s="34"/>
      <c r="J159" s="46"/>
    </row>
    <row r="160" spans="1:10" ht="13.5" thickBot="1">
      <c r="A160" s="52"/>
      <c r="B160" s="53"/>
      <c r="C160" s="53"/>
      <c r="D160" s="53"/>
      <c r="E160" s="53"/>
      <c r="F160" s="53"/>
      <c r="G160" s="53"/>
      <c r="H160" s="53"/>
      <c r="I160" s="53"/>
      <c r="J160" s="54"/>
    </row>
    <row r="161" spans="1:10">
      <c r="A161" s="30"/>
      <c r="B161" s="31"/>
      <c r="C161" s="31"/>
      <c r="D161" s="31"/>
      <c r="E161" s="31"/>
      <c r="F161" s="31"/>
      <c r="G161" s="31"/>
      <c r="H161" s="31"/>
      <c r="I161" s="31"/>
      <c r="J161" s="32"/>
    </row>
    <row r="162" spans="1:10">
      <c r="A162" s="33" t="s">
        <v>12</v>
      </c>
      <c r="B162" s="34">
        <f>B136</f>
        <v>80</v>
      </c>
      <c r="C162" s="34"/>
      <c r="D162" s="35" t="s">
        <v>13</v>
      </c>
      <c r="E162" s="36">
        <f>E136</f>
        <v>0.7</v>
      </c>
      <c r="F162" s="34"/>
      <c r="G162" s="37">
        <f>G136</f>
        <v>490</v>
      </c>
      <c r="H162" s="34"/>
      <c r="I162" s="34"/>
      <c r="J162" s="38"/>
    </row>
    <row r="163" spans="1:10">
      <c r="A163" s="33" t="s">
        <v>14</v>
      </c>
      <c r="B163" s="34">
        <f>B137</f>
        <v>80</v>
      </c>
      <c r="C163" s="34"/>
      <c r="D163" s="16" t="s">
        <v>15</v>
      </c>
      <c r="E163" s="36">
        <f>E137</f>
        <v>0.8</v>
      </c>
      <c r="F163" s="34"/>
      <c r="G163" s="34"/>
      <c r="H163" s="34"/>
      <c r="I163" s="34"/>
      <c r="J163" s="38"/>
    </row>
    <row r="164" spans="1:10" ht="15.75">
      <c r="A164" s="33" t="s">
        <v>16</v>
      </c>
      <c r="B164" s="39">
        <f>B162*B163</f>
        <v>6400</v>
      </c>
      <c r="C164" s="34"/>
      <c r="D164" s="16" t="s">
        <v>57</v>
      </c>
      <c r="E164" s="37">
        <f>E138</f>
        <v>309903.21069650113</v>
      </c>
      <c r="F164" s="34"/>
      <c r="G164" s="37">
        <f>G138</f>
        <v>4200</v>
      </c>
      <c r="H164" s="34"/>
      <c r="I164" s="34"/>
      <c r="J164" s="38"/>
    </row>
    <row r="165" spans="1:10" ht="15.75">
      <c r="A165" s="33" t="s">
        <v>58</v>
      </c>
      <c r="B165" s="17">
        <f>E137*E136*(0.85*G136*(B138-B140)+G138*B140)</f>
        <v>1662236.7999999998</v>
      </c>
      <c r="C165" s="34"/>
      <c r="D165" s="16" t="s">
        <v>59</v>
      </c>
      <c r="E165" s="37">
        <f>E139</f>
        <v>2039000</v>
      </c>
      <c r="F165" s="34"/>
      <c r="G165" s="34"/>
      <c r="H165" s="34"/>
      <c r="I165" s="34"/>
      <c r="J165" s="38"/>
    </row>
    <row r="166" spans="1:10" ht="15.75">
      <c r="A166" s="33" t="s">
        <v>5</v>
      </c>
      <c r="B166" s="17">
        <f>G171+G172</f>
        <v>80</v>
      </c>
      <c r="C166" s="34"/>
      <c r="D166" s="34"/>
      <c r="E166" s="34"/>
      <c r="F166" s="35" t="s">
        <v>60</v>
      </c>
      <c r="G166" s="40">
        <f>G140</f>
        <v>0.65</v>
      </c>
      <c r="H166" s="34"/>
      <c r="I166" s="34"/>
      <c r="J166" s="38"/>
    </row>
    <row r="167" spans="1:10">
      <c r="A167" s="41"/>
      <c r="B167" s="34"/>
      <c r="C167" s="34"/>
      <c r="D167" s="34"/>
      <c r="E167" s="34"/>
      <c r="F167" s="34"/>
      <c r="G167" s="34"/>
      <c r="H167" s="34"/>
      <c r="I167" s="34"/>
      <c r="J167" s="38"/>
    </row>
    <row r="168" spans="1:10">
      <c r="A168" s="41"/>
      <c r="B168" s="34"/>
      <c r="C168" s="34"/>
      <c r="D168" s="34"/>
      <c r="E168" s="34"/>
      <c r="F168" s="16" t="s">
        <v>0</v>
      </c>
      <c r="G168" s="42" t="s">
        <v>1</v>
      </c>
      <c r="H168" s="34"/>
      <c r="I168" s="34"/>
      <c r="J168" s="38"/>
    </row>
    <row r="169" spans="1:10">
      <c r="A169" s="43"/>
      <c r="B169" s="34"/>
      <c r="C169" s="34"/>
      <c r="D169" s="34"/>
      <c r="E169" s="34"/>
      <c r="F169" s="16" t="s">
        <v>3</v>
      </c>
      <c r="G169" s="42" t="s">
        <v>4</v>
      </c>
      <c r="H169" s="34"/>
      <c r="I169" s="34"/>
      <c r="J169" s="38"/>
    </row>
    <row r="170" spans="1:10">
      <c r="A170" s="33"/>
      <c r="B170" s="17"/>
      <c r="C170" s="34"/>
      <c r="D170" s="34"/>
      <c r="E170" s="34"/>
      <c r="F170" s="44" t="s">
        <v>22</v>
      </c>
      <c r="G170" s="39">
        <f>G144</f>
        <v>5</v>
      </c>
      <c r="H170" s="34"/>
      <c r="I170" s="34"/>
      <c r="J170" s="38"/>
    </row>
    <row r="171" spans="1:10">
      <c r="A171" s="33"/>
      <c r="B171" s="17"/>
      <c r="C171" s="34"/>
      <c r="D171" s="34"/>
      <c r="E171" s="34"/>
      <c r="F171" s="16" t="s">
        <v>0</v>
      </c>
      <c r="G171" s="34">
        <f>G145</f>
        <v>40</v>
      </c>
      <c r="H171" s="34"/>
      <c r="I171" s="34"/>
      <c r="J171" s="38"/>
    </row>
    <row r="172" spans="1:10">
      <c r="A172" s="33"/>
      <c r="B172" s="45"/>
      <c r="C172" s="34"/>
      <c r="D172" s="34"/>
      <c r="E172" s="34"/>
      <c r="F172" s="16" t="s">
        <v>3</v>
      </c>
      <c r="G172" s="34">
        <f>G146</f>
        <v>40</v>
      </c>
      <c r="H172" s="34"/>
      <c r="I172" s="34"/>
      <c r="J172" s="38"/>
    </row>
    <row r="173" spans="1:10">
      <c r="A173" s="43"/>
      <c r="B173" s="34"/>
      <c r="C173" s="34"/>
      <c r="D173" s="34"/>
      <c r="E173" s="34"/>
      <c r="F173" s="16" t="s">
        <v>5</v>
      </c>
      <c r="G173" s="34">
        <f>G171+G172</f>
        <v>80</v>
      </c>
      <c r="H173" s="34"/>
      <c r="I173" s="34"/>
      <c r="J173" s="46"/>
    </row>
    <row r="174" spans="1:10" ht="15.75">
      <c r="A174" s="43"/>
      <c r="B174" s="34"/>
      <c r="C174" s="34"/>
      <c r="D174" s="34"/>
      <c r="E174" s="47" t="s">
        <v>61</v>
      </c>
      <c r="F174" s="16" t="s">
        <v>62</v>
      </c>
      <c r="G174" s="48">
        <f>(G176*G175)/(G176+G177)</f>
        <v>44.467868566443734</v>
      </c>
      <c r="H174" s="34"/>
      <c r="I174" s="34" t="s">
        <v>2</v>
      </c>
      <c r="J174" s="46"/>
    </row>
    <row r="175" spans="1:10" ht="15.75">
      <c r="A175" s="33" t="s">
        <v>63</v>
      </c>
      <c r="B175" s="34">
        <f>G171</f>
        <v>40</v>
      </c>
      <c r="C175" s="35" t="s">
        <v>64</v>
      </c>
      <c r="D175" s="49">
        <f>G176*(G181-G170)/G181</f>
        <v>2.7000000000000001E-3</v>
      </c>
      <c r="E175" s="49">
        <f>(IF(ABS(D175)&gt;G177,G177,ABS(D175)))*I175</f>
        <v>2.0598332515939185E-3</v>
      </c>
      <c r="F175" s="16" t="s">
        <v>26</v>
      </c>
      <c r="G175" s="34">
        <f>B163-G170</f>
        <v>75</v>
      </c>
      <c r="H175" s="34"/>
      <c r="I175" s="34">
        <f>SIGN(D175)</f>
        <v>1</v>
      </c>
      <c r="J175" s="46"/>
    </row>
    <row r="176" spans="1:10" ht="15.75">
      <c r="A176" s="33" t="s">
        <v>65</v>
      </c>
      <c r="B176" s="34">
        <v>0</v>
      </c>
      <c r="C176" s="35" t="s">
        <v>66</v>
      </c>
      <c r="D176" s="49">
        <f>(G176*((B163/2)-G181)/G181)*(-1)</f>
        <v>5.9999999999999995E-4</v>
      </c>
      <c r="E176" s="49">
        <f>(IF(ABS(D176)&gt;G177,G177,ABS(D176)))*I176</f>
        <v>5.9999999999999995E-4</v>
      </c>
      <c r="F176" s="35" t="s">
        <v>67</v>
      </c>
      <c r="G176" s="34">
        <v>3.0000000000000001E-3</v>
      </c>
      <c r="H176" s="34"/>
      <c r="I176" s="34">
        <f>SIGN(D176)</f>
        <v>1</v>
      </c>
      <c r="J176" s="46"/>
    </row>
    <row r="177" spans="1:10" ht="15.75">
      <c r="A177" s="33" t="s">
        <v>68</v>
      </c>
      <c r="B177" s="34">
        <f>G172</f>
        <v>40</v>
      </c>
      <c r="C177" s="35" t="s">
        <v>69</v>
      </c>
      <c r="D177" s="49">
        <f>(G176*((G175-G181)/G181))*(-1)</f>
        <v>-1.5E-3</v>
      </c>
      <c r="E177" s="49">
        <f>(IF(ABS(D177)&gt;G177,G177,ABS(D177)))*I177</f>
        <v>-1.5E-3</v>
      </c>
      <c r="F177" s="35" t="s">
        <v>70</v>
      </c>
      <c r="G177" s="50">
        <f>G164/G178</f>
        <v>2.0598332515939185E-3</v>
      </c>
      <c r="H177" s="34"/>
      <c r="I177" s="34">
        <f>SIGN(D177)</f>
        <v>-1</v>
      </c>
      <c r="J177" s="38"/>
    </row>
    <row r="178" spans="1:10">
      <c r="A178" s="33" t="s">
        <v>5</v>
      </c>
      <c r="B178" s="34">
        <f>SUM(B175:B177)</f>
        <v>80</v>
      </c>
      <c r="C178" s="35"/>
      <c r="D178" s="49"/>
      <c r="E178" s="49"/>
      <c r="F178" s="16" t="s">
        <v>7</v>
      </c>
      <c r="G178" s="51">
        <v>2039000</v>
      </c>
      <c r="H178" s="34"/>
      <c r="I178" s="34"/>
      <c r="J178" s="38"/>
    </row>
    <row r="179" spans="1:10">
      <c r="A179" s="43"/>
      <c r="B179" s="34"/>
      <c r="C179" s="34"/>
      <c r="D179" s="34"/>
      <c r="E179" s="34"/>
      <c r="F179" s="16" t="s">
        <v>30</v>
      </c>
      <c r="G179" s="48">
        <f>0.85*G174</f>
        <v>37.797688281477171</v>
      </c>
      <c r="H179" s="34"/>
      <c r="I179" s="34"/>
      <c r="J179" s="46"/>
    </row>
    <row r="180" spans="1:10" ht="15.75">
      <c r="A180" s="33"/>
      <c r="B180" s="45" t="s">
        <v>71</v>
      </c>
      <c r="C180" s="45" t="s">
        <v>8</v>
      </c>
      <c r="D180" s="45" t="s">
        <v>9</v>
      </c>
      <c r="E180" s="45" t="s">
        <v>10</v>
      </c>
      <c r="F180" s="39"/>
      <c r="G180" s="34"/>
      <c r="H180" s="34"/>
      <c r="I180" s="34"/>
      <c r="J180" s="46"/>
    </row>
    <row r="181" spans="1:10" ht="15.75">
      <c r="A181" s="33" t="s">
        <v>72</v>
      </c>
      <c r="B181" s="51">
        <f>E175*$E$9</f>
        <v>4200</v>
      </c>
      <c r="C181" s="48">
        <f>B181*B175</f>
        <v>168000</v>
      </c>
      <c r="D181" s="17">
        <f>(B163/2)-G170</f>
        <v>35</v>
      </c>
      <c r="E181" s="17">
        <f>C181*D181</f>
        <v>5880000</v>
      </c>
      <c r="F181" s="16" t="s">
        <v>6</v>
      </c>
      <c r="G181" s="17">
        <f>G175-25</f>
        <v>50</v>
      </c>
      <c r="H181" s="34"/>
      <c r="I181" s="34"/>
      <c r="J181" s="38"/>
    </row>
    <row r="182" spans="1:10" ht="15.75">
      <c r="A182" s="33" t="s">
        <v>73</v>
      </c>
      <c r="B182" s="51">
        <f>E176*$E$9</f>
        <v>1223.3999999999999</v>
      </c>
      <c r="C182" s="48">
        <f>B182*B176</f>
        <v>0</v>
      </c>
      <c r="D182" s="17">
        <f>((B163/2)-(B163/2))*I176</f>
        <v>0</v>
      </c>
      <c r="E182" s="17">
        <f>C182*D182</f>
        <v>0</v>
      </c>
      <c r="F182" s="16" t="s">
        <v>30</v>
      </c>
      <c r="G182" s="17">
        <f>G166*G181</f>
        <v>32.5</v>
      </c>
      <c r="H182" s="34"/>
      <c r="I182" s="34"/>
      <c r="J182" s="38"/>
    </row>
    <row r="183" spans="1:10" ht="15.75">
      <c r="A183" s="33" t="s">
        <v>74</v>
      </c>
      <c r="B183" s="51">
        <f>E177*$E$9</f>
        <v>-3058.5</v>
      </c>
      <c r="C183" s="48">
        <f>B183*B177</f>
        <v>-122340</v>
      </c>
      <c r="D183" s="17">
        <f>((B163/2)-G170)*I177</f>
        <v>-35</v>
      </c>
      <c r="E183" s="17">
        <f>C183*D183</f>
        <v>4281900</v>
      </c>
      <c r="F183" s="34"/>
      <c r="G183" s="34"/>
      <c r="H183" s="34"/>
      <c r="I183" s="34"/>
      <c r="J183" s="38"/>
    </row>
    <row r="184" spans="1:10">
      <c r="A184" s="33" t="s">
        <v>11</v>
      </c>
      <c r="B184" s="51"/>
      <c r="C184" s="48">
        <f>G166*G162*G182*B162</f>
        <v>828100</v>
      </c>
      <c r="D184" s="17">
        <f>(B163/2)-(G182/2)</f>
        <v>23.75</v>
      </c>
      <c r="E184" s="17">
        <f>C184*D184</f>
        <v>19667375</v>
      </c>
      <c r="F184" s="34"/>
      <c r="G184" s="34"/>
      <c r="H184" s="34"/>
      <c r="I184" s="34"/>
      <c r="J184" s="38"/>
    </row>
    <row r="185" spans="1:10">
      <c r="A185" s="33"/>
      <c r="B185" s="25" t="s">
        <v>77</v>
      </c>
      <c r="C185" s="26">
        <f>SUM(C181:C184)/1000</f>
        <v>873.76</v>
      </c>
      <c r="D185" s="25" t="s">
        <v>78</v>
      </c>
      <c r="E185" s="27">
        <f>SUM(E181:E184)/100000</f>
        <v>298.29275000000001</v>
      </c>
      <c r="F185" s="34"/>
      <c r="G185" s="34"/>
      <c r="H185" s="34"/>
      <c r="I185" s="34"/>
      <c r="J185" s="46"/>
    </row>
    <row r="186" spans="1:10" ht="13.5" thickBot="1">
      <c r="A186" s="52"/>
      <c r="B186" s="53"/>
      <c r="C186" s="53"/>
      <c r="D186" s="53"/>
      <c r="E186" s="53"/>
      <c r="F186" s="53"/>
      <c r="G186" s="53"/>
      <c r="H186" s="53"/>
      <c r="I186" s="53"/>
      <c r="J186" s="54"/>
    </row>
    <row r="187" spans="1:10">
      <c r="A187" s="30"/>
      <c r="B187" s="31"/>
      <c r="C187" s="31"/>
      <c r="D187" s="31"/>
      <c r="E187" s="31"/>
      <c r="F187" s="31"/>
      <c r="G187" s="31"/>
      <c r="H187" s="31"/>
      <c r="I187" s="31"/>
      <c r="J187" s="32"/>
    </row>
    <row r="188" spans="1:10">
      <c r="A188" s="33" t="s">
        <v>12</v>
      </c>
      <c r="B188" s="34">
        <f>B162</f>
        <v>80</v>
      </c>
      <c r="C188" s="34"/>
      <c r="D188" s="35" t="s">
        <v>13</v>
      </c>
      <c r="E188" s="36">
        <f>E162</f>
        <v>0.7</v>
      </c>
      <c r="F188" s="34"/>
      <c r="G188" s="37">
        <f>G162</f>
        <v>490</v>
      </c>
      <c r="H188" s="34"/>
      <c r="I188" s="34"/>
      <c r="J188" s="38"/>
    </row>
    <row r="189" spans="1:10">
      <c r="A189" s="33" t="s">
        <v>14</v>
      </c>
      <c r="B189" s="34">
        <f>B163</f>
        <v>80</v>
      </c>
      <c r="C189" s="34"/>
      <c r="D189" s="16" t="s">
        <v>15</v>
      </c>
      <c r="E189" s="36">
        <f>E163</f>
        <v>0.8</v>
      </c>
      <c r="F189" s="34"/>
      <c r="G189" s="34"/>
      <c r="H189" s="34"/>
      <c r="I189" s="34"/>
      <c r="J189" s="38"/>
    </row>
    <row r="190" spans="1:10" ht="15.75">
      <c r="A190" s="33" t="s">
        <v>16</v>
      </c>
      <c r="B190" s="39">
        <f>B188*B189</f>
        <v>6400</v>
      </c>
      <c r="C190" s="34"/>
      <c r="D190" s="16" t="s">
        <v>57</v>
      </c>
      <c r="E190" s="37">
        <f>E164</f>
        <v>309903.21069650113</v>
      </c>
      <c r="F190" s="34"/>
      <c r="G190" s="37">
        <f>G164</f>
        <v>4200</v>
      </c>
      <c r="H190" s="34"/>
      <c r="I190" s="34"/>
      <c r="J190" s="38"/>
    </row>
    <row r="191" spans="1:10" ht="15.75">
      <c r="A191" s="33" t="s">
        <v>58</v>
      </c>
      <c r="B191" s="17">
        <f>E163*E162*(0.85*G162*(B164-B166)+G164*B166)</f>
        <v>1662236.7999999998</v>
      </c>
      <c r="C191" s="34"/>
      <c r="D191" s="16" t="s">
        <v>59</v>
      </c>
      <c r="E191" s="37">
        <f>E165</f>
        <v>2039000</v>
      </c>
      <c r="F191" s="34"/>
      <c r="G191" s="34"/>
      <c r="H191" s="34"/>
      <c r="I191" s="34"/>
      <c r="J191" s="38"/>
    </row>
    <row r="192" spans="1:10" ht="15.75">
      <c r="A192" s="33" t="s">
        <v>5</v>
      </c>
      <c r="B192" s="17">
        <f>G197+G198</f>
        <v>80</v>
      </c>
      <c r="C192" s="34"/>
      <c r="D192" s="34"/>
      <c r="E192" s="34"/>
      <c r="F192" s="35" t="s">
        <v>60</v>
      </c>
      <c r="G192" s="40">
        <f>G166</f>
        <v>0.65</v>
      </c>
      <c r="H192" s="34"/>
      <c r="I192" s="34"/>
      <c r="J192" s="38"/>
    </row>
    <row r="193" spans="1:10">
      <c r="A193" s="41"/>
      <c r="B193" s="34"/>
      <c r="C193" s="34"/>
      <c r="D193" s="34"/>
      <c r="E193" s="34"/>
      <c r="F193" s="34"/>
      <c r="G193" s="34"/>
      <c r="H193" s="34"/>
      <c r="I193" s="34"/>
      <c r="J193" s="38"/>
    </row>
    <row r="194" spans="1:10">
      <c r="A194" s="41"/>
      <c r="B194" s="34"/>
      <c r="C194" s="34"/>
      <c r="D194" s="34"/>
      <c r="E194" s="34"/>
      <c r="F194" s="16" t="s">
        <v>0</v>
      </c>
      <c r="G194" s="42" t="s">
        <v>1</v>
      </c>
      <c r="H194" s="34"/>
      <c r="I194" s="34"/>
      <c r="J194" s="38"/>
    </row>
    <row r="195" spans="1:10">
      <c r="A195" s="43"/>
      <c r="B195" s="34"/>
      <c r="C195" s="34"/>
      <c r="D195" s="34"/>
      <c r="E195" s="34"/>
      <c r="F195" s="16" t="s">
        <v>3</v>
      </c>
      <c r="G195" s="42" t="s">
        <v>4</v>
      </c>
      <c r="H195" s="34"/>
      <c r="I195" s="34"/>
      <c r="J195" s="38"/>
    </row>
    <row r="196" spans="1:10">
      <c r="A196" s="33"/>
      <c r="B196" s="17"/>
      <c r="C196" s="34"/>
      <c r="D196" s="34"/>
      <c r="E196" s="34"/>
      <c r="F196" s="44" t="s">
        <v>22</v>
      </c>
      <c r="G196" s="39">
        <f>G170</f>
        <v>5</v>
      </c>
      <c r="H196" s="34"/>
      <c r="I196" s="34"/>
      <c r="J196" s="38"/>
    </row>
    <row r="197" spans="1:10">
      <c r="A197" s="33"/>
      <c r="B197" s="17"/>
      <c r="C197" s="34"/>
      <c r="D197" s="34"/>
      <c r="E197" s="34"/>
      <c r="F197" s="16" t="s">
        <v>0</v>
      </c>
      <c r="G197" s="34">
        <f>G171</f>
        <v>40</v>
      </c>
      <c r="H197" s="34"/>
      <c r="I197" s="34"/>
      <c r="J197" s="38"/>
    </row>
    <row r="198" spans="1:10">
      <c r="A198" s="33"/>
      <c r="B198" s="45"/>
      <c r="C198" s="34"/>
      <c r="D198" s="34"/>
      <c r="E198" s="34"/>
      <c r="F198" s="16" t="s">
        <v>3</v>
      </c>
      <c r="G198" s="34">
        <f>G172</f>
        <v>40</v>
      </c>
      <c r="H198" s="34"/>
      <c r="I198" s="34"/>
      <c r="J198" s="38"/>
    </row>
    <row r="199" spans="1:10">
      <c r="A199" s="43"/>
      <c r="B199" s="34"/>
      <c r="C199" s="34"/>
      <c r="D199" s="34"/>
      <c r="E199" s="34"/>
      <c r="F199" s="16" t="s">
        <v>5</v>
      </c>
      <c r="G199" s="34">
        <f>G197+G198</f>
        <v>80</v>
      </c>
      <c r="H199" s="34"/>
      <c r="I199" s="34"/>
      <c r="J199" s="46"/>
    </row>
    <row r="200" spans="1:10" ht="15.75">
      <c r="A200" s="43"/>
      <c r="B200" s="34"/>
      <c r="C200" s="34"/>
      <c r="D200" s="34"/>
      <c r="E200" s="47" t="s">
        <v>61</v>
      </c>
      <c r="F200" s="16" t="s">
        <v>62</v>
      </c>
      <c r="G200" s="48">
        <f>(G202*G201)/(G202+G203)</f>
        <v>44.467868566443734</v>
      </c>
      <c r="H200" s="34"/>
      <c r="I200" s="34" t="s">
        <v>2</v>
      </c>
      <c r="J200" s="46"/>
    </row>
    <row r="201" spans="1:10" ht="15.75">
      <c r="A201" s="33" t="s">
        <v>63</v>
      </c>
      <c r="B201" s="34">
        <f>G197</f>
        <v>40</v>
      </c>
      <c r="C201" s="35" t="s">
        <v>64</v>
      </c>
      <c r="D201" s="49">
        <f>G202*(G207-G196)/G207</f>
        <v>2.6666666666666666E-3</v>
      </c>
      <c r="E201" s="49">
        <f>(IF(ABS(D201)&gt;G203,G203,ABS(D201)))*I201</f>
        <v>2.0598332515939185E-3</v>
      </c>
      <c r="F201" s="16" t="s">
        <v>26</v>
      </c>
      <c r="G201" s="34">
        <f>B189-G196</f>
        <v>75</v>
      </c>
      <c r="H201" s="34"/>
      <c r="I201" s="34">
        <f>SIGN(D201)</f>
        <v>1</v>
      </c>
      <c r="J201" s="46"/>
    </row>
    <row r="202" spans="1:10" ht="15.75">
      <c r="A202" s="33" t="s">
        <v>65</v>
      </c>
      <c r="B202" s="34">
        <v>0</v>
      </c>
      <c r="C202" s="35" t="s">
        <v>66</v>
      </c>
      <c r="D202" s="49">
        <f>(G202*((B189/2)-G207)/G207)*(-1)</f>
        <v>3.3333333333333332E-4</v>
      </c>
      <c r="E202" s="49">
        <f>(IF(ABS(D202)&gt;G203,G203,ABS(D202)))*I202</f>
        <v>3.3333333333333332E-4</v>
      </c>
      <c r="F202" s="35" t="s">
        <v>67</v>
      </c>
      <c r="G202" s="34">
        <v>3.0000000000000001E-3</v>
      </c>
      <c r="H202" s="34"/>
      <c r="I202" s="34">
        <f>SIGN(D202)</f>
        <v>1</v>
      </c>
      <c r="J202" s="46"/>
    </row>
    <row r="203" spans="1:10" ht="15.75">
      <c r="A203" s="33" t="s">
        <v>68</v>
      </c>
      <c r="B203" s="34">
        <f>G198</f>
        <v>40</v>
      </c>
      <c r="C203" s="35" t="s">
        <v>69</v>
      </c>
      <c r="D203" s="49">
        <f>(G202*((G201-G207)/G207))*(-1)</f>
        <v>-2E-3</v>
      </c>
      <c r="E203" s="49">
        <f>(IF(ABS(D203)&gt;G203,G203,ABS(D203)))*I203</f>
        <v>-2E-3</v>
      </c>
      <c r="F203" s="35" t="s">
        <v>70</v>
      </c>
      <c r="G203" s="50">
        <f>G190/G204</f>
        <v>2.0598332515939185E-3</v>
      </c>
      <c r="H203" s="34"/>
      <c r="I203" s="34">
        <f>SIGN(D203)</f>
        <v>-1</v>
      </c>
      <c r="J203" s="38"/>
    </row>
    <row r="204" spans="1:10">
      <c r="A204" s="33" t="s">
        <v>5</v>
      </c>
      <c r="B204" s="34">
        <f>SUM(B201:B203)</f>
        <v>80</v>
      </c>
      <c r="C204" s="35"/>
      <c r="D204" s="49"/>
      <c r="E204" s="49"/>
      <c r="F204" s="16" t="s">
        <v>7</v>
      </c>
      <c r="G204" s="51">
        <v>2039000</v>
      </c>
      <c r="H204" s="34"/>
      <c r="I204" s="34"/>
      <c r="J204" s="38"/>
    </row>
    <row r="205" spans="1:10">
      <c r="A205" s="43"/>
      <c r="B205" s="34"/>
      <c r="C205" s="34"/>
      <c r="D205" s="34"/>
      <c r="E205" s="34"/>
      <c r="F205" s="16" t="s">
        <v>30</v>
      </c>
      <c r="G205" s="48">
        <f>0.85*G200</f>
        <v>37.797688281477171</v>
      </c>
      <c r="H205" s="34"/>
      <c r="I205" s="34"/>
      <c r="J205" s="46"/>
    </row>
    <row r="206" spans="1:10" ht="15.75">
      <c r="A206" s="33"/>
      <c r="B206" s="45" t="s">
        <v>71</v>
      </c>
      <c r="C206" s="45" t="s">
        <v>8</v>
      </c>
      <c r="D206" s="45" t="s">
        <v>9</v>
      </c>
      <c r="E206" s="45" t="s">
        <v>10</v>
      </c>
      <c r="F206" s="39"/>
      <c r="G206" s="34"/>
      <c r="H206" s="34"/>
      <c r="I206" s="34"/>
      <c r="J206" s="46"/>
    </row>
    <row r="207" spans="1:10" ht="15.75">
      <c r="A207" s="33" t="s">
        <v>72</v>
      </c>
      <c r="B207" s="51">
        <f>E201*$E$9</f>
        <v>4200</v>
      </c>
      <c r="C207" s="48">
        <f>B207*B201</f>
        <v>168000</v>
      </c>
      <c r="D207" s="17">
        <f>(B189/2)-G196</f>
        <v>35</v>
      </c>
      <c r="E207" s="17">
        <f>C207*D207</f>
        <v>5880000</v>
      </c>
      <c r="F207" s="16" t="s">
        <v>6</v>
      </c>
      <c r="G207" s="17">
        <f>G201-30</f>
        <v>45</v>
      </c>
      <c r="H207" s="34"/>
      <c r="I207" s="34"/>
      <c r="J207" s="38"/>
    </row>
    <row r="208" spans="1:10" ht="15.75">
      <c r="A208" s="33" t="s">
        <v>73</v>
      </c>
      <c r="B208" s="51">
        <f>E202*$E$9</f>
        <v>679.66666666666663</v>
      </c>
      <c r="C208" s="48">
        <f>B208*B202</f>
        <v>0</v>
      </c>
      <c r="D208" s="17">
        <f>((B189/2)-(B189/2))*I202</f>
        <v>0</v>
      </c>
      <c r="E208" s="17">
        <f>C208*D208</f>
        <v>0</v>
      </c>
      <c r="F208" s="16" t="s">
        <v>30</v>
      </c>
      <c r="G208" s="17">
        <f>G192*G207</f>
        <v>29.25</v>
      </c>
      <c r="H208" s="34"/>
      <c r="I208" s="34"/>
      <c r="J208" s="38"/>
    </row>
    <row r="209" spans="1:10" ht="15.75">
      <c r="A209" s="33" t="s">
        <v>74</v>
      </c>
      <c r="B209" s="51">
        <f>E203*$E$9</f>
        <v>-4078</v>
      </c>
      <c r="C209" s="48">
        <f>B209*B203</f>
        <v>-163120</v>
      </c>
      <c r="D209" s="17">
        <f>((B189/2)-G196)*I203</f>
        <v>-35</v>
      </c>
      <c r="E209" s="17">
        <f>C209*D209</f>
        <v>5709200</v>
      </c>
      <c r="F209" s="34"/>
      <c r="G209" s="34"/>
      <c r="H209" s="34"/>
      <c r="I209" s="34"/>
      <c r="J209" s="38"/>
    </row>
    <row r="210" spans="1:10">
      <c r="A210" s="33" t="s">
        <v>11</v>
      </c>
      <c r="B210" s="51"/>
      <c r="C210" s="48">
        <f>G192*G188*G208*B188</f>
        <v>745290</v>
      </c>
      <c r="D210" s="17">
        <f>(B189/2)-(G208/2)</f>
        <v>25.375</v>
      </c>
      <c r="E210" s="17">
        <f>C210*D210</f>
        <v>18911733.75</v>
      </c>
      <c r="F210" s="34"/>
      <c r="G210" s="34"/>
      <c r="H210" s="34"/>
      <c r="I210" s="34"/>
      <c r="J210" s="38"/>
    </row>
    <row r="211" spans="1:10">
      <c r="A211" s="33"/>
      <c r="B211" s="25" t="s">
        <v>77</v>
      </c>
      <c r="C211" s="26">
        <f>SUM(C207:C210)/1000</f>
        <v>750.17</v>
      </c>
      <c r="D211" s="25" t="s">
        <v>78</v>
      </c>
      <c r="E211" s="27">
        <f>SUM(E207:E210)/100000</f>
        <v>305.00933750000002</v>
      </c>
      <c r="F211" s="34"/>
      <c r="G211" s="34"/>
      <c r="H211" s="34"/>
      <c r="I211" s="34"/>
      <c r="J211" s="46"/>
    </row>
    <row r="212" spans="1:10" ht="13.5" thickBot="1">
      <c r="A212" s="52"/>
      <c r="B212" s="53"/>
      <c r="C212" s="53"/>
      <c r="D212" s="53"/>
      <c r="E212" s="53"/>
      <c r="F212" s="53"/>
      <c r="G212" s="53"/>
      <c r="H212" s="53"/>
      <c r="I212" s="53"/>
      <c r="J212" s="54"/>
    </row>
    <row r="213" spans="1:10">
      <c r="A213" s="30"/>
      <c r="B213" s="31"/>
      <c r="C213" s="31"/>
      <c r="D213" s="31"/>
      <c r="E213" s="31"/>
      <c r="F213" s="31"/>
      <c r="G213" s="31"/>
      <c r="H213" s="31"/>
      <c r="I213" s="31"/>
      <c r="J213" s="32"/>
    </row>
    <row r="214" spans="1:10">
      <c r="A214" s="33" t="s">
        <v>12</v>
      </c>
      <c r="B214" s="34">
        <f>B188</f>
        <v>80</v>
      </c>
      <c r="C214" s="34"/>
      <c r="D214" s="35" t="s">
        <v>13</v>
      </c>
      <c r="E214" s="36">
        <f>E188</f>
        <v>0.7</v>
      </c>
      <c r="F214" s="34"/>
      <c r="G214" s="37">
        <f>G188</f>
        <v>490</v>
      </c>
      <c r="H214" s="34"/>
      <c r="I214" s="34"/>
      <c r="J214" s="38"/>
    </row>
    <row r="215" spans="1:10">
      <c r="A215" s="33" t="s">
        <v>14</v>
      </c>
      <c r="B215" s="34">
        <f>B189</f>
        <v>80</v>
      </c>
      <c r="C215" s="34"/>
      <c r="D215" s="16" t="s">
        <v>15</v>
      </c>
      <c r="E215" s="36">
        <f>E189</f>
        <v>0.8</v>
      </c>
      <c r="F215" s="34"/>
      <c r="G215" s="34"/>
      <c r="H215" s="34"/>
      <c r="I215" s="34"/>
      <c r="J215" s="38"/>
    </row>
    <row r="216" spans="1:10" ht="15.75">
      <c r="A216" s="33" t="s">
        <v>16</v>
      </c>
      <c r="B216" s="39">
        <f>B214*B215</f>
        <v>6400</v>
      </c>
      <c r="C216" s="34"/>
      <c r="D216" s="16" t="s">
        <v>57</v>
      </c>
      <c r="E216" s="37">
        <f>E190</f>
        <v>309903.21069650113</v>
      </c>
      <c r="F216" s="34"/>
      <c r="G216" s="37">
        <f>G190</f>
        <v>4200</v>
      </c>
      <c r="H216" s="34"/>
      <c r="I216" s="34"/>
      <c r="J216" s="38"/>
    </row>
    <row r="217" spans="1:10" ht="15.75">
      <c r="A217" s="33" t="s">
        <v>58</v>
      </c>
      <c r="B217" s="17">
        <f>E189*E188*(0.85*G188*(B190-B192)+G190*B192)</f>
        <v>1662236.7999999998</v>
      </c>
      <c r="C217" s="34"/>
      <c r="D217" s="16" t="s">
        <v>59</v>
      </c>
      <c r="E217" s="37">
        <f>E191</f>
        <v>2039000</v>
      </c>
      <c r="F217" s="34"/>
      <c r="G217" s="34"/>
      <c r="H217" s="34"/>
      <c r="I217" s="34"/>
      <c r="J217" s="38"/>
    </row>
    <row r="218" spans="1:10" ht="15.75">
      <c r="A218" s="33" t="s">
        <v>5</v>
      </c>
      <c r="B218" s="17">
        <f>G223+G224</f>
        <v>80</v>
      </c>
      <c r="C218" s="34"/>
      <c r="D218" s="34"/>
      <c r="E218" s="34"/>
      <c r="F218" s="35" t="s">
        <v>60</v>
      </c>
      <c r="G218" s="40">
        <f>G192</f>
        <v>0.65</v>
      </c>
      <c r="H218" s="34"/>
      <c r="I218" s="34"/>
      <c r="J218" s="38"/>
    </row>
    <row r="219" spans="1:10">
      <c r="A219" s="41"/>
      <c r="B219" s="34"/>
      <c r="C219" s="34"/>
      <c r="D219" s="34"/>
      <c r="E219" s="34"/>
      <c r="F219" s="34"/>
      <c r="G219" s="34"/>
      <c r="H219" s="34"/>
      <c r="I219" s="34"/>
      <c r="J219" s="38"/>
    </row>
    <row r="220" spans="1:10">
      <c r="A220" s="41"/>
      <c r="B220" s="34"/>
      <c r="C220" s="34"/>
      <c r="D220" s="34"/>
      <c r="E220" s="34"/>
      <c r="F220" s="16" t="s">
        <v>0</v>
      </c>
      <c r="G220" s="42" t="s">
        <v>1</v>
      </c>
      <c r="H220" s="34"/>
      <c r="I220" s="34"/>
      <c r="J220" s="38"/>
    </row>
    <row r="221" spans="1:10">
      <c r="A221" s="43"/>
      <c r="B221" s="34"/>
      <c r="C221" s="34"/>
      <c r="D221" s="34"/>
      <c r="E221" s="34"/>
      <c r="F221" s="16" t="s">
        <v>3</v>
      </c>
      <c r="G221" s="42" t="s">
        <v>4</v>
      </c>
      <c r="H221" s="34"/>
      <c r="I221" s="34"/>
      <c r="J221" s="38"/>
    </row>
    <row r="222" spans="1:10">
      <c r="A222" s="33"/>
      <c r="B222" s="17"/>
      <c r="C222" s="34"/>
      <c r="D222" s="34"/>
      <c r="E222" s="34"/>
      <c r="F222" s="44" t="s">
        <v>22</v>
      </c>
      <c r="G222" s="39">
        <f>G196</f>
        <v>5</v>
      </c>
      <c r="H222" s="34"/>
      <c r="I222" s="34"/>
      <c r="J222" s="38"/>
    </row>
    <row r="223" spans="1:10">
      <c r="A223" s="33"/>
      <c r="B223" s="17"/>
      <c r="C223" s="34"/>
      <c r="D223" s="34"/>
      <c r="E223" s="34"/>
      <c r="F223" s="16" t="s">
        <v>0</v>
      </c>
      <c r="G223" s="34">
        <f>G197</f>
        <v>40</v>
      </c>
      <c r="H223" s="34"/>
      <c r="I223" s="34"/>
      <c r="J223" s="38"/>
    </row>
    <row r="224" spans="1:10">
      <c r="A224" s="33"/>
      <c r="B224" s="45"/>
      <c r="C224" s="34"/>
      <c r="D224" s="34"/>
      <c r="E224" s="34"/>
      <c r="F224" s="16" t="s">
        <v>3</v>
      </c>
      <c r="G224" s="34">
        <f>G198</f>
        <v>40</v>
      </c>
      <c r="H224" s="34"/>
      <c r="I224" s="34"/>
      <c r="J224" s="38"/>
    </row>
    <row r="225" spans="1:10">
      <c r="A225" s="43"/>
      <c r="B225" s="34"/>
      <c r="C225" s="34"/>
      <c r="D225" s="34"/>
      <c r="E225" s="34"/>
      <c r="F225" s="16" t="s">
        <v>5</v>
      </c>
      <c r="G225" s="34">
        <f>G223+G224</f>
        <v>80</v>
      </c>
      <c r="H225" s="34"/>
      <c r="I225" s="34"/>
      <c r="J225" s="46"/>
    </row>
    <row r="226" spans="1:10" ht="15.75">
      <c r="A226" s="43"/>
      <c r="B226" s="34"/>
      <c r="C226" s="34"/>
      <c r="D226" s="34"/>
      <c r="E226" s="47" t="s">
        <v>61</v>
      </c>
      <c r="F226" s="16" t="s">
        <v>62</v>
      </c>
      <c r="G226" s="48">
        <f>(G228*G227)/(G228+G229)</f>
        <v>44.467868566443734</v>
      </c>
      <c r="H226" s="34"/>
      <c r="I226" s="34" t="s">
        <v>2</v>
      </c>
      <c r="J226" s="46"/>
    </row>
    <row r="227" spans="1:10" ht="15.75">
      <c r="A227" s="33" t="s">
        <v>63</v>
      </c>
      <c r="B227" s="34">
        <f>G223</f>
        <v>40</v>
      </c>
      <c r="C227" s="35" t="s">
        <v>64</v>
      </c>
      <c r="D227" s="49">
        <f>G228*(G233-G222)/G233</f>
        <v>2.6249999999999997E-3</v>
      </c>
      <c r="E227" s="49">
        <f>(IF(ABS(D227)&gt;G229,G229,ABS(D227)))*I227</f>
        <v>2.0598332515939185E-3</v>
      </c>
      <c r="F227" s="16" t="s">
        <v>26</v>
      </c>
      <c r="G227" s="34">
        <f>B215-G222</f>
        <v>75</v>
      </c>
      <c r="H227" s="34"/>
      <c r="I227" s="34">
        <f>SIGN(D227)</f>
        <v>1</v>
      </c>
      <c r="J227" s="46"/>
    </row>
    <row r="228" spans="1:10" ht="15.75">
      <c r="A228" s="33" t="s">
        <v>65</v>
      </c>
      <c r="B228" s="34">
        <v>0</v>
      </c>
      <c r="C228" s="35" t="s">
        <v>66</v>
      </c>
      <c r="D228" s="49">
        <f>(G228*((B215/2)-G233)/G233)*(-1)</f>
        <v>0</v>
      </c>
      <c r="E228" s="49">
        <f>(IF(ABS(D228)&gt;G229,G229,ABS(D228)))*I228</f>
        <v>0</v>
      </c>
      <c r="F228" s="35" t="s">
        <v>67</v>
      </c>
      <c r="G228" s="34">
        <v>3.0000000000000001E-3</v>
      </c>
      <c r="H228" s="34"/>
      <c r="I228" s="34">
        <f>SIGN(D228)</f>
        <v>0</v>
      </c>
      <c r="J228" s="46"/>
    </row>
    <row r="229" spans="1:10" ht="15.75">
      <c r="A229" s="33" t="s">
        <v>68</v>
      </c>
      <c r="B229" s="34">
        <f>G224</f>
        <v>40</v>
      </c>
      <c r="C229" s="35" t="s">
        <v>69</v>
      </c>
      <c r="D229" s="49">
        <f>(G228*((G227-G233)/G233))*(-1)</f>
        <v>-2.6250000000000002E-3</v>
      </c>
      <c r="E229" s="49">
        <f>(IF(ABS(D229)&gt;G229,G229,ABS(D229)))*I229</f>
        <v>-2.0598332515939185E-3</v>
      </c>
      <c r="F229" s="35" t="s">
        <v>70</v>
      </c>
      <c r="G229" s="50">
        <f>G216/G230</f>
        <v>2.0598332515939185E-3</v>
      </c>
      <c r="H229" s="34"/>
      <c r="I229" s="34">
        <f>SIGN(D229)</f>
        <v>-1</v>
      </c>
      <c r="J229" s="38"/>
    </row>
    <row r="230" spans="1:10">
      <c r="A230" s="33" t="s">
        <v>5</v>
      </c>
      <c r="B230" s="34">
        <f>SUM(B227:B229)</f>
        <v>80</v>
      </c>
      <c r="C230" s="35"/>
      <c r="D230" s="49"/>
      <c r="E230" s="49"/>
      <c r="F230" s="16" t="s">
        <v>7</v>
      </c>
      <c r="G230" s="51">
        <v>2039000</v>
      </c>
      <c r="H230" s="34"/>
      <c r="I230" s="34"/>
      <c r="J230" s="38"/>
    </row>
    <row r="231" spans="1:10">
      <c r="A231" s="43"/>
      <c r="B231" s="34"/>
      <c r="C231" s="34"/>
      <c r="D231" s="34"/>
      <c r="E231" s="34"/>
      <c r="F231" s="16" t="s">
        <v>30</v>
      </c>
      <c r="G231" s="48">
        <f>0.85*G226</f>
        <v>37.797688281477171</v>
      </c>
      <c r="H231" s="34"/>
      <c r="I231" s="34"/>
      <c r="J231" s="46"/>
    </row>
    <row r="232" spans="1:10" ht="15.75">
      <c r="A232" s="33"/>
      <c r="B232" s="45" t="s">
        <v>71</v>
      </c>
      <c r="C232" s="45" t="s">
        <v>8</v>
      </c>
      <c r="D232" s="45" t="s">
        <v>9</v>
      </c>
      <c r="E232" s="45" t="s">
        <v>10</v>
      </c>
      <c r="F232" s="39"/>
      <c r="G232" s="34"/>
      <c r="H232" s="34"/>
      <c r="I232" s="34"/>
      <c r="J232" s="46"/>
    </row>
    <row r="233" spans="1:10" ht="15.75">
      <c r="A233" s="33" t="s">
        <v>72</v>
      </c>
      <c r="B233" s="51">
        <f>E227*$E$9</f>
        <v>4200</v>
      </c>
      <c r="C233" s="48">
        <f>B233*B227</f>
        <v>168000</v>
      </c>
      <c r="D233" s="17">
        <f>(B215/2)-G222</f>
        <v>35</v>
      </c>
      <c r="E233" s="17">
        <f>C233*D233</f>
        <v>5880000</v>
      </c>
      <c r="F233" s="16" t="s">
        <v>6</v>
      </c>
      <c r="G233" s="17">
        <f>G227-35</f>
        <v>40</v>
      </c>
      <c r="H233" s="34"/>
      <c r="I233" s="34"/>
      <c r="J233" s="38"/>
    </row>
    <row r="234" spans="1:10" ht="15.75">
      <c r="A234" s="33" t="s">
        <v>73</v>
      </c>
      <c r="B234" s="51">
        <f>E228*$E$9</f>
        <v>0</v>
      </c>
      <c r="C234" s="48">
        <f>B234*B228</f>
        <v>0</v>
      </c>
      <c r="D234" s="17">
        <f>((B215/2)-(B215/2))*I228</f>
        <v>0</v>
      </c>
      <c r="E234" s="17">
        <f>C234*D234</f>
        <v>0</v>
      </c>
      <c r="F234" s="16" t="s">
        <v>30</v>
      </c>
      <c r="G234" s="17">
        <f>G218*G233</f>
        <v>26</v>
      </c>
      <c r="H234" s="34"/>
      <c r="I234" s="34"/>
      <c r="J234" s="38"/>
    </row>
    <row r="235" spans="1:10" ht="15.75">
      <c r="A235" s="33" t="s">
        <v>74</v>
      </c>
      <c r="B235" s="51">
        <f>E229*$E$9</f>
        <v>-4200</v>
      </c>
      <c r="C235" s="48">
        <f>B235*B229</f>
        <v>-168000</v>
      </c>
      <c r="D235" s="17">
        <f>((B215/2)-G222)*I229</f>
        <v>-35</v>
      </c>
      <c r="E235" s="17">
        <f>C235*D235</f>
        <v>5880000</v>
      </c>
      <c r="F235" s="34"/>
      <c r="G235" s="34"/>
      <c r="H235" s="34"/>
      <c r="I235" s="34"/>
      <c r="J235" s="38"/>
    </row>
    <row r="236" spans="1:10">
      <c r="A236" s="33" t="s">
        <v>11</v>
      </c>
      <c r="B236" s="51"/>
      <c r="C236" s="48">
        <f>G218*G214*G234*B214</f>
        <v>662480</v>
      </c>
      <c r="D236" s="17">
        <f>(B215/2)-(G234/2)</f>
        <v>27</v>
      </c>
      <c r="E236" s="17">
        <f>C236*D236</f>
        <v>17886960</v>
      </c>
      <c r="F236" s="34"/>
      <c r="G236" s="34"/>
      <c r="H236" s="34"/>
      <c r="I236" s="34"/>
      <c r="J236" s="38"/>
    </row>
    <row r="237" spans="1:10">
      <c r="A237" s="33"/>
      <c r="B237" s="25" t="s">
        <v>77</v>
      </c>
      <c r="C237" s="26">
        <f>SUM(C233:C236)/1000</f>
        <v>662.48</v>
      </c>
      <c r="D237" s="25" t="s">
        <v>78</v>
      </c>
      <c r="E237" s="27">
        <f>SUM(E233:E236)/100000</f>
        <v>296.46960000000001</v>
      </c>
      <c r="F237" s="34"/>
      <c r="G237" s="34"/>
      <c r="H237" s="34"/>
      <c r="I237" s="34"/>
      <c r="J237" s="46"/>
    </row>
    <row r="238" spans="1:10" ht="13.5" thickBot="1">
      <c r="A238" s="52"/>
      <c r="B238" s="53"/>
      <c r="C238" s="53"/>
      <c r="D238" s="53"/>
      <c r="E238" s="53"/>
      <c r="F238" s="53"/>
      <c r="G238" s="53"/>
      <c r="H238" s="53"/>
      <c r="I238" s="53"/>
      <c r="J238" s="54"/>
    </row>
    <row r="239" spans="1:10">
      <c r="A239" s="30"/>
      <c r="B239" s="31"/>
      <c r="C239" s="31"/>
      <c r="D239" s="31"/>
      <c r="E239" s="31"/>
      <c r="F239" s="31"/>
      <c r="G239" s="31"/>
      <c r="H239" s="31"/>
      <c r="I239" s="31"/>
      <c r="J239" s="32"/>
    </row>
    <row r="240" spans="1:10">
      <c r="A240" s="33" t="s">
        <v>12</v>
      </c>
      <c r="B240" s="34">
        <f>B214</f>
        <v>80</v>
      </c>
      <c r="C240" s="34"/>
      <c r="D240" s="35" t="s">
        <v>13</v>
      </c>
      <c r="E240" s="36">
        <f>E214</f>
        <v>0.7</v>
      </c>
      <c r="F240" s="34"/>
      <c r="G240" s="37">
        <f>G214</f>
        <v>490</v>
      </c>
      <c r="H240" s="34"/>
      <c r="I240" s="34"/>
      <c r="J240" s="38"/>
    </row>
    <row r="241" spans="1:10">
      <c r="A241" s="33" t="s">
        <v>14</v>
      </c>
      <c r="B241" s="34">
        <f>B215</f>
        <v>80</v>
      </c>
      <c r="C241" s="34"/>
      <c r="D241" s="16" t="s">
        <v>15</v>
      </c>
      <c r="E241" s="36">
        <f>E215</f>
        <v>0.8</v>
      </c>
      <c r="F241" s="34"/>
      <c r="G241" s="34"/>
      <c r="H241" s="34"/>
      <c r="I241" s="34"/>
      <c r="J241" s="38"/>
    </row>
    <row r="242" spans="1:10" ht="15.75">
      <c r="A242" s="33" t="s">
        <v>16</v>
      </c>
      <c r="B242" s="39">
        <f>B240*B241</f>
        <v>6400</v>
      </c>
      <c r="C242" s="34"/>
      <c r="D242" s="16" t="s">
        <v>57</v>
      </c>
      <c r="E242" s="37">
        <f>E216</f>
        <v>309903.21069650113</v>
      </c>
      <c r="F242" s="34"/>
      <c r="G242" s="37">
        <f>G216</f>
        <v>4200</v>
      </c>
      <c r="H242" s="34"/>
      <c r="I242" s="34"/>
      <c r="J242" s="38"/>
    </row>
    <row r="243" spans="1:10" ht="15.75">
      <c r="A243" s="33" t="s">
        <v>58</v>
      </c>
      <c r="B243" s="17">
        <f>E215*E214*(0.85*G214*(B216-B218)+G216*B218)</f>
        <v>1662236.7999999998</v>
      </c>
      <c r="C243" s="34"/>
      <c r="D243" s="16" t="s">
        <v>59</v>
      </c>
      <c r="E243" s="37">
        <f>E217</f>
        <v>2039000</v>
      </c>
      <c r="F243" s="34"/>
      <c r="G243" s="34"/>
      <c r="H243" s="34"/>
      <c r="I243" s="34"/>
      <c r="J243" s="38"/>
    </row>
    <row r="244" spans="1:10" ht="15.75">
      <c r="A244" s="33" t="s">
        <v>5</v>
      </c>
      <c r="B244" s="17">
        <f>G249+G250</f>
        <v>80</v>
      </c>
      <c r="C244" s="34"/>
      <c r="D244" s="34"/>
      <c r="E244" s="34"/>
      <c r="F244" s="35" t="s">
        <v>60</v>
      </c>
      <c r="G244" s="40">
        <f>G218</f>
        <v>0.65</v>
      </c>
      <c r="H244" s="34"/>
      <c r="I244" s="34"/>
      <c r="J244" s="38"/>
    </row>
    <row r="245" spans="1:10">
      <c r="A245" s="41"/>
      <c r="B245" s="34"/>
      <c r="C245" s="34"/>
      <c r="D245" s="34"/>
      <c r="E245" s="34"/>
      <c r="F245" s="34"/>
      <c r="G245" s="34"/>
      <c r="H245" s="34"/>
      <c r="I245" s="34"/>
      <c r="J245" s="38"/>
    </row>
    <row r="246" spans="1:10">
      <c r="A246" s="41"/>
      <c r="B246" s="34"/>
      <c r="C246" s="34"/>
      <c r="D246" s="34"/>
      <c r="E246" s="34"/>
      <c r="F246" s="16" t="s">
        <v>0</v>
      </c>
      <c r="G246" s="42" t="s">
        <v>1</v>
      </c>
      <c r="H246" s="34"/>
      <c r="I246" s="34"/>
      <c r="J246" s="38"/>
    </row>
    <row r="247" spans="1:10">
      <c r="A247" s="43"/>
      <c r="B247" s="34"/>
      <c r="C247" s="34"/>
      <c r="D247" s="34"/>
      <c r="E247" s="34"/>
      <c r="F247" s="16" t="s">
        <v>3</v>
      </c>
      <c r="G247" s="42" t="s">
        <v>4</v>
      </c>
      <c r="H247" s="34"/>
      <c r="I247" s="34"/>
      <c r="J247" s="38"/>
    </row>
    <row r="248" spans="1:10">
      <c r="A248" s="33"/>
      <c r="B248" s="17"/>
      <c r="C248" s="34"/>
      <c r="D248" s="34"/>
      <c r="E248" s="34"/>
      <c r="F248" s="44" t="s">
        <v>22</v>
      </c>
      <c r="G248" s="39">
        <f>G222</f>
        <v>5</v>
      </c>
      <c r="H248" s="34"/>
      <c r="I248" s="34"/>
      <c r="J248" s="38"/>
    </row>
    <row r="249" spans="1:10">
      <c r="A249" s="33"/>
      <c r="B249" s="17"/>
      <c r="C249" s="34"/>
      <c r="D249" s="34"/>
      <c r="E249" s="34"/>
      <c r="F249" s="16" t="s">
        <v>0</v>
      </c>
      <c r="G249" s="34">
        <f>G223</f>
        <v>40</v>
      </c>
      <c r="H249" s="34"/>
      <c r="I249" s="34"/>
      <c r="J249" s="38"/>
    </row>
    <row r="250" spans="1:10">
      <c r="A250" s="33"/>
      <c r="B250" s="45"/>
      <c r="C250" s="34"/>
      <c r="D250" s="34"/>
      <c r="E250" s="34"/>
      <c r="F250" s="16" t="s">
        <v>3</v>
      </c>
      <c r="G250" s="34">
        <f>G224</f>
        <v>40</v>
      </c>
      <c r="H250" s="34"/>
      <c r="I250" s="34"/>
      <c r="J250" s="38"/>
    </row>
    <row r="251" spans="1:10">
      <c r="A251" s="43"/>
      <c r="B251" s="34"/>
      <c r="C251" s="34"/>
      <c r="D251" s="34"/>
      <c r="E251" s="34"/>
      <c r="F251" s="16" t="s">
        <v>5</v>
      </c>
      <c r="G251" s="34">
        <f>G249+G250</f>
        <v>80</v>
      </c>
      <c r="H251" s="34"/>
      <c r="I251" s="34"/>
      <c r="J251" s="46"/>
    </row>
    <row r="252" spans="1:10" ht="15.75">
      <c r="A252" s="43"/>
      <c r="B252" s="34"/>
      <c r="C252" s="34"/>
      <c r="D252" s="34"/>
      <c r="E252" s="47" t="s">
        <v>61</v>
      </c>
      <c r="F252" s="16" t="s">
        <v>62</v>
      </c>
      <c r="G252" s="48">
        <f>(G254*G253)/(G254+G255)</f>
        <v>44.467868566443734</v>
      </c>
      <c r="H252" s="34"/>
      <c r="I252" s="34" t="s">
        <v>2</v>
      </c>
      <c r="J252" s="46"/>
    </row>
    <row r="253" spans="1:10" ht="15.75">
      <c r="A253" s="33" t="s">
        <v>63</v>
      </c>
      <c r="B253" s="34">
        <f>G249</f>
        <v>40</v>
      </c>
      <c r="C253" s="35" t="s">
        <v>64</v>
      </c>
      <c r="D253" s="49">
        <f>G254*(G259-G248)/G259</f>
        <v>2.5714285714285713E-3</v>
      </c>
      <c r="E253" s="49">
        <f>(IF(ABS(D253)&gt;G255,G255,ABS(D253)))*I253</f>
        <v>2.0598332515939185E-3</v>
      </c>
      <c r="F253" s="16" t="s">
        <v>26</v>
      </c>
      <c r="G253" s="34">
        <f>B241-G248</f>
        <v>75</v>
      </c>
      <c r="H253" s="34"/>
      <c r="I253" s="34">
        <f>SIGN(D253)</f>
        <v>1</v>
      </c>
      <c r="J253" s="46"/>
    </row>
    <row r="254" spans="1:10" ht="15.75">
      <c r="A254" s="33" t="s">
        <v>65</v>
      </c>
      <c r="B254" s="34">
        <v>0</v>
      </c>
      <c r="C254" s="35" t="s">
        <v>66</v>
      </c>
      <c r="D254" s="49">
        <f>(G254*((B241/2)-G259)/G259)*(-1)</f>
        <v>-4.2857142857142855E-4</v>
      </c>
      <c r="E254" s="49">
        <f>(IF(ABS(D254)&gt;G255,G255,ABS(D254)))*I254</f>
        <v>-4.2857142857142855E-4</v>
      </c>
      <c r="F254" s="35" t="s">
        <v>67</v>
      </c>
      <c r="G254" s="34">
        <v>3.0000000000000001E-3</v>
      </c>
      <c r="H254" s="34"/>
      <c r="I254" s="34">
        <f>SIGN(D254)</f>
        <v>-1</v>
      </c>
      <c r="J254" s="46"/>
    </row>
    <row r="255" spans="1:10" ht="15.75">
      <c r="A255" s="33" t="s">
        <v>68</v>
      </c>
      <c r="B255" s="34">
        <f>G250</f>
        <v>40</v>
      </c>
      <c r="C255" s="35" t="s">
        <v>69</v>
      </c>
      <c r="D255" s="49">
        <f>(G254*((G253-G259)/G259))*(-1)</f>
        <v>-3.4285714285714284E-3</v>
      </c>
      <c r="E255" s="49">
        <f>(IF(ABS(D255)&gt;G255,G255,ABS(D255)))*I255</f>
        <v>-2.0598332515939185E-3</v>
      </c>
      <c r="F255" s="35" t="s">
        <v>70</v>
      </c>
      <c r="G255" s="50">
        <f>G242/G256</f>
        <v>2.0598332515939185E-3</v>
      </c>
      <c r="H255" s="34"/>
      <c r="I255" s="34">
        <f>SIGN(D255)</f>
        <v>-1</v>
      </c>
      <c r="J255" s="38"/>
    </row>
    <row r="256" spans="1:10">
      <c r="A256" s="33" t="s">
        <v>5</v>
      </c>
      <c r="B256" s="34">
        <f>SUM(B253:B255)</f>
        <v>80</v>
      </c>
      <c r="C256" s="35"/>
      <c r="D256" s="49"/>
      <c r="E256" s="49"/>
      <c r="F256" s="16" t="s">
        <v>7</v>
      </c>
      <c r="G256" s="51">
        <v>2039000</v>
      </c>
      <c r="H256" s="34"/>
      <c r="I256" s="34"/>
      <c r="J256" s="38"/>
    </row>
    <row r="257" spans="1:10">
      <c r="A257" s="43"/>
      <c r="B257" s="34"/>
      <c r="C257" s="34"/>
      <c r="D257" s="34"/>
      <c r="E257" s="34"/>
      <c r="F257" s="16" t="s">
        <v>30</v>
      </c>
      <c r="G257" s="48">
        <f>0.85*G252</f>
        <v>37.797688281477171</v>
      </c>
      <c r="H257" s="34"/>
      <c r="I257" s="34"/>
      <c r="J257" s="46"/>
    </row>
    <row r="258" spans="1:10" ht="15.75">
      <c r="A258" s="33"/>
      <c r="B258" s="45" t="s">
        <v>71</v>
      </c>
      <c r="C258" s="45" t="s">
        <v>8</v>
      </c>
      <c r="D258" s="45" t="s">
        <v>9</v>
      </c>
      <c r="E258" s="45" t="s">
        <v>10</v>
      </c>
      <c r="F258" s="39"/>
      <c r="G258" s="34"/>
      <c r="H258" s="34"/>
      <c r="I258" s="34"/>
      <c r="J258" s="46"/>
    </row>
    <row r="259" spans="1:10" ht="15.75">
      <c r="A259" s="33" t="s">
        <v>72</v>
      </c>
      <c r="B259" s="51">
        <f>E253*$E$9</f>
        <v>4200</v>
      </c>
      <c r="C259" s="48">
        <f>B259*B253</f>
        <v>168000</v>
      </c>
      <c r="D259" s="17">
        <f>(B241/2)-G248</f>
        <v>35</v>
      </c>
      <c r="E259" s="17">
        <f>C259*D259</f>
        <v>5880000</v>
      </c>
      <c r="F259" s="16" t="s">
        <v>6</v>
      </c>
      <c r="G259" s="17">
        <f>G253-40</f>
        <v>35</v>
      </c>
      <c r="H259" s="34"/>
      <c r="I259" s="34"/>
      <c r="J259" s="38"/>
    </row>
    <row r="260" spans="1:10" ht="15.75">
      <c r="A260" s="33" t="s">
        <v>73</v>
      </c>
      <c r="B260" s="51">
        <f>E254*$E$9</f>
        <v>-873.85714285714278</v>
      </c>
      <c r="C260" s="48">
        <f>B260*B254</f>
        <v>0</v>
      </c>
      <c r="D260" s="17">
        <f>((B241/2)-(B241/2))*I254</f>
        <v>0</v>
      </c>
      <c r="E260" s="17">
        <f>C260*D260</f>
        <v>0</v>
      </c>
      <c r="F260" s="16" t="s">
        <v>30</v>
      </c>
      <c r="G260" s="17">
        <f>G244*G259</f>
        <v>22.75</v>
      </c>
      <c r="H260" s="34"/>
      <c r="I260" s="34"/>
      <c r="J260" s="38"/>
    </row>
    <row r="261" spans="1:10" ht="15.75">
      <c r="A261" s="33" t="s">
        <v>74</v>
      </c>
      <c r="B261" s="51">
        <f>E255*$E$9</f>
        <v>-4200</v>
      </c>
      <c r="C261" s="48">
        <f>B261*B255</f>
        <v>-168000</v>
      </c>
      <c r="D261" s="17">
        <f>((B241/2)-G248)*I255</f>
        <v>-35</v>
      </c>
      <c r="E261" s="17">
        <f>C261*D261</f>
        <v>5880000</v>
      </c>
      <c r="F261" s="34"/>
      <c r="G261" s="34"/>
      <c r="H261" s="34"/>
      <c r="I261" s="34"/>
      <c r="J261" s="38"/>
    </row>
    <row r="262" spans="1:10">
      <c r="A262" s="33" t="s">
        <v>11</v>
      </c>
      <c r="B262" s="51"/>
      <c r="C262" s="48">
        <f>G244*G240*G260*B240</f>
        <v>579670</v>
      </c>
      <c r="D262" s="17">
        <f>(B241/2)-(G260/2)</f>
        <v>28.625</v>
      </c>
      <c r="E262" s="17">
        <f>C262*D262</f>
        <v>16593053.75</v>
      </c>
      <c r="F262" s="34"/>
      <c r="G262" s="34"/>
      <c r="H262" s="34"/>
      <c r="I262" s="34"/>
      <c r="J262" s="38"/>
    </row>
    <row r="263" spans="1:10">
      <c r="A263" s="33"/>
      <c r="B263" s="25" t="s">
        <v>77</v>
      </c>
      <c r="C263" s="26">
        <f>SUM(C259:C262)/1000</f>
        <v>579.66999999999996</v>
      </c>
      <c r="D263" s="25" t="s">
        <v>78</v>
      </c>
      <c r="E263" s="27">
        <f>SUM(E259:E262)/100000</f>
        <v>283.53053749999998</v>
      </c>
      <c r="F263" s="34"/>
      <c r="G263" s="34"/>
      <c r="H263" s="34"/>
      <c r="I263" s="34"/>
      <c r="J263" s="46"/>
    </row>
    <row r="264" spans="1:10" ht="13.5" thickBot="1">
      <c r="A264" s="52"/>
      <c r="B264" s="53"/>
      <c r="C264" s="53"/>
      <c r="D264" s="53"/>
      <c r="E264" s="53"/>
      <c r="F264" s="53"/>
      <c r="G264" s="53"/>
      <c r="H264" s="53"/>
      <c r="I264" s="53"/>
      <c r="J264" s="54"/>
    </row>
    <row r="265" spans="1:10">
      <c r="A265" s="30"/>
      <c r="B265" s="31"/>
      <c r="C265" s="31"/>
      <c r="D265" s="31"/>
      <c r="E265" s="31"/>
      <c r="F265" s="31"/>
      <c r="G265" s="31"/>
      <c r="H265" s="31"/>
      <c r="I265" s="31"/>
      <c r="J265" s="32"/>
    </row>
    <row r="266" spans="1:10">
      <c r="A266" s="33" t="s">
        <v>12</v>
      </c>
      <c r="B266" s="34">
        <f>B240</f>
        <v>80</v>
      </c>
      <c r="C266" s="34"/>
      <c r="D266" s="35" t="s">
        <v>13</v>
      </c>
      <c r="E266" s="36">
        <f>E240</f>
        <v>0.7</v>
      </c>
      <c r="F266" s="34"/>
      <c r="G266" s="37">
        <f>G240</f>
        <v>490</v>
      </c>
      <c r="H266" s="34"/>
      <c r="I266" s="34"/>
      <c r="J266" s="38"/>
    </row>
    <row r="267" spans="1:10">
      <c r="A267" s="33" t="s">
        <v>14</v>
      </c>
      <c r="B267" s="34">
        <f>B241</f>
        <v>80</v>
      </c>
      <c r="C267" s="34"/>
      <c r="D267" s="16" t="s">
        <v>15</v>
      </c>
      <c r="E267" s="36">
        <f>E241</f>
        <v>0.8</v>
      </c>
      <c r="F267" s="34"/>
      <c r="G267" s="34"/>
      <c r="H267" s="34"/>
      <c r="I267" s="34"/>
      <c r="J267" s="38"/>
    </row>
    <row r="268" spans="1:10" ht="15.75">
      <c r="A268" s="33" t="s">
        <v>16</v>
      </c>
      <c r="B268" s="39">
        <f>B266*B267</f>
        <v>6400</v>
      </c>
      <c r="C268" s="34"/>
      <c r="D268" s="16" t="s">
        <v>57</v>
      </c>
      <c r="E268" s="37">
        <f>E242</f>
        <v>309903.21069650113</v>
      </c>
      <c r="F268" s="34"/>
      <c r="G268" s="37">
        <f>G242</f>
        <v>4200</v>
      </c>
      <c r="H268" s="34"/>
      <c r="I268" s="34"/>
      <c r="J268" s="38"/>
    </row>
    <row r="269" spans="1:10" ht="15.75">
      <c r="A269" s="33" t="s">
        <v>58</v>
      </c>
      <c r="B269" s="17">
        <f>E241*E240*(0.85*G240*(B242-B244)+G242*B244)</f>
        <v>1662236.7999999998</v>
      </c>
      <c r="C269" s="34"/>
      <c r="D269" s="16" t="s">
        <v>59</v>
      </c>
      <c r="E269" s="37">
        <f>E243</f>
        <v>2039000</v>
      </c>
      <c r="F269" s="34"/>
      <c r="G269" s="34"/>
      <c r="H269" s="34"/>
      <c r="I269" s="34"/>
      <c r="J269" s="38"/>
    </row>
    <row r="270" spans="1:10" ht="15.75">
      <c r="A270" s="33" t="s">
        <v>5</v>
      </c>
      <c r="B270" s="17">
        <f>G275+G276</f>
        <v>80</v>
      </c>
      <c r="C270" s="34"/>
      <c r="D270" s="34"/>
      <c r="E270" s="34"/>
      <c r="F270" s="35" t="s">
        <v>60</v>
      </c>
      <c r="G270" s="40">
        <f>G244</f>
        <v>0.65</v>
      </c>
      <c r="H270" s="34"/>
      <c r="I270" s="34"/>
      <c r="J270" s="38"/>
    </row>
    <row r="271" spans="1:10">
      <c r="A271" s="41"/>
      <c r="B271" s="34"/>
      <c r="C271" s="34"/>
      <c r="D271" s="34"/>
      <c r="E271" s="34"/>
      <c r="F271" s="34"/>
      <c r="G271" s="34"/>
      <c r="H271" s="34"/>
      <c r="I271" s="34"/>
      <c r="J271" s="38"/>
    </row>
    <row r="272" spans="1:10">
      <c r="A272" s="41"/>
      <c r="B272" s="34"/>
      <c r="C272" s="34"/>
      <c r="D272" s="34"/>
      <c r="E272" s="34"/>
      <c r="F272" s="16" t="s">
        <v>0</v>
      </c>
      <c r="G272" s="42" t="s">
        <v>1</v>
      </c>
      <c r="H272" s="34"/>
      <c r="I272" s="34"/>
      <c r="J272" s="38"/>
    </row>
    <row r="273" spans="1:10">
      <c r="A273" s="43"/>
      <c r="B273" s="34"/>
      <c r="C273" s="34"/>
      <c r="D273" s="34"/>
      <c r="E273" s="34"/>
      <c r="F273" s="16" t="s">
        <v>3</v>
      </c>
      <c r="G273" s="42" t="s">
        <v>4</v>
      </c>
      <c r="H273" s="34"/>
      <c r="I273" s="34"/>
      <c r="J273" s="38"/>
    </row>
    <row r="274" spans="1:10">
      <c r="A274" s="33"/>
      <c r="B274" s="17"/>
      <c r="C274" s="34"/>
      <c r="D274" s="34"/>
      <c r="E274" s="34"/>
      <c r="F274" s="44" t="s">
        <v>22</v>
      </c>
      <c r="G274" s="39">
        <f>G248</f>
        <v>5</v>
      </c>
      <c r="H274" s="34"/>
      <c r="I274" s="34"/>
      <c r="J274" s="38"/>
    </row>
    <row r="275" spans="1:10">
      <c r="A275" s="33"/>
      <c r="B275" s="17"/>
      <c r="C275" s="34"/>
      <c r="D275" s="34"/>
      <c r="E275" s="34"/>
      <c r="F275" s="16" t="s">
        <v>0</v>
      </c>
      <c r="G275" s="34">
        <f>G249</f>
        <v>40</v>
      </c>
      <c r="H275" s="34"/>
      <c r="I275" s="34"/>
      <c r="J275" s="38"/>
    </row>
    <row r="276" spans="1:10">
      <c r="A276" s="33"/>
      <c r="B276" s="45"/>
      <c r="C276" s="34"/>
      <c r="D276" s="34"/>
      <c r="E276" s="34"/>
      <c r="F276" s="16" t="s">
        <v>3</v>
      </c>
      <c r="G276" s="34">
        <f>G250</f>
        <v>40</v>
      </c>
      <c r="H276" s="34"/>
      <c r="I276" s="34"/>
      <c r="J276" s="38"/>
    </row>
    <row r="277" spans="1:10">
      <c r="A277" s="43"/>
      <c r="B277" s="34"/>
      <c r="C277" s="34"/>
      <c r="D277" s="34"/>
      <c r="E277" s="34"/>
      <c r="F277" s="16" t="s">
        <v>5</v>
      </c>
      <c r="G277" s="34">
        <f>G275+G276</f>
        <v>80</v>
      </c>
      <c r="H277" s="34"/>
      <c r="I277" s="34"/>
      <c r="J277" s="46"/>
    </row>
    <row r="278" spans="1:10" ht="15.75">
      <c r="A278" s="43"/>
      <c r="B278" s="34"/>
      <c r="C278" s="34"/>
      <c r="D278" s="34"/>
      <c r="E278" s="47" t="s">
        <v>61</v>
      </c>
      <c r="F278" s="16" t="s">
        <v>62</v>
      </c>
      <c r="G278" s="48">
        <f>(G280*G279)/(G280+G281)</f>
        <v>44.467868566443734</v>
      </c>
      <c r="H278" s="34"/>
      <c r="I278" s="34" t="s">
        <v>2</v>
      </c>
      <c r="J278" s="46"/>
    </row>
    <row r="279" spans="1:10" ht="15.75">
      <c r="A279" s="33" t="s">
        <v>63</v>
      </c>
      <c r="B279" s="34">
        <f>G275</f>
        <v>40</v>
      </c>
      <c r="C279" s="35" t="s">
        <v>64</v>
      </c>
      <c r="D279" s="49">
        <f>G280*(G285-G274)/G285</f>
        <v>2.5000000000000001E-3</v>
      </c>
      <c r="E279" s="49">
        <f>(IF(ABS(D279)&gt;G281,G281,ABS(D279)))*I279</f>
        <v>2.0598332515939185E-3</v>
      </c>
      <c r="F279" s="16" t="s">
        <v>26</v>
      </c>
      <c r="G279" s="34">
        <f>B267-G274</f>
        <v>75</v>
      </c>
      <c r="H279" s="34"/>
      <c r="I279" s="34">
        <f>SIGN(D279)</f>
        <v>1</v>
      </c>
      <c r="J279" s="46"/>
    </row>
    <row r="280" spans="1:10" ht="15.75">
      <c r="A280" s="33" t="s">
        <v>65</v>
      </c>
      <c r="B280" s="34">
        <v>0</v>
      </c>
      <c r="C280" s="35" t="s">
        <v>66</v>
      </c>
      <c r="D280" s="49">
        <f>(G280*((B267/2)-G285)/G285)*(-1)</f>
        <v>-1E-3</v>
      </c>
      <c r="E280" s="49">
        <f>(IF(ABS(D280)&gt;G281,G281,ABS(D280)))*I280</f>
        <v>-1E-3</v>
      </c>
      <c r="F280" s="35" t="s">
        <v>67</v>
      </c>
      <c r="G280" s="34">
        <v>3.0000000000000001E-3</v>
      </c>
      <c r="H280" s="34"/>
      <c r="I280" s="34">
        <f>SIGN(D280)</f>
        <v>-1</v>
      </c>
      <c r="J280" s="46"/>
    </row>
    <row r="281" spans="1:10" ht="15.75">
      <c r="A281" s="33" t="s">
        <v>68</v>
      </c>
      <c r="B281" s="34">
        <f>G276</f>
        <v>40</v>
      </c>
      <c r="C281" s="35" t="s">
        <v>69</v>
      </c>
      <c r="D281" s="49">
        <f>(G280*((G279-G285)/G285))*(-1)</f>
        <v>-4.5000000000000005E-3</v>
      </c>
      <c r="E281" s="49">
        <f>(IF(ABS(D281)&gt;G281,G281,ABS(D281)))*I281</f>
        <v>-2.0598332515939185E-3</v>
      </c>
      <c r="F281" s="35" t="s">
        <v>70</v>
      </c>
      <c r="G281" s="50">
        <f>G268/G282</f>
        <v>2.0598332515939185E-3</v>
      </c>
      <c r="H281" s="34"/>
      <c r="I281" s="34">
        <f>SIGN(D281)</f>
        <v>-1</v>
      </c>
      <c r="J281" s="38"/>
    </row>
    <row r="282" spans="1:10">
      <c r="A282" s="33" t="s">
        <v>5</v>
      </c>
      <c r="B282" s="34">
        <f>SUM(B279:B281)</f>
        <v>80</v>
      </c>
      <c r="C282" s="35"/>
      <c r="D282" s="49"/>
      <c r="E282" s="49"/>
      <c r="F282" s="16" t="s">
        <v>7</v>
      </c>
      <c r="G282" s="51">
        <v>2039000</v>
      </c>
      <c r="H282" s="34"/>
      <c r="I282" s="34"/>
      <c r="J282" s="38"/>
    </row>
    <row r="283" spans="1:10">
      <c r="A283" s="43"/>
      <c r="B283" s="34"/>
      <c r="C283" s="34"/>
      <c r="D283" s="34"/>
      <c r="E283" s="34"/>
      <c r="F283" s="16" t="s">
        <v>30</v>
      </c>
      <c r="G283" s="48">
        <f>0.85*G278</f>
        <v>37.797688281477171</v>
      </c>
      <c r="H283" s="34"/>
      <c r="I283" s="34"/>
      <c r="J283" s="46"/>
    </row>
    <row r="284" spans="1:10" ht="15.75">
      <c r="A284" s="33"/>
      <c r="B284" s="45" t="s">
        <v>71</v>
      </c>
      <c r="C284" s="45" t="s">
        <v>8</v>
      </c>
      <c r="D284" s="45" t="s">
        <v>9</v>
      </c>
      <c r="E284" s="45" t="s">
        <v>10</v>
      </c>
      <c r="F284" s="39"/>
      <c r="G284" s="34"/>
      <c r="H284" s="34"/>
      <c r="I284" s="34"/>
      <c r="J284" s="46"/>
    </row>
    <row r="285" spans="1:10" ht="15.75">
      <c r="A285" s="33" t="s">
        <v>72</v>
      </c>
      <c r="B285" s="51">
        <f>E279*$E$9</f>
        <v>4200</v>
      </c>
      <c r="C285" s="48">
        <f>B285*B279</f>
        <v>168000</v>
      </c>
      <c r="D285" s="17">
        <f>(B267/2)-G274</f>
        <v>35</v>
      </c>
      <c r="E285" s="17">
        <f>C285*D285</f>
        <v>5880000</v>
      </c>
      <c r="F285" s="16" t="s">
        <v>6</v>
      </c>
      <c r="G285" s="17">
        <f>G279-45</f>
        <v>30</v>
      </c>
      <c r="H285" s="34"/>
      <c r="I285" s="34"/>
      <c r="J285" s="38"/>
    </row>
    <row r="286" spans="1:10" ht="15.75">
      <c r="A286" s="33" t="s">
        <v>73</v>
      </c>
      <c r="B286" s="51">
        <f>E280*$E$9</f>
        <v>-2039</v>
      </c>
      <c r="C286" s="48">
        <f>B286*B280</f>
        <v>0</v>
      </c>
      <c r="D286" s="17">
        <f>((B267/2)-(B267/2))*I280</f>
        <v>0</v>
      </c>
      <c r="E286" s="17">
        <f>C286*D286</f>
        <v>0</v>
      </c>
      <c r="F286" s="16" t="s">
        <v>30</v>
      </c>
      <c r="G286" s="17">
        <f>G270*G285</f>
        <v>19.5</v>
      </c>
      <c r="H286" s="34"/>
      <c r="I286" s="34"/>
      <c r="J286" s="38"/>
    </row>
    <row r="287" spans="1:10" ht="15.75">
      <c r="A287" s="33" t="s">
        <v>74</v>
      </c>
      <c r="B287" s="51">
        <f>E281*$E$9</f>
        <v>-4200</v>
      </c>
      <c r="C287" s="48">
        <f>B287*B281</f>
        <v>-168000</v>
      </c>
      <c r="D287" s="17">
        <f>((B267/2)-G274)*I281</f>
        <v>-35</v>
      </c>
      <c r="E287" s="17">
        <f>C287*D287</f>
        <v>5880000</v>
      </c>
      <c r="F287" s="34"/>
      <c r="G287" s="34"/>
      <c r="H287" s="34"/>
      <c r="I287" s="34"/>
      <c r="J287" s="38"/>
    </row>
    <row r="288" spans="1:10">
      <c r="A288" s="33" t="s">
        <v>11</v>
      </c>
      <c r="B288" s="51"/>
      <c r="C288" s="48">
        <f>G270*G266*G286*B266</f>
        <v>496860</v>
      </c>
      <c r="D288" s="17">
        <f>(B267/2)-(G286/2)</f>
        <v>30.25</v>
      </c>
      <c r="E288" s="17">
        <f>C288*D288</f>
        <v>15030015</v>
      </c>
      <c r="F288" s="34"/>
      <c r="G288" s="34"/>
      <c r="H288" s="34"/>
      <c r="I288" s="34"/>
      <c r="J288" s="38"/>
    </row>
    <row r="289" spans="1:10">
      <c r="A289" s="33"/>
      <c r="B289" s="25" t="s">
        <v>77</v>
      </c>
      <c r="C289" s="26">
        <f>SUM(C285:C288)/1000</f>
        <v>496.86</v>
      </c>
      <c r="D289" s="25" t="s">
        <v>78</v>
      </c>
      <c r="E289" s="27">
        <f>SUM(E285:E288)/100000</f>
        <v>267.90015</v>
      </c>
      <c r="F289" s="34"/>
      <c r="G289" s="34"/>
      <c r="H289" s="34"/>
      <c r="I289" s="34"/>
      <c r="J289" s="46"/>
    </row>
    <row r="290" spans="1:10" ht="13.5" thickBot="1">
      <c r="A290" s="52"/>
      <c r="B290" s="53"/>
      <c r="C290" s="53"/>
      <c r="D290" s="53"/>
      <c r="E290" s="53"/>
      <c r="F290" s="53"/>
      <c r="G290" s="53"/>
      <c r="H290" s="53"/>
      <c r="I290" s="53"/>
      <c r="J290" s="54"/>
    </row>
    <row r="291" spans="1:10">
      <c r="A291" s="30"/>
      <c r="B291" s="31"/>
      <c r="C291" s="31"/>
      <c r="D291" s="31"/>
      <c r="E291" s="31"/>
      <c r="F291" s="31"/>
      <c r="G291" s="31"/>
      <c r="H291" s="31"/>
      <c r="I291" s="31"/>
      <c r="J291" s="32"/>
    </row>
    <row r="292" spans="1:10">
      <c r="A292" s="33" t="s">
        <v>12</v>
      </c>
      <c r="B292" s="34">
        <f>B266</f>
        <v>80</v>
      </c>
      <c r="C292" s="34"/>
      <c r="D292" s="35" t="s">
        <v>13</v>
      </c>
      <c r="E292" s="36">
        <f>E266</f>
        <v>0.7</v>
      </c>
      <c r="F292" s="34"/>
      <c r="G292" s="37">
        <f>G266</f>
        <v>490</v>
      </c>
      <c r="H292" s="34"/>
      <c r="I292" s="34"/>
      <c r="J292" s="38"/>
    </row>
    <row r="293" spans="1:10">
      <c r="A293" s="33" t="s">
        <v>14</v>
      </c>
      <c r="B293" s="34">
        <f>B267</f>
        <v>80</v>
      </c>
      <c r="C293" s="34"/>
      <c r="D293" s="16" t="s">
        <v>15</v>
      </c>
      <c r="E293" s="36">
        <f>E267</f>
        <v>0.8</v>
      </c>
      <c r="F293" s="34"/>
      <c r="G293" s="34"/>
      <c r="H293" s="34"/>
      <c r="I293" s="34"/>
      <c r="J293" s="38"/>
    </row>
    <row r="294" spans="1:10" ht="15.75">
      <c r="A294" s="33" t="s">
        <v>16</v>
      </c>
      <c r="B294" s="39">
        <f>B292*B293</f>
        <v>6400</v>
      </c>
      <c r="C294" s="34"/>
      <c r="D294" s="16" t="s">
        <v>57</v>
      </c>
      <c r="E294" s="37">
        <f>E268</f>
        <v>309903.21069650113</v>
      </c>
      <c r="F294" s="34"/>
      <c r="G294" s="37">
        <f>G268</f>
        <v>4200</v>
      </c>
      <c r="H294" s="34"/>
      <c r="I294" s="34"/>
      <c r="J294" s="38"/>
    </row>
    <row r="295" spans="1:10" ht="15.75">
      <c r="A295" s="33" t="s">
        <v>58</v>
      </c>
      <c r="B295" s="17">
        <f>E267*E266*(0.85*G266*(B268-B270)+G268*B270)</f>
        <v>1662236.7999999998</v>
      </c>
      <c r="C295" s="34"/>
      <c r="D295" s="16" t="s">
        <v>59</v>
      </c>
      <c r="E295" s="37">
        <f>E269</f>
        <v>2039000</v>
      </c>
      <c r="F295" s="34"/>
      <c r="G295" s="34"/>
      <c r="H295" s="34"/>
      <c r="I295" s="34"/>
      <c r="J295" s="38"/>
    </row>
    <row r="296" spans="1:10" ht="15.75">
      <c r="A296" s="33" t="s">
        <v>5</v>
      </c>
      <c r="B296" s="17">
        <f>G301+G302</f>
        <v>80</v>
      </c>
      <c r="C296" s="34"/>
      <c r="D296" s="34"/>
      <c r="E296" s="34"/>
      <c r="F296" s="35" t="s">
        <v>60</v>
      </c>
      <c r="G296" s="40">
        <f>G270</f>
        <v>0.65</v>
      </c>
      <c r="H296" s="34"/>
      <c r="I296" s="34"/>
      <c r="J296" s="38"/>
    </row>
    <row r="297" spans="1:10">
      <c r="A297" s="41"/>
      <c r="B297" s="34"/>
      <c r="C297" s="34"/>
      <c r="D297" s="34"/>
      <c r="E297" s="34"/>
      <c r="F297" s="34"/>
      <c r="G297" s="34"/>
      <c r="H297" s="34"/>
      <c r="I297" s="34"/>
      <c r="J297" s="38"/>
    </row>
    <row r="298" spans="1:10">
      <c r="A298" s="41"/>
      <c r="B298" s="34"/>
      <c r="C298" s="34"/>
      <c r="D298" s="34"/>
      <c r="E298" s="34"/>
      <c r="F298" s="16" t="s">
        <v>0</v>
      </c>
      <c r="G298" s="42" t="s">
        <v>1</v>
      </c>
      <c r="H298" s="34"/>
      <c r="I298" s="34"/>
      <c r="J298" s="38"/>
    </row>
    <row r="299" spans="1:10">
      <c r="A299" s="43"/>
      <c r="B299" s="34"/>
      <c r="C299" s="34"/>
      <c r="D299" s="34"/>
      <c r="E299" s="34"/>
      <c r="F299" s="16" t="s">
        <v>3</v>
      </c>
      <c r="G299" s="42" t="s">
        <v>4</v>
      </c>
      <c r="H299" s="34"/>
      <c r="I299" s="34"/>
      <c r="J299" s="38"/>
    </row>
    <row r="300" spans="1:10">
      <c r="A300" s="33"/>
      <c r="B300" s="17"/>
      <c r="C300" s="34"/>
      <c r="D300" s="34"/>
      <c r="E300" s="34"/>
      <c r="F300" s="44" t="s">
        <v>22</v>
      </c>
      <c r="G300" s="39">
        <f>G274</f>
        <v>5</v>
      </c>
      <c r="H300" s="34"/>
      <c r="I300" s="34"/>
      <c r="J300" s="38"/>
    </row>
    <row r="301" spans="1:10">
      <c r="A301" s="33"/>
      <c r="B301" s="17"/>
      <c r="C301" s="34"/>
      <c r="D301" s="34"/>
      <c r="E301" s="34"/>
      <c r="F301" s="16" t="s">
        <v>0</v>
      </c>
      <c r="G301" s="34">
        <f>G275</f>
        <v>40</v>
      </c>
      <c r="H301" s="34"/>
      <c r="I301" s="34"/>
      <c r="J301" s="38"/>
    </row>
    <row r="302" spans="1:10">
      <c r="A302" s="33"/>
      <c r="B302" s="45"/>
      <c r="C302" s="34"/>
      <c r="D302" s="34"/>
      <c r="E302" s="34"/>
      <c r="F302" s="16" t="s">
        <v>3</v>
      </c>
      <c r="G302" s="34">
        <f>G276</f>
        <v>40</v>
      </c>
      <c r="H302" s="34"/>
      <c r="I302" s="34"/>
      <c r="J302" s="38"/>
    </row>
    <row r="303" spans="1:10">
      <c r="A303" s="43"/>
      <c r="B303" s="34"/>
      <c r="C303" s="34"/>
      <c r="D303" s="34"/>
      <c r="E303" s="34"/>
      <c r="F303" s="16" t="s">
        <v>5</v>
      </c>
      <c r="G303" s="34">
        <f>G301+G302</f>
        <v>80</v>
      </c>
      <c r="H303" s="34"/>
      <c r="I303" s="34"/>
      <c r="J303" s="46"/>
    </row>
    <row r="304" spans="1:10" ht="15.75">
      <c r="A304" s="43"/>
      <c r="B304" s="34"/>
      <c r="C304" s="34"/>
      <c r="D304" s="34"/>
      <c r="E304" s="47" t="s">
        <v>61</v>
      </c>
      <c r="F304" s="16" t="s">
        <v>62</v>
      </c>
      <c r="G304" s="48">
        <f>(G306*G305)/(G306+G307)</f>
        <v>44.467868566443734</v>
      </c>
      <c r="H304" s="34"/>
      <c r="I304" s="34" t="s">
        <v>2</v>
      </c>
      <c r="J304" s="46"/>
    </row>
    <row r="305" spans="1:10" ht="15.75">
      <c r="A305" s="33" t="s">
        <v>63</v>
      </c>
      <c r="B305" s="34">
        <f>G301</f>
        <v>40</v>
      </c>
      <c r="C305" s="35" t="s">
        <v>64</v>
      </c>
      <c r="D305" s="49">
        <f>G306*(G311-G300)/G311</f>
        <v>2.3999999999999998E-3</v>
      </c>
      <c r="E305" s="49">
        <f>(IF(ABS(D305)&gt;G307,G307,ABS(D305)))*I305</f>
        <v>2.0598332515939185E-3</v>
      </c>
      <c r="F305" s="16" t="s">
        <v>26</v>
      </c>
      <c r="G305" s="34">
        <f>B293-G300</f>
        <v>75</v>
      </c>
      <c r="H305" s="34"/>
      <c r="I305" s="34">
        <f>SIGN(D305)</f>
        <v>1</v>
      </c>
      <c r="J305" s="46"/>
    </row>
    <row r="306" spans="1:10" ht="15.75">
      <c r="A306" s="33" t="s">
        <v>65</v>
      </c>
      <c r="B306" s="34">
        <v>0</v>
      </c>
      <c r="C306" s="35" t="s">
        <v>66</v>
      </c>
      <c r="D306" s="49">
        <f>(G306*((B293/2)-G311)/G311)*(-1)</f>
        <v>-1.8E-3</v>
      </c>
      <c r="E306" s="49">
        <f>(IF(ABS(D306)&gt;G307,G307,ABS(D306)))*I306</f>
        <v>-1.8E-3</v>
      </c>
      <c r="F306" s="35" t="s">
        <v>67</v>
      </c>
      <c r="G306" s="34">
        <v>3.0000000000000001E-3</v>
      </c>
      <c r="H306" s="34"/>
      <c r="I306" s="34">
        <f>SIGN(D306)</f>
        <v>-1</v>
      </c>
      <c r="J306" s="46"/>
    </row>
    <row r="307" spans="1:10" ht="15.75">
      <c r="A307" s="33" t="s">
        <v>68</v>
      </c>
      <c r="B307" s="34">
        <f>G302</f>
        <v>40</v>
      </c>
      <c r="C307" s="35" t="s">
        <v>69</v>
      </c>
      <c r="D307" s="49">
        <f>(G306*((G305-G311)/G311))*(-1)</f>
        <v>-6.0000000000000001E-3</v>
      </c>
      <c r="E307" s="49">
        <f>(IF(ABS(D307)&gt;G307,G307,ABS(D307)))*I307</f>
        <v>-2.0598332515939185E-3</v>
      </c>
      <c r="F307" s="35" t="s">
        <v>70</v>
      </c>
      <c r="G307" s="50">
        <f>G294/G308</f>
        <v>2.0598332515939185E-3</v>
      </c>
      <c r="H307" s="34"/>
      <c r="I307" s="34">
        <f>SIGN(D307)</f>
        <v>-1</v>
      </c>
      <c r="J307" s="38"/>
    </row>
    <row r="308" spans="1:10">
      <c r="A308" s="33" t="s">
        <v>5</v>
      </c>
      <c r="B308" s="34">
        <f>SUM(B305:B307)</f>
        <v>80</v>
      </c>
      <c r="C308" s="35"/>
      <c r="D308" s="49"/>
      <c r="E308" s="49"/>
      <c r="F308" s="16" t="s">
        <v>7</v>
      </c>
      <c r="G308" s="51">
        <v>2039000</v>
      </c>
      <c r="H308" s="34"/>
      <c r="I308" s="34"/>
      <c r="J308" s="38"/>
    </row>
    <row r="309" spans="1:10">
      <c r="A309" s="43"/>
      <c r="B309" s="34"/>
      <c r="C309" s="34"/>
      <c r="D309" s="34"/>
      <c r="E309" s="34"/>
      <c r="F309" s="16" t="s">
        <v>30</v>
      </c>
      <c r="G309" s="48">
        <f>0.85*G304</f>
        <v>37.797688281477171</v>
      </c>
      <c r="H309" s="34"/>
      <c r="I309" s="34"/>
      <c r="J309" s="46"/>
    </row>
    <row r="310" spans="1:10" ht="15.75">
      <c r="A310" s="33"/>
      <c r="B310" s="45" t="s">
        <v>71</v>
      </c>
      <c r="C310" s="45" t="s">
        <v>8</v>
      </c>
      <c r="D310" s="45" t="s">
        <v>9</v>
      </c>
      <c r="E310" s="45" t="s">
        <v>10</v>
      </c>
      <c r="F310" s="39"/>
      <c r="G310" s="34"/>
      <c r="H310" s="34"/>
      <c r="I310" s="34"/>
      <c r="J310" s="46"/>
    </row>
    <row r="311" spans="1:10" ht="15.75">
      <c r="A311" s="33" t="s">
        <v>72</v>
      </c>
      <c r="B311" s="51">
        <f>E305*$E$9</f>
        <v>4200</v>
      </c>
      <c r="C311" s="48">
        <f>B311*B305</f>
        <v>168000</v>
      </c>
      <c r="D311" s="17">
        <f>(B293/2)-G300</f>
        <v>35</v>
      </c>
      <c r="E311" s="17">
        <f>C311*D311</f>
        <v>5880000</v>
      </c>
      <c r="F311" s="16" t="s">
        <v>6</v>
      </c>
      <c r="G311" s="17">
        <f>G305-50</f>
        <v>25</v>
      </c>
      <c r="H311" s="34"/>
      <c r="I311" s="34"/>
      <c r="J311" s="38"/>
    </row>
    <row r="312" spans="1:10" ht="15.75">
      <c r="A312" s="33" t="s">
        <v>73</v>
      </c>
      <c r="B312" s="51">
        <f>E306*$E$9</f>
        <v>-3670.2</v>
      </c>
      <c r="C312" s="48">
        <f>B312*B306</f>
        <v>0</v>
      </c>
      <c r="D312" s="17">
        <f>((B293/2)-(B293/2))*I306</f>
        <v>0</v>
      </c>
      <c r="E312" s="17">
        <f>C312*D312</f>
        <v>0</v>
      </c>
      <c r="F312" s="16" t="s">
        <v>30</v>
      </c>
      <c r="G312" s="17">
        <f>G296*G311</f>
        <v>16.25</v>
      </c>
      <c r="H312" s="34"/>
      <c r="I312" s="34"/>
      <c r="J312" s="38"/>
    </row>
    <row r="313" spans="1:10" ht="15.75">
      <c r="A313" s="33" t="s">
        <v>74</v>
      </c>
      <c r="B313" s="51">
        <f>E307*$E$9</f>
        <v>-4200</v>
      </c>
      <c r="C313" s="48">
        <f>B313*B307</f>
        <v>-168000</v>
      </c>
      <c r="D313" s="17">
        <f>((B293/2)-G300)*I307</f>
        <v>-35</v>
      </c>
      <c r="E313" s="17">
        <f>C313*D313</f>
        <v>5880000</v>
      </c>
      <c r="F313" s="34"/>
      <c r="G313" s="34"/>
      <c r="H313" s="34"/>
      <c r="I313" s="34"/>
      <c r="J313" s="38"/>
    </row>
    <row r="314" spans="1:10">
      <c r="A314" s="33" t="s">
        <v>11</v>
      </c>
      <c r="B314" s="51"/>
      <c r="C314" s="48">
        <f>G296*G292*G312*B292</f>
        <v>414050</v>
      </c>
      <c r="D314" s="17">
        <f>(B293/2)-(G312/2)</f>
        <v>31.875</v>
      </c>
      <c r="E314" s="17">
        <f>C314*D314</f>
        <v>13197843.75</v>
      </c>
      <c r="F314" s="34"/>
      <c r="G314" s="34"/>
      <c r="H314" s="34"/>
      <c r="I314" s="34"/>
      <c r="J314" s="38"/>
    </row>
    <row r="315" spans="1:10">
      <c r="A315" s="33"/>
      <c r="B315" s="25" t="s">
        <v>77</v>
      </c>
      <c r="C315" s="26">
        <f>SUM(C311:C314)/1000</f>
        <v>414.05</v>
      </c>
      <c r="D315" s="25" t="s">
        <v>78</v>
      </c>
      <c r="E315" s="27">
        <f>SUM(E311:E314)/100000</f>
        <v>249.57843750000001</v>
      </c>
      <c r="F315" s="34"/>
      <c r="G315" s="34"/>
      <c r="H315" s="34"/>
      <c r="I315" s="34"/>
      <c r="J315" s="46"/>
    </row>
    <row r="316" spans="1:10" ht="13.5" thickBot="1">
      <c r="A316" s="52"/>
      <c r="B316" s="53"/>
      <c r="C316" s="53"/>
      <c r="D316" s="53"/>
      <c r="E316" s="53"/>
      <c r="F316" s="53"/>
      <c r="G316" s="53"/>
      <c r="H316" s="53"/>
      <c r="I316" s="53"/>
      <c r="J316" s="54"/>
    </row>
  </sheetData>
  <mergeCells count="1">
    <mergeCell ref="A1:G3"/>
  </mergeCells>
  <phoneticPr fontId="0" type="noConversion"/>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ABCE-03BC-4881-9844-9DA9FA9231A1}">
  <sheetPr>
    <tabColor rgb="FF0070C0"/>
  </sheetPr>
  <dimension ref="A1:K52"/>
  <sheetViews>
    <sheetView topLeftCell="A12" zoomScale="115" zoomScaleNormal="115" workbookViewId="0">
      <selection activeCell="D48" sqref="D48"/>
    </sheetView>
  </sheetViews>
  <sheetFormatPr baseColWidth="10" defaultColWidth="11.42578125" defaultRowHeight="12"/>
  <cols>
    <col min="1" max="1" width="11.42578125" style="129" customWidth="1"/>
    <col min="2" max="2" width="12.140625" style="129" bestFit="1" customWidth="1"/>
    <col min="3" max="4" width="11.5703125" style="129" bestFit="1" customWidth="1"/>
    <col min="5" max="5" width="4.28515625" style="129" customWidth="1"/>
    <col min="6" max="6" width="10" style="129" customWidth="1"/>
    <col min="7" max="7" width="7.5703125" style="129" customWidth="1"/>
    <col min="8" max="9" width="11.42578125" style="129" customWidth="1"/>
    <col min="10" max="10" width="11.5703125" style="129" customWidth="1"/>
    <col min="11" max="11" width="11.42578125" style="129" customWidth="1"/>
    <col min="12" max="16384" width="11.42578125" style="129"/>
  </cols>
  <sheetData>
    <row r="1" spans="1:7" s="7" customFormat="1" ht="13.5" thickTop="1">
      <c r="A1" s="395" t="s">
        <v>84</v>
      </c>
      <c r="B1" s="396"/>
      <c r="C1" s="396"/>
      <c r="D1" s="396"/>
      <c r="E1" s="396"/>
      <c r="F1" s="396"/>
      <c r="G1" s="397"/>
    </row>
    <row r="2" spans="1:7" s="7" customFormat="1" ht="12.75">
      <c r="A2" s="398"/>
      <c r="B2" s="399"/>
      <c r="C2" s="399"/>
      <c r="D2" s="399"/>
      <c r="E2" s="399"/>
      <c r="F2" s="399"/>
      <c r="G2" s="400"/>
    </row>
    <row r="3" spans="1:7" s="7" customFormat="1" ht="13.5" thickBot="1">
      <c r="A3" s="401"/>
      <c r="B3" s="402"/>
      <c r="C3" s="402"/>
      <c r="D3" s="402"/>
      <c r="E3" s="402"/>
      <c r="F3" s="402"/>
      <c r="G3" s="403"/>
    </row>
    <row r="4" spans="1:7" s="7" customFormat="1" ht="12" customHeight="1" thickTop="1" thickBot="1">
      <c r="A4" s="254"/>
      <c r="B4" s="254"/>
      <c r="C4" s="254"/>
      <c r="D4" s="254"/>
      <c r="E4" s="254"/>
      <c r="F4" s="254"/>
      <c r="G4" s="254"/>
    </row>
    <row r="5" spans="1:7" s="7" customFormat="1" ht="12" customHeight="1">
      <c r="A5" s="445" t="s">
        <v>314</v>
      </c>
      <c r="B5" s="446"/>
      <c r="C5" s="446"/>
      <c r="D5" s="446"/>
      <c r="E5" s="446"/>
      <c r="F5" s="446"/>
      <c r="G5" s="447"/>
    </row>
    <row r="6" spans="1:7" s="7" customFormat="1" ht="12" customHeight="1">
      <c r="A6" s="448"/>
      <c r="B6" s="449"/>
      <c r="C6" s="449"/>
      <c r="D6" s="449"/>
      <c r="E6" s="449"/>
      <c r="F6" s="449"/>
      <c r="G6" s="450"/>
    </row>
    <row r="7" spans="1:7" s="7" customFormat="1" ht="12" customHeight="1">
      <c r="A7" s="448"/>
      <c r="B7" s="449"/>
      <c r="C7" s="449"/>
      <c r="D7" s="449"/>
      <c r="E7" s="449"/>
      <c r="F7" s="449"/>
      <c r="G7" s="450"/>
    </row>
    <row r="8" spans="1:7" s="7" customFormat="1" ht="12" customHeight="1">
      <c r="A8" s="448"/>
      <c r="B8" s="449"/>
      <c r="C8" s="449"/>
      <c r="D8" s="449"/>
      <c r="E8" s="449"/>
      <c r="F8" s="449"/>
      <c r="G8" s="450"/>
    </row>
    <row r="9" spans="1:7" s="7" customFormat="1" ht="12" customHeight="1">
      <c r="A9" s="448"/>
      <c r="B9" s="449"/>
      <c r="C9" s="449"/>
      <c r="D9" s="449"/>
      <c r="E9" s="449"/>
      <c r="F9" s="449"/>
      <c r="G9" s="450"/>
    </row>
    <row r="10" spans="1:7" s="7" customFormat="1" ht="12" customHeight="1">
      <c r="A10" s="448"/>
      <c r="B10" s="449"/>
      <c r="C10" s="449"/>
      <c r="D10" s="449"/>
      <c r="E10" s="449"/>
      <c r="F10" s="449"/>
      <c r="G10" s="450"/>
    </row>
    <row r="11" spans="1:7" s="7" customFormat="1" ht="12" customHeight="1">
      <c r="A11" s="448"/>
      <c r="B11" s="449"/>
      <c r="C11" s="449"/>
      <c r="D11" s="449"/>
      <c r="E11" s="449"/>
      <c r="F11" s="449"/>
      <c r="G11" s="450"/>
    </row>
    <row r="12" spans="1:7" s="7" customFormat="1" ht="12" customHeight="1">
      <c r="A12" s="448"/>
      <c r="B12" s="449"/>
      <c r="C12" s="449"/>
      <c r="D12" s="449"/>
      <c r="E12" s="449"/>
      <c r="F12" s="449"/>
      <c r="G12" s="450"/>
    </row>
    <row r="13" spans="1:7" s="7" customFormat="1" ht="12" customHeight="1">
      <c r="A13" s="448"/>
      <c r="B13" s="449"/>
      <c r="C13" s="449"/>
      <c r="D13" s="449"/>
      <c r="E13" s="449"/>
      <c r="F13" s="449"/>
      <c r="G13" s="450"/>
    </row>
    <row r="14" spans="1:7" s="7" customFormat="1" ht="12" customHeight="1">
      <c r="A14" s="448"/>
      <c r="B14" s="449"/>
      <c r="C14" s="449"/>
      <c r="D14" s="449"/>
      <c r="E14" s="449"/>
      <c r="F14" s="449"/>
      <c r="G14" s="450"/>
    </row>
    <row r="15" spans="1:7" ht="12" customHeight="1" thickBot="1">
      <c r="A15" s="451"/>
      <c r="B15" s="452"/>
      <c r="C15" s="452"/>
      <c r="D15" s="452"/>
      <c r="E15" s="452"/>
      <c r="F15" s="452"/>
      <c r="G15" s="453"/>
    </row>
    <row r="17" spans="1:11" ht="12.75" customHeight="1">
      <c r="A17" s="440" t="s">
        <v>120</v>
      </c>
      <c r="B17" s="440"/>
      <c r="C17" s="130"/>
      <c r="D17" s="130"/>
      <c r="E17" s="130"/>
      <c r="I17" s="353" t="s">
        <v>87</v>
      </c>
      <c r="J17" s="353">
        <v>0.49</v>
      </c>
      <c r="K17" s="131"/>
    </row>
    <row r="18" spans="1:11">
      <c r="A18" s="139" t="s">
        <v>250</v>
      </c>
      <c r="B18" s="391">
        <f>Columnas!D88*1000</f>
        <v>1662236.7999999998</v>
      </c>
      <c r="C18" s="130"/>
      <c r="D18" s="130"/>
      <c r="E18" s="130"/>
      <c r="I18" s="353" t="s">
        <v>88</v>
      </c>
      <c r="J18" s="353">
        <v>0.71</v>
      </c>
      <c r="K18" s="131"/>
    </row>
    <row r="19" spans="1:11">
      <c r="A19" s="232" t="str">
        <f>Columnas!B41</f>
        <v>l =</v>
      </c>
      <c r="B19" s="217">
        <f>Columnas!C41</f>
        <v>0.85</v>
      </c>
      <c r="C19" s="130"/>
      <c r="D19" s="130"/>
      <c r="E19" s="130"/>
      <c r="I19" s="353" t="s">
        <v>89</v>
      </c>
      <c r="J19" s="353">
        <v>1.27</v>
      </c>
      <c r="K19" s="131"/>
    </row>
    <row r="20" spans="1:11">
      <c r="A20" s="216" t="s">
        <v>249</v>
      </c>
      <c r="B20" s="217">
        <f>Columnas!C39</f>
        <v>0.85</v>
      </c>
      <c r="C20" s="130"/>
      <c r="D20" s="130"/>
      <c r="E20" s="130"/>
      <c r="I20" s="353" t="s">
        <v>91</v>
      </c>
      <c r="J20" s="353">
        <v>1.98</v>
      </c>
      <c r="K20" s="131"/>
    </row>
    <row r="21" spans="1:11">
      <c r="A21" s="148" t="s">
        <v>92</v>
      </c>
      <c r="B21" s="218">
        <f>(B18*(B31/100))/2</f>
        <v>2493355.1999999997</v>
      </c>
    </row>
    <row r="22" spans="1:11">
      <c r="A22" s="145" t="s">
        <v>239</v>
      </c>
      <c r="B22" s="186">
        <f>0.53*(1+(Zapatas!B30/(140*Columnas!C33)))*B19*(SQRT(Columnas!C31))*B25*B26</f>
        <v>199317.10759909649</v>
      </c>
      <c r="C22" s="130"/>
      <c r="D22" s="130"/>
      <c r="E22" s="130"/>
      <c r="F22" s="437">
        <f>B42</f>
        <v>10</v>
      </c>
      <c r="K22" s="131"/>
    </row>
    <row r="23" spans="1:11">
      <c r="A23" s="139" t="s">
        <v>83</v>
      </c>
      <c r="B23" s="222">
        <f>Columnas!C32</f>
        <v>4200</v>
      </c>
      <c r="D23" s="130"/>
      <c r="E23" s="130"/>
      <c r="F23" s="437"/>
      <c r="K23" s="131"/>
    </row>
    <row r="24" spans="1:11">
      <c r="A24" s="148" t="str">
        <f>Columnas!B31</f>
        <v>f´c =</v>
      </c>
      <c r="B24" s="231">
        <f>Columnas!C31</f>
        <v>490</v>
      </c>
      <c r="D24" s="130"/>
      <c r="E24" s="136"/>
      <c r="K24" s="131"/>
    </row>
    <row r="25" spans="1:11">
      <c r="A25" s="139" t="s">
        <v>114</v>
      </c>
      <c r="B25" s="223">
        <f>IF(Columnas!C27="Espiral",Columnas!C29,Columnas!C28)</f>
        <v>80</v>
      </c>
      <c r="D25" s="133"/>
      <c r="E25" s="134"/>
      <c r="F25" s="442">
        <f>B48</f>
        <v>80</v>
      </c>
      <c r="G25" s="444">
        <f>B42</f>
        <v>10</v>
      </c>
      <c r="I25" s="131"/>
      <c r="J25" s="131"/>
      <c r="K25" s="131"/>
    </row>
    <row r="26" spans="1:11">
      <c r="A26" s="139" t="s">
        <v>115</v>
      </c>
      <c r="B26" s="223">
        <f>Columnas!C29</f>
        <v>80</v>
      </c>
      <c r="E26" s="135"/>
      <c r="F26" s="442"/>
      <c r="G26" s="444"/>
      <c r="I26" s="131"/>
      <c r="J26" s="131"/>
      <c r="K26" s="131"/>
    </row>
    <row r="27" spans="1:11">
      <c r="A27" s="439"/>
      <c r="B27" s="439"/>
      <c r="E27" s="135"/>
      <c r="F27" s="149"/>
      <c r="G27" s="150"/>
      <c r="I27" s="131"/>
      <c r="J27" s="131"/>
      <c r="K27" s="131"/>
    </row>
    <row r="28" spans="1:11">
      <c r="A28" s="234" t="str">
        <f>IF((0.5*B22*B20)&lt;=B21,"NECESITA REFUERZO A CORTANTE","NO NECESITA REFUERZO A CORTANTE")</f>
        <v>NECESITA REFUERZO A CORTANTE</v>
      </c>
      <c r="C28" s="133"/>
      <c r="E28" s="135"/>
      <c r="F28" s="149"/>
      <c r="G28" s="150"/>
      <c r="K28" s="131"/>
    </row>
    <row r="29" spans="1:11">
      <c r="A29" s="145" t="s">
        <v>252</v>
      </c>
      <c r="B29" s="185">
        <f>(B21-B22*B20)/B20</f>
        <v>2734041.9512244328</v>
      </c>
      <c r="C29" s="133"/>
      <c r="E29" s="135"/>
      <c r="F29" s="443">
        <f>B49</f>
        <v>140</v>
      </c>
      <c r="G29" s="444">
        <f>B41</f>
        <v>15</v>
      </c>
      <c r="H29" s="151">
        <f>B31</f>
        <v>300</v>
      </c>
      <c r="K29" s="131"/>
    </row>
    <row r="30" spans="1:11">
      <c r="A30" s="145" t="s">
        <v>251</v>
      </c>
      <c r="B30" s="187">
        <f>B29+B22</f>
        <v>2933359.0588235292</v>
      </c>
      <c r="C30" s="215" t="str">
        <f>IF(B30&gt;B21,"Cumple","Aumentar el área de acero en transversal")</f>
        <v>Cumple</v>
      </c>
      <c r="E30" s="135"/>
      <c r="F30" s="443"/>
      <c r="G30" s="444"/>
      <c r="K30" s="131"/>
    </row>
    <row r="31" spans="1:11">
      <c r="A31" s="139" t="s">
        <v>198</v>
      </c>
      <c r="B31" s="219">
        <v>300</v>
      </c>
      <c r="E31" s="135"/>
      <c r="F31" s="149"/>
      <c r="G31" s="150"/>
      <c r="K31" s="131"/>
    </row>
    <row r="32" spans="1:11">
      <c r="A32" s="139" t="s">
        <v>113</v>
      </c>
      <c r="B32" s="220" t="s">
        <v>89</v>
      </c>
      <c r="D32" s="135"/>
      <c r="E32" s="135"/>
      <c r="F32" s="149"/>
      <c r="G32" s="150"/>
      <c r="K32" s="131"/>
    </row>
    <row r="33" spans="1:11">
      <c r="A33" s="139" t="s">
        <v>116</v>
      </c>
      <c r="B33" s="221">
        <f>VLOOKUP(B32,I17:J21,2,FALSE)</f>
        <v>1.27</v>
      </c>
      <c r="D33" s="135"/>
      <c r="E33" s="135"/>
      <c r="F33" s="149"/>
      <c r="G33" s="150"/>
      <c r="K33" s="131"/>
    </row>
    <row r="34" spans="1:11">
      <c r="A34" s="242" t="s">
        <v>257</v>
      </c>
      <c r="B34" s="187">
        <f>(B30*B20)-B21</f>
        <v>0</v>
      </c>
      <c r="D34" s="135"/>
      <c r="E34" s="135"/>
      <c r="F34" s="153">
        <f>B48</f>
        <v>80</v>
      </c>
      <c r="G34" s="152">
        <f>B42</f>
        <v>10</v>
      </c>
      <c r="K34" s="131"/>
    </row>
    <row r="35" spans="1:11">
      <c r="D35" s="135"/>
      <c r="E35" s="135"/>
      <c r="F35" s="149"/>
      <c r="K35" s="131"/>
    </row>
    <row r="36" spans="1:11">
      <c r="A36" s="441" t="s">
        <v>124</v>
      </c>
      <c r="B36" s="441"/>
      <c r="D36" s="135"/>
      <c r="E36" s="135"/>
      <c r="K36" s="131"/>
    </row>
    <row r="37" spans="1:11">
      <c r="A37" s="144" t="s">
        <v>121</v>
      </c>
      <c r="B37" s="224">
        <f>850/(SQRT(B23))</f>
        <v>13.115784746777814</v>
      </c>
      <c r="D37" s="135"/>
      <c r="E37" s="135"/>
      <c r="F37" s="437">
        <f>G34</f>
        <v>10</v>
      </c>
      <c r="K37" s="131"/>
    </row>
    <row r="38" spans="1:11">
      <c r="A38" s="144" t="s">
        <v>122</v>
      </c>
      <c r="B38" s="221">
        <f>48*B33</f>
        <v>60.96</v>
      </c>
      <c r="D38" s="135"/>
      <c r="E38" s="135"/>
      <c r="F38" s="438"/>
      <c r="K38" s="131"/>
    </row>
    <row r="39" spans="1:11" ht="12.75" thickBot="1">
      <c r="A39" s="145" t="s">
        <v>123</v>
      </c>
      <c r="B39" s="225">
        <f>MIN((B25/2),(B26/2))</f>
        <v>40</v>
      </c>
      <c r="D39" s="137"/>
      <c r="E39" s="137"/>
      <c r="K39" s="131"/>
    </row>
    <row r="40" spans="1:11" ht="12.75" thickTop="1">
      <c r="A40" s="139" t="s">
        <v>117</v>
      </c>
      <c r="B40" s="226">
        <f>MAX((MIN(B37,B38,B39,60)),10)</f>
        <v>13.115784746777814</v>
      </c>
      <c r="D40" s="137"/>
      <c r="E40" s="137"/>
      <c r="K40" s="131"/>
    </row>
    <row r="41" spans="1:11">
      <c r="A41" s="140" t="s">
        <v>118</v>
      </c>
      <c r="B41" s="223">
        <f>MROUND(B40,5)</f>
        <v>15</v>
      </c>
      <c r="D41" s="137"/>
      <c r="E41" s="137"/>
      <c r="K41" s="131"/>
    </row>
    <row r="42" spans="1:11">
      <c r="A42" s="140" t="s">
        <v>119</v>
      </c>
      <c r="B42" s="223">
        <f>MAX((MROUND((B41/2),5)),10)</f>
        <v>10</v>
      </c>
      <c r="D42" s="133"/>
      <c r="E42" s="133"/>
      <c r="F42" s="131"/>
      <c r="G42" s="131"/>
      <c r="H42" s="131"/>
      <c r="I42" s="131"/>
      <c r="J42" s="131"/>
      <c r="K42" s="131"/>
    </row>
    <row r="43" spans="1:11">
      <c r="A43" s="138"/>
      <c r="B43" s="135"/>
      <c r="D43" s="133"/>
      <c r="E43" s="133"/>
      <c r="F43" s="131"/>
      <c r="G43" s="131"/>
      <c r="H43" s="131"/>
      <c r="I43" s="131"/>
      <c r="J43" s="131"/>
      <c r="K43" s="131"/>
    </row>
    <row r="44" spans="1:11">
      <c r="A44" s="233" t="s">
        <v>125</v>
      </c>
      <c r="B44" s="230"/>
      <c r="D44" s="133"/>
      <c r="E44" s="133"/>
      <c r="F44" s="131"/>
      <c r="G44" s="131"/>
      <c r="H44" s="131"/>
      <c r="I44" s="131"/>
      <c r="J44" s="131"/>
      <c r="K44" s="131"/>
    </row>
    <row r="45" spans="1:11">
      <c r="A45" s="148" t="s">
        <v>129</v>
      </c>
      <c r="B45" s="227">
        <f>MAX(B26,B25)</f>
        <v>80</v>
      </c>
      <c r="D45" s="133"/>
      <c r="E45" s="133"/>
      <c r="F45" s="131"/>
      <c r="G45" s="131"/>
      <c r="H45" s="131"/>
      <c r="I45" s="131"/>
      <c r="J45" s="131"/>
      <c r="K45" s="131"/>
    </row>
    <row r="46" spans="1:11">
      <c r="A46" s="148" t="s">
        <v>130</v>
      </c>
      <c r="B46" s="227">
        <f>B31/6</f>
        <v>50</v>
      </c>
    </row>
    <row r="47" spans="1:11" ht="12.75" thickBot="1">
      <c r="A47" s="139" t="s">
        <v>128</v>
      </c>
      <c r="B47" s="228">
        <f>60</f>
        <v>60</v>
      </c>
    </row>
    <row r="48" spans="1:11" ht="12.75" thickTop="1">
      <c r="A48" s="140" t="s">
        <v>126</v>
      </c>
      <c r="B48" s="229">
        <f>MROUND((MAX(B45:B47)),10)</f>
        <v>80</v>
      </c>
    </row>
    <row r="49" spans="1:2">
      <c r="A49" s="140" t="s">
        <v>127</v>
      </c>
      <c r="B49" s="223">
        <f>B31-(2*B48)</f>
        <v>140</v>
      </c>
    </row>
    <row r="51" spans="1:2">
      <c r="B51" s="241"/>
    </row>
    <row r="52" spans="1:2">
      <c r="B52" s="241"/>
    </row>
  </sheetData>
  <mergeCells count="11">
    <mergeCell ref="F37:F38"/>
    <mergeCell ref="F22:F23"/>
    <mergeCell ref="A27:B27"/>
    <mergeCell ref="A1:G3"/>
    <mergeCell ref="A17:B17"/>
    <mergeCell ref="A36:B36"/>
    <mergeCell ref="F25:F26"/>
    <mergeCell ref="F29:F30"/>
    <mergeCell ref="G25:G26"/>
    <mergeCell ref="G29:G30"/>
    <mergeCell ref="A5:G15"/>
  </mergeCells>
  <conditionalFormatting sqref="A43">
    <cfRule type="expression" dxfId="1" priority="1">
      <formula>"SE NECESITA REFUERZO DE CORTANTE"</formula>
    </cfRule>
  </conditionalFormatting>
  <dataValidations count="1">
    <dataValidation type="list" allowBlank="1" showInputMessage="1" showErrorMessage="1" sqref="B32" xr:uid="{B027D720-E164-49B4-B039-05930D8D2742}">
      <formula1>dvarilla</formula1>
    </dataValidation>
  </dataValidations>
  <printOptions horizontalCentered="1"/>
  <pageMargins left="0.70866141732283472" right="0.70866141732283472" top="0.74803149606299213" bottom="0.74803149606299213"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C2714-F000-4C3D-9325-3F3ACF9A8D18}">
  <sheetPr>
    <tabColor rgb="FFFFC000"/>
  </sheetPr>
  <dimension ref="A1:K43"/>
  <sheetViews>
    <sheetView zoomScale="115" zoomScaleNormal="115" workbookViewId="0">
      <selection activeCell="C35" sqref="C35"/>
    </sheetView>
  </sheetViews>
  <sheetFormatPr baseColWidth="10" defaultColWidth="11.42578125" defaultRowHeight="12"/>
  <cols>
    <col min="1" max="1" width="11.42578125" style="129" customWidth="1"/>
    <col min="2" max="2" width="12.140625" style="129" bestFit="1" customWidth="1"/>
    <col min="3" max="4" width="11.5703125" style="129" bestFit="1" customWidth="1"/>
    <col min="5" max="5" width="4.28515625" style="129" customWidth="1"/>
    <col min="6" max="6" width="10" style="129" customWidth="1"/>
    <col min="7" max="7" width="7.5703125" style="129" customWidth="1"/>
    <col min="8" max="8" width="11.42578125" style="129" customWidth="1"/>
    <col min="9" max="9" width="0" style="129" hidden="1" customWidth="1"/>
    <col min="10" max="10" width="11.5703125" style="129" hidden="1" customWidth="1"/>
    <col min="11" max="11" width="0" style="129" hidden="1" customWidth="1"/>
    <col min="12" max="16384" width="11.42578125" style="129"/>
  </cols>
  <sheetData>
    <row r="1" spans="1:11" s="7" customFormat="1" ht="13.5" thickTop="1">
      <c r="A1" s="395" t="s">
        <v>132</v>
      </c>
      <c r="B1" s="396"/>
      <c r="C1" s="396"/>
      <c r="D1" s="396"/>
      <c r="E1" s="396"/>
      <c r="F1" s="396"/>
      <c r="G1" s="397"/>
    </row>
    <row r="2" spans="1:11" s="7" customFormat="1" ht="12.75">
      <c r="A2" s="398"/>
      <c r="B2" s="399"/>
      <c r="C2" s="399"/>
      <c r="D2" s="399"/>
      <c r="E2" s="399"/>
      <c r="F2" s="399"/>
      <c r="G2" s="400"/>
    </row>
    <row r="3" spans="1:11" s="7" customFormat="1" ht="13.5" thickBot="1">
      <c r="A3" s="401"/>
      <c r="B3" s="402"/>
      <c r="C3" s="402"/>
      <c r="D3" s="402"/>
      <c r="E3" s="402"/>
      <c r="F3" s="402"/>
      <c r="G3" s="403"/>
    </row>
    <row r="4" spans="1:11" ht="12.75" customHeight="1" thickTop="1" thickBot="1"/>
    <row r="5" spans="1:11" ht="12" customHeight="1">
      <c r="A5" s="455" t="s">
        <v>315</v>
      </c>
      <c r="B5" s="456"/>
      <c r="C5" s="456"/>
      <c r="D5" s="456"/>
      <c r="E5" s="456"/>
      <c r="F5" s="456"/>
      <c r="G5" s="457"/>
    </row>
    <row r="6" spans="1:11">
      <c r="A6" s="458"/>
      <c r="B6" s="459"/>
      <c r="C6" s="459"/>
      <c r="D6" s="459"/>
      <c r="E6" s="459"/>
      <c r="F6" s="459"/>
      <c r="G6" s="460"/>
    </row>
    <row r="7" spans="1:11">
      <c r="A7" s="458"/>
      <c r="B7" s="459"/>
      <c r="C7" s="459"/>
      <c r="D7" s="459"/>
      <c r="E7" s="459"/>
      <c r="F7" s="459"/>
      <c r="G7" s="460"/>
    </row>
    <row r="8" spans="1:11">
      <c r="A8" s="458"/>
      <c r="B8" s="459"/>
      <c r="C8" s="459"/>
      <c r="D8" s="459"/>
      <c r="E8" s="459"/>
      <c r="F8" s="459"/>
      <c r="G8" s="460"/>
    </row>
    <row r="9" spans="1:11">
      <c r="A9" s="458"/>
      <c r="B9" s="459"/>
      <c r="C9" s="459"/>
      <c r="D9" s="459"/>
      <c r="E9" s="459"/>
      <c r="F9" s="459"/>
      <c r="G9" s="460"/>
    </row>
    <row r="10" spans="1:11">
      <c r="A10" s="458"/>
      <c r="B10" s="459"/>
      <c r="C10" s="459"/>
      <c r="D10" s="459"/>
      <c r="E10" s="459"/>
      <c r="F10" s="459"/>
      <c r="G10" s="460"/>
    </row>
    <row r="11" spans="1:11">
      <c r="A11" s="458"/>
      <c r="B11" s="459"/>
      <c r="C11" s="459"/>
      <c r="D11" s="459"/>
      <c r="E11" s="459"/>
      <c r="F11" s="459"/>
      <c r="G11" s="460"/>
    </row>
    <row r="12" spans="1:11" ht="12.75" thickBot="1">
      <c r="A12" s="461"/>
      <c r="B12" s="462"/>
      <c r="C12" s="462"/>
      <c r="D12" s="462"/>
      <c r="E12" s="462"/>
      <c r="F12" s="462"/>
      <c r="G12" s="463"/>
    </row>
    <row r="14" spans="1:11">
      <c r="A14" s="440" t="s">
        <v>120</v>
      </c>
      <c r="B14" s="440"/>
      <c r="C14" s="130"/>
      <c r="D14" s="130"/>
      <c r="E14" s="130"/>
      <c r="I14" s="129" t="s">
        <v>87</v>
      </c>
      <c r="J14" s="129">
        <v>0.49</v>
      </c>
      <c r="K14" s="131"/>
    </row>
    <row r="15" spans="1:11">
      <c r="A15" s="139" t="s">
        <v>250</v>
      </c>
      <c r="B15" s="391">
        <f>Columnas!D88*1000</f>
        <v>1662236.7999999998</v>
      </c>
      <c r="C15" s="130"/>
      <c r="D15" s="130"/>
      <c r="E15" s="130"/>
      <c r="I15" s="129" t="s">
        <v>88</v>
      </c>
      <c r="J15" s="129">
        <v>0.71</v>
      </c>
      <c r="K15" s="131"/>
    </row>
    <row r="16" spans="1:11">
      <c r="A16" s="232" t="str">
        <f>'Estribos '!A19</f>
        <v>l =</v>
      </c>
      <c r="B16" s="217">
        <f>'Estribos '!B19</f>
        <v>0.85</v>
      </c>
      <c r="C16" s="130"/>
      <c r="D16" s="130"/>
      <c r="E16" s="130"/>
      <c r="F16" s="437"/>
      <c r="I16" s="129" t="s">
        <v>89</v>
      </c>
      <c r="J16" s="129">
        <v>1.27</v>
      </c>
      <c r="K16" s="131"/>
    </row>
    <row r="17" spans="1:11">
      <c r="A17" s="216" t="s">
        <v>249</v>
      </c>
      <c r="B17" s="217">
        <f>'Estribos '!B20</f>
        <v>0.85</v>
      </c>
      <c r="C17" s="130"/>
      <c r="D17" s="130"/>
      <c r="E17" s="130"/>
      <c r="F17" s="437"/>
      <c r="I17" s="129" t="s">
        <v>91</v>
      </c>
      <c r="J17" s="129">
        <v>1.98</v>
      </c>
      <c r="K17" s="131"/>
    </row>
    <row r="18" spans="1:11">
      <c r="A18" s="148" t="s">
        <v>92</v>
      </c>
      <c r="B18" s="218">
        <f>(B15*(B27/100))/2</f>
        <v>2493355.1999999997</v>
      </c>
      <c r="D18" s="130"/>
      <c r="E18" s="136"/>
      <c r="K18" s="131"/>
    </row>
    <row r="19" spans="1:11">
      <c r="A19" s="145" t="s">
        <v>239</v>
      </c>
      <c r="B19" s="235">
        <f>0.53*(1+(Zapatas!B30/(140*Columnas!C33)))*B16*(SQRT(Columnas!C31))*(Columnas!C33)</f>
        <v>199317.10759909649</v>
      </c>
      <c r="C19" s="130"/>
      <c r="D19" s="133"/>
      <c r="E19" s="134"/>
      <c r="F19" s="442"/>
      <c r="I19" s="131"/>
      <c r="J19" s="131"/>
      <c r="K19" s="131"/>
    </row>
    <row r="20" spans="1:11">
      <c r="A20" s="139" t="s">
        <v>83</v>
      </c>
      <c r="B20" s="222">
        <f>Columnas!C32</f>
        <v>4200</v>
      </c>
      <c r="E20" s="135"/>
      <c r="F20" s="442"/>
      <c r="I20" s="131"/>
      <c r="J20" s="131"/>
      <c r="K20" s="131"/>
    </row>
    <row r="21" spans="1:11">
      <c r="A21" s="148" t="str">
        <f>'Estribos '!A24</f>
        <v>f´c =</v>
      </c>
      <c r="B21" s="236">
        <f>Columnas!C31</f>
        <v>490</v>
      </c>
      <c r="E21" s="135"/>
      <c r="F21" s="149"/>
      <c r="G21" s="454">
        <f>B37</f>
        <v>15</v>
      </c>
      <c r="H21" s="151">
        <f>B27</f>
        <v>300</v>
      </c>
      <c r="I21" s="131"/>
      <c r="J21" s="131"/>
      <c r="K21" s="131"/>
    </row>
    <row r="22" spans="1:11">
      <c r="A22" s="139" t="s">
        <v>115</v>
      </c>
      <c r="B22" s="223">
        <f>Columnas!C29</f>
        <v>80</v>
      </c>
      <c r="E22" s="135"/>
      <c r="F22" s="443"/>
      <c r="G22" s="454"/>
      <c r="K22" s="131"/>
    </row>
    <row r="23" spans="1:11">
      <c r="A23" s="439"/>
      <c r="B23" s="439"/>
      <c r="E23" s="135"/>
      <c r="F23" s="443"/>
      <c r="K23" s="131"/>
    </row>
    <row r="24" spans="1:11">
      <c r="A24" s="238" t="str">
        <f>IF((0.5*B19*B17)&lt;=B18,"NECESITA REFUERZO A CORTANTE","NO NECESITA REFUERZO A CORTANTE")</f>
        <v>NECESITA REFUERZO A CORTANTE</v>
      </c>
      <c r="C24" s="133"/>
      <c r="E24" s="135"/>
      <c r="F24" s="149"/>
      <c r="G24" s="150"/>
      <c r="K24" s="131"/>
    </row>
    <row r="25" spans="1:11">
      <c r="A25" s="145" t="s">
        <v>252</v>
      </c>
      <c r="B25" s="185">
        <f>(B18-B19*B17)/B17</f>
        <v>2734041.9512244328</v>
      </c>
      <c r="C25" s="133"/>
      <c r="D25" s="135"/>
      <c r="E25" s="135"/>
      <c r="F25" s="149"/>
      <c r="G25" s="150"/>
      <c r="K25" s="131"/>
    </row>
    <row r="26" spans="1:11">
      <c r="A26" s="145" t="s">
        <v>251</v>
      </c>
      <c r="B26" s="187">
        <f>B25+B19</f>
        <v>2933359.0588235292</v>
      </c>
      <c r="C26" s="215" t="str">
        <f>IF(B26&gt;B18,"Cumple","Aumentar el área de acero en transversal")</f>
        <v>Cumple</v>
      </c>
      <c r="D26" s="135"/>
      <c r="E26" s="135"/>
      <c r="F26" s="149"/>
      <c r="G26" s="150"/>
      <c r="K26" s="131"/>
    </row>
    <row r="27" spans="1:11">
      <c r="A27" s="139" t="s">
        <v>198</v>
      </c>
      <c r="B27" s="219">
        <v>300</v>
      </c>
      <c r="D27" s="135"/>
      <c r="E27" s="135"/>
      <c r="F27" s="153"/>
      <c r="G27" s="152"/>
      <c r="K27" s="131"/>
    </row>
    <row r="28" spans="1:11">
      <c r="A28" s="139" t="s">
        <v>113</v>
      </c>
      <c r="B28" s="220" t="s">
        <v>89</v>
      </c>
      <c r="D28" s="135"/>
      <c r="E28" s="135"/>
      <c r="F28" s="153"/>
      <c r="G28" s="152"/>
      <c r="K28" s="131"/>
    </row>
    <row r="29" spans="1:11">
      <c r="A29" s="139" t="s">
        <v>116</v>
      </c>
      <c r="B29" s="221">
        <f>VLOOKUP(B28,I14:J17,2,FALSE)</f>
        <v>1.27</v>
      </c>
      <c r="D29" s="135"/>
      <c r="E29" s="135"/>
      <c r="K29" s="131"/>
    </row>
    <row r="30" spans="1:11">
      <c r="A30" s="148" t="s">
        <v>251</v>
      </c>
      <c r="B30" s="187">
        <f>(B26*B17)-B18</f>
        <v>0</v>
      </c>
      <c r="D30" s="133"/>
      <c r="E30" s="133"/>
      <c r="F30" s="131"/>
      <c r="G30" s="131"/>
      <c r="H30" s="131"/>
      <c r="I30" s="131"/>
      <c r="J30" s="131"/>
      <c r="K30" s="131"/>
    </row>
    <row r="31" spans="1:11">
      <c r="C31" s="133"/>
      <c r="D31" s="133"/>
      <c r="E31" s="133"/>
      <c r="F31" s="131"/>
      <c r="G31" s="131"/>
      <c r="H31" s="131"/>
      <c r="I31" s="131"/>
      <c r="J31" s="131"/>
      <c r="K31" s="131"/>
    </row>
    <row r="32" spans="1:11">
      <c r="A32" s="441" t="s">
        <v>124</v>
      </c>
      <c r="B32" s="441"/>
    </row>
    <row r="33" spans="1:2">
      <c r="A33" s="144" t="s">
        <v>121</v>
      </c>
      <c r="B33" s="142">
        <f>850/(SQRT(B20))</f>
        <v>13.115784746777814</v>
      </c>
    </row>
    <row r="34" spans="1:2">
      <c r="A34" s="144" t="s">
        <v>122</v>
      </c>
      <c r="B34" s="143">
        <f>48*B29</f>
        <v>60.96</v>
      </c>
    </row>
    <row r="35" spans="1:2" ht="12.75" thickBot="1">
      <c r="A35" s="145" t="s">
        <v>123</v>
      </c>
      <c r="B35" s="147">
        <f>MIN(B22/2)</f>
        <v>40</v>
      </c>
    </row>
    <row r="36" spans="1:2" ht="12.75" thickTop="1">
      <c r="A36" s="139" t="s">
        <v>117</v>
      </c>
      <c r="B36" s="146">
        <f>MIN(B33,B34,B35,30)</f>
        <v>13.115784746777814</v>
      </c>
    </row>
    <row r="37" spans="1:2">
      <c r="A37" s="140" t="s">
        <v>133</v>
      </c>
      <c r="B37" s="141">
        <f>MROUND(B36,5)</f>
        <v>15</v>
      </c>
    </row>
    <row r="40" spans="1:2">
      <c r="A40" s="140"/>
      <c r="B40" s="210"/>
    </row>
    <row r="42" spans="1:2">
      <c r="A42" s="237"/>
      <c r="B42" s="237"/>
    </row>
    <row r="43" spans="1:2">
      <c r="A43" s="155"/>
      <c r="B43" s="132"/>
    </row>
  </sheetData>
  <mergeCells count="9">
    <mergeCell ref="A14:B14"/>
    <mergeCell ref="A23:B23"/>
    <mergeCell ref="A32:B32"/>
    <mergeCell ref="A1:G3"/>
    <mergeCell ref="F16:F17"/>
    <mergeCell ref="F19:F20"/>
    <mergeCell ref="F22:F23"/>
    <mergeCell ref="G21:G22"/>
    <mergeCell ref="A5:G12"/>
  </mergeCells>
  <dataValidations count="1">
    <dataValidation type="list" allowBlank="1" showInputMessage="1" showErrorMessage="1" sqref="B28" xr:uid="{550FD779-0C07-4042-834E-BFDE82FF71D1}">
      <formula1>dvarilla</formula1>
    </dataValidation>
  </dataValidations>
  <printOptions horizontalCentered="1"/>
  <pageMargins left="0.70866141732283472" right="0.70866141732283472" top="0.74803149606299213" bottom="0.74803149606299213" header="0.31496062992125984" footer="0.31496062992125984"/>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27F2-22C2-4CC6-8E3E-FD5AC68B5053}">
  <sheetPr>
    <tabColor rgb="FF7030A0"/>
    <pageSetUpPr fitToPage="1"/>
  </sheetPr>
  <dimension ref="A1:S161"/>
  <sheetViews>
    <sheetView topLeftCell="A45" zoomScale="145" zoomScaleNormal="145" zoomScaleSheetLayoutView="70" workbookViewId="0">
      <selection activeCell="D163" sqref="D163"/>
    </sheetView>
  </sheetViews>
  <sheetFormatPr baseColWidth="10" defaultColWidth="11.42578125" defaultRowHeight="12.75"/>
  <cols>
    <col min="1" max="1" width="11.42578125" style="11" customWidth="1"/>
    <col min="2" max="2" width="15.7109375" style="7" customWidth="1"/>
    <col min="3" max="3" width="12.7109375" style="7" customWidth="1"/>
    <col min="4" max="4" width="12.28515625" style="7" bestFit="1" customWidth="1"/>
    <col min="5" max="5" width="12.42578125" style="7" bestFit="1" customWidth="1"/>
    <col min="6" max="6" width="11.42578125" style="7" customWidth="1"/>
    <col min="7" max="7" width="13.7109375" style="7" bestFit="1" customWidth="1"/>
    <col min="8" max="9" width="11.42578125" style="7" customWidth="1"/>
    <col min="10" max="16" width="11.42578125" style="7" hidden="1" customWidth="1"/>
    <col min="17" max="22" width="11.42578125" style="7" customWidth="1"/>
    <col min="23" max="16384" width="11.42578125" style="7"/>
  </cols>
  <sheetData>
    <row r="1" spans="1:12" ht="33" customHeight="1" thickBot="1">
      <c r="A1" s="256"/>
      <c r="B1" s="464" t="s">
        <v>286</v>
      </c>
      <c r="C1" s="465"/>
      <c r="D1" s="465"/>
      <c r="E1" s="465"/>
      <c r="F1" s="465"/>
      <c r="G1" s="466"/>
      <c r="H1" s="257"/>
      <c r="I1" s="258"/>
      <c r="K1" s="34"/>
      <c r="L1" s="34"/>
    </row>
    <row r="2" spans="1:12" ht="13.5" thickBot="1">
      <c r="A2" s="43"/>
      <c r="B2" s="34"/>
      <c r="C2" s="34"/>
      <c r="D2" s="34"/>
      <c r="E2" s="34"/>
      <c r="F2" s="34"/>
      <c r="G2" s="34"/>
      <c r="H2" s="34"/>
      <c r="I2" s="46"/>
      <c r="J2" s="34"/>
      <c r="K2" s="34"/>
      <c r="L2" s="34"/>
    </row>
    <row r="3" spans="1:12" ht="17.100000000000001" customHeight="1">
      <c r="A3" s="43"/>
      <c r="B3" s="477" t="s">
        <v>316</v>
      </c>
      <c r="C3" s="478"/>
      <c r="D3" s="478"/>
      <c r="E3" s="478"/>
      <c r="F3" s="478"/>
      <c r="G3" s="478"/>
      <c r="H3" s="479"/>
      <c r="I3" s="46"/>
      <c r="J3" s="34"/>
      <c r="K3" s="34"/>
      <c r="L3" s="34"/>
    </row>
    <row r="4" spans="1:12" ht="17.100000000000001" customHeight="1">
      <c r="A4" s="43"/>
      <c r="B4" s="480"/>
      <c r="C4" s="481"/>
      <c r="D4" s="481"/>
      <c r="E4" s="481"/>
      <c r="F4" s="481"/>
      <c r="G4" s="481"/>
      <c r="H4" s="482"/>
      <c r="I4" s="46"/>
      <c r="J4" s="34"/>
      <c r="K4" s="34"/>
      <c r="L4" s="34"/>
    </row>
    <row r="5" spans="1:12" ht="17.100000000000001" customHeight="1">
      <c r="A5" s="43"/>
      <c r="B5" s="480"/>
      <c r="C5" s="481"/>
      <c r="D5" s="481"/>
      <c r="E5" s="481"/>
      <c r="F5" s="481"/>
      <c r="G5" s="481"/>
      <c r="H5" s="482"/>
      <c r="I5" s="46"/>
      <c r="J5" s="34"/>
      <c r="K5" s="34"/>
      <c r="L5" s="34"/>
    </row>
    <row r="6" spans="1:12" ht="17.100000000000001" customHeight="1">
      <c r="A6" s="43"/>
      <c r="B6" s="480"/>
      <c r="C6" s="481"/>
      <c r="D6" s="481"/>
      <c r="E6" s="481"/>
      <c r="F6" s="481"/>
      <c r="G6" s="481"/>
      <c r="H6" s="482"/>
      <c r="I6" s="46"/>
      <c r="J6" s="34"/>
      <c r="K6" s="34"/>
      <c r="L6" s="34"/>
    </row>
    <row r="7" spans="1:12" ht="17.100000000000001" customHeight="1">
      <c r="A7" s="43"/>
      <c r="B7" s="480"/>
      <c r="C7" s="481"/>
      <c r="D7" s="481"/>
      <c r="E7" s="481"/>
      <c r="F7" s="481"/>
      <c r="G7" s="481"/>
      <c r="H7" s="482"/>
      <c r="I7" s="46"/>
      <c r="J7" s="34"/>
      <c r="K7" s="34"/>
      <c r="L7" s="34"/>
    </row>
    <row r="8" spans="1:12" ht="17.100000000000001" customHeight="1">
      <c r="A8" s="43"/>
      <c r="B8" s="480"/>
      <c r="C8" s="481"/>
      <c r="D8" s="481"/>
      <c r="E8" s="481"/>
      <c r="F8" s="481"/>
      <c r="G8" s="481"/>
      <c r="H8" s="482"/>
      <c r="I8" s="46"/>
      <c r="J8" s="34"/>
      <c r="K8" s="34"/>
      <c r="L8" s="34"/>
    </row>
    <row r="9" spans="1:12" ht="17.100000000000001" customHeight="1">
      <c r="A9" s="43"/>
      <c r="B9" s="480"/>
      <c r="C9" s="481"/>
      <c r="D9" s="481"/>
      <c r="E9" s="481"/>
      <c r="F9" s="481"/>
      <c r="G9" s="481"/>
      <c r="H9" s="482"/>
      <c r="I9" s="46"/>
      <c r="J9" s="34"/>
      <c r="K9" s="34"/>
      <c r="L9" s="34"/>
    </row>
    <row r="10" spans="1:12" ht="17.100000000000001" customHeight="1">
      <c r="A10" s="43"/>
      <c r="B10" s="480"/>
      <c r="C10" s="481"/>
      <c r="D10" s="481"/>
      <c r="E10" s="481"/>
      <c r="F10" s="481"/>
      <c r="G10" s="481"/>
      <c r="H10" s="482"/>
      <c r="I10" s="46"/>
      <c r="J10" s="34"/>
      <c r="K10" s="34"/>
      <c r="L10" s="34"/>
    </row>
    <row r="11" spans="1:12" ht="17.100000000000001" customHeight="1">
      <c r="A11" s="43"/>
      <c r="B11" s="480"/>
      <c r="C11" s="481"/>
      <c r="D11" s="481"/>
      <c r="E11" s="481"/>
      <c r="F11" s="481"/>
      <c r="G11" s="481"/>
      <c r="H11" s="482"/>
      <c r="I11" s="46"/>
      <c r="J11" s="34"/>
      <c r="K11" s="34"/>
      <c r="L11" s="34"/>
    </row>
    <row r="12" spans="1:12" ht="17.100000000000001" customHeight="1">
      <c r="A12" s="43"/>
      <c r="B12" s="480"/>
      <c r="C12" s="481"/>
      <c r="D12" s="481"/>
      <c r="E12" s="481"/>
      <c r="F12" s="481"/>
      <c r="G12" s="481"/>
      <c r="H12" s="482"/>
      <c r="I12" s="46"/>
      <c r="J12" s="34"/>
      <c r="K12" s="34"/>
      <c r="L12" s="34"/>
    </row>
    <row r="13" spans="1:12" ht="17.100000000000001" customHeight="1" thickBot="1">
      <c r="A13" s="43"/>
      <c r="B13" s="483"/>
      <c r="C13" s="484"/>
      <c r="D13" s="484"/>
      <c r="E13" s="484"/>
      <c r="F13" s="484"/>
      <c r="G13" s="484"/>
      <c r="H13" s="485"/>
      <c r="I13" s="46"/>
      <c r="J13" s="34"/>
      <c r="K13" s="34"/>
      <c r="L13" s="34"/>
    </row>
    <row r="14" spans="1:12">
      <c r="A14" s="43"/>
      <c r="B14" s="34"/>
      <c r="C14" s="34"/>
      <c r="D14" s="34"/>
      <c r="E14" s="34"/>
      <c r="F14" s="34"/>
      <c r="G14" s="34"/>
      <c r="H14" s="34"/>
      <c r="I14" s="46"/>
      <c r="J14" s="34"/>
      <c r="K14" s="34"/>
      <c r="L14" s="34"/>
    </row>
    <row r="15" spans="1:12">
      <c r="A15" s="473" t="s">
        <v>120</v>
      </c>
      <c r="B15" s="404"/>
      <c r="C15" s="34"/>
      <c r="D15" s="34"/>
      <c r="E15" s="34"/>
      <c r="F15" s="34"/>
      <c r="G15" s="34"/>
      <c r="H15" s="34"/>
      <c r="I15" s="46"/>
      <c r="J15" s="34"/>
      <c r="K15" s="34"/>
      <c r="L15" s="34"/>
    </row>
    <row r="16" spans="1:12" ht="22.5">
      <c r="A16" s="259" t="s">
        <v>259</v>
      </c>
      <c r="B16" s="243">
        <f>(421/1.2)</f>
        <v>350.83333333333337</v>
      </c>
      <c r="C16" s="34"/>
      <c r="D16" s="34"/>
      <c r="E16" s="34"/>
      <c r="F16" s="34"/>
      <c r="G16" s="34"/>
      <c r="H16" s="34"/>
      <c r="I16" s="46"/>
      <c r="J16" s="34"/>
      <c r="K16" s="34"/>
      <c r="L16" s="34"/>
    </row>
    <row r="17" spans="1:16">
      <c r="A17" s="259" t="s">
        <v>258</v>
      </c>
      <c r="B17" s="243">
        <v>190</v>
      </c>
      <c r="C17" s="34"/>
      <c r="D17" s="34"/>
      <c r="E17" s="34"/>
      <c r="F17" s="34"/>
      <c r="G17" s="34"/>
      <c r="H17" s="34"/>
      <c r="I17" s="46"/>
      <c r="J17" s="34"/>
      <c r="K17" s="34"/>
      <c r="L17" s="34"/>
    </row>
    <row r="18" spans="1:16" ht="22.5">
      <c r="A18" s="259" t="s">
        <v>231</v>
      </c>
      <c r="B18" s="195">
        <v>1.2</v>
      </c>
      <c r="C18" s="34"/>
      <c r="D18" s="34"/>
      <c r="E18" s="34"/>
      <c r="F18" s="34"/>
      <c r="G18" s="34"/>
      <c r="H18" s="34"/>
      <c r="I18" s="46"/>
      <c r="J18" s="34"/>
      <c r="K18" s="34"/>
      <c r="L18" s="34"/>
    </row>
    <row r="19" spans="1:16" ht="22.5">
      <c r="A19" s="259" t="s">
        <v>230</v>
      </c>
      <c r="B19" s="195">
        <v>1.6</v>
      </c>
      <c r="C19" s="34"/>
      <c r="D19" s="34"/>
      <c r="E19" s="34"/>
      <c r="F19" s="34"/>
      <c r="G19" s="34"/>
      <c r="H19" s="34"/>
      <c r="I19" s="46"/>
      <c r="J19" s="34"/>
      <c r="K19" s="34"/>
      <c r="L19" s="34"/>
    </row>
    <row r="20" spans="1:16">
      <c r="A20" s="260" t="s">
        <v>295</v>
      </c>
      <c r="B20" s="244">
        <f>(((B16+B32)*B18)+(B19*B17))*0.09</f>
        <v>16654.05</v>
      </c>
      <c r="C20" s="34"/>
      <c r="D20" s="34"/>
      <c r="E20" s="34"/>
      <c r="F20" s="34"/>
      <c r="G20" s="34"/>
      <c r="H20" s="34"/>
      <c r="I20" s="46"/>
      <c r="J20" s="34"/>
      <c r="K20" s="34"/>
      <c r="L20" s="34"/>
    </row>
    <row r="21" spans="1:16">
      <c r="A21" s="260" t="s">
        <v>267</v>
      </c>
      <c r="B21" s="244">
        <f>(((B16)*B18)+(B19*B17))</f>
        <v>725</v>
      </c>
      <c r="C21" s="34"/>
      <c r="D21" s="34"/>
      <c r="E21" s="34"/>
      <c r="F21" s="34"/>
      <c r="G21" s="34"/>
      <c r="H21" s="34"/>
      <c r="I21" s="46"/>
      <c r="J21" s="34"/>
      <c r="K21" s="34"/>
      <c r="L21" s="34"/>
    </row>
    <row r="22" spans="1:16">
      <c r="A22" s="260" t="s">
        <v>296</v>
      </c>
      <c r="B22" s="244">
        <f>SUM(B20:B21)</f>
        <v>17379.05</v>
      </c>
      <c r="C22" s="34"/>
      <c r="D22" s="34"/>
      <c r="E22" s="34"/>
      <c r="F22" s="34"/>
      <c r="G22" s="34"/>
      <c r="H22" s="34"/>
      <c r="I22" s="46"/>
      <c r="J22" s="34"/>
      <c r="K22" s="34"/>
      <c r="L22" s="34"/>
    </row>
    <row r="23" spans="1:16">
      <c r="A23" s="259" t="s">
        <v>275</v>
      </c>
      <c r="B23" s="195">
        <v>0.75</v>
      </c>
      <c r="C23" s="34"/>
      <c r="D23" s="34"/>
      <c r="E23" s="34"/>
      <c r="F23" s="34"/>
      <c r="G23" s="34"/>
      <c r="H23" s="34"/>
      <c r="I23" s="46"/>
      <c r="J23" s="34"/>
      <c r="K23" s="34"/>
      <c r="L23" s="34"/>
    </row>
    <row r="24" spans="1:16">
      <c r="A24" s="261" t="s">
        <v>276</v>
      </c>
      <c r="B24" s="195">
        <v>0.9</v>
      </c>
      <c r="C24" s="34"/>
      <c r="D24" s="34"/>
      <c r="E24" s="34"/>
      <c r="F24" s="262"/>
      <c r="G24" s="34"/>
      <c r="H24" s="34"/>
      <c r="I24" s="46"/>
      <c r="J24" s="34"/>
      <c r="K24" s="34"/>
      <c r="L24" s="34"/>
    </row>
    <row r="25" spans="1:16">
      <c r="A25" s="261" t="s">
        <v>277</v>
      </c>
      <c r="B25" s="195">
        <v>0.85</v>
      </c>
      <c r="C25" s="34"/>
      <c r="D25" s="34"/>
      <c r="E25" s="34"/>
      <c r="F25" s="263"/>
      <c r="G25" s="34"/>
      <c r="H25" s="34"/>
      <c r="I25" s="46"/>
      <c r="J25" s="34"/>
      <c r="K25" s="34"/>
      <c r="L25" s="34"/>
    </row>
    <row r="26" spans="1:16">
      <c r="A26" s="260" t="s">
        <v>290</v>
      </c>
      <c r="B26" s="195">
        <v>0.9</v>
      </c>
      <c r="C26" s="34"/>
      <c r="D26" s="34"/>
      <c r="E26" s="34"/>
      <c r="F26" s="263"/>
      <c r="G26" s="34"/>
      <c r="H26" s="34"/>
      <c r="I26" s="46"/>
      <c r="J26" s="34"/>
      <c r="K26" s="34"/>
      <c r="L26" s="34"/>
      <c r="M26" s="251"/>
      <c r="N26" s="159"/>
      <c r="O26" s="251"/>
      <c r="P26" s="251"/>
    </row>
    <row r="27" spans="1:16" hidden="1">
      <c r="A27" s="260" t="s">
        <v>278</v>
      </c>
      <c r="B27" s="195">
        <v>0.9</v>
      </c>
      <c r="C27" s="34"/>
      <c r="D27" s="34"/>
      <c r="E27" s="34"/>
      <c r="F27" s="34"/>
      <c r="G27" s="34"/>
      <c r="H27" s="34"/>
      <c r="I27" s="46"/>
      <c r="J27" s="34"/>
      <c r="K27" s="34"/>
      <c r="L27" s="34"/>
    </row>
    <row r="28" spans="1:16">
      <c r="A28" s="264"/>
      <c r="B28" s="213"/>
      <c r="C28" s="34"/>
      <c r="D28" s="34"/>
      <c r="E28" s="34"/>
      <c r="F28" s="34"/>
      <c r="G28" s="34"/>
      <c r="H28" s="34"/>
      <c r="I28" s="46"/>
      <c r="J28" s="34"/>
      <c r="K28" s="34"/>
      <c r="L28" s="34"/>
    </row>
    <row r="29" spans="1:16">
      <c r="A29" s="471" t="s">
        <v>232</v>
      </c>
      <c r="B29" s="472"/>
      <c r="C29" s="34"/>
      <c r="D29" s="34"/>
      <c r="E29" s="34"/>
      <c r="F29" s="34"/>
      <c r="G29" s="34"/>
      <c r="H29" s="34"/>
      <c r="I29" s="46"/>
      <c r="K29" s="34"/>
      <c r="L29" s="34"/>
    </row>
    <row r="30" spans="1:16">
      <c r="A30" s="260" t="s">
        <v>135</v>
      </c>
      <c r="B30" s="244">
        <f>Columnas!C35</f>
        <v>1902206.5999999999</v>
      </c>
      <c r="C30" s="253" t="str">
        <f>IF(B31&lt;B30,"Cumple","Revisar la columna")</f>
        <v>Cumple</v>
      </c>
      <c r="D30" s="34"/>
      <c r="E30" s="34"/>
      <c r="F30" s="34"/>
      <c r="G30" s="34"/>
      <c r="H30" s="34"/>
      <c r="I30" s="46"/>
      <c r="J30" s="34"/>
      <c r="K30" s="34"/>
      <c r="L30" s="34"/>
    </row>
    <row r="31" spans="1:16">
      <c r="A31" s="260" t="s">
        <v>279</v>
      </c>
      <c r="B31" s="244">
        <f>Columnas!D88*1000</f>
        <v>1662236.7999999998</v>
      </c>
      <c r="C31" s="34"/>
      <c r="D31" s="34"/>
      <c r="E31" s="34"/>
      <c r="F31" s="34"/>
      <c r="G31" s="34"/>
      <c r="H31" s="34"/>
      <c r="I31" s="46"/>
      <c r="J31" s="34"/>
      <c r="K31" s="34"/>
      <c r="L31" s="34"/>
    </row>
    <row r="32" spans="1:16" ht="25.5">
      <c r="A32" s="265" t="s">
        <v>248</v>
      </c>
      <c r="B32" s="244">
        <f>(B37/100^2)*(B43)*100</f>
        <v>153600</v>
      </c>
      <c r="C32" s="34"/>
      <c r="D32" s="34"/>
      <c r="E32" s="34"/>
      <c r="F32" s="34"/>
      <c r="G32" s="34"/>
      <c r="H32" s="34"/>
      <c r="I32" s="46"/>
      <c r="J32" s="34"/>
      <c r="K32" s="34"/>
      <c r="L32" s="34"/>
    </row>
    <row r="33" spans="1:16">
      <c r="A33" s="260" t="s">
        <v>306</v>
      </c>
      <c r="B33" s="244">
        <f>B31</f>
        <v>1662236.7999999998</v>
      </c>
      <c r="C33" s="34"/>
      <c r="D33" s="34"/>
      <c r="E33" s="34"/>
      <c r="F33" s="34"/>
      <c r="G33" s="34"/>
      <c r="H33" s="34"/>
      <c r="I33" s="46"/>
      <c r="J33" s="34"/>
      <c r="K33" s="34"/>
      <c r="L33" s="34"/>
    </row>
    <row r="34" spans="1:16">
      <c r="A34" s="264"/>
      <c r="B34" s="212"/>
      <c r="C34" s="34"/>
      <c r="D34" s="34"/>
      <c r="E34" s="34"/>
      <c r="F34" s="34"/>
      <c r="G34" s="34"/>
      <c r="H34" s="34"/>
      <c r="I34" s="46"/>
      <c r="J34" s="34"/>
      <c r="K34" s="34"/>
      <c r="L34" s="34"/>
      <c r="M34" s="251"/>
      <c r="N34" s="251"/>
      <c r="O34" s="251"/>
      <c r="P34" s="251"/>
    </row>
    <row r="35" spans="1:16">
      <c r="A35" s="473" t="s">
        <v>247</v>
      </c>
      <c r="B35" s="404"/>
      <c r="C35" s="34"/>
      <c r="D35" s="34"/>
      <c r="E35" s="34"/>
      <c r="F35" s="34"/>
      <c r="G35" s="34"/>
      <c r="H35" s="34"/>
      <c r="I35" s="46"/>
      <c r="K35" s="34"/>
      <c r="L35" s="34"/>
    </row>
    <row r="36" spans="1:16" ht="25.5">
      <c r="A36" s="260" t="s">
        <v>235</v>
      </c>
      <c r="B36" s="249">
        <f>IF(Columnas!C27="ESTRIBOS",'Estribos '!B31,Espiral!B27)</f>
        <v>300</v>
      </c>
      <c r="C36" s="34"/>
      <c r="D36" s="34"/>
      <c r="E36" s="34"/>
      <c r="F36" s="34"/>
      <c r="G36" s="469"/>
      <c r="H36" s="34"/>
      <c r="I36" s="46"/>
      <c r="J36" s="34"/>
      <c r="K36" s="34"/>
      <c r="L36" s="34"/>
    </row>
    <row r="37" spans="1:16">
      <c r="A37" s="260" t="s">
        <v>16</v>
      </c>
      <c r="B37" s="245">
        <f>Columnas!C33</f>
        <v>6400</v>
      </c>
      <c r="C37" s="34"/>
      <c r="D37" s="34"/>
      <c r="E37" s="34"/>
      <c r="F37" s="34"/>
      <c r="G37" s="469"/>
      <c r="H37" s="34"/>
      <c r="I37" s="46"/>
      <c r="J37" s="34"/>
      <c r="K37" s="34"/>
      <c r="L37" s="34"/>
    </row>
    <row r="38" spans="1:16">
      <c r="A38" s="260" t="str">
        <f>Columnas!B29</f>
        <v>H =</v>
      </c>
      <c r="B38" s="255">
        <f>Columnas!C29</f>
        <v>80</v>
      </c>
      <c r="C38" s="34"/>
      <c r="D38" s="34"/>
      <c r="E38" s="34"/>
      <c r="F38" s="34"/>
      <c r="G38" s="266"/>
      <c r="H38" s="34"/>
      <c r="I38" s="46"/>
      <c r="J38" s="34"/>
      <c r="K38" s="34"/>
      <c r="L38" s="34"/>
      <c r="M38" s="251"/>
      <c r="N38" s="159"/>
      <c r="O38" s="251"/>
      <c r="P38" s="251"/>
    </row>
    <row r="39" spans="1:16">
      <c r="A39" s="260" t="str">
        <f>Columnas!B28</f>
        <v>B =</v>
      </c>
      <c r="B39" s="255">
        <f>Columnas!C28</f>
        <v>80</v>
      </c>
      <c r="C39" s="34"/>
      <c r="D39" s="34"/>
      <c r="E39" s="34"/>
      <c r="F39" s="34"/>
      <c r="G39" s="266"/>
      <c r="H39" s="34"/>
      <c r="I39" s="46"/>
      <c r="J39" s="34"/>
      <c r="K39" s="34"/>
      <c r="L39" s="34"/>
      <c r="M39" s="251"/>
      <c r="N39" s="159"/>
      <c r="O39" s="251"/>
      <c r="P39" s="251"/>
    </row>
    <row r="40" spans="1:16">
      <c r="A40" s="260" t="s">
        <v>136</v>
      </c>
      <c r="B40" s="255">
        <f>Columnas!C28-Columnas!C49</f>
        <v>75</v>
      </c>
      <c r="C40" s="34"/>
      <c r="D40" s="34"/>
      <c r="E40" s="34"/>
      <c r="F40" s="34"/>
      <c r="G40" s="266"/>
      <c r="H40" s="34"/>
      <c r="I40" s="46"/>
      <c r="J40" s="34"/>
      <c r="K40" s="34"/>
      <c r="L40" s="34"/>
      <c r="M40" s="251"/>
      <c r="N40" s="159"/>
      <c r="O40" s="251"/>
      <c r="P40" s="251"/>
    </row>
    <row r="41" spans="1:16">
      <c r="A41" s="264"/>
      <c r="B41" s="214"/>
      <c r="C41" s="34"/>
      <c r="D41" s="34"/>
      <c r="E41" s="34"/>
      <c r="F41" s="34"/>
      <c r="G41" s="266"/>
      <c r="H41" s="34"/>
      <c r="I41" s="46"/>
      <c r="J41" s="34"/>
      <c r="K41" s="34"/>
      <c r="L41" s="34"/>
      <c r="M41" s="251"/>
      <c r="N41" s="159"/>
      <c r="O41" s="251"/>
      <c r="P41" s="251"/>
    </row>
    <row r="42" spans="1:16">
      <c r="A42" s="473" t="s">
        <v>241</v>
      </c>
      <c r="B42" s="404"/>
      <c r="C42" s="34"/>
      <c r="D42" s="34"/>
      <c r="E42" s="34"/>
      <c r="F42" s="34"/>
      <c r="G42" s="266"/>
      <c r="H42" s="34"/>
      <c r="I42" s="46"/>
      <c r="J42" s="34"/>
      <c r="K42" s="34"/>
      <c r="L42" s="34"/>
      <c r="M42" s="251"/>
      <c r="N42" s="159"/>
      <c r="O42" s="251"/>
      <c r="P42" s="251"/>
    </row>
    <row r="43" spans="1:16" ht="14.25">
      <c r="A43" s="261" t="s">
        <v>280</v>
      </c>
      <c r="B43" s="267">
        <v>2400</v>
      </c>
      <c r="C43" s="34"/>
      <c r="D43" s="34"/>
      <c r="E43" s="34"/>
      <c r="F43" s="34"/>
      <c r="G43" s="34"/>
      <c r="H43" s="34"/>
      <c r="I43" s="46"/>
      <c r="J43" s="34"/>
      <c r="K43" s="34"/>
      <c r="L43" s="34"/>
    </row>
    <row r="44" spans="1:16" ht="14.25">
      <c r="A44" s="261" t="s">
        <v>281</v>
      </c>
      <c r="B44" s="195">
        <v>0.85</v>
      </c>
      <c r="C44" s="34"/>
      <c r="D44" s="34"/>
      <c r="E44" s="34"/>
      <c r="F44" s="34"/>
      <c r="G44" s="34"/>
      <c r="H44" s="16"/>
      <c r="I44" s="268"/>
      <c r="J44" s="34"/>
      <c r="K44" s="34"/>
      <c r="L44" s="34"/>
    </row>
    <row r="45" spans="1:16" ht="25.5">
      <c r="A45" s="260" t="s">
        <v>240</v>
      </c>
      <c r="B45" s="246">
        <f>Columnas!C31</f>
        <v>490</v>
      </c>
      <c r="C45" s="34"/>
      <c r="D45" s="34"/>
      <c r="E45" s="34"/>
      <c r="F45" s="34"/>
      <c r="G45" s="266"/>
      <c r="H45" s="34"/>
      <c r="I45" s="46"/>
      <c r="J45" s="34"/>
      <c r="K45" s="34"/>
      <c r="L45" s="34"/>
      <c r="M45" s="251"/>
      <c r="N45" s="159"/>
      <c r="O45" s="251"/>
      <c r="P45" s="251"/>
    </row>
    <row r="46" spans="1:16">
      <c r="A46" s="260" t="str">
        <f>Columnas!B32</f>
        <v>fyt =</v>
      </c>
      <c r="B46" s="269">
        <f>Columnas!C32</f>
        <v>4200</v>
      </c>
      <c r="C46" s="34"/>
      <c r="D46" s="34"/>
      <c r="E46" s="34"/>
      <c r="F46" s="34"/>
      <c r="G46" s="270"/>
      <c r="H46" s="34"/>
      <c r="I46" s="46"/>
      <c r="J46" s="34"/>
      <c r="K46" s="34"/>
      <c r="L46" s="34"/>
    </row>
    <row r="47" spans="1:16">
      <c r="A47" s="260" t="s">
        <v>263</v>
      </c>
      <c r="B47" s="269">
        <f>B46/2</f>
        <v>2100</v>
      </c>
      <c r="C47" s="34"/>
      <c r="D47" s="34"/>
      <c r="E47" s="34"/>
      <c r="F47" s="34"/>
      <c r="G47" s="270"/>
      <c r="H47" s="34"/>
      <c r="I47" s="46"/>
      <c r="J47" s="34"/>
      <c r="K47" s="34"/>
      <c r="L47" s="34"/>
    </row>
    <row r="48" spans="1:16">
      <c r="A48" s="260" t="str">
        <f>Columnas!B31</f>
        <v>f´c =</v>
      </c>
      <c r="B48" s="247">
        <v>280</v>
      </c>
      <c r="C48" s="34"/>
      <c r="D48" s="34"/>
      <c r="E48" s="34"/>
      <c r="F48" s="34"/>
      <c r="G48" s="34"/>
      <c r="H48" s="16"/>
      <c r="I48" s="268"/>
      <c r="J48" s="34"/>
      <c r="K48" s="34"/>
      <c r="L48" s="34"/>
    </row>
    <row r="49" spans="1:16">
      <c r="A49" s="260" t="s">
        <v>264</v>
      </c>
      <c r="B49" s="250">
        <f>B48*0.45</f>
        <v>126</v>
      </c>
      <c r="C49" s="34"/>
      <c r="D49" s="34"/>
      <c r="E49" s="34"/>
      <c r="F49" s="34"/>
      <c r="G49" s="34"/>
      <c r="H49" s="16"/>
      <c r="I49" s="268"/>
      <c r="J49" s="34"/>
      <c r="K49" s="34"/>
      <c r="L49" s="34"/>
    </row>
    <row r="50" spans="1:16">
      <c r="A50" s="260" t="s">
        <v>260</v>
      </c>
      <c r="B50" s="269">
        <f>14000*(SQRT(B48))</f>
        <v>234264.80742954116</v>
      </c>
      <c r="C50" s="34"/>
      <c r="D50" s="34"/>
      <c r="E50" s="34"/>
      <c r="F50" s="34"/>
      <c r="G50" s="34"/>
      <c r="H50" s="16"/>
      <c r="I50" s="268"/>
      <c r="J50" s="34"/>
      <c r="L50" s="34"/>
    </row>
    <row r="51" spans="1:16">
      <c r="A51" s="260" t="s">
        <v>7</v>
      </c>
      <c r="B51" s="271">
        <v>2039000</v>
      </c>
      <c r="C51" s="34"/>
      <c r="D51" s="34"/>
      <c r="E51" s="34"/>
      <c r="F51" s="34"/>
      <c r="G51" s="34"/>
      <c r="H51" s="16"/>
      <c r="I51" s="268"/>
      <c r="J51" s="34"/>
      <c r="L51" s="34"/>
    </row>
    <row r="52" spans="1:16">
      <c r="A52" s="260" t="s">
        <v>262</v>
      </c>
      <c r="B52" s="272">
        <f>B51/B50</f>
        <v>8.7038254801172439</v>
      </c>
      <c r="C52" s="34"/>
      <c r="D52" s="34"/>
      <c r="E52" s="34"/>
      <c r="F52" s="34"/>
      <c r="G52" s="34"/>
      <c r="H52" s="16"/>
      <c r="I52" s="268"/>
      <c r="J52" s="34"/>
      <c r="L52" s="34"/>
    </row>
    <row r="53" spans="1:16">
      <c r="A53" s="273"/>
      <c r="B53" s="211"/>
      <c r="C53" s="34"/>
      <c r="D53" s="34"/>
      <c r="E53" s="34"/>
      <c r="F53" s="34"/>
      <c r="G53" s="34"/>
      <c r="H53" s="16"/>
      <c r="I53" s="268"/>
      <c r="J53" s="34"/>
      <c r="L53" s="34"/>
      <c r="M53" s="158"/>
      <c r="N53" s="251"/>
      <c r="O53" s="157"/>
      <c r="P53" s="251"/>
    </row>
    <row r="54" spans="1:16">
      <c r="A54" s="473" t="s">
        <v>233</v>
      </c>
      <c r="B54" s="404"/>
      <c r="C54" s="34"/>
      <c r="D54" s="34"/>
      <c r="E54" s="34"/>
      <c r="F54" s="34"/>
      <c r="G54" s="34"/>
      <c r="H54" s="16"/>
      <c r="I54" s="268"/>
      <c r="J54" s="34"/>
      <c r="L54" s="34"/>
      <c r="M54" s="158"/>
      <c r="N54" s="251"/>
      <c r="O54" s="251"/>
      <c r="P54" s="251"/>
    </row>
    <row r="55" spans="1:16">
      <c r="A55" s="265" t="s">
        <v>229</v>
      </c>
      <c r="B55" s="274">
        <v>1.2</v>
      </c>
      <c r="C55" s="34"/>
      <c r="D55" s="34"/>
      <c r="E55" s="34"/>
      <c r="F55" s="34"/>
      <c r="G55" s="34"/>
      <c r="H55" s="16"/>
      <c r="I55" s="268"/>
      <c r="J55" s="34"/>
    </row>
    <row r="56" spans="1:16">
      <c r="A56" s="275"/>
      <c r="B56" s="213"/>
      <c r="C56" s="34"/>
      <c r="D56" s="34"/>
      <c r="E56" s="34"/>
      <c r="F56" s="34"/>
      <c r="G56" s="34"/>
      <c r="H56" s="16"/>
      <c r="I56" s="268"/>
      <c r="J56" s="34"/>
    </row>
    <row r="57" spans="1:16">
      <c r="A57" s="473" t="s">
        <v>234</v>
      </c>
      <c r="B57" s="404"/>
      <c r="C57" s="34"/>
      <c r="D57" s="34"/>
      <c r="E57" s="34"/>
      <c r="F57" s="34"/>
      <c r="G57" s="34"/>
      <c r="H57" s="16"/>
      <c r="I57" s="268"/>
      <c r="J57" s="34"/>
    </row>
    <row r="58" spans="1:16">
      <c r="A58" s="260" t="s">
        <v>115</v>
      </c>
      <c r="B58" s="248">
        <v>100</v>
      </c>
      <c r="C58" s="253" t="str">
        <f>IF(B60&gt;=B61,"Cumple","Aumentar h")</f>
        <v>Cumple</v>
      </c>
      <c r="D58" s="34"/>
      <c r="E58" s="34"/>
      <c r="F58" s="34"/>
      <c r="G58" s="34"/>
      <c r="H58" s="34"/>
      <c r="I58" s="276"/>
      <c r="J58" s="34"/>
    </row>
    <row r="59" spans="1:16">
      <c r="A59" s="277" t="s">
        <v>22</v>
      </c>
      <c r="B59" s="249">
        <v>5</v>
      </c>
      <c r="C59" s="34"/>
      <c r="D59" s="34"/>
      <c r="E59" s="34"/>
      <c r="F59" s="34"/>
      <c r="G59" s="34"/>
      <c r="H59" s="34"/>
      <c r="I59" s="46"/>
      <c r="J59" s="34"/>
    </row>
    <row r="60" spans="1:16">
      <c r="A60" s="277" t="s">
        <v>136</v>
      </c>
      <c r="B60" s="249">
        <f>B58-B59</f>
        <v>95</v>
      </c>
      <c r="C60" s="34"/>
      <c r="D60" s="34"/>
      <c r="E60" s="34"/>
      <c r="F60" s="262"/>
      <c r="G60" s="34"/>
      <c r="H60" s="34"/>
      <c r="I60" s="46"/>
      <c r="J60" s="34"/>
    </row>
    <row r="61" spans="1:16">
      <c r="A61" s="277" t="s">
        <v>269</v>
      </c>
      <c r="B61" s="249">
        <f>SQRT((C80*100)/(B68*B63))</f>
        <v>31.670883241042485</v>
      </c>
      <c r="C61" s="34"/>
      <c r="D61" s="34"/>
      <c r="E61" s="34"/>
      <c r="F61" s="278"/>
      <c r="G61" s="34"/>
      <c r="H61" s="34"/>
      <c r="I61" s="46"/>
      <c r="J61" s="34"/>
    </row>
    <row r="62" spans="1:16">
      <c r="A62" s="277" t="s">
        <v>268</v>
      </c>
      <c r="B62" s="279">
        <v>15</v>
      </c>
      <c r="C62" s="34"/>
      <c r="D62" s="34"/>
      <c r="E62" s="34"/>
      <c r="F62" s="278"/>
      <c r="G62" s="34"/>
      <c r="H62" s="34"/>
      <c r="I62" s="46"/>
      <c r="J62" s="34"/>
    </row>
    <row r="63" spans="1:16">
      <c r="A63" s="277" t="s">
        <v>254</v>
      </c>
      <c r="B63" s="249">
        <f>MROUND(((SQRT(B64))*100),5)</f>
        <v>120</v>
      </c>
      <c r="C63" s="34"/>
      <c r="D63" s="34"/>
      <c r="E63" s="34"/>
      <c r="F63" s="34"/>
      <c r="G63" s="34"/>
      <c r="H63" s="34"/>
      <c r="I63" s="46"/>
    </row>
    <row r="64" spans="1:16">
      <c r="A64" s="260" t="s">
        <v>297</v>
      </c>
      <c r="B64" s="349">
        <f>B22/(B55*100*100)</f>
        <v>1.4482541666666666</v>
      </c>
      <c r="C64" s="34"/>
      <c r="D64" s="280"/>
      <c r="E64" s="34"/>
      <c r="F64" s="34"/>
      <c r="G64" s="34"/>
      <c r="H64" s="34"/>
      <c r="I64" s="46"/>
      <c r="J64" s="34"/>
    </row>
    <row r="65" spans="1:10">
      <c r="A65" s="260" t="s">
        <v>298</v>
      </c>
      <c r="B65" s="349">
        <f>(B63*B63)/100^2</f>
        <v>1.44</v>
      </c>
      <c r="C65" s="34"/>
      <c r="D65" s="280"/>
      <c r="E65" s="34"/>
      <c r="F65" s="34"/>
      <c r="G65" s="34"/>
      <c r="H65" s="34"/>
      <c r="I65" s="46"/>
      <c r="J65" s="34"/>
    </row>
    <row r="66" spans="1:10">
      <c r="A66" s="351"/>
      <c r="B66" s="352"/>
      <c r="C66" s="34"/>
      <c r="D66" s="280"/>
      <c r="E66" s="34"/>
      <c r="F66" s="34"/>
      <c r="G66" s="34"/>
      <c r="H66" s="34"/>
      <c r="I66" s="46"/>
      <c r="J66" s="34"/>
    </row>
    <row r="67" spans="1:10">
      <c r="A67" s="473" t="s">
        <v>294</v>
      </c>
      <c r="B67" s="404"/>
      <c r="C67" s="34"/>
      <c r="D67" s="34"/>
      <c r="E67" s="34"/>
      <c r="F67" s="34"/>
      <c r="G67" s="34"/>
      <c r="H67" s="34"/>
      <c r="I67" s="46"/>
      <c r="J67" s="34"/>
    </row>
    <row r="68" spans="1:10">
      <c r="A68" s="277" t="s">
        <v>265</v>
      </c>
      <c r="B68" s="281">
        <f>1/2*(B49*B70*B69)</f>
        <v>19.141716435295461</v>
      </c>
      <c r="C68" s="34"/>
      <c r="D68" s="34"/>
      <c r="E68" s="34"/>
      <c r="F68" s="34"/>
      <c r="G68" s="34"/>
      <c r="H68" s="34"/>
      <c r="I68" s="46"/>
      <c r="J68" s="34"/>
    </row>
    <row r="69" spans="1:10">
      <c r="A69" s="277" t="s">
        <v>266</v>
      </c>
      <c r="B69" s="195">
        <f>1-(B70/3)</f>
        <v>0.88564371777837736</v>
      </c>
      <c r="C69" s="34"/>
      <c r="D69" s="34"/>
      <c r="E69" s="34"/>
      <c r="F69" s="34"/>
      <c r="G69" s="34"/>
      <c r="H69" s="34"/>
      <c r="I69" s="46"/>
      <c r="J69" s="34"/>
    </row>
    <row r="70" spans="1:10">
      <c r="A70" s="277" t="s">
        <v>282</v>
      </c>
      <c r="B70" s="282">
        <f>B49/(B49+(B47/B52))</f>
        <v>0.34306884666486787</v>
      </c>
      <c r="C70" s="34"/>
      <c r="D70" s="34"/>
      <c r="E70" s="34"/>
      <c r="F70" s="34"/>
      <c r="G70" s="34"/>
      <c r="H70" s="34"/>
      <c r="I70" s="46"/>
      <c r="J70" s="34"/>
    </row>
    <row r="71" spans="1:10">
      <c r="A71" s="7"/>
      <c r="C71" s="34"/>
      <c r="F71" s="34"/>
      <c r="G71" s="34"/>
      <c r="H71" s="34"/>
      <c r="I71" s="46"/>
      <c r="J71" s="34"/>
    </row>
    <row r="72" spans="1:10" ht="13.5" thickBot="1">
      <c r="A72" s="52"/>
      <c r="B72" s="53"/>
      <c r="C72" s="53"/>
      <c r="D72" s="53"/>
      <c r="E72" s="53"/>
      <c r="F72" s="53"/>
      <c r="G72" s="53"/>
      <c r="H72" s="53"/>
      <c r="I72" s="54"/>
      <c r="J72" s="34"/>
    </row>
    <row r="73" spans="1:10">
      <c r="A73" s="30"/>
      <c r="B73" s="340" t="s">
        <v>255</v>
      </c>
      <c r="C73" s="31"/>
      <c r="D73" s="31"/>
      <c r="E73" s="31"/>
      <c r="F73" s="31"/>
      <c r="G73" s="283"/>
      <c r="H73" s="31"/>
      <c r="I73" s="284"/>
      <c r="J73" s="34"/>
    </row>
    <row r="74" spans="1:10">
      <c r="A74" s="43"/>
      <c r="B74" s="285" t="s">
        <v>261</v>
      </c>
      <c r="C74" s="341">
        <f>B22/(B65*100^2)</f>
        <v>1.2068784722222221</v>
      </c>
      <c r="D74" s="34"/>
      <c r="E74" s="34"/>
      <c r="F74" s="34"/>
      <c r="G74" s="286"/>
      <c r="H74" s="34"/>
      <c r="I74" s="46"/>
      <c r="J74" s="34"/>
    </row>
    <row r="75" spans="1:10">
      <c r="A75" s="43"/>
      <c r="B75" s="285" t="s">
        <v>270</v>
      </c>
      <c r="C75" s="341">
        <f>(B43*(B58/100))/100^2</f>
        <v>0.24</v>
      </c>
      <c r="D75" s="34"/>
      <c r="E75" s="34"/>
      <c r="F75" s="34"/>
      <c r="G75" s="286"/>
      <c r="H75" s="34"/>
      <c r="I75" s="46"/>
      <c r="J75" s="34"/>
    </row>
    <row r="76" spans="1:10">
      <c r="A76" s="475" t="s">
        <v>271</v>
      </c>
      <c r="B76" s="476"/>
      <c r="C76" s="341">
        <f>B55-(C75)</f>
        <v>0.96</v>
      </c>
      <c r="D76" s="34"/>
      <c r="E76" s="34"/>
      <c r="F76" s="34"/>
      <c r="G76" s="286"/>
      <c r="H76" s="34"/>
      <c r="I76" s="46"/>
      <c r="J76" s="34"/>
    </row>
    <row r="77" spans="1:10">
      <c r="A77" s="43"/>
      <c r="B77" s="16" t="s">
        <v>287</v>
      </c>
      <c r="C77" s="342">
        <f>B60/2</f>
        <v>47.5</v>
      </c>
      <c r="D77" s="470"/>
      <c r="E77" s="34"/>
      <c r="F77" s="287"/>
      <c r="G77" s="286"/>
      <c r="H77" s="34"/>
      <c r="I77" s="46"/>
      <c r="J77" s="34"/>
    </row>
    <row r="78" spans="1:10">
      <c r="A78" s="43"/>
      <c r="B78" s="16" t="s">
        <v>299</v>
      </c>
      <c r="C78" s="342">
        <f>(B63-B38)/2</f>
        <v>20</v>
      </c>
      <c r="D78" s="470"/>
      <c r="E78" s="34"/>
      <c r="F78" s="287"/>
      <c r="G78" s="286"/>
      <c r="H78" s="34"/>
      <c r="I78" s="46"/>
      <c r="J78" s="34"/>
    </row>
    <row r="79" spans="1:10">
      <c r="A79" s="43"/>
      <c r="B79" s="16" t="s">
        <v>139</v>
      </c>
      <c r="C79" s="343">
        <f>ABS(B63*B55*((B63/2)-(B38/2)-B60))</f>
        <v>10800</v>
      </c>
      <c r="D79" s="470"/>
      <c r="E79" s="34"/>
      <c r="F79" s="34"/>
      <c r="G79" s="34"/>
      <c r="H79" s="287"/>
      <c r="I79" s="288"/>
      <c r="J79" s="34"/>
    </row>
    <row r="80" spans="1:10">
      <c r="A80" s="43"/>
      <c r="B80" s="16" t="s">
        <v>140</v>
      </c>
      <c r="C80" s="344">
        <f>(C76*(C78^2)*B63)/2</f>
        <v>23040</v>
      </c>
      <c r="D80" s="470"/>
      <c r="E80" s="34"/>
      <c r="F80" s="34"/>
      <c r="G80" s="34"/>
      <c r="H80" s="34"/>
      <c r="I80" s="46"/>
    </row>
    <row r="81" spans="1:9">
      <c r="A81" s="33"/>
      <c r="B81" s="34"/>
      <c r="C81" s="39"/>
      <c r="D81" s="34"/>
      <c r="E81" s="34"/>
      <c r="F81" s="34"/>
      <c r="G81" s="34"/>
      <c r="H81" s="34"/>
      <c r="I81" s="46"/>
    </row>
    <row r="82" spans="1:9">
      <c r="A82" s="33"/>
      <c r="B82" s="165" t="s">
        <v>321</v>
      </c>
      <c r="C82" s="39"/>
      <c r="D82" s="34"/>
      <c r="E82" s="34"/>
      <c r="F82" s="34"/>
      <c r="G82" s="34"/>
      <c r="H82" s="34"/>
      <c r="I82" s="46"/>
    </row>
    <row r="83" spans="1:9">
      <c r="A83" s="33"/>
      <c r="B83" s="240" t="s">
        <v>272</v>
      </c>
      <c r="C83" s="350">
        <f>C76*((B63^2)-((B38+B60)^2))</f>
        <v>-15576</v>
      </c>
      <c r="D83" s="34"/>
      <c r="E83" s="34"/>
      <c r="F83" s="34"/>
      <c r="G83" s="34"/>
      <c r="H83" s="34"/>
      <c r="I83" s="46"/>
    </row>
    <row r="84" spans="1:9">
      <c r="A84" s="33"/>
      <c r="B84" s="240" t="s">
        <v>274</v>
      </c>
      <c r="C84" s="346">
        <f>0.27*((1+(2/B26))*(SQRT(B48)))</f>
        <v>14.557884461692916</v>
      </c>
      <c r="D84" s="253" t="str">
        <f>IF((C84&gt;C85),"Cumple","No Cumple")</f>
        <v>Cumple</v>
      </c>
      <c r="E84" s="34"/>
      <c r="F84" s="34"/>
      <c r="G84" s="34"/>
      <c r="H84" s="34"/>
      <c r="I84" s="46"/>
    </row>
    <row r="85" spans="1:9">
      <c r="A85" s="33"/>
      <c r="B85" s="240" t="s">
        <v>273</v>
      </c>
      <c r="C85" s="347">
        <f>C89/(B63*B60)</f>
        <v>6.4075608132112176</v>
      </c>
      <c r="D85" s="253" t="str">
        <f>IF((C85&lt;C86),"Cumple","No Cumple")</f>
        <v>Cumple</v>
      </c>
      <c r="E85" s="34"/>
      <c r="F85" s="34"/>
      <c r="G85" s="34"/>
      <c r="H85" s="34"/>
      <c r="I85" s="46"/>
    </row>
    <row r="86" spans="1:9">
      <c r="A86" s="33"/>
      <c r="B86" s="240" t="s">
        <v>288</v>
      </c>
      <c r="C86" s="346">
        <f>0.53*(SQRT(B48))</f>
        <v>8.8685962812612011</v>
      </c>
      <c r="D86" s="34"/>
      <c r="E86" s="34"/>
      <c r="F86" s="34"/>
      <c r="G86" s="34"/>
      <c r="H86" s="34"/>
      <c r="I86" s="46"/>
    </row>
    <row r="87" spans="1:9">
      <c r="A87" s="33"/>
      <c r="B87" s="34"/>
      <c r="C87" s="39"/>
      <c r="D87" s="34"/>
      <c r="E87" s="34"/>
      <c r="F87" s="34"/>
      <c r="G87" s="34"/>
      <c r="H87" s="34"/>
      <c r="I87" s="46"/>
    </row>
    <row r="88" spans="1:9">
      <c r="A88" s="43"/>
      <c r="B88" s="373" t="str">
        <f>IF((C89*0.5*B25)&lt;C90,"Necesita Refiuerzo Por Cortante","No Necesita Refuerzo Por Cortante")</f>
        <v>No Necesita Refuerzo Por Cortante</v>
      </c>
      <c r="D88" s="34"/>
      <c r="E88" s="289"/>
      <c r="F88" s="34"/>
      <c r="G88" s="34"/>
      <c r="H88" s="34"/>
      <c r="I88" s="46"/>
    </row>
    <row r="89" spans="1:9">
      <c r="A89" s="43"/>
      <c r="B89" s="161" t="s">
        <v>283</v>
      </c>
      <c r="C89" s="345">
        <f>(0.53*B44*B25*(SQRT(B48))*B63*B60)</f>
        <v>73046.193270607881</v>
      </c>
      <c r="D89" s="34"/>
      <c r="E89" s="34"/>
      <c r="F89" s="34"/>
      <c r="G89" s="34"/>
      <c r="H89" s="34"/>
      <c r="I89" s="46"/>
    </row>
    <row r="90" spans="1:9">
      <c r="A90" s="33"/>
      <c r="B90" s="16" t="s">
        <v>139</v>
      </c>
      <c r="C90" s="345">
        <f>C79</f>
        <v>10800</v>
      </c>
      <c r="D90" s="34"/>
      <c r="E90" s="34"/>
      <c r="F90" s="34"/>
      <c r="G90" s="34"/>
      <c r="H90" s="34"/>
      <c r="I90" s="46"/>
    </row>
    <row r="91" spans="1:9">
      <c r="A91" s="33"/>
      <c r="B91" s="16" t="s">
        <v>252</v>
      </c>
      <c r="C91" s="345">
        <f>(C90-C89*B25)/B25</f>
        <v>-60340.310917666699</v>
      </c>
      <c r="D91" s="34"/>
      <c r="E91" s="34"/>
      <c r="F91" s="34"/>
      <c r="G91" s="34"/>
      <c r="H91" s="34"/>
      <c r="I91" s="46"/>
    </row>
    <row r="92" spans="1:9">
      <c r="A92" s="33"/>
      <c r="B92" s="16" t="s">
        <v>251</v>
      </c>
      <c r="C92" s="345">
        <f>C89+C91</f>
        <v>12705.882352941182</v>
      </c>
      <c r="D92" s="34"/>
      <c r="E92" s="34"/>
      <c r="F92" s="34"/>
      <c r="G92" s="34"/>
      <c r="H92" s="34"/>
      <c r="I92" s="46"/>
    </row>
    <row r="93" spans="1:9">
      <c r="A93" s="33"/>
      <c r="B93" s="161" t="s">
        <v>289</v>
      </c>
      <c r="C93" s="345">
        <f>(C92*B25)-C90</f>
        <v>0</v>
      </c>
      <c r="D93" s="34"/>
      <c r="E93" s="34"/>
      <c r="F93" s="34"/>
      <c r="G93" s="34"/>
      <c r="H93" s="34"/>
      <c r="I93" s="46"/>
    </row>
    <row r="94" spans="1:9">
      <c r="A94" s="33"/>
      <c r="B94" s="34"/>
      <c r="C94" s="39"/>
      <c r="D94" s="34"/>
      <c r="E94" s="34"/>
      <c r="F94" s="34"/>
      <c r="G94" s="34"/>
      <c r="H94" s="34"/>
      <c r="I94" s="46"/>
    </row>
    <row r="95" spans="1:9">
      <c r="A95" s="33"/>
      <c r="B95" s="165" t="s">
        <v>285</v>
      </c>
      <c r="C95" s="39"/>
      <c r="D95" s="34"/>
      <c r="E95" s="377" t="s">
        <v>146</v>
      </c>
      <c r="F95" s="76" t="s">
        <v>147</v>
      </c>
      <c r="G95" s="76" t="s">
        <v>147</v>
      </c>
      <c r="H95" s="377" t="s">
        <v>148</v>
      </c>
      <c r="I95" s="46"/>
    </row>
    <row r="96" spans="1:9">
      <c r="A96" s="33"/>
      <c r="B96" s="474" t="s">
        <v>307</v>
      </c>
      <c r="C96" s="474"/>
      <c r="D96" s="34"/>
      <c r="E96" s="377" t="s">
        <v>149</v>
      </c>
      <c r="F96" s="377" t="s">
        <v>150</v>
      </c>
      <c r="G96" s="377" t="s">
        <v>151</v>
      </c>
      <c r="H96" s="377" t="s">
        <v>152</v>
      </c>
      <c r="I96" s="46"/>
    </row>
    <row r="97" spans="1:9">
      <c r="A97" s="33"/>
      <c r="B97" s="16" t="s">
        <v>293</v>
      </c>
      <c r="C97" s="348">
        <f>(C80*100)/(B47*B69*B60)</f>
        <v>13.040088185146599</v>
      </c>
      <c r="D97" s="34"/>
      <c r="E97" s="76" t="s">
        <v>153</v>
      </c>
      <c r="F97" s="76" t="s">
        <v>154</v>
      </c>
      <c r="G97" s="76">
        <v>6.4</v>
      </c>
      <c r="H97" s="76">
        <v>0.32</v>
      </c>
      <c r="I97" s="46"/>
    </row>
    <row r="98" spans="1:9">
      <c r="A98" s="33"/>
      <c r="B98" s="339" t="s">
        <v>256</v>
      </c>
      <c r="C98" s="339"/>
      <c r="D98" s="34"/>
      <c r="E98" s="76" t="s">
        <v>155</v>
      </c>
      <c r="F98" s="378" t="s">
        <v>156</v>
      </c>
      <c r="G98" s="76">
        <v>9.5</v>
      </c>
      <c r="H98" s="76">
        <v>0.71</v>
      </c>
      <c r="I98" s="46"/>
    </row>
    <row r="99" spans="1:9">
      <c r="A99" s="33"/>
      <c r="B99" s="16" t="s">
        <v>293</v>
      </c>
      <c r="C99" s="348">
        <f>C97*1.3</f>
        <v>16.952114640690581</v>
      </c>
      <c r="D99" s="34"/>
      <c r="E99" s="76" t="s">
        <v>142</v>
      </c>
      <c r="F99" s="76" t="s">
        <v>157</v>
      </c>
      <c r="G99" s="76">
        <v>12.7</v>
      </c>
      <c r="H99" s="76">
        <v>1.29</v>
      </c>
      <c r="I99" s="46"/>
    </row>
    <row r="100" spans="1:9">
      <c r="A100" s="33"/>
      <c r="B100" s="339" t="s">
        <v>292</v>
      </c>
      <c r="C100" s="339"/>
      <c r="D100" s="34"/>
      <c r="E100" s="76" t="s">
        <v>310</v>
      </c>
      <c r="F100" s="76" t="s">
        <v>311</v>
      </c>
      <c r="G100" s="76">
        <v>15.91</v>
      </c>
      <c r="H100" s="76">
        <v>1.98</v>
      </c>
      <c r="I100" s="46"/>
    </row>
    <row r="101" spans="1:9">
      <c r="A101" s="33"/>
      <c r="B101" s="16" t="s">
        <v>293</v>
      </c>
      <c r="C101" s="348">
        <f>(14.1/B46)*100*(B58-B59)</f>
        <v>31.892857142857146</v>
      </c>
      <c r="D101" s="34"/>
      <c r="E101" s="76" t="s">
        <v>158</v>
      </c>
      <c r="F101" s="76" t="s">
        <v>159</v>
      </c>
      <c r="G101" s="76">
        <v>19.100000000000001</v>
      </c>
      <c r="H101" s="76">
        <v>2.84</v>
      </c>
      <c r="I101" s="46"/>
    </row>
    <row r="102" spans="1:9">
      <c r="A102" s="33"/>
      <c r="B102" s="339" t="s">
        <v>291</v>
      </c>
      <c r="C102" s="339"/>
      <c r="D102" s="34"/>
      <c r="E102" s="76" t="s">
        <v>160</v>
      </c>
      <c r="F102" s="76" t="s">
        <v>161</v>
      </c>
      <c r="G102" s="76">
        <v>25.4</v>
      </c>
      <c r="H102" s="76">
        <v>5.0999999999999996</v>
      </c>
      <c r="I102" s="46"/>
    </row>
    <row r="103" spans="1:9">
      <c r="A103" s="33"/>
      <c r="B103" s="16" t="s">
        <v>293</v>
      </c>
      <c r="C103" s="348">
        <f>0.0018*100*B58</f>
        <v>18</v>
      </c>
      <c r="D103" s="34"/>
      <c r="E103" s="76" t="s">
        <v>162</v>
      </c>
      <c r="F103" s="379" t="s">
        <v>163</v>
      </c>
      <c r="G103" s="76">
        <v>28.7</v>
      </c>
      <c r="H103" s="76">
        <v>6.45</v>
      </c>
      <c r="I103" s="46"/>
    </row>
    <row r="104" spans="1:9">
      <c r="A104" s="33"/>
      <c r="B104" s="383" t="s">
        <v>317</v>
      </c>
      <c r="D104" s="34"/>
      <c r="E104" s="76" t="s">
        <v>164</v>
      </c>
      <c r="F104" s="378" t="s">
        <v>165</v>
      </c>
      <c r="G104" s="76">
        <v>32.299999999999997</v>
      </c>
      <c r="H104" s="76">
        <v>8.19</v>
      </c>
      <c r="I104" s="46"/>
    </row>
    <row r="105" spans="1:9">
      <c r="A105" s="33"/>
      <c r="B105" s="165" t="s">
        <v>300</v>
      </c>
      <c r="C105" s="348"/>
      <c r="D105" s="34"/>
      <c r="E105" s="76" t="s">
        <v>166</v>
      </c>
      <c r="F105" s="76" t="s">
        <v>167</v>
      </c>
      <c r="G105" s="76">
        <v>35.799999999999997</v>
      </c>
      <c r="H105" s="76">
        <v>10.06</v>
      </c>
      <c r="I105" s="46"/>
    </row>
    <row r="106" spans="1:9">
      <c r="A106" s="33"/>
      <c r="B106" s="240" t="s">
        <v>302</v>
      </c>
      <c r="C106" s="375">
        <f>0.018*(B48/B46)</f>
        <v>1.1999999999999999E-3</v>
      </c>
      <c r="D106" s="253" t="str">
        <f>IF(C106&lt;C108,"Cumple","Aumentar Av")</f>
        <v>Cumple</v>
      </c>
      <c r="E106" s="378" t="s">
        <v>168</v>
      </c>
      <c r="F106" s="76" t="s">
        <v>169</v>
      </c>
      <c r="G106" s="380">
        <v>43</v>
      </c>
      <c r="H106" s="76">
        <v>14.52</v>
      </c>
      <c r="I106" s="46"/>
    </row>
    <row r="107" spans="1:9">
      <c r="A107" s="33"/>
      <c r="B107" s="240" t="s">
        <v>304</v>
      </c>
      <c r="C107" s="374">
        <f>0.0018</f>
        <v>1.8E-3</v>
      </c>
      <c r="E107" s="378" t="s">
        <v>170</v>
      </c>
      <c r="F107" s="76" t="s">
        <v>171</v>
      </c>
      <c r="G107" s="76">
        <v>57.3</v>
      </c>
      <c r="H107" s="76">
        <v>25.81</v>
      </c>
      <c r="I107" s="46"/>
    </row>
    <row r="108" spans="1:9">
      <c r="A108" s="33"/>
      <c r="B108" s="240" t="s">
        <v>305</v>
      </c>
      <c r="C108" s="375">
        <f>(C118+C134+G126+G142)/(B65*100^2)</f>
        <v>5.8397817460317455E-3</v>
      </c>
      <c r="E108" s="34"/>
      <c r="F108" s="34"/>
      <c r="G108" s="34"/>
      <c r="H108" s="34"/>
      <c r="I108" s="46"/>
    </row>
    <row r="109" spans="1:9">
      <c r="A109" s="33"/>
      <c r="B109" s="240" t="s">
        <v>301</v>
      </c>
      <c r="C109" s="375">
        <f>0.75*C110</f>
        <v>2.141583858458555E-2</v>
      </c>
      <c r="D109" s="253" t="str">
        <f>IF(C108&lt;C109,"Cumple","Disminuir Av")</f>
        <v>Cumple</v>
      </c>
      <c r="F109" s="34"/>
      <c r="G109" s="34"/>
      <c r="H109" s="34"/>
      <c r="I109" s="46"/>
    </row>
    <row r="110" spans="1:9">
      <c r="A110" s="33"/>
      <c r="B110" s="240" t="s">
        <v>303</v>
      </c>
      <c r="C110" s="374">
        <f>0.85*0.85*(B48/B46)*(6115/(6115+B46))</f>
        <v>2.8554451446114067E-2</v>
      </c>
      <c r="D110" s="34"/>
      <c r="F110" s="34"/>
      <c r="G110" s="34"/>
      <c r="H110" s="34"/>
      <c r="I110" s="46"/>
    </row>
    <row r="111" spans="1:9">
      <c r="A111" s="33"/>
      <c r="C111" s="7">
        <f>C118/(B65*100)</f>
        <v>0.125</v>
      </c>
      <c r="F111" s="34"/>
      <c r="G111" s="34"/>
      <c r="H111" s="34"/>
      <c r="I111" s="46"/>
    </row>
    <row r="112" spans="1:9">
      <c r="A112" s="33"/>
      <c r="E112" s="34"/>
      <c r="F112" s="34"/>
      <c r="G112" s="34"/>
      <c r="H112" s="34"/>
      <c r="I112" s="46"/>
    </row>
    <row r="113" spans="1:9">
      <c r="A113" s="33"/>
      <c r="E113" s="34"/>
      <c r="F113" s="34"/>
      <c r="G113" s="34"/>
      <c r="H113" s="34"/>
      <c r="I113" s="46"/>
    </row>
    <row r="114" spans="1:9" ht="13.5" thickBot="1">
      <c r="A114" s="291"/>
      <c r="B114" s="53"/>
      <c r="C114" s="53"/>
      <c r="D114" s="53"/>
      <c r="E114" s="53"/>
      <c r="F114" s="53"/>
      <c r="G114" s="53"/>
      <c r="H114" s="53"/>
      <c r="I114" s="54"/>
    </row>
    <row r="115" spans="1:9">
      <c r="A115" s="256"/>
      <c r="B115" s="160" t="s">
        <v>181</v>
      </c>
      <c r="C115" s="31"/>
      <c r="D115" s="31"/>
      <c r="E115" s="31"/>
      <c r="F115" s="31"/>
      <c r="G115" s="31"/>
      <c r="H115" s="31"/>
      <c r="I115" s="284"/>
    </row>
    <row r="116" spans="1:9">
      <c r="A116" s="33"/>
      <c r="B116" s="34" t="s">
        <v>183</v>
      </c>
      <c r="C116" s="34"/>
      <c r="D116" s="34"/>
      <c r="E116" s="34"/>
      <c r="F116" s="34"/>
      <c r="G116" s="34"/>
      <c r="H116" s="34"/>
      <c r="I116" s="46"/>
    </row>
    <row r="117" spans="1:9">
      <c r="A117" s="337" t="s">
        <v>179</v>
      </c>
      <c r="B117" s="338" t="s">
        <v>180</v>
      </c>
      <c r="C117" s="290"/>
      <c r="D117" s="35"/>
      <c r="E117" s="293"/>
      <c r="F117" s="34"/>
      <c r="G117" s="34"/>
      <c r="H117" s="34"/>
      <c r="I117" s="46"/>
    </row>
    <row r="118" spans="1:9">
      <c r="A118" s="43"/>
      <c r="B118" s="294" t="s">
        <v>143</v>
      </c>
      <c r="C118" s="295">
        <v>18</v>
      </c>
      <c r="D118" s="35"/>
      <c r="E118" s="293"/>
      <c r="F118" s="34"/>
      <c r="G118" s="34"/>
      <c r="H118" s="34"/>
      <c r="I118" s="46"/>
    </row>
    <row r="119" spans="1:9">
      <c r="A119" s="43"/>
      <c r="B119" s="34"/>
      <c r="C119" s="34"/>
      <c r="D119" s="16"/>
      <c r="E119" s="39"/>
      <c r="F119" s="34"/>
      <c r="G119" s="34"/>
      <c r="H119" s="34"/>
      <c r="I119" s="46"/>
    </row>
    <row r="120" spans="1:9">
      <c r="A120" s="43"/>
      <c r="B120" s="34"/>
      <c r="C120" s="296"/>
      <c r="D120" s="297" t="s">
        <v>141</v>
      </c>
      <c r="E120" s="298" t="s">
        <v>160</v>
      </c>
      <c r="F120" s="297" t="s">
        <v>143</v>
      </c>
      <c r="G120" s="299">
        <f>VLOOKUP(E120,E97:H107,4,FALSE)</f>
        <v>5.0999999999999996</v>
      </c>
      <c r="H120" s="16"/>
      <c r="I120" s="300"/>
    </row>
    <row r="121" spans="1:9">
      <c r="A121" s="43"/>
      <c r="B121" s="34"/>
      <c r="C121" s="34"/>
      <c r="D121" s="34"/>
      <c r="E121" s="301"/>
      <c r="F121" s="34"/>
      <c r="G121" s="34"/>
      <c r="H121" s="16"/>
      <c r="I121" s="300"/>
    </row>
    <row r="122" spans="1:9">
      <c r="A122" s="43"/>
      <c r="B122" s="34"/>
      <c r="C122" s="34"/>
      <c r="D122" s="144" t="s">
        <v>172</v>
      </c>
      <c r="E122" s="302">
        <f>ROUND((C118/G120),0)</f>
        <v>4</v>
      </c>
      <c r="F122" s="303" t="s">
        <v>173</v>
      </c>
      <c r="G122" s="34"/>
      <c r="H122" s="34"/>
      <c r="I122" s="46"/>
    </row>
    <row r="123" spans="1:9" ht="13.5" thickBot="1">
      <c r="A123" s="43"/>
      <c r="B123" s="34"/>
      <c r="C123" s="34"/>
      <c r="D123" s="34"/>
      <c r="E123" s="301"/>
      <c r="F123" s="34"/>
      <c r="G123" s="34"/>
      <c r="H123" s="34"/>
      <c r="I123" s="46"/>
    </row>
    <row r="124" spans="1:9" ht="13.5" thickBot="1">
      <c r="A124" s="43"/>
      <c r="B124" s="34"/>
      <c r="C124" s="34"/>
      <c r="D124" s="304" t="s">
        <v>174</v>
      </c>
      <c r="E124" s="305" t="s">
        <v>144</v>
      </c>
      <c r="F124" s="306" t="str">
        <f>E120</f>
        <v>Nº8</v>
      </c>
      <c r="G124" s="307" t="s">
        <v>145</v>
      </c>
      <c r="H124" s="467">
        <f>ROUND(100/E122,0)</f>
        <v>25</v>
      </c>
      <c r="I124" s="468"/>
    </row>
    <row r="125" spans="1:9">
      <c r="A125" s="43"/>
      <c r="B125" s="34"/>
      <c r="C125" s="34"/>
      <c r="D125" s="34"/>
      <c r="E125" s="34"/>
      <c r="F125" s="251"/>
      <c r="G125" s="251"/>
      <c r="H125" s="48"/>
      <c r="I125" s="46"/>
    </row>
    <row r="126" spans="1:9">
      <c r="A126" s="337" t="s">
        <v>175</v>
      </c>
      <c r="B126" s="338" t="s">
        <v>176</v>
      </c>
      <c r="C126" s="34"/>
      <c r="D126" s="35" t="s">
        <v>284</v>
      </c>
      <c r="E126" s="308">
        <f>C107</f>
        <v>1.8E-3</v>
      </c>
      <c r="F126" s="294" t="s">
        <v>143</v>
      </c>
      <c r="G126" s="290">
        <f>E126*100*B60</f>
        <v>17.099999999999998</v>
      </c>
      <c r="H126" s="309"/>
      <c r="I126" s="46"/>
    </row>
    <row r="127" spans="1:9">
      <c r="A127" s="292"/>
      <c r="B127" s="165"/>
      <c r="C127" s="296"/>
      <c r="D127" s="297" t="s">
        <v>141</v>
      </c>
      <c r="E127" s="310" t="str">
        <f>E120</f>
        <v>Nº8</v>
      </c>
      <c r="F127" s="297" t="s">
        <v>143</v>
      </c>
      <c r="G127" s="299">
        <f>VLOOKUP(E127,E97:H107,4,FALSE)</f>
        <v>5.0999999999999996</v>
      </c>
      <c r="H127" s="16"/>
      <c r="I127" s="46"/>
    </row>
    <row r="128" spans="1:9">
      <c r="A128" s="292"/>
      <c r="B128" s="34"/>
      <c r="C128" s="301"/>
      <c r="D128" s="311" t="s">
        <v>177</v>
      </c>
      <c r="E128" s="302">
        <f>ROUND((G126/G127),0)+1</f>
        <v>4</v>
      </c>
      <c r="F128" s="303" t="s">
        <v>173</v>
      </c>
      <c r="G128" s="36"/>
      <c r="H128" s="48"/>
      <c r="I128" s="46"/>
    </row>
    <row r="129" spans="1:9" ht="13.5" thickBot="1">
      <c r="A129" s="292"/>
      <c r="B129" s="165"/>
      <c r="C129" s="34"/>
      <c r="D129" s="35"/>
      <c r="E129" s="39"/>
      <c r="F129" s="16"/>
      <c r="G129" s="36"/>
      <c r="H129" s="48"/>
      <c r="I129" s="46"/>
    </row>
    <row r="130" spans="1:9" ht="13.5" thickBot="1">
      <c r="A130" s="312"/>
      <c r="B130" s="134"/>
      <c r="C130" s="301"/>
      <c r="D130" s="304" t="s">
        <v>178</v>
      </c>
      <c r="E130" s="305" t="s">
        <v>144</v>
      </c>
      <c r="F130" s="306" t="str">
        <f>E127</f>
        <v>Nº8</v>
      </c>
      <c r="G130" s="307" t="s">
        <v>145</v>
      </c>
      <c r="H130" s="467">
        <f>ROUND(100/E128,0)</f>
        <v>25</v>
      </c>
      <c r="I130" s="468"/>
    </row>
    <row r="131" spans="1:9">
      <c r="A131" s="33"/>
      <c r="B131" s="34"/>
      <c r="C131" s="34"/>
      <c r="D131" s="34"/>
      <c r="E131" s="34"/>
      <c r="F131" s="34"/>
      <c r="G131" s="34"/>
      <c r="H131" s="34"/>
      <c r="I131" s="46"/>
    </row>
    <row r="132" spans="1:9">
      <c r="A132" s="33"/>
      <c r="B132" s="156" t="s">
        <v>182</v>
      </c>
      <c r="C132" s="34"/>
      <c r="D132" s="34"/>
      <c r="E132" s="34"/>
      <c r="F132" s="34"/>
      <c r="G132" s="34"/>
      <c r="H132" s="34"/>
      <c r="I132" s="46"/>
    </row>
    <row r="133" spans="1:9">
      <c r="A133" s="337" t="s">
        <v>179</v>
      </c>
      <c r="B133" s="338" t="s">
        <v>180</v>
      </c>
      <c r="C133" s="290"/>
      <c r="D133" s="35"/>
      <c r="E133" s="293"/>
      <c r="F133" s="34"/>
      <c r="G133" s="34"/>
      <c r="H133" s="34"/>
      <c r="I133" s="46"/>
    </row>
    <row r="134" spans="1:9">
      <c r="A134" s="43"/>
      <c r="B134" s="294" t="s">
        <v>143</v>
      </c>
      <c r="C134" s="290">
        <f>C101</f>
        <v>31.892857142857146</v>
      </c>
      <c r="D134" s="35"/>
      <c r="E134" s="293"/>
      <c r="F134" s="34"/>
      <c r="G134" s="34"/>
      <c r="H134" s="34"/>
      <c r="I134" s="46"/>
    </row>
    <row r="135" spans="1:9">
      <c r="A135" s="43"/>
      <c r="B135" s="34"/>
      <c r="C135" s="34"/>
      <c r="D135" s="16"/>
      <c r="E135" s="39"/>
      <c r="F135" s="34"/>
      <c r="G135" s="34"/>
      <c r="H135" s="34"/>
      <c r="I135" s="46"/>
    </row>
    <row r="136" spans="1:9">
      <c r="A136" s="43"/>
      <c r="B136" s="34"/>
      <c r="C136" s="296"/>
      <c r="D136" s="297" t="s">
        <v>141</v>
      </c>
      <c r="E136" s="298" t="s">
        <v>160</v>
      </c>
      <c r="F136" s="297" t="s">
        <v>143</v>
      </c>
      <c r="G136" s="299">
        <f>VLOOKUP(E136,$E$97:$H$107,4,FALSE)</f>
        <v>5.0999999999999996</v>
      </c>
      <c r="H136" s="16"/>
      <c r="I136" s="300"/>
    </row>
    <row r="137" spans="1:9">
      <c r="A137" s="43"/>
      <c r="B137" s="34"/>
      <c r="C137" s="34"/>
      <c r="D137" s="34"/>
      <c r="E137" s="301"/>
      <c r="F137" s="34"/>
      <c r="G137" s="34"/>
      <c r="H137" s="34"/>
      <c r="I137" s="46"/>
    </row>
    <row r="138" spans="1:9">
      <c r="A138" s="43"/>
      <c r="B138" s="34"/>
      <c r="C138" s="34"/>
      <c r="D138" s="144" t="s">
        <v>172</v>
      </c>
      <c r="E138" s="302">
        <f>ROUND((C134/G136),0)+1</f>
        <v>7</v>
      </c>
      <c r="F138" s="303" t="s">
        <v>173</v>
      </c>
      <c r="G138" s="34"/>
      <c r="H138" s="34"/>
      <c r="I138" s="46"/>
    </row>
    <row r="139" spans="1:9" ht="13.5" thickBot="1">
      <c r="A139" s="43"/>
      <c r="B139" s="34"/>
      <c r="C139" s="34"/>
      <c r="D139" s="34"/>
      <c r="E139" s="301"/>
      <c r="F139" s="34"/>
      <c r="G139" s="34"/>
      <c r="H139" s="34"/>
      <c r="I139" s="46"/>
    </row>
    <row r="140" spans="1:9" ht="13.5" thickBot="1">
      <c r="A140" s="43"/>
      <c r="B140" s="34"/>
      <c r="C140" s="34"/>
      <c r="D140" s="304" t="s">
        <v>174</v>
      </c>
      <c r="E140" s="305" t="s">
        <v>144</v>
      </c>
      <c r="F140" s="306" t="str">
        <f>E136</f>
        <v>Nº8</v>
      </c>
      <c r="G140" s="307" t="s">
        <v>145</v>
      </c>
      <c r="H140" s="467">
        <f>ROUND(100/E138,0)</f>
        <v>14</v>
      </c>
      <c r="I140" s="468"/>
    </row>
    <row r="141" spans="1:9">
      <c r="A141" s="43"/>
      <c r="B141" s="34"/>
      <c r="C141" s="34"/>
      <c r="D141" s="34"/>
      <c r="E141" s="34"/>
      <c r="F141" s="251"/>
      <c r="G141" s="251"/>
      <c r="H141" s="48"/>
      <c r="I141" s="46"/>
    </row>
    <row r="142" spans="1:9">
      <c r="A142" s="337" t="s">
        <v>175</v>
      </c>
      <c r="B142" s="338" t="s">
        <v>176</v>
      </c>
      <c r="C142" s="34"/>
      <c r="D142" s="35" t="s">
        <v>284</v>
      </c>
      <c r="E142" s="308">
        <f>C107</f>
        <v>1.8E-3</v>
      </c>
      <c r="F142" s="294" t="s">
        <v>143</v>
      </c>
      <c r="G142" s="290">
        <f>E142*100*B60</f>
        <v>17.099999999999998</v>
      </c>
      <c r="H142" s="309"/>
      <c r="I142" s="46"/>
    </row>
    <row r="143" spans="1:9">
      <c r="A143" s="292"/>
      <c r="B143" s="165"/>
      <c r="C143" s="296"/>
      <c r="D143" s="297" t="s">
        <v>141</v>
      </c>
      <c r="E143" s="310" t="str">
        <f>E136</f>
        <v>Nº8</v>
      </c>
      <c r="F143" s="297" t="s">
        <v>143</v>
      </c>
      <c r="G143" s="299">
        <f>VLOOKUP(E143,$E$97:$H$107,4,FALSE)</f>
        <v>5.0999999999999996</v>
      </c>
      <c r="H143" s="16"/>
      <c r="I143" s="46"/>
    </row>
    <row r="144" spans="1:9">
      <c r="A144" s="292"/>
      <c r="B144" s="34"/>
      <c r="C144" s="301"/>
      <c r="D144" s="311" t="s">
        <v>177</v>
      </c>
      <c r="E144" s="302">
        <f>ROUND((G142/G143),0)+1</f>
        <v>4</v>
      </c>
      <c r="F144" s="303" t="s">
        <v>173</v>
      </c>
      <c r="G144" s="36"/>
      <c r="H144" s="48"/>
      <c r="I144" s="46"/>
    </row>
    <row r="145" spans="1:19" ht="13.5" thickBot="1">
      <c r="A145" s="292"/>
      <c r="B145" s="165"/>
      <c r="C145" s="34"/>
      <c r="D145" s="35"/>
      <c r="E145" s="39"/>
      <c r="F145" s="16"/>
      <c r="G145" s="36"/>
      <c r="H145" s="48"/>
      <c r="I145" s="46"/>
    </row>
    <row r="146" spans="1:19" ht="13.5" thickBot="1">
      <c r="A146" s="52"/>
      <c r="B146" s="313"/>
      <c r="C146" s="53"/>
      <c r="D146" s="314" t="s">
        <v>178</v>
      </c>
      <c r="E146" s="305" t="s">
        <v>144</v>
      </c>
      <c r="F146" s="306" t="str">
        <f>E143</f>
        <v>Nº8</v>
      </c>
      <c r="G146" s="307" t="s">
        <v>145</v>
      </c>
      <c r="H146" s="467">
        <f>ROUND(100/E144,0)</f>
        <v>25</v>
      </c>
      <c r="I146" s="468"/>
    </row>
    <row r="148" spans="1:19" ht="13.5" thickBot="1"/>
    <row r="149" spans="1:19" ht="38.25" customHeight="1">
      <c r="A149" s="486" t="s">
        <v>31</v>
      </c>
      <c r="B149" s="488" t="s">
        <v>184</v>
      </c>
      <c r="C149" s="489"/>
      <c r="D149" s="486" t="s">
        <v>187</v>
      </c>
      <c r="E149" s="486" t="s">
        <v>188</v>
      </c>
      <c r="F149" s="488" t="s">
        <v>189</v>
      </c>
      <c r="G149" s="489"/>
      <c r="H149" s="488" t="s">
        <v>190</v>
      </c>
      <c r="I149" s="489"/>
      <c r="J149" s="315"/>
      <c r="K149" s="316"/>
      <c r="L149" s="316"/>
      <c r="M149" s="316"/>
      <c r="N149" s="316"/>
      <c r="O149" s="316"/>
      <c r="P149" s="316"/>
      <c r="Q149" s="486" t="s">
        <v>193</v>
      </c>
      <c r="R149" s="486" t="s">
        <v>195</v>
      </c>
      <c r="S149" s="486" t="s">
        <v>194</v>
      </c>
    </row>
    <row r="150" spans="1:19" ht="13.5" thickBot="1">
      <c r="A150" s="487"/>
      <c r="B150" s="317" t="s">
        <v>185</v>
      </c>
      <c r="C150" s="318" t="s">
        <v>186</v>
      </c>
      <c r="D150" s="487"/>
      <c r="E150" s="487"/>
      <c r="F150" s="317" t="s">
        <v>191</v>
      </c>
      <c r="G150" s="318" t="s">
        <v>192</v>
      </c>
      <c r="H150" s="317" t="s">
        <v>191</v>
      </c>
      <c r="I150" s="318" t="s">
        <v>192</v>
      </c>
      <c r="J150" s="319"/>
      <c r="K150" s="320"/>
      <c r="L150" s="320"/>
      <c r="M150" s="320"/>
      <c r="N150" s="320"/>
      <c r="O150" s="320"/>
      <c r="P150" s="320"/>
      <c r="Q150" s="487"/>
      <c r="R150" s="487"/>
      <c r="S150" s="487"/>
    </row>
    <row r="151" spans="1:19">
      <c r="A151" s="321" t="s">
        <v>196</v>
      </c>
      <c r="B151" s="322">
        <f>B63</f>
        <v>120</v>
      </c>
      <c r="C151" s="323">
        <f>B151</f>
        <v>120</v>
      </c>
      <c r="D151" s="324">
        <f>B58</f>
        <v>100</v>
      </c>
      <c r="E151" s="321"/>
      <c r="F151" s="325" t="str">
        <f>F124</f>
        <v>Nº8</v>
      </c>
      <c r="G151" s="326" t="str">
        <f>F130</f>
        <v>Nº8</v>
      </c>
      <c r="H151" s="325" t="str">
        <f>F140</f>
        <v>Nº8</v>
      </c>
      <c r="I151" s="326" t="str">
        <f>F146</f>
        <v>Nº8</v>
      </c>
      <c r="J151" s="327"/>
      <c r="K151" s="328"/>
      <c r="L151" s="328"/>
      <c r="M151" s="328"/>
      <c r="N151" s="328"/>
      <c r="O151" s="328"/>
      <c r="P151" s="328"/>
      <c r="Q151" s="321" t="s">
        <v>197</v>
      </c>
      <c r="R151" s="321">
        <f>185</f>
        <v>185</v>
      </c>
      <c r="S151" s="392">
        <f>B33/1000</f>
        <v>1662.2367999999999</v>
      </c>
    </row>
    <row r="152" spans="1:19" hidden="1">
      <c r="A152" s="329"/>
      <c r="B152" s="330"/>
      <c r="C152" s="331"/>
      <c r="D152" s="329"/>
      <c r="E152" s="329"/>
      <c r="F152" s="330"/>
      <c r="G152" s="331"/>
      <c r="H152" s="330"/>
      <c r="I152" s="331"/>
      <c r="J152" s="332"/>
      <c r="K152" s="333"/>
      <c r="L152" s="333"/>
      <c r="M152" s="333"/>
      <c r="N152" s="333"/>
      <c r="O152" s="333"/>
      <c r="P152" s="333"/>
      <c r="Q152" s="329"/>
      <c r="R152" s="329">
        <f>IF(A152="z-2",185,)</f>
        <v>0</v>
      </c>
      <c r="S152" s="329"/>
    </row>
    <row r="153" spans="1:19" hidden="1">
      <c r="A153" s="329"/>
      <c r="B153" s="330"/>
      <c r="C153" s="331"/>
      <c r="D153" s="329"/>
      <c r="E153" s="329"/>
      <c r="F153" s="330"/>
      <c r="G153" s="331"/>
      <c r="H153" s="330"/>
      <c r="I153" s="331"/>
      <c r="J153" s="332"/>
      <c r="K153" s="333"/>
      <c r="L153" s="333"/>
      <c r="M153" s="333"/>
      <c r="N153" s="333"/>
      <c r="O153" s="333"/>
      <c r="P153" s="333"/>
      <c r="Q153" s="329"/>
      <c r="R153" s="329">
        <f>IF(A153="z-3",185,)</f>
        <v>0</v>
      </c>
      <c r="S153" s="329"/>
    </row>
    <row r="154" spans="1:19" hidden="1">
      <c r="A154" s="329"/>
      <c r="B154" s="330"/>
      <c r="C154" s="331"/>
      <c r="D154" s="329"/>
      <c r="E154" s="329"/>
      <c r="F154" s="330"/>
      <c r="G154" s="331"/>
      <c r="H154" s="330"/>
      <c r="I154" s="331"/>
      <c r="J154" s="332"/>
      <c r="K154" s="333"/>
      <c r="L154" s="333"/>
      <c r="M154" s="333"/>
      <c r="N154" s="333"/>
      <c r="O154" s="333"/>
      <c r="P154" s="333"/>
      <c r="Q154" s="329"/>
      <c r="R154" s="329">
        <f>IF(A154="z-4",185,)</f>
        <v>0</v>
      </c>
      <c r="S154" s="329"/>
    </row>
    <row r="155" spans="1:19" hidden="1">
      <c r="A155" s="329"/>
      <c r="B155" s="330"/>
      <c r="C155" s="331"/>
      <c r="D155" s="329"/>
      <c r="E155" s="329"/>
      <c r="F155" s="330"/>
      <c r="G155" s="331"/>
      <c r="H155" s="330"/>
      <c r="I155" s="331"/>
      <c r="J155" s="332"/>
      <c r="K155" s="333"/>
      <c r="L155" s="333"/>
      <c r="M155" s="333"/>
      <c r="N155" s="333"/>
      <c r="O155" s="333"/>
      <c r="P155" s="333"/>
      <c r="Q155" s="329"/>
      <c r="R155" s="329">
        <f>IF(A155="z-5",185,)</f>
        <v>0</v>
      </c>
      <c r="S155" s="329"/>
    </row>
    <row r="156" spans="1:19" hidden="1">
      <c r="A156" s="329"/>
      <c r="B156" s="330"/>
      <c r="C156" s="331"/>
      <c r="D156" s="329"/>
      <c r="E156" s="329"/>
      <c r="F156" s="330"/>
      <c r="G156" s="331"/>
      <c r="H156" s="330"/>
      <c r="I156" s="331"/>
      <c r="J156" s="332"/>
      <c r="K156" s="333"/>
      <c r="L156" s="333"/>
      <c r="M156" s="333"/>
      <c r="N156" s="333"/>
      <c r="O156" s="333"/>
      <c r="P156" s="333"/>
      <c r="Q156" s="329"/>
      <c r="R156" s="329">
        <f>IF(A156="z-6",185,)</f>
        <v>0</v>
      </c>
      <c r="S156" s="329"/>
    </row>
    <row r="157" spans="1:19" hidden="1">
      <c r="A157" s="329"/>
      <c r="B157" s="330"/>
      <c r="C157" s="331"/>
      <c r="D157" s="329"/>
      <c r="E157" s="329"/>
      <c r="F157" s="330"/>
      <c r="G157" s="331"/>
      <c r="H157" s="330"/>
      <c r="I157" s="331"/>
      <c r="J157" s="332"/>
      <c r="K157" s="333"/>
      <c r="L157" s="333"/>
      <c r="M157" s="333"/>
      <c r="N157" s="333"/>
      <c r="O157" s="333"/>
      <c r="P157" s="333"/>
      <c r="Q157" s="329"/>
      <c r="R157" s="329">
        <f>IF(A157="z-7",185,)</f>
        <v>0</v>
      </c>
      <c r="S157" s="329"/>
    </row>
    <row r="158" spans="1:19" hidden="1">
      <c r="A158" s="329"/>
      <c r="B158" s="330"/>
      <c r="C158" s="331"/>
      <c r="D158" s="329"/>
      <c r="E158" s="329"/>
      <c r="F158" s="330"/>
      <c r="G158" s="331"/>
      <c r="H158" s="330"/>
      <c r="I158" s="331"/>
      <c r="J158" s="332"/>
      <c r="K158" s="333"/>
      <c r="L158" s="333"/>
      <c r="M158" s="333"/>
      <c r="N158" s="333"/>
      <c r="O158" s="333"/>
      <c r="P158" s="333"/>
      <c r="Q158" s="329"/>
      <c r="R158" s="329">
        <f>IF(A158="z-8",185,)</f>
        <v>0</v>
      </c>
      <c r="S158" s="329"/>
    </row>
    <row r="159" spans="1:19" hidden="1">
      <c r="A159" s="329"/>
      <c r="B159" s="330"/>
      <c r="C159" s="331"/>
      <c r="D159" s="329"/>
      <c r="E159" s="329"/>
      <c r="F159" s="330"/>
      <c r="G159" s="331"/>
      <c r="H159" s="330"/>
      <c r="I159" s="331"/>
      <c r="J159" s="332"/>
      <c r="K159" s="333"/>
      <c r="L159" s="333"/>
      <c r="M159" s="333"/>
      <c r="N159" s="333"/>
      <c r="O159" s="333"/>
      <c r="P159" s="333"/>
      <c r="Q159" s="329"/>
      <c r="R159" s="329">
        <f>IF(A159="z-9",185,)</f>
        <v>0</v>
      </c>
      <c r="S159" s="329"/>
    </row>
    <row r="160" spans="1:19" hidden="1">
      <c r="A160" s="329"/>
      <c r="B160" s="330"/>
      <c r="C160" s="331"/>
      <c r="D160" s="329"/>
      <c r="E160" s="329"/>
      <c r="F160" s="330"/>
      <c r="G160" s="331"/>
      <c r="H160" s="330"/>
      <c r="I160" s="331"/>
      <c r="J160" s="332"/>
      <c r="K160" s="333"/>
      <c r="L160" s="333"/>
      <c r="M160" s="333"/>
      <c r="N160" s="333"/>
      <c r="O160" s="333"/>
      <c r="P160" s="333"/>
      <c r="Q160" s="329"/>
      <c r="R160" s="329">
        <f>IF(A160="z-10",185,)</f>
        <v>0</v>
      </c>
      <c r="S160" s="329"/>
    </row>
    <row r="161" spans="1:19" ht="13.5" hidden="1" thickBot="1">
      <c r="A161" s="334"/>
      <c r="B161" s="335"/>
      <c r="C161" s="336"/>
      <c r="D161" s="334"/>
      <c r="E161" s="334"/>
      <c r="F161" s="335"/>
      <c r="G161" s="336"/>
      <c r="H161" s="335"/>
      <c r="I161" s="336"/>
      <c r="J161" s="332"/>
      <c r="K161" s="333"/>
      <c r="L161" s="333"/>
      <c r="M161" s="333"/>
      <c r="N161" s="333"/>
      <c r="O161" s="333"/>
      <c r="P161" s="333"/>
      <c r="Q161" s="334"/>
      <c r="R161" s="334">
        <f>IF(A161="z-11",185,)</f>
        <v>0</v>
      </c>
      <c r="S161" s="334"/>
    </row>
  </sheetData>
  <mergeCells count="26">
    <mergeCell ref="S149:S150"/>
    <mergeCell ref="H146:I146"/>
    <mergeCell ref="B149:C149"/>
    <mergeCell ref="A149:A150"/>
    <mergeCell ref="D149:D150"/>
    <mergeCell ref="E149:E150"/>
    <mergeCell ref="F149:G149"/>
    <mergeCell ref="H149:I149"/>
    <mergeCell ref="R149:R150"/>
    <mergeCell ref="Q149:Q150"/>
    <mergeCell ref="B1:G1"/>
    <mergeCell ref="H124:I124"/>
    <mergeCell ref="H130:I130"/>
    <mergeCell ref="H140:I140"/>
    <mergeCell ref="G36:G37"/>
    <mergeCell ref="D77:D80"/>
    <mergeCell ref="A29:B29"/>
    <mergeCell ref="A42:B42"/>
    <mergeCell ref="A15:B15"/>
    <mergeCell ref="A54:B54"/>
    <mergeCell ref="A57:B57"/>
    <mergeCell ref="A35:B35"/>
    <mergeCell ref="B96:C96"/>
    <mergeCell ref="A76:B76"/>
    <mergeCell ref="A67:B67"/>
    <mergeCell ref="B3:H13"/>
  </mergeCells>
  <dataValidations count="2">
    <dataValidation type="list" allowBlank="1" showInputMessage="1" showErrorMessage="1" sqref="B48" xr:uid="{05236DFF-AA81-48A3-ADB2-03A1F19E0268}">
      <formula1>f´c</formula1>
    </dataValidation>
    <dataValidation type="list" allowBlank="1" showInputMessage="1" showErrorMessage="1" sqref="E120 E127 E136 E143" xr:uid="{099D439A-956F-42DA-9C96-58890048FC92}">
      <formula1>Varilla</formula1>
    </dataValidation>
  </dataValidations>
  <hyperlinks>
    <hyperlink ref="B104" r:id="rId1" xr:uid="{B21740FE-4360-410B-852C-42E008BDA14C}"/>
  </hyperlinks>
  <printOptions horizontalCentered="1"/>
  <pageMargins left="0.25" right="0.25" top="0.75" bottom="0.75" header="0.3" footer="0.3"/>
  <pageSetup paperSize="9" scale="89" fitToHeight="0" orientation="portrait" r:id="rId2"/>
  <rowBreaks count="2" manualBreakCount="2">
    <brk id="55" max="8" man="1"/>
    <brk id="114" max="8" man="1"/>
  </rowBreaks>
  <ignoredErrors>
    <ignoredError sqref="E127 E143" unlockedFormula="1"/>
  </ignoredError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85A2-58EA-4B7B-9EED-69CF5B1593DC}">
  <sheetPr>
    <tabColor theme="5" tint="-0.499984740745262"/>
  </sheetPr>
  <dimension ref="B1:H27"/>
  <sheetViews>
    <sheetView view="pageBreakPreview" topLeftCell="A13" zoomScaleNormal="85" zoomScaleSheetLayoutView="100" workbookViewId="0">
      <selection activeCell="F7" sqref="F7"/>
    </sheetView>
  </sheetViews>
  <sheetFormatPr baseColWidth="10" defaultRowHeight="12.75"/>
  <cols>
    <col min="1" max="1" width="3.42578125" style="1" customWidth="1"/>
    <col min="2" max="2" width="8.85546875" style="1" customWidth="1"/>
    <col min="3" max="3" width="15.42578125" style="1" customWidth="1"/>
    <col min="4" max="4" width="8.42578125" style="1" customWidth="1"/>
    <col min="5" max="5" width="16.42578125" style="1" customWidth="1"/>
    <col min="6" max="6" width="12.28515625" style="1" bestFit="1" customWidth="1"/>
    <col min="7" max="7" width="14" style="1" customWidth="1"/>
    <col min="8" max="8" width="15.42578125" style="1" customWidth="1"/>
    <col min="9" max="9" width="11.42578125" style="1"/>
    <col min="10" max="10" width="13.42578125" style="1" bestFit="1" customWidth="1"/>
    <col min="11" max="16384" width="11.42578125" style="1"/>
  </cols>
  <sheetData>
    <row r="1" spans="2:8" ht="25.5" thickBot="1">
      <c r="B1" s="491" t="s">
        <v>228</v>
      </c>
      <c r="C1" s="492"/>
      <c r="D1" s="492"/>
      <c r="E1" s="492"/>
      <c r="F1" s="492"/>
      <c r="G1" s="493"/>
    </row>
    <row r="3" spans="2:8">
      <c r="B3" s="490" t="s">
        <v>217</v>
      </c>
      <c r="C3" s="490"/>
    </row>
    <row r="4" spans="2:8" ht="15">
      <c r="B4" s="169" t="s">
        <v>211</v>
      </c>
      <c r="C4" s="174" t="s">
        <v>210</v>
      </c>
    </row>
    <row r="5" spans="2:8" ht="15">
      <c r="B5" s="169" t="s">
        <v>213</v>
      </c>
      <c r="C5" s="174" t="s">
        <v>215</v>
      </c>
    </row>
    <row r="6" spans="2:8" ht="15">
      <c r="B6" s="169" t="s">
        <v>214</v>
      </c>
      <c r="C6" s="174" t="s">
        <v>216</v>
      </c>
    </row>
    <row r="8" spans="2:8">
      <c r="B8" s="182" t="s">
        <v>221</v>
      </c>
    </row>
    <row r="9" spans="2:8" ht="15">
      <c r="B9" s="169" t="s">
        <v>218</v>
      </c>
      <c r="C9" s="170">
        <v>5000</v>
      </c>
      <c r="D9" s="169" t="s">
        <v>211</v>
      </c>
      <c r="E9" s="173">
        <f>C11</f>
        <v>1963.8648860958367</v>
      </c>
      <c r="G9" s="182" t="s">
        <v>226</v>
      </c>
    </row>
    <row r="10" spans="2:8" ht="15">
      <c r="B10" s="171" t="s">
        <v>219</v>
      </c>
      <c r="C10" s="172">
        <v>2.5459999999999998</v>
      </c>
      <c r="D10" s="176" t="s">
        <v>220</v>
      </c>
      <c r="E10" s="175">
        <v>2039000</v>
      </c>
      <c r="G10" s="179" t="s">
        <v>212</v>
      </c>
      <c r="H10" s="179" t="s">
        <v>227</v>
      </c>
    </row>
    <row r="11" spans="2:8" ht="15">
      <c r="B11" s="169" t="s">
        <v>211</v>
      </c>
      <c r="C11" s="173">
        <f>C9/C10</f>
        <v>1963.8648860958367</v>
      </c>
      <c r="D11" s="169" t="s">
        <v>214</v>
      </c>
      <c r="E11" s="177">
        <f>E9/E10</f>
        <v>9.6315099857569237E-4</v>
      </c>
      <c r="G11" s="180">
        <f>0</f>
        <v>0</v>
      </c>
      <c r="H11" s="181">
        <v>0</v>
      </c>
    </row>
    <row r="12" spans="2:8" ht="15">
      <c r="B12" s="182" t="s">
        <v>222</v>
      </c>
      <c r="G12" s="180">
        <f>E11</f>
        <v>9.6315099857569237E-4</v>
      </c>
      <c r="H12" s="181">
        <f>C11</f>
        <v>1963.8648860958367</v>
      </c>
    </row>
    <row r="13" spans="2:8" ht="15">
      <c r="B13" s="169" t="s">
        <v>218</v>
      </c>
      <c r="C13" s="170">
        <v>5000</v>
      </c>
      <c r="D13" s="169" t="s">
        <v>211</v>
      </c>
      <c r="E13" s="173">
        <f>C15</f>
        <v>1963.8648860958367</v>
      </c>
      <c r="G13" s="180">
        <f>E15</f>
        <v>9.6315099857569237E-4</v>
      </c>
      <c r="H13" s="181">
        <f>C15</f>
        <v>1963.8648860958367</v>
      </c>
    </row>
    <row r="14" spans="2:8" ht="15">
      <c r="B14" s="171" t="s">
        <v>219</v>
      </c>
      <c r="C14" s="178">
        <f>$C$10</f>
        <v>2.5459999999999998</v>
      </c>
      <c r="D14" s="176" t="s">
        <v>220</v>
      </c>
      <c r="E14" s="175">
        <v>2039000</v>
      </c>
      <c r="G14" s="180">
        <f>E19</f>
        <v>1.2520962981484001E-3</v>
      </c>
      <c r="H14" s="181">
        <f>C19</f>
        <v>2553.0243519245878</v>
      </c>
    </row>
    <row r="15" spans="2:8" ht="15">
      <c r="B15" s="169" t="s">
        <v>211</v>
      </c>
      <c r="C15" s="173">
        <f>C13/C14</f>
        <v>1963.8648860958367</v>
      </c>
      <c r="D15" s="169" t="s">
        <v>214</v>
      </c>
      <c r="E15" s="177">
        <f>E13/E14</f>
        <v>9.6315099857569237E-4</v>
      </c>
      <c r="G15" s="180">
        <f>E23</f>
        <v>1.3484113980059692E-3</v>
      </c>
      <c r="H15" s="181">
        <f>C23</f>
        <v>2749.4108405341713</v>
      </c>
    </row>
    <row r="16" spans="2:8" ht="15">
      <c r="B16" s="182" t="s">
        <v>223</v>
      </c>
      <c r="G16" s="180">
        <f>E27</f>
        <v>1.3445587940116666E-3</v>
      </c>
      <c r="H16" s="181">
        <f>C27</f>
        <v>2741.5553809897883</v>
      </c>
    </row>
    <row r="17" spans="2:5" ht="15">
      <c r="B17" s="169" t="s">
        <v>218</v>
      </c>
      <c r="C17" s="170">
        <v>6500</v>
      </c>
      <c r="D17" s="169" t="s">
        <v>211</v>
      </c>
      <c r="E17" s="173">
        <f>C19</f>
        <v>2553.0243519245878</v>
      </c>
    </row>
    <row r="18" spans="2:5" ht="14.25">
      <c r="B18" s="171" t="s">
        <v>219</v>
      </c>
      <c r="C18" s="178">
        <f>$C$10</f>
        <v>2.5459999999999998</v>
      </c>
      <c r="D18" s="176" t="s">
        <v>220</v>
      </c>
      <c r="E18" s="175">
        <v>2039000</v>
      </c>
    </row>
    <row r="19" spans="2:5" ht="15">
      <c r="B19" s="169" t="s">
        <v>211</v>
      </c>
      <c r="C19" s="173">
        <f>C17/C18</f>
        <v>2553.0243519245878</v>
      </c>
      <c r="D19" s="169" t="s">
        <v>214</v>
      </c>
      <c r="E19" s="177">
        <f>E17/E18</f>
        <v>1.2520962981484001E-3</v>
      </c>
    </row>
    <row r="20" spans="2:5">
      <c r="B20" s="182" t="s">
        <v>224</v>
      </c>
    </row>
    <row r="21" spans="2:5" ht="15">
      <c r="B21" s="169" t="s">
        <v>218</v>
      </c>
      <c r="C21" s="170">
        <v>7000</v>
      </c>
      <c r="D21" s="169" t="s">
        <v>211</v>
      </c>
      <c r="E21" s="173">
        <f>C23</f>
        <v>2749.4108405341713</v>
      </c>
    </row>
    <row r="22" spans="2:5" ht="14.25">
      <c r="B22" s="171" t="s">
        <v>219</v>
      </c>
      <c r="C22" s="178">
        <f>$C$10</f>
        <v>2.5459999999999998</v>
      </c>
      <c r="D22" s="176" t="s">
        <v>220</v>
      </c>
      <c r="E22" s="175">
        <v>2039000</v>
      </c>
    </row>
    <row r="23" spans="2:5" ht="15">
      <c r="B23" s="169" t="s">
        <v>211</v>
      </c>
      <c r="C23" s="173">
        <f>C21/C22</f>
        <v>2749.4108405341713</v>
      </c>
      <c r="D23" s="169" t="s">
        <v>214</v>
      </c>
      <c r="E23" s="177">
        <f>E21/E22</f>
        <v>1.3484113980059692E-3</v>
      </c>
    </row>
    <row r="24" spans="2:5">
      <c r="B24" s="182" t="s">
        <v>225</v>
      </c>
    </row>
    <row r="25" spans="2:5" ht="15">
      <c r="B25" s="169" t="s">
        <v>218</v>
      </c>
      <c r="C25" s="170">
        <v>6980</v>
      </c>
      <c r="D25" s="169" t="s">
        <v>211</v>
      </c>
      <c r="E25" s="173">
        <f>C27</f>
        <v>2741.5553809897883</v>
      </c>
    </row>
    <row r="26" spans="2:5" ht="14.25">
      <c r="B26" s="171" t="s">
        <v>219</v>
      </c>
      <c r="C26" s="178">
        <f>$C$10</f>
        <v>2.5459999999999998</v>
      </c>
      <c r="D26" s="176" t="s">
        <v>220</v>
      </c>
      <c r="E26" s="175">
        <v>2039000</v>
      </c>
    </row>
    <row r="27" spans="2:5" ht="15">
      <c r="B27" s="169" t="s">
        <v>211</v>
      </c>
      <c r="C27" s="173">
        <f>C25/C26</f>
        <v>2741.5553809897883</v>
      </c>
      <c r="D27" s="169" t="s">
        <v>214</v>
      </c>
      <c r="E27" s="177">
        <f>E25/E26</f>
        <v>1.3445587940116666E-3</v>
      </c>
    </row>
  </sheetData>
  <mergeCells count="2">
    <mergeCell ref="B3:C3"/>
    <mergeCell ref="B1:G1"/>
  </mergeCells>
  <pageMargins left="0.7" right="0.7" top="0.75" bottom="0.75" header="0.3" footer="0.3"/>
  <pageSetup scale="8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K31"/>
  <sheetViews>
    <sheetView zoomScale="130" zoomScaleNormal="130" workbookViewId="0">
      <selection activeCell="F13" sqref="F13"/>
    </sheetView>
  </sheetViews>
  <sheetFormatPr baseColWidth="10" defaultRowHeight="12.75"/>
  <cols>
    <col min="1" max="1" width="11.42578125" style="1"/>
    <col min="2" max="2" width="12" style="1" bestFit="1" customWidth="1"/>
    <col min="3" max="16384" width="11.42578125" style="1"/>
  </cols>
  <sheetData>
    <row r="1" spans="1:11" ht="13.5" thickTop="1">
      <c r="A1" s="395" t="s">
        <v>84</v>
      </c>
      <c r="B1" s="396"/>
      <c r="C1" s="396"/>
      <c r="D1" s="396"/>
      <c r="E1" s="396"/>
      <c r="F1" s="396"/>
      <c r="G1" s="397"/>
    </row>
    <row r="2" spans="1:11">
      <c r="A2" s="398"/>
      <c r="B2" s="399"/>
      <c r="C2" s="399"/>
      <c r="D2" s="399"/>
      <c r="E2" s="399"/>
      <c r="F2" s="399"/>
      <c r="G2" s="400"/>
    </row>
    <row r="3" spans="1:11" ht="13.5" thickBot="1">
      <c r="A3" s="401"/>
      <c r="B3" s="402"/>
      <c r="C3" s="402"/>
      <c r="D3" s="402"/>
      <c r="E3" s="402"/>
      <c r="F3" s="402"/>
      <c r="G3" s="403"/>
    </row>
    <row r="4" spans="1:11" ht="13.5" thickTop="1"/>
    <row r="5" spans="1:11" ht="13.5" thickBot="1"/>
    <row r="6" spans="1:11" ht="17.25">
      <c r="A6" s="78" t="s">
        <v>85</v>
      </c>
      <c r="B6" s="79">
        <v>1100</v>
      </c>
      <c r="C6" s="80"/>
      <c r="D6" s="80"/>
      <c r="E6" s="80"/>
      <c r="F6" s="81"/>
      <c r="G6" s="82"/>
      <c r="H6" s="81"/>
      <c r="I6" s="83"/>
      <c r="J6" s="83"/>
      <c r="K6" s="84"/>
    </row>
    <row r="7" spans="1:11">
      <c r="A7" s="85" t="s">
        <v>86</v>
      </c>
      <c r="B7" s="86">
        <v>800</v>
      </c>
      <c r="F7" s="87"/>
      <c r="G7" s="87"/>
      <c r="H7" s="87"/>
      <c r="I7" s="88" t="s">
        <v>87</v>
      </c>
      <c r="J7" s="88">
        <v>0.49</v>
      </c>
      <c r="K7" s="84"/>
    </row>
    <row r="8" spans="1:11">
      <c r="A8" s="89" t="s">
        <v>111</v>
      </c>
      <c r="B8" s="128">
        <f>Columnas!D94</f>
        <v>1899.5200000000002</v>
      </c>
      <c r="F8" s="87"/>
      <c r="G8" s="87"/>
      <c r="H8" s="87"/>
      <c r="I8" s="88" t="s">
        <v>88</v>
      </c>
      <c r="J8" s="88">
        <v>0.71</v>
      </c>
      <c r="K8" s="84"/>
    </row>
    <row r="9" spans="1:11">
      <c r="A9" s="89" t="s">
        <v>112</v>
      </c>
      <c r="B9" s="128">
        <f>Columnas!D106</f>
        <v>414.05</v>
      </c>
      <c r="F9" s="87"/>
      <c r="G9" s="87"/>
      <c r="H9" s="87"/>
      <c r="I9" s="88" t="s">
        <v>89</v>
      </c>
      <c r="J9" s="88">
        <v>1.27</v>
      </c>
      <c r="K9" s="84"/>
    </row>
    <row r="10" spans="1:11">
      <c r="A10" s="90" t="s">
        <v>90</v>
      </c>
      <c r="B10" s="91">
        <f>'[1]Sub Reforzada'!B1</f>
        <v>0</v>
      </c>
      <c r="F10" s="87"/>
      <c r="G10" s="87"/>
      <c r="H10" s="87"/>
      <c r="I10" s="88" t="s">
        <v>91</v>
      </c>
      <c r="J10" s="88">
        <v>1.98</v>
      </c>
      <c r="K10" s="84"/>
    </row>
    <row r="11" spans="1:11">
      <c r="A11" s="90" t="s">
        <v>110</v>
      </c>
      <c r="B11" s="91">
        <v>1</v>
      </c>
      <c r="F11" s="87"/>
      <c r="G11" s="87"/>
      <c r="H11" s="87"/>
      <c r="I11" s="88"/>
      <c r="J11" s="88"/>
      <c r="K11" s="84"/>
    </row>
    <row r="12" spans="1:11" ht="15">
      <c r="A12" s="92" t="s">
        <v>92</v>
      </c>
      <c r="B12" s="93">
        <f>(B7*((B6/2)*0.01))/2</f>
        <v>2200</v>
      </c>
      <c r="C12" s="94"/>
      <c r="D12" s="94"/>
      <c r="E12" s="2"/>
      <c r="F12" s="84"/>
      <c r="G12" s="87"/>
      <c r="H12" s="87"/>
      <c r="I12" s="94"/>
      <c r="J12" s="94"/>
      <c r="K12" s="84"/>
    </row>
    <row r="13" spans="1:11" ht="18">
      <c r="A13" s="95" t="s">
        <v>93</v>
      </c>
      <c r="B13" s="96">
        <v>0.85</v>
      </c>
      <c r="C13" s="94"/>
      <c r="D13" s="94"/>
      <c r="E13" s="97"/>
      <c r="F13" s="87"/>
      <c r="G13" s="87"/>
      <c r="H13" s="87"/>
      <c r="I13" s="94"/>
      <c r="J13" s="94"/>
      <c r="K13" s="84"/>
    </row>
    <row r="14" spans="1:11" ht="15">
      <c r="A14" s="98" t="s">
        <v>94</v>
      </c>
      <c r="B14" s="99">
        <f>Columnas!C31</f>
        <v>490</v>
      </c>
      <c r="C14" s="97"/>
      <c r="D14" s="97"/>
      <c r="E14" s="97"/>
      <c r="F14" s="87"/>
      <c r="G14" s="87"/>
      <c r="H14" s="87"/>
      <c r="I14" s="94"/>
      <c r="J14" s="94"/>
      <c r="K14" s="84"/>
    </row>
    <row r="15" spans="1:11" ht="15">
      <c r="A15" s="98" t="s">
        <v>95</v>
      </c>
      <c r="B15" s="100">
        <f>+B18*B19</f>
        <v>6000</v>
      </c>
      <c r="C15" s="97"/>
      <c r="D15" s="97"/>
      <c r="E15" s="97"/>
      <c r="F15" s="87"/>
      <c r="G15" s="87"/>
      <c r="H15" s="87"/>
      <c r="I15" s="87"/>
      <c r="J15" s="87"/>
      <c r="K15" s="84"/>
    </row>
    <row r="16" spans="1:11" ht="18">
      <c r="A16" s="95" t="s">
        <v>96</v>
      </c>
      <c r="B16" s="101">
        <v>0.75</v>
      </c>
      <c r="C16" s="97"/>
      <c r="D16" s="97"/>
      <c r="E16" s="97"/>
      <c r="K16" s="94"/>
    </row>
    <row r="17" spans="1:11" ht="15">
      <c r="A17" s="98" t="s">
        <v>97</v>
      </c>
      <c r="B17" s="99">
        <f>Columnas!C32</f>
        <v>4200</v>
      </c>
      <c r="C17" s="97"/>
      <c r="D17" s="97"/>
      <c r="E17" s="97"/>
      <c r="K17" s="94"/>
    </row>
    <row r="18" spans="1:11" ht="15">
      <c r="A18" s="98" t="s">
        <v>98</v>
      </c>
      <c r="B18" s="102">
        <f>Columnas!C29-Columnas!C49</f>
        <v>75</v>
      </c>
      <c r="C18" s="97"/>
      <c r="D18" s="97"/>
      <c r="E18" s="97"/>
      <c r="K18" s="94"/>
    </row>
    <row r="19" spans="1:11" ht="15.75" thickBot="1">
      <c r="A19" s="103" t="s">
        <v>99</v>
      </c>
      <c r="B19" s="104">
        <f>Columnas!C28</f>
        <v>80</v>
      </c>
      <c r="C19" s="97"/>
      <c r="D19" s="97"/>
      <c r="E19" s="97"/>
      <c r="K19" s="94"/>
    </row>
    <row r="20" spans="1:11">
      <c r="A20" s="97"/>
      <c r="B20" s="97"/>
      <c r="C20" s="97"/>
      <c r="D20" s="97"/>
      <c r="E20" s="97"/>
      <c r="K20" s="94"/>
    </row>
    <row r="21" spans="1:11" ht="15">
      <c r="A21" s="105" t="s">
        <v>100</v>
      </c>
      <c r="B21" s="106">
        <f>0.53*(1+(B11/(140*B15)))*B13*(SQRT(B14))*B19*B18</f>
        <v>59833.526838350204</v>
      </c>
      <c r="C21" s="97"/>
      <c r="D21" s="97"/>
      <c r="E21" s="97"/>
      <c r="K21" s="94"/>
    </row>
    <row r="22" spans="1:11" ht="15">
      <c r="A22" s="107"/>
      <c r="B22" s="97"/>
      <c r="C22" s="97"/>
      <c r="D22" s="97"/>
      <c r="E22" s="97"/>
      <c r="K22" s="94"/>
    </row>
    <row r="23" spans="1:11" ht="15">
      <c r="A23" s="107" t="str">
        <f>+IF(0.5*B16*B21&gt;=B12,"NO SE NECESITA REFUERZO DE CORTANTE", "SE NECESITA REFUERZO DE CORTANTE")</f>
        <v>NO SE NECESITA REFUERZO DE CORTANTE</v>
      </c>
      <c r="B23" s="97"/>
      <c r="C23" s="97"/>
      <c r="D23" s="97"/>
      <c r="E23" s="97"/>
      <c r="K23" s="94"/>
    </row>
    <row r="24" spans="1:11" ht="13.5" thickBot="1">
      <c r="A24" s="97"/>
      <c r="B24" s="97"/>
      <c r="C24" s="97"/>
      <c r="D24" s="97"/>
      <c r="E24" s="97"/>
      <c r="K24" s="94"/>
    </row>
    <row r="25" spans="1:11" ht="15.75" thickBot="1">
      <c r="A25" s="108" t="s">
        <v>101</v>
      </c>
      <c r="B25" s="109">
        <f>+(B12-B21*B16)/B16</f>
        <v>-56900.193505016876</v>
      </c>
      <c r="C25" s="110" t="e">
        <f>+(VLOOKUP(B27,I7:J10,FALSE))</f>
        <v>#VALUE!</v>
      </c>
      <c r="D25" s="111">
        <f>+(VLOOKUP(B27,I7:J10,2,FALSE))</f>
        <v>0.71</v>
      </c>
      <c r="E25" s="112"/>
      <c r="K25" s="94"/>
    </row>
    <row r="26" spans="1:11" ht="15">
      <c r="A26" s="113" t="s">
        <v>102</v>
      </c>
      <c r="B26" s="114">
        <v>2</v>
      </c>
      <c r="C26" s="115" t="s">
        <v>103</v>
      </c>
      <c r="D26" s="116">
        <f>+IF(A23="SE NECESITA REFUERZO DE CORTANTE",(D25*B17)/(0.2*SQRT(B14)*B19),0)</f>
        <v>0</v>
      </c>
      <c r="E26" s="117">
        <f>+IF(D26&lt;0,100000000000000000,D26)</f>
        <v>0</v>
      </c>
      <c r="K26" s="94"/>
    </row>
    <row r="27" spans="1:11" ht="15">
      <c r="A27" s="113" t="s">
        <v>104</v>
      </c>
      <c r="B27" s="114" t="s">
        <v>88</v>
      </c>
      <c r="C27" s="118" t="s">
        <v>105</v>
      </c>
      <c r="D27" s="119">
        <f>+IF(A23="SE NECESITA REFUERZO DE CORTANTE",(D25*B17)/(3.5*B19),0)</f>
        <v>0</v>
      </c>
      <c r="E27" s="120">
        <f>+IF(D27&lt;0,100000000000000000,D27)</f>
        <v>0</v>
      </c>
      <c r="K27" s="94"/>
    </row>
    <row r="28" spans="1:11" ht="15.75" thickBot="1">
      <c r="A28" s="121" t="s">
        <v>106</v>
      </c>
      <c r="B28" s="122">
        <f>+MIN(E26:E28)</f>
        <v>0</v>
      </c>
      <c r="C28" s="123" t="s">
        <v>107</v>
      </c>
      <c r="D28" s="124">
        <f>+(D25*B26*B17*B18)/B25</f>
        <v>-7.8611331956289687</v>
      </c>
      <c r="E28" s="125">
        <f>+IF(D28&lt;0,100000000000000000,D28)</f>
        <v>1E+17</v>
      </c>
      <c r="K28" s="94"/>
    </row>
    <row r="29" spans="1:11">
      <c r="A29" s="94"/>
      <c r="B29" s="94"/>
      <c r="C29" s="94"/>
      <c r="D29" s="94"/>
      <c r="E29" s="94"/>
      <c r="F29" s="94"/>
      <c r="G29" s="94"/>
      <c r="H29" s="94"/>
      <c r="I29" s="94"/>
      <c r="J29" s="94"/>
      <c r="K29" s="94"/>
    </row>
    <row r="30" spans="1:11">
      <c r="A30" s="126" t="s">
        <v>108</v>
      </c>
      <c r="B30" s="127">
        <f>B21+B25</f>
        <v>2933.3333333333285</v>
      </c>
      <c r="C30" s="94"/>
      <c r="D30" s="94"/>
      <c r="E30" s="94"/>
      <c r="F30" s="94"/>
      <c r="G30" s="94"/>
      <c r="H30" s="94"/>
      <c r="I30" s="94"/>
      <c r="J30" s="94"/>
      <c r="K30" s="94"/>
    </row>
    <row r="31" spans="1:11">
      <c r="A31" s="126" t="s">
        <v>109</v>
      </c>
      <c r="B31" s="127">
        <f>B16*B30-B12</f>
        <v>-3.637978807091713E-12</v>
      </c>
      <c r="C31" s="94"/>
      <c r="D31" s="94"/>
      <c r="E31" s="94"/>
      <c r="F31" s="94"/>
      <c r="G31" s="94"/>
      <c r="H31" s="94"/>
      <c r="I31" s="94"/>
      <c r="J31" s="94"/>
      <c r="K31" s="94"/>
    </row>
  </sheetData>
  <mergeCells count="1">
    <mergeCell ref="A1:G3"/>
  </mergeCells>
  <conditionalFormatting sqref="A23">
    <cfRule type="expression" dxfId="0" priority="1">
      <formula>"SE NECESITA REFUERZO DE CORTANTE"</formula>
    </cfRule>
  </conditionalFormatting>
  <dataValidations disablePrompts="1" count="1">
    <dataValidation type="list" allowBlank="1" showInputMessage="1" showErrorMessage="1" sqref="B27" xr:uid="{00000000-0002-0000-0100-000000000000}">
      <formula1>$J$20:$J$23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Columnas</vt:lpstr>
      <vt:lpstr>Revisiones</vt:lpstr>
      <vt:lpstr>Momento</vt:lpstr>
      <vt:lpstr>Col bal</vt:lpstr>
      <vt:lpstr>Estribos </vt:lpstr>
      <vt:lpstr>Espiral</vt:lpstr>
      <vt:lpstr>Zapatas</vt:lpstr>
      <vt:lpstr>Ejem. Esfuerzo-deformación</vt:lpstr>
      <vt:lpstr>revisar</vt:lpstr>
      <vt:lpstr>Columnas!Área_de_impresión</vt:lpstr>
      <vt:lpstr>'Estribos '!Área_de_impresión</vt:lpstr>
      <vt:lpstr>Zapatas!Área_de_impresión</vt:lpstr>
      <vt:lpstr>dvarilla</vt:lpstr>
      <vt:lpstr>f´c</vt:lpstr>
      <vt:lpstr>fyt</vt:lpstr>
      <vt:lpstr>Nvarilla</vt:lpstr>
      <vt:lpstr>TIPO</vt:lpstr>
      <vt:lpstr>Varilla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2018-10-30T15:17:24Z</cp:lastPrinted>
  <dcterms:created xsi:type="dcterms:W3CDTF">2005-12-06T03:32:24Z</dcterms:created>
  <dcterms:modified xsi:type="dcterms:W3CDTF">2018-12-14T16:40:26Z</dcterms:modified>
</cp:coreProperties>
</file>