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Usuarios\Luis Pablo Personal y Creativo\Programacion\GitHub\CalculoEstructural\HOJAS DE CALCULO\MUROS DE CONTENCION\"/>
    </mc:Choice>
  </mc:AlternateContent>
  <xr:revisionPtr revIDLastSave="0" documentId="13_ncr:1_{80F8A8BD-0259-4B35-B6F3-952AA5DA7355}" xr6:coauthVersionLast="45" xr6:coauthVersionMax="45" xr10:uidLastSave="{00000000-0000-0000-0000-000000000000}"/>
  <bookViews>
    <workbookView xWindow="-108" yWindow="492" windowWidth="23256" windowHeight="12576" firstSheet="1" activeTab="1" xr2:uid="{00000000-000D-0000-FFFF-FFFF00000000}"/>
  </bookViews>
  <sheets>
    <sheet name="Gráfico1" sheetId="4" state="hidden" r:id="rId1"/>
    <sheet name="Analisis y Diseño" sheetId="1" r:id="rId2"/>
    <sheet name="Hoja1" sheetId="6" state="hidden" r:id="rId3"/>
    <sheet name="PROCESAMIENTO DE DATOS" sheetId="5" state="hidden" r:id="rId4"/>
    <sheet name="Hoja2" sheetId="2" state="hidden" r:id="rId5"/>
    <sheet name="Hoja3" sheetId="3" state="hidden" r:id="rId6"/>
  </sheets>
  <definedNames>
    <definedName name="_xlnm.Print_Area" localSheetId="1">'Analisis y Diseño'!$A$1:$I$310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 l="1"/>
  <c r="B32" i="1" s="1"/>
  <c r="I92" i="1"/>
  <c r="C36" i="1"/>
  <c r="E158" i="1" l="1"/>
  <c r="E169" i="1" l="1"/>
  <c r="G173" i="1" l="1"/>
  <c r="E56" i="1" l="1"/>
  <c r="E203" i="1" l="1"/>
  <c r="E54" i="1" l="1"/>
  <c r="E57" i="1" s="1"/>
  <c r="C140" i="1" s="1"/>
  <c r="E160" i="1" s="1"/>
  <c r="G151" i="1"/>
  <c r="E153" i="1" s="1"/>
  <c r="H155" i="1" s="1"/>
  <c r="E171" i="1" l="1"/>
  <c r="F155" i="1" l="1"/>
  <c r="E144" i="1"/>
  <c r="B22" i="1" l="1"/>
  <c r="E229" i="1" l="1"/>
  <c r="E226" i="1"/>
  <c r="F219" i="1"/>
  <c r="E190" i="1"/>
  <c r="H186" i="1"/>
  <c r="H187" i="1"/>
  <c r="H188" i="1"/>
  <c r="C50" i="1"/>
  <c r="E139" i="1" l="1"/>
  <c r="C141" i="1"/>
  <c r="C142" i="1" s="1"/>
  <c r="G145" i="1" s="1"/>
  <c r="C49" i="1"/>
  <c r="E49" i="1" s="1"/>
  <c r="B24" i="1"/>
  <c r="B23" i="1"/>
  <c r="C122" i="1" l="1"/>
  <c r="C120" i="1"/>
  <c r="C117" i="1"/>
  <c r="C121" i="1" s="1"/>
  <c r="D66" i="1"/>
  <c r="C45" i="1"/>
  <c r="D62" i="1" s="1"/>
  <c r="D65" i="1"/>
  <c r="E51" i="1"/>
  <c r="O23" i="1"/>
  <c r="O11" i="1"/>
  <c r="O18" i="1"/>
  <c r="O20" i="1" s="1"/>
  <c r="O19" i="1"/>
  <c r="D60" i="1" l="1"/>
  <c r="D14" i="5"/>
  <c r="D22" i="5"/>
  <c r="D67" i="5" s="1"/>
  <c r="D34" i="5"/>
  <c r="H22" i="1"/>
  <c r="H23" i="1" s="1"/>
  <c r="C150" i="1" l="1"/>
  <c r="E19" i="1"/>
  <c r="O17" i="1"/>
  <c r="F84" i="1"/>
  <c r="E76" i="1"/>
  <c r="E75" i="1"/>
  <c r="E74" i="1"/>
  <c r="D76" i="1"/>
  <c r="D36" i="5"/>
  <c r="H170" i="1" l="1"/>
  <c r="H169" i="1"/>
  <c r="E175" i="1" s="1"/>
  <c r="H177" i="1" s="1"/>
  <c r="D24" i="5"/>
  <c r="D74" i="5" l="1"/>
  <c r="D72" i="5"/>
  <c r="D49" i="5"/>
  <c r="E49" i="5" s="1"/>
  <c r="D69" i="5"/>
  <c r="D28" i="5"/>
  <c r="D50" i="5" s="1"/>
  <c r="D30" i="5"/>
  <c r="D40" i="5" l="1"/>
  <c r="D38" i="5"/>
  <c r="D44" i="5" s="1"/>
  <c r="D26" i="5"/>
  <c r="E50" i="5" s="1"/>
  <c r="D53" i="5" l="1"/>
  <c r="E53" i="5" s="1"/>
  <c r="D51" i="5"/>
  <c r="D52" i="5"/>
  <c r="D54" i="5"/>
  <c r="D55" i="5" l="1"/>
  <c r="D61" i="5" s="1"/>
  <c r="E54" i="5"/>
  <c r="E52" i="5"/>
  <c r="E51" i="5"/>
  <c r="F246" i="1"/>
  <c r="G290" i="1" s="1"/>
  <c r="F240" i="1"/>
  <c r="G299" i="1" s="1"/>
  <c r="G243" i="1"/>
  <c r="G204" i="1"/>
  <c r="F207" i="1"/>
  <c r="C299" i="1" s="1"/>
  <c r="F201" i="1"/>
  <c r="C289" i="1" s="1"/>
  <c r="C138" i="1"/>
  <c r="F258" i="1"/>
  <c r="H227" i="1"/>
  <c r="H226" i="1"/>
  <c r="E242" i="1" s="1"/>
  <c r="H225" i="1"/>
  <c r="E187" i="1"/>
  <c r="E138" i="1"/>
  <c r="G146" i="1" s="1"/>
  <c r="E137" i="1"/>
  <c r="C118" i="1"/>
  <c r="C119" i="1"/>
  <c r="E127" i="1" s="1"/>
  <c r="E77" i="1"/>
  <c r="E78" i="1"/>
  <c r="B111" i="1"/>
  <c r="O138" i="1"/>
  <c r="O139" i="1" s="1"/>
  <c r="O140" i="1" s="1"/>
  <c r="O141" i="1" s="1"/>
  <c r="O142" i="1" s="1"/>
  <c r="O143" i="1" s="1"/>
  <c r="O144" i="1" s="1"/>
  <c r="G284" i="1"/>
  <c r="G162" i="1"/>
  <c r="E164" i="1" s="1"/>
  <c r="H166" i="1" s="1"/>
  <c r="F166" i="1"/>
  <c r="C284" i="1" s="1"/>
  <c r="F177" i="1"/>
  <c r="C275" i="1" s="1"/>
  <c r="F181" i="1"/>
  <c r="G271" i="1" s="1"/>
  <c r="G197" i="1"/>
  <c r="G236" i="1"/>
  <c r="E302" i="1"/>
  <c r="E55" i="5" l="1"/>
  <c r="D58" i="5" l="1"/>
  <c r="D64" i="5"/>
  <c r="H109" i="1"/>
  <c r="H106" i="1"/>
  <c r="H107" i="1" s="1"/>
  <c r="I288" i="1" l="1"/>
  <c r="D76" i="5"/>
  <c r="D68" i="5"/>
  <c r="D78" i="5"/>
  <c r="D284" i="1" l="1"/>
  <c r="C77" i="1" l="1"/>
  <c r="H77" i="1"/>
  <c r="D302" i="1"/>
  <c r="D275" i="1" l="1"/>
  <c r="E179" i="1"/>
  <c r="H181" i="1" l="1"/>
  <c r="H271" i="1" s="1"/>
  <c r="C76" i="1"/>
  <c r="F76" i="1" s="1"/>
  <c r="H76" i="1"/>
  <c r="I76" i="1" l="1"/>
  <c r="H284" i="1" l="1"/>
  <c r="E33" i="1"/>
  <c r="C30" i="1"/>
  <c r="D77" i="1" s="1"/>
  <c r="F77" i="1" s="1"/>
  <c r="I77" i="1" s="1"/>
  <c r="A280" i="1"/>
  <c r="O10" i="1"/>
  <c r="C42" i="1"/>
  <c r="C43" i="1" s="1"/>
  <c r="H24" i="1"/>
  <c r="H29" i="1" s="1"/>
  <c r="F83" i="1" s="1"/>
  <c r="I295" i="1"/>
  <c r="H36" i="1"/>
  <c r="I31" i="1" s="1"/>
  <c r="H74" i="1" l="1"/>
  <c r="H26" i="1"/>
  <c r="H39" i="1" s="1"/>
  <c r="F85" i="1" s="1"/>
  <c r="C78" i="1"/>
  <c r="D74" i="1"/>
  <c r="E265" i="1"/>
  <c r="E191" i="1"/>
  <c r="E189" i="1" s="1"/>
  <c r="C82" i="1"/>
  <c r="D61" i="1"/>
  <c r="D63" i="1" s="1"/>
  <c r="D64" i="1" s="1"/>
  <c r="E149" i="1"/>
  <c r="C74" i="1"/>
  <c r="I294" i="1"/>
  <c r="I272" i="1" s="1"/>
  <c r="E230" i="1"/>
  <c r="E228" i="1" s="1"/>
  <c r="D75" i="1"/>
  <c r="C44" i="1"/>
  <c r="C46" i="1" s="1"/>
  <c r="L21" i="1"/>
  <c r="F82" i="1" l="1"/>
  <c r="F131" i="1" s="1"/>
  <c r="F74" i="1"/>
  <c r="I74" i="1" s="1"/>
  <c r="E250" i="1"/>
  <c r="H105" i="1"/>
  <c r="G203" i="1"/>
  <c r="E205" i="1" s="1"/>
  <c r="H207" i="1" s="1"/>
  <c r="D299" i="1" s="1"/>
  <c r="H110" i="1"/>
  <c r="E211" i="1"/>
  <c r="E213" i="1" s="1"/>
  <c r="F220" i="1"/>
  <c r="F259" i="1"/>
  <c r="G242" i="1"/>
  <c r="E244" i="1" s="1"/>
  <c r="H246" i="1" s="1"/>
  <c r="H290" i="1" s="1"/>
  <c r="O24" i="1"/>
  <c r="L27" i="1" s="1"/>
  <c r="O27" i="1" s="1"/>
  <c r="N29" i="1" s="1"/>
  <c r="D36" i="1"/>
  <c r="C143" i="1"/>
  <c r="C75" i="1" l="1"/>
  <c r="F75" i="1" s="1"/>
  <c r="D78" i="1"/>
  <c r="F78" i="1" s="1"/>
  <c r="E252" i="1"/>
  <c r="G302" i="1"/>
  <c r="H78" i="1"/>
  <c r="C38" i="1"/>
  <c r="D149" i="1"/>
  <c r="F149" i="1" s="1"/>
  <c r="I146" i="1"/>
  <c r="I145" i="1" s="1"/>
  <c r="E141" i="1"/>
  <c r="I78" i="1" l="1"/>
  <c r="F79" i="1"/>
  <c r="F92" i="1" s="1"/>
  <c r="L84" i="1" s="1"/>
  <c r="D107" i="1"/>
  <c r="E305" i="1"/>
  <c r="F89" i="1"/>
  <c r="H75" i="1"/>
  <c r="I75" i="1" s="1"/>
  <c r="H111" i="1"/>
  <c r="F111" i="1" s="1"/>
  <c r="H108" i="1"/>
  <c r="E52" i="1"/>
  <c r="I79" i="1" l="1"/>
  <c r="F113" i="1" s="1"/>
  <c r="G113" i="1" s="1"/>
  <c r="D67" i="1"/>
  <c r="E53" i="1"/>
  <c r="E55" i="1" s="1"/>
  <c r="C108" i="1"/>
  <c r="H103" i="1"/>
  <c r="F87" i="1" l="1"/>
  <c r="K85" i="1" s="1"/>
  <c r="H104" i="1"/>
  <c r="G90" i="1"/>
  <c r="C109" i="1"/>
  <c r="N84" i="1"/>
  <c r="K84" i="1"/>
  <c r="F69" i="1"/>
  <c r="D69" i="1"/>
  <c r="F94" i="1" l="1"/>
  <c r="F93" i="1"/>
  <c r="I102" i="1" l="1"/>
  <c r="I93" i="1"/>
  <c r="I94" i="1"/>
  <c r="I111" i="1"/>
  <c r="I105" i="1" l="1"/>
  <c r="E215" i="1" s="1"/>
  <c r="E221" i="1" s="1"/>
  <c r="I108" i="1"/>
  <c r="I104" i="1"/>
  <c r="I110" i="1"/>
  <c r="E254" i="1" s="1"/>
  <c r="E260" i="1" s="1"/>
  <c r="I106" i="1"/>
  <c r="I109" i="1"/>
  <c r="E231" i="1" s="1"/>
  <c r="I103" i="1"/>
  <c r="I107" i="1"/>
  <c r="E192" i="1"/>
  <c r="I190" i="1" l="1"/>
  <c r="E194" i="1"/>
  <c r="G193" i="1" s="1"/>
  <c r="E195" i="1" s="1"/>
  <c r="E199" i="1" s="1"/>
  <c r="H201" i="1" s="1"/>
  <c r="D289" i="1" s="1"/>
  <c r="G230" i="1"/>
  <c r="E233" i="1"/>
  <c r="G232" i="1" s="1"/>
  <c r="E234" i="1" s="1"/>
  <c r="E238" i="1" s="1"/>
  <c r="H240" i="1" s="1"/>
  <c r="H299" i="1" s="1"/>
  <c r="E123" i="1"/>
  <c r="E125" i="1"/>
  <c r="E128" i="1" l="1"/>
  <c r="F130" i="1" s="1"/>
  <c r="G130" i="1" s="1"/>
  <c r="H131" i="1" l="1"/>
  <c r="H130" i="1"/>
</calcChain>
</file>

<file path=xl/sharedStrings.xml><?xml version="1.0" encoding="utf-8"?>
<sst xmlns="http://schemas.openxmlformats.org/spreadsheetml/2006/main" count="532" uniqueCount="361">
  <si>
    <t>P</t>
  </si>
  <si>
    <t>h'=s/w</t>
  </si>
  <si>
    <t>Sobre carga(S):</t>
  </si>
  <si>
    <t>Viva(L):</t>
  </si>
  <si>
    <t>Muerta(D):</t>
  </si>
  <si>
    <t>f=</t>
  </si>
  <si>
    <t>Cah=</t>
  </si>
  <si>
    <t>Cph=</t>
  </si>
  <si>
    <t>m</t>
  </si>
  <si>
    <t>h'=</t>
  </si>
  <si>
    <t>h=</t>
  </si>
  <si>
    <t>P=</t>
  </si>
  <si>
    <t>Ton</t>
  </si>
  <si>
    <t>Y=</t>
  </si>
  <si>
    <t>CALCULO ESTRUCTURAL</t>
  </si>
  <si>
    <t>Mu=</t>
  </si>
  <si>
    <t>Ton-m</t>
  </si>
  <si>
    <r>
      <t>r</t>
    </r>
    <r>
      <rPr>
        <sz val="10"/>
        <rFont val="Arial"/>
        <family val="2"/>
      </rPr>
      <t>max=</t>
    </r>
  </si>
  <si>
    <r>
      <t>r</t>
    </r>
    <r>
      <rPr>
        <sz val="10"/>
        <rFont val="Arial"/>
        <family val="2"/>
      </rPr>
      <t>=</t>
    </r>
  </si>
  <si>
    <r>
      <t>F</t>
    </r>
    <r>
      <rPr>
        <sz val="10"/>
        <rFont val="Arial"/>
        <family val="2"/>
      </rPr>
      <t>bd^2</t>
    </r>
  </si>
  <si>
    <r>
      <t>Mu</t>
    </r>
    <r>
      <rPr>
        <sz val="10"/>
        <rFont val="Arial"/>
        <family val="2"/>
      </rPr>
      <t xml:space="preserve"> =</t>
    </r>
  </si>
  <si>
    <t>F=</t>
  </si>
  <si>
    <t>d'=</t>
  </si>
  <si>
    <t>emin.=</t>
  </si>
  <si>
    <t>Vu=</t>
  </si>
  <si>
    <t>Vu</t>
  </si>
  <si>
    <r>
      <t>F</t>
    </r>
    <r>
      <rPr>
        <sz val="12"/>
        <rFont val="Arial"/>
        <family val="2"/>
      </rPr>
      <t>Vc</t>
    </r>
  </si>
  <si>
    <t>W</t>
  </si>
  <si>
    <t>X</t>
  </si>
  <si>
    <t>Mr</t>
  </si>
  <si>
    <t>w1:</t>
  </si>
  <si>
    <t>w2:</t>
  </si>
  <si>
    <t>w3:</t>
  </si>
  <si>
    <t>w4:</t>
  </si>
  <si>
    <t>Nivel de terreno</t>
  </si>
  <si>
    <t>Sobrecarga</t>
  </si>
  <si>
    <t>S=</t>
  </si>
  <si>
    <t>Propiedades del suelo:</t>
  </si>
  <si>
    <t>f'c=</t>
  </si>
  <si>
    <t>kg/cm2</t>
  </si>
  <si>
    <t>fy=</t>
  </si>
  <si>
    <t>Distancia resultante a=</t>
  </si>
  <si>
    <t>apartir de d de la base:</t>
  </si>
  <si>
    <t>=</t>
  </si>
  <si>
    <t>Wc=</t>
  </si>
  <si>
    <t>Ton/m3</t>
  </si>
  <si>
    <t>Tercio medio de la base L/3=</t>
  </si>
  <si>
    <t>Factor de seguridad contra volcamiento:</t>
  </si>
  <si>
    <t>En el tercio medio</t>
  </si>
  <si>
    <t>Presiones de contactos</t>
  </si>
  <si>
    <t>q1=</t>
  </si>
  <si>
    <t>Ton/m</t>
  </si>
  <si>
    <t>q2=</t>
  </si>
  <si>
    <t>En el borde del tercio medio</t>
  </si>
  <si>
    <t>fuera del tercio medio</t>
  </si>
  <si>
    <t>Presiones de contacto</t>
  </si>
  <si>
    <t>Para Rv=</t>
  </si>
  <si>
    <t>R</t>
  </si>
  <si>
    <t>Rv</t>
  </si>
  <si>
    <t>a</t>
  </si>
  <si>
    <t>3a</t>
  </si>
  <si>
    <t>Coeficiente de fricción entre concreto y suelo</t>
  </si>
  <si>
    <t>L(m)</t>
  </si>
  <si>
    <t>q(Ton/m2)</t>
  </si>
  <si>
    <t>L/3</t>
  </si>
  <si>
    <t>Puntal</t>
  </si>
  <si>
    <t>w5:</t>
  </si>
  <si>
    <t>Factor de seguridad contra el deslizamiento:</t>
  </si>
  <si>
    <t>Muro de contención en voladizo</t>
  </si>
  <si>
    <t>Talón</t>
  </si>
  <si>
    <t>CALCULO DEL REFUERZO</t>
  </si>
  <si>
    <t>e=</t>
  </si>
  <si>
    <t>As=</t>
  </si>
  <si>
    <t>Varilla seleccionada:</t>
  </si>
  <si>
    <t>Nº2</t>
  </si>
  <si>
    <t>1/4''</t>
  </si>
  <si>
    <t>Nº3</t>
  </si>
  <si>
    <t>3/8''</t>
  </si>
  <si>
    <t>Nº4</t>
  </si>
  <si>
    <t>1/2''</t>
  </si>
  <si>
    <t>Nº5</t>
  </si>
  <si>
    <t>5/8''</t>
  </si>
  <si>
    <t>Nº6</t>
  </si>
  <si>
    <t>3/4''</t>
  </si>
  <si>
    <t>Nº7</t>
  </si>
  <si>
    <t>7/8''</t>
  </si>
  <si>
    <t>Nº8</t>
  </si>
  <si>
    <t>1''</t>
  </si>
  <si>
    <t>Nº9</t>
  </si>
  <si>
    <t>1-1/8''</t>
  </si>
  <si>
    <t>Nº10</t>
  </si>
  <si>
    <t>1-1/4''</t>
  </si>
  <si>
    <t>Nº11</t>
  </si>
  <si>
    <t>1-3/8''</t>
  </si>
  <si>
    <t>Nº14</t>
  </si>
  <si>
    <t>1-3/4''</t>
  </si>
  <si>
    <t>Nº18</t>
  </si>
  <si>
    <t>2-1/4''</t>
  </si>
  <si>
    <t>cm2</t>
  </si>
  <si>
    <t>mm</t>
  </si>
  <si>
    <t>kg/m</t>
  </si>
  <si>
    <t>Varillas/m</t>
  </si>
  <si>
    <t xml:space="preserve">espaciadas </t>
  </si>
  <si>
    <t>Usar varillas</t>
  </si>
  <si>
    <t>Refuerzo horizontal</t>
  </si>
  <si>
    <t>Cortante actuante</t>
  </si>
  <si>
    <t>L=</t>
  </si>
  <si>
    <r>
      <t>F</t>
    </r>
    <r>
      <rPr>
        <sz val="12"/>
        <rFont val="Arial"/>
        <family val="2"/>
      </rPr>
      <t>Vc=</t>
    </r>
  </si>
  <si>
    <r>
      <t>r</t>
    </r>
    <r>
      <rPr>
        <sz val="10"/>
        <rFont val="Arial"/>
        <family val="2"/>
      </rPr>
      <t>min=</t>
    </r>
  </si>
  <si>
    <t>Resistencia a cortante del concreto</t>
  </si>
  <si>
    <t>Puntal "Uña de anclaje" :</t>
  </si>
  <si>
    <t>euña=</t>
  </si>
  <si>
    <t>huña=</t>
  </si>
  <si>
    <t>w5</t>
  </si>
  <si>
    <t>Totales :</t>
  </si>
  <si>
    <t>Presión total de suelo sobre todo el plano vertical del paramento en contacto :</t>
  </si>
  <si>
    <t>SEGURIDAD CONTRA EL DESLIZAMIENTO</t>
  </si>
  <si>
    <t>I.-</t>
  </si>
  <si>
    <t>II.-</t>
  </si>
  <si>
    <t>III.-</t>
  </si>
  <si>
    <t>IV.-</t>
  </si>
  <si>
    <t>FSD=</t>
  </si>
  <si>
    <t>FSV=</t>
  </si>
  <si>
    <t>seguridad al volteo</t>
  </si>
  <si>
    <t>seguridad al deslizamiento</t>
  </si>
  <si>
    <t>1)</t>
  </si>
  <si>
    <t>2)</t>
  </si>
  <si>
    <t>DISEÑO DE LA PANTALLA</t>
  </si>
  <si>
    <t>DISEÑO DE LA ZAPATA</t>
  </si>
  <si>
    <t>Losa de la puntera Exterior :</t>
  </si>
  <si>
    <t>Puntera</t>
  </si>
  <si>
    <t>Pantalla</t>
  </si>
  <si>
    <r>
      <t xml:space="preserve">               </t>
    </r>
    <r>
      <rPr>
        <b/>
        <sz val="10"/>
        <rFont val="Arial"/>
        <family val="2"/>
      </rPr>
      <t>t</t>
    </r>
  </si>
  <si>
    <t xml:space="preserve">   e</t>
  </si>
  <si>
    <t>Punto de volteo</t>
  </si>
  <si>
    <t>Sección de la Pantalla :</t>
  </si>
  <si>
    <t>Asumimos : t=</t>
  </si>
  <si>
    <t>Tipo de sección ó</t>
  </si>
  <si>
    <t>figura geometrica</t>
  </si>
  <si>
    <t>Trapezoidal</t>
  </si>
  <si>
    <t>Rectangular</t>
  </si>
  <si>
    <t>Presión admisible del suelo</t>
  </si>
  <si>
    <t>Pesos componentes</t>
  </si>
  <si>
    <t>Elem.</t>
  </si>
  <si>
    <t>Dimensiones de los elementos</t>
  </si>
  <si>
    <t>Fcarga=</t>
  </si>
  <si>
    <t>b=</t>
  </si>
  <si>
    <t>Verrificación de la ubicación de la resultante y presión admisible en la base :</t>
  </si>
  <si>
    <t xml:space="preserve">Ton/m2    &lt;  </t>
  </si>
  <si>
    <t>Verrificación del deslizamiento en la base :</t>
  </si>
  <si>
    <t>Dimensionamiento de la pantalla en la base :</t>
  </si>
  <si>
    <t>espesor de la pantalla en la base, usar este valor como euña</t>
  </si>
  <si>
    <t>Verificación por cortante en la base :</t>
  </si>
  <si>
    <t>Tabla Dinámica</t>
  </si>
  <si>
    <t>Friccion en el puntal ó uña =</t>
  </si>
  <si>
    <t>Friccion en la puntera y talón =</t>
  </si>
  <si>
    <t>Presión de tierra pasiva =</t>
  </si>
  <si>
    <t>verificar con datos de la tabla dinamica</t>
  </si>
  <si>
    <t>Cara Interior</t>
  </si>
  <si>
    <t>Cara Exterior</t>
  </si>
  <si>
    <t>Cara Interior :</t>
  </si>
  <si>
    <t>Cara Exterior :</t>
  </si>
  <si>
    <t>Acero longitudinal sup.e inf. :</t>
  </si>
  <si>
    <t>Acero vertical interior en el muro:</t>
  </si>
  <si>
    <t>Acero vertical exterior en el muro:</t>
  </si>
  <si>
    <t>Acero horizontal exterior en el muro:</t>
  </si>
  <si>
    <t>Acero horizontal interior en el muro:</t>
  </si>
  <si>
    <t>Refuerzo Vertical :</t>
  </si>
  <si>
    <t>A.-</t>
  </si>
  <si>
    <t>B.-</t>
  </si>
  <si>
    <t>Cálculo del acero de refuerzo</t>
  </si>
  <si>
    <t>Acero longitudinal</t>
  </si>
  <si>
    <t>a.-</t>
  </si>
  <si>
    <t>b.-</t>
  </si>
  <si>
    <t>Acero transversal</t>
  </si>
  <si>
    <t>Verificación por corte</t>
  </si>
  <si>
    <t>"a una distancia d de la cara de apoyo en la puntera"</t>
  </si>
  <si>
    <t>valor de diseño en la puntera</t>
  </si>
  <si>
    <t>valor de diseño en el talón</t>
  </si>
  <si>
    <t>Asvint :</t>
  </si>
  <si>
    <t>Ashint :</t>
  </si>
  <si>
    <t>Ashext :</t>
  </si>
  <si>
    <t>DETALLE DE LA DISTRIBUCION DEL ACERO DE REFUERZO EN LA PANTALLA Y LA CIMENTACION</t>
  </si>
  <si>
    <t>Asvext :</t>
  </si>
  <si>
    <t>Aslong :</t>
  </si>
  <si>
    <t>Astransv :</t>
  </si>
  <si>
    <t>Acero Transversal :</t>
  </si>
  <si>
    <t>Predimensionamiento :</t>
  </si>
  <si>
    <t>(B2)</t>
  </si>
  <si>
    <t>h</t>
  </si>
  <si>
    <t>Cah w</t>
  </si>
  <si>
    <t>2 f wm</t>
  </si>
  <si>
    <t>B1   &gt;=  FSD</t>
  </si>
  <si>
    <t>h =</t>
  </si>
  <si>
    <t>FSD =</t>
  </si>
  <si>
    <t>Cah =</t>
  </si>
  <si>
    <t>f =</t>
  </si>
  <si>
    <t>B2  &gt;=   f</t>
  </si>
  <si>
    <t xml:space="preserve">h           3  </t>
  </si>
  <si>
    <t>FSD</t>
  </si>
  <si>
    <t>FSV</t>
  </si>
  <si>
    <t xml:space="preserve">        B1</t>
  </si>
  <si>
    <t>2h</t>
  </si>
  <si>
    <t>FSV =</t>
  </si>
  <si>
    <t>B2 min =</t>
  </si>
  <si>
    <t>B2 =</t>
  </si>
  <si>
    <t>Asumimos :</t>
  </si>
  <si>
    <t>cm</t>
  </si>
  <si>
    <t>hz =</t>
  </si>
  <si>
    <t>verificación por cortante</t>
  </si>
  <si>
    <t>recubrimiento</t>
  </si>
  <si>
    <t>verificación por flexión</t>
  </si>
  <si>
    <t>14.1/fy</t>
  </si>
  <si>
    <t>cuantía mínima acero</t>
  </si>
  <si>
    <t>Especificaciones técnicas del proyecto:</t>
  </si>
  <si>
    <t>Consideraciones y cálculos previos :</t>
  </si>
  <si>
    <t>recub.min.muros =</t>
  </si>
  <si>
    <t>Asumimos en el diseño   ►</t>
  </si>
  <si>
    <t>recub.min.ciment.=</t>
  </si>
  <si>
    <t>Factor incremento carga</t>
  </si>
  <si>
    <t>cuantía balanceada</t>
  </si>
  <si>
    <t>Asumir por criterio</t>
  </si>
  <si>
    <t>Por analisis en el diseño ►</t>
  </si>
  <si>
    <t>Momento de Volteo (Mv) :</t>
  </si>
  <si>
    <t>Mv =</t>
  </si>
  <si>
    <t>P x Y</t>
  </si>
  <si>
    <t>Momento de Volteo :</t>
  </si>
  <si>
    <t xml:space="preserve"> Mv =</t>
  </si>
  <si>
    <t>Y =</t>
  </si>
  <si>
    <t>P =</t>
  </si>
  <si>
    <t>Mr / Mv  &gt;  2</t>
  </si>
  <si>
    <t>FSD = (Fv.f + Presión tierra pasiva) / P  &gt; 1.5</t>
  </si>
  <si>
    <t xml:space="preserve">Fv,f + Presión tierra pasiva  = </t>
  </si>
  <si>
    <t xml:space="preserve">Puntera  </t>
  </si>
  <si>
    <t>(B1)</t>
  </si>
  <si>
    <t xml:space="preserve">Talón </t>
  </si>
  <si>
    <t xml:space="preserve">    Y</t>
  </si>
  <si>
    <t>B</t>
  </si>
  <si>
    <t>Mmax =</t>
  </si>
  <si>
    <t>Mu / 2 =</t>
  </si>
  <si>
    <t>hc =</t>
  </si>
  <si>
    <t>Longitud de Corte (Lc) en el Acero Vertical Interior de la Pantalla :</t>
  </si>
  <si>
    <t>Lc=hc+d=</t>
  </si>
  <si>
    <t xml:space="preserve">Si el peralte de la pantalla varía linealmente, el momento actuante varía proporcionalmente. Determinar hc iterando valores </t>
  </si>
  <si>
    <t>Fcarga viva=</t>
  </si>
  <si>
    <t>Fcarga muerta=</t>
  </si>
  <si>
    <t>Ø &lt; 5/8</t>
  </si>
  <si>
    <t>"a una distancia d de la cara de apoyo en el talón"</t>
  </si>
  <si>
    <t>Acero transversal sup.e inf. :</t>
  </si>
  <si>
    <t>Denominación</t>
  </si>
  <si>
    <t>Varilla</t>
  </si>
  <si>
    <t>Ø</t>
  </si>
  <si>
    <t>pulg</t>
  </si>
  <si>
    <t>Area de varilla</t>
  </si>
  <si>
    <t>Perimetro</t>
  </si>
  <si>
    <t>Peso varilla</t>
  </si>
  <si>
    <t xml:space="preserve">      S</t>
  </si>
  <si>
    <t>w1</t>
  </si>
  <si>
    <t xml:space="preserve">     w4</t>
  </si>
  <si>
    <t>ANALISIS DE LA ESTABILIDAD :</t>
  </si>
  <si>
    <t>Lc</t>
  </si>
  <si>
    <t>B2 min</t>
  </si>
  <si>
    <t>m        &gt; =</t>
  </si>
  <si>
    <t>DISEÑO DE MURO DE CONTENCION POR GRAVEDAD</t>
  </si>
  <si>
    <t xml:space="preserve">DISEÑO DE MURO DE CONTENCION </t>
  </si>
  <si>
    <t>MATERIALES</t>
  </si>
  <si>
    <t>F´c</t>
  </si>
  <si>
    <t>Fý</t>
  </si>
  <si>
    <t>DATOS DEL SUELO</t>
  </si>
  <si>
    <t>ρ suelo</t>
  </si>
  <si>
    <r>
      <rPr>
        <sz val="10"/>
        <color theme="0"/>
        <rFont val="Calibri"/>
        <family val="2"/>
      </rPr>
      <t xml:space="preserve">ρ </t>
    </r>
    <r>
      <rPr>
        <sz val="10"/>
        <color theme="0"/>
        <rFont val="Arial"/>
        <family val="2"/>
      </rPr>
      <t>muro</t>
    </r>
  </si>
  <si>
    <t xml:space="preserve">φs </t>
  </si>
  <si>
    <t>φadm</t>
  </si>
  <si>
    <t>μs</t>
  </si>
  <si>
    <t>Ꞩs</t>
  </si>
  <si>
    <t>PROCESAMIENTO DE DIMENSIONAMIENTO</t>
  </si>
  <si>
    <t>DATOS DEL MURO</t>
  </si>
  <si>
    <t>BASE</t>
  </si>
  <si>
    <t>b</t>
  </si>
  <si>
    <t>ALTURA DE LA LOSA</t>
  </si>
  <si>
    <t>d</t>
  </si>
  <si>
    <t>ESPESOR LADO PUNTA</t>
  </si>
  <si>
    <t>ep</t>
  </si>
  <si>
    <t>CORONA</t>
  </si>
  <si>
    <t>C</t>
  </si>
  <si>
    <t>ALTURA DE ENTERRADO</t>
  </si>
  <si>
    <t>h´</t>
  </si>
  <si>
    <t>COEFICIENTE DE LA PRESION DEL SUELO</t>
  </si>
  <si>
    <t>PRESION ACTIVA</t>
  </si>
  <si>
    <t>Ka</t>
  </si>
  <si>
    <t>PRESION PASIVA</t>
  </si>
  <si>
    <t>Kp</t>
  </si>
  <si>
    <t>Ha</t>
  </si>
  <si>
    <t>Hp</t>
  </si>
  <si>
    <t>MOMENTO DE VOLTEO</t>
  </si>
  <si>
    <t>Mvolteo</t>
  </si>
  <si>
    <t>MOMENTOS RESISTENTES</t>
  </si>
  <si>
    <t>RESPECTO AL PUNTO 0</t>
  </si>
  <si>
    <t>LOSA</t>
  </si>
  <si>
    <t>MURO</t>
  </si>
  <si>
    <t>SUELO</t>
  </si>
  <si>
    <t>GENERADO POR EL MURO</t>
  </si>
  <si>
    <t>Mo</t>
  </si>
  <si>
    <t>TOTALES</t>
  </si>
  <si>
    <t>VERIFICACION A VOLTEO</t>
  </si>
  <si>
    <t>VERIFICACION A DESLIZAMIENTO</t>
  </si>
  <si>
    <t xml:space="preserve">DISTANCIA RESULTANTE </t>
  </si>
  <si>
    <t xml:space="preserve">DISTANCIA </t>
  </si>
  <si>
    <t>DISTANCIA DEL TERCIO MEDIO</t>
  </si>
  <si>
    <t>DISTANCIA</t>
  </si>
  <si>
    <t>min</t>
  </si>
  <si>
    <t>max</t>
  </si>
  <si>
    <t>PRESION DEL SUELO</t>
  </si>
  <si>
    <t>AREA</t>
  </si>
  <si>
    <t>I</t>
  </si>
  <si>
    <t>T EN LA PUNTA</t>
  </si>
  <si>
    <t>T EN EL TALON</t>
  </si>
  <si>
    <t>PUNTO CERO</t>
  </si>
  <si>
    <t>dar valores a hc hasta : "cumplir "</t>
  </si>
  <si>
    <t>δ=</t>
  </si>
  <si>
    <t>δc=</t>
  </si>
  <si>
    <r>
      <t>r</t>
    </r>
    <r>
      <rPr>
        <sz val="10"/>
        <rFont val="Arial"/>
        <family val="2"/>
      </rPr>
      <t>bal=</t>
    </r>
  </si>
  <si>
    <t>duña=</t>
  </si>
  <si>
    <r>
      <rPr>
        <sz val="8"/>
        <rFont val="Calibri"/>
        <family val="2"/>
      </rPr>
      <t>λ</t>
    </r>
    <r>
      <rPr>
        <sz val="8"/>
        <rFont val="Arial"/>
        <family val="2"/>
      </rPr>
      <t xml:space="preserve"> =</t>
    </r>
  </si>
  <si>
    <r>
      <rPr>
        <sz val="9"/>
        <rFont val="Calibri"/>
        <family val="2"/>
      </rPr>
      <t>λ</t>
    </r>
    <r>
      <rPr>
        <sz val="9"/>
        <rFont val="Arial"/>
        <family val="2"/>
      </rPr>
      <t xml:space="preserve"> =</t>
    </r>
  </si>
  <si>
    <r>
      <rPr>
        <sz val="8"/>
        <rFont val="Calibri"/>
        <family val="2"/>
      </rPr>
      <t>μ</t>
    </r>
    <r>
      <rPr>
        <sz val="8"/>
        <rFont val="Arial"/>
        <family val="2"/>
      </rPr>
      <t>s=</t>
    </r>
  </si>
  <si>
    <t>qadm</t>
  </si>
  <si>
    <t>qadm=</t>
  </si>
  <si>
    <t>B1min =</t>
  </si>
  <si>
    <t>B=</t>
  </si>
  <si>
    <t>dmin=</t>
  </si>
  <si>
    <t xml:space="preserve">Caunti de acero </t>
  </si>
  <si>
    <t>pmin</t>
  </si>
  <si>
    <t>pt</t>
  </si>
  <si>
    <t xml:space="preserve"> </t>
  </si>
  <si>
    <t>dzapata=</t>
  </si>
  <si>
    <t>dtalon=</t>
  </si>
  <si>
    <t>d'rec=</t>
  </si>
  <si>
    <t>Ashext = 1/2 As =</t>
  </si>
  <si>
    <t>Ashint = 1/2 As =</t>
  </si>
  <si>
    <r>
      <t>Mu</t>
    </r>
    <r>
      <rPr>
        <sz val="10"/>
        <color theme="0"/>
        <rFont val="Arial"/>
        <family val="2"/>
      </rPr>
      <t xml:space="preserve"> =</t>
    </r>
  </si>
  <si>
    <r>
      <t>F</t>
    </r>
    <r>
      <rPr>
        <sz val="10"/>
        <color theme="0"/>
        <rFont val="Arial"/>
        <family val="2"/>
      </rPr>
      <t>bd^2</t>
    </r>
  </si>
  <si>
    <t>AS CALCULADO</t>
  </si>
  <si>
    <t>SI</t>
  </si>
  <si>
    <t>d=</t>
  </si>
  <si>
    <r>
      <t>r</t>
    </r>
    <r>
      <rPr>
        <sz val="10"/>
        <color theme="0"/>
        <rFont val="Arial"/>
        <family val="2"/>
      </rPr>
      <t>=</t>
    </r>
  </si>
  <si>
    <t>Losa del dentellon Interior:</t>
  </si>
  <si>
    <t>asT=</t>
  </si>
  <si>
    <t>asMinF=</t>
  </si>
  <si>
    <t>Ascal*1.3=</t>
  </si>
  <si>
    <t>Ascalc=</t>
  </si>
  <si>
    <r>
      <t>r</t>
    </r>
    <r>
      <rPr>
        <sz val="10"/>
        <rFont val="Calibri"/>
        <family val="2"/>
        <scheme val="minor"/>
      </rPr>
      <t>cal</t>
    </r>
    <r>
      <rPr>
        <sz val="10"/>
        <rFont val="Arial"/>
        <family val="2"/>
      </rPr>
      <t>=</t>
    </r>
  </si>
  <si>
    <t>Ascal=</t>
  </si>
  <si>
    <t>composicion del agregado</t>
  </si>
  <si>
    <r>
      <rPr>
        <b/>
        <sz val="10"/>
        <rFont val="Arial"/>
        <family val="2"/>
      </rPr>
      <t xml:space="preserve">IMPORTANTE:    </t>
    </r>
    <r>
      <rPr>
        <sz val="10"/>
        <rFont val="Arial"/>
        <family val="2"/>
      </rPr>
      <t xml:space="preserve">                                                                                                                                                                                                                                   1.- Deberan de revisar el documento de word para revisar las simbologias y caracteristicas de este libro de excel.                                       2.- LAS CELDAS AZULES SON PARA CAMBIAR LOS DATOS DE DISEÑO.                                                                                                                                                                                                                                            </t>
    </r>
  </si>
  <si>
    <t xml:space="preserve">IMPORTANTE                                                                                                                                                                                    1) Las celdas de color azul es donde se ingresara los datos. Exiten celdas la cual tienen listas desplegables como el número de varilla. Hay ciertas incognitas ver inciso 2.                                                                                                                                                 2) Revisar el siguiente archivo de word: </t>
  </si>
  <si>
    <t>Diseño de un muro de contencion.docx</t>
  </si>
  <si>
    <t>diagrama de flujo del As minimo.docx</t>
  </si>
  <si>
    <t xml:space="preserve">REVISAR ELSIGUIENTE DOCUMENTO </t>
  </si>
  <si>
    <t xml:space="preserve">Ton/m2 </t>
  </si>
  <si>
    <t>B2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</si>
</sst>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43" formatCode="_-* #,##0.00_-;\-* #,##0.00_-;_-* &quot;-&quot;??_-;_-@_-"/>
    <numFmt numFmtId="164" formatCode="_ &quot;$&quot;\ * #,##0.00_ ;_ &quot;$&quot;\ * \-#,##0.00_ ;_ &quot;$&quot;\ * &quot;-&quot;??_ ;_ @_ "/>
    <numFmt numFmtId="165" formatCode="0.00000"/>
    <numFmt numFmtId="166" formatCode="0.0000"/>
    <numFmt numFmtId="167" formatCode="0.000"/>
    <numFmt numFmtId="168" formatCode="0.0"/>
    <numFmt numFmtId="169" formatCode="0.00\ &quot;m&quot;"/>
    <numFmt numFmtId="170" formatCode="0.000\ &quot;m&quot;"/>
    <numFmt numFmtId="171" formatCode="0.00\ &quot;Ton-m&quot;"/>
    <numFmt numFmtId="172" formatCode="0.00\ &quot;cm2/m&quot;"/>
    <numFmt numFmtId="173" formatCode="0\ &quot;°&quot;"/>
    <numFmt numFmtId="174" formatCode="0.00\ &quot;Ton/m3&quot;"/>
    <numFmt numFmtId="175" formatCode="0\ &quot;kg/cm2&quot;"/>
    <numFmt numFmtId="176" formatCode="0\ &quot;Kgf/m3&quot;"/>
    <numFmt numFmtId="177" formatCode="0&quot;°&quot;"/>
    <numFmt numFmtId="178" formatCode="0.00\ &quot;Kgf/cm2&quot;"/>
    <numFmt numFmtId="179" formatCode="0.00\ &quot;cm&quot;"/>
    <numFmt numFmtId="180" formatCode="0.00\ "/>
    <numFmt numFmtId="181" formatCode="0.00\ &quot;Kgf&quot;"/>
    <numFmt numFmtId="182" formatCode="0.00\ &quot;Kgf*m&quot;"/>
    <numFmt numFmtId="183" formatCode="0,000.00\ &quot;Kgf&quot;"/>
    <numFmt numFmtId="184" formatCode="0,000.00\ &quot;Kgf*m&quot;"/>
    <numFmt numFmtId="185" formatCode="0.00\ &quot;m4&quot;"/>
    <numFmt numFmtId="186" formatCode="0.00\ &quot;m2&quot;"/>
    <numFmt numFmtId="187" formatCode="0.00\ &quot;Kg/cm2&quot;"/>
    <numFmt numFmtId="188" formatCode="0.00\ &quot;kg/cm2&quot;"/>
    <numFmt numFmtId="189" formatCode="0.0000000&quot;°&quot;"/>
    <numFmt numFmtId="190" formatCode="0.0\ &quot;Tn/m2&quot;"/>
    <numFmt numFmtId="191" formatCode="0.00\ &quot;Tn/m3&quot;"/>
    <numFmt numFmtId="192" formatCode="0.0\ &quot;cm&quot;"/>
    <numFmt numFmtId="193" formatCode="0\ &quot;kg/m2&quot;"/>
    <numFmt numFmtId="194" formatCode="0.00\ &quot;Ton&quot;"/>
    <numFmt numFmtId="195" formatCode="0.00\ &quot;Ton/m&quot;"/>
    <numFmt numFmtId="196" formatCode="0.00\ &quot;Ton/m2&quot;"/>
    <numFmt numFmtId="197" formatCode="0.00\ &quot;þb&quot;"/>
    <numFmt numFmtId="198" formatCode="0\ &quot;Kg/cm2&quot;"/>
    <numFmt numFmtId="199" formatCode="0.00\ &quot;cms&quot;"/>
    <numFmt numFmtId="200" formatCode="0.00\ &quot;cm2&quot;"/>
    <numFmt numFmtId="201" formatCode="0\ &quot;Varillas/m&quot;"/>
    <numFmt numFmtId="202" formatCode="0.000\ &quot;Ton/m2&quot;"/>
  </numFmts>
  <fonts count="63" x14ac:knownFonts="1">
    <font>
      <sz val="10"/>
      <name val="Arial"/>
    </font>
    <font>
      <sz val="10"/>
      <name val="Arial"/>
      <family val="2"/>
    </font>
    <font>
      <b/>
      <sz val="10"/>
      <name val="Arial"/>
      <family val="2"/>
    </font>
    <font>
      <sz val="8"/>
      <name val="Arial"/>
      <family val="2"/>
    </font>
    <font>
      <sz val="10"/>
      <name val="Symbol"/>
      <family val="1"/>
      <charset val="2"/>
    </font>
    <font>
      <u/>
      <sz val="10"/>
      <name val="Arial"/>
      <family val="2"/>
    </font>
    <font>
      <sz val="10"/>
      <name val="Arial"/>
      <family val="2"/>
    </font>
    <font>
      <sz val="12"/>
      <name val="Arial"/>
      <family val="2"/>
    </font>
    <font>
      <sz val="12"/>
      <name val="Symbol"/>
      <family val="1"/>
      <charset val="2"/>
    </font>
    <font>
      <sz val="9"/>
      <name val="Arial"/>
      <family val="2"/>
    </font>
    <font>
      <sz val="8"/>
      <name val="Arial"/>
      <family val="2"/>
    </font>
    <font>
      <sz val="9"/>
      <name val="Arial"/>
      <family val="2"/>
    </font>
    <font>
      <b/>
      <sz val="10"/>
      <name val="Arial"/>
      <family val="2"/>
    </font>
    <font>
      <b/>
      <sz val="10"/>
      <color indexed="12"/>
      <name val="Arial"/>
      <family val="2"/>
    </font>
    <font>
      <b/>
      <sz val="10"/>
      <color indexed="21"/>
      <name val="Arial"/>
      <family val="2"/>
    </font>
    <font>
      <b/>
      <sz val="10"/>
      <color indexed="17"/>
      <name val="Arial"/>
      <family val="2"/>
    </font>
    <font>
      <i/>
      <sz val="8"/>
      <color indexed="53"/>
      <name val="Arial"/>
      <family val="2"/>
    </font>
    <font>
      <b/>
      <sz val="8"/>
      <color indexed="12"/>
      <name val="Arial"/>
      <family val="2"/>
    </font>
    <font>
      <i/>
      <sz val="8"/>
      <name val="Arial"/>
      <family val="2"/>
    </font>
    <font>
      <i/>
      <sz val="8"/>
      <color indexed="12"/>
      <name val="Arial"/>
      <family val="2"/>
    </font>
    <font>
      <b/>
      <sz val="9"/>
      <color indexed="12"/>
      <name val="Arial"/>
      <family val="2"/>
    </font>
    <font>
      <sz val="8"/>
      <color indexed="12"/>
      <name val="Arial"/>
      <family val="2"/>
    </font>
    <font>
      <sz val="8"/>
      <color indexed="10"/>
      <name val="Arial"/>
      <family val="2"/>
    </font>
    <font>
      <sz val="8"/>
      <color indexed="12"/>
      <name val="Arial"/>
      <family val="2"/>
    </font>
    <font>
      <b/>
      <sz val="10"/>
      <color indexed="10"/>
      <name val="Arial"/>
      <family val="2"/>
    </font>
    <font>
      <i/>
      <sz val="10"/>
      <name val="Arial"/>
      <family val="2"/>
    </font>
    <font>
      <b/>
      <sz val="8"/>
      <name val="Arial"/>
      <family val="2"/>
    </font>
    <font>
      <b/>
      <u/>
      <sz val="9"/>
      <color indexed="12"/>
      <name val="Arial"/>
      <family val="2"/>
    </font>
    <font>
      <b/>
      <u/>
      <sz val="8"/>
      <color indexed="12"/>
      <name val="Arial"/>
      <family val="2"/>
    </font>
    <font>
      <b/>
      <sz val="9"/>
      <name val="Arial"/>
      <family val="2"/>
    </font>
    <font>
      <sz val="8"/>
      <color indexed="10"/>
      <name val="Arial"/>
      <family val="2"/>
    </font>
    <font>
      <sz val="9"/>
      <color indexed="10"/>
      <name val="Arial"/>
      <family val="2"/>
    </font>
    <font>
      <b/>
      <u/>
      <sz val="10"/>
      <color indexed="10"/>
      <name val="Arial"/>
      <family val="2"/>
    </font>
    <font>
      <sz val="10"/>
      <color indexed="10"/>
      <name val="Arial"/>
      <family val="2"/>
    </font>
    <font>
      <b/>
      <i/>
      <sz val="9"/>
      <color indexed="10"/>
      <name val="Arial"/>
      <family val="2"/>
    </font>
    <font>
      <sz val="10"/>
      <color theme="0"/>
      <name val="Arial"/>
      <family val="2"/>
    </font>
    <font>
      <b/>
      <sz val="22"/>
      <color theme="1"/>
      <name val="DilleniaUPC"/>
      <family val="1"/>
      <charset val="222"/>
    </font>
    <font>
      <sz val="10"/>
      <color theme="1"/>
      <name val="Arial"/>
      <family val="2"/>
    </font>
    <font>
      <sz val="10"/>
      <name val="Arial"/>
    </font>
    <font>
      <sz val="10"/>
      <color theme="0"/>
      <name val="Calibri"/>
      <family val="2"/>
    </font>
    <font>
      <b/>
      <sz val="10"/>
      <color theme="0"/>
      <name val="Tahoma"/>
      <family val="2"/>
    </font>
    <font>
      <sz val="8"/>
      <color rgb="FFFF0000"/>
      <name val="Arial"/>
      <family val="2"/>
    </font>
    <font>
      <b/>
      <u/>
      <sz val="9"/>
      <color theme="4"/>
      <name val="Arial"/>
      <family val="2"/>
    </font>
    <font>
      <sz val="10"/>
      <name val="Calibri"/>
      <family val="2"/>
    </font>
    <font>
      <sz val="9"/>
      <name val="Calibri"/>
      <family val="2"/>
    </font>
    <font>
      <sz val="8"/>
      <name val="Calibri"/>
      <family val="2"/>
    </font>
    <font>
      <sz val="10"/>
      <color rgb="FFFF0000"/>
      <name val="Arial"/>
      <family val="2"/>
    </font>
    <font>
      <b/>
      <sz val="22"/>
      <color theme="1"/>
      <name val="Corbel"/>
      <family val="2"/>
    </font>
    <font>
      <i/>
      <sz val="8"/>
      <color theme="0"/>
      <name val="Arial Narrow"/>
      <family val="2"/>
    </font>
    <font>
      <u/>
      <sz val="10"/>
      <color theme="0"/>
      <name val="Arial"/>
      <family val="2"/>
    </font>
    <font>
      <sz val="10"/>
      <color theme="0"/>
      <name val="Symbol"/>
      <family val="1"/>
      <charset val="2"/>
    </font>
    <font>
      <i/>
      <sz val="8"/>
      <color theme="1"/>
      <name val="Arial"/>
      <family val="2"/>
    </font>
    <font>
      <i/>
      <sz val="10"/>
      <color theme="1"/>
      <name val="Arial"/>
      <family val="2"/>
    </font>
    <font>
      <sz val="10"/>
      <name val="Calibri"/>
      <family val="2"/>
      <scheme val="minor"/>
    </font>
    <font>
      <sz val="6"/>
      <color theme="1"/>
      <name val="Arial"/>
      <family val="2"/>
    </font>
    <font>
      <sz val="9"/>
      <color theme="1"/>
      <name val="Arial"/>
      <family val="2"/>
    </font>
    <font>
      <u/>
      <sz val="10"/>
      <color theme="10"/>
      <name val="Arial"/>
      <family val="2"/>
    </font>
    <font>
      <b/>
      <sz val="10"/>
      <color rgb="FF0070C0"/>
      <name val="Arial"/>
      <family val="2"/>
    </font>
    <font>
      <b/>
      <sz val="10"/>
      <color rgb="FFFF0000"/>
      <name val="Arial"/>
      <family val="2"/>
    </font>
    <font>
      <sz val="10"/>
      <color rgb="FFFF0000"/>
      <name val="Symbol"/>
      <family val="1"/>
      <charset val="2"/>
    </font>
    <font>
      <b/>
      <sz val="8"/>
      <color rgb="FFFF0000"/>
      <name val="Arial"/>
      <family val="2"/>
    </font>
    <font>
      <b/>
      <i/>
      <sz val="8"/>
      <color rgb="FFFF0000"/>
      <name val="Arial"/>
      <family val="2"/>
    </font>
    <font>
      <sz val="10"/>
      <color theme="1"/>
      <name val="Symbol"/>
      <family val="1"/>
      <charset val="2"/>
    </font>
  </fonts>
  <fills count="23">
    <fill>
      <patternFill patternType="none"/>
    </fill>
    <fill>
      <patternFill patternType="gray125"/>
    </fill>
    <fill>
      <patternFill patternType="gray0625"/>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theme="7" tint="0.39997558519241921"/>
        <bgColor indexed="64"/>
      </patternFill>
    </fill>
    <fill>
      <patternFill patternType="solid">
        <fgColor rgb="FF66FFFF"/>
        <bgColor indexed="64"/>
      </patternFill>
    </fill>
    <fill>
      <patternFill patternType="solid">
        <fgColor theme="1" tint="0.14999847407452621"/>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00"/>
        <bgColor indexed="64"/>
      </patternFill>
    </fill>
    <fill>
      <patternFill patternType="solid">
        <fgColor theme="1" tint="4.9989318521683403E-2"/>
        <bgColor indexed="64"/>
      </patternFill>
    </fill>
    <fill>
      <patternFill patternType="gray0625">
        <bgColor theme="0"/>
      </patternFill>
    </fill>
    <fill>
      <patternFill patternType="solid">
        <fgColor rgb="FFFFC000"/>
        <bgColor indexed="64"/>
      </patternFill>
    </fill>
    <fill>
      <patternFill patternType="solid">
        <fgColor theme="1"/>
        <bgColor indexed="64"/>
      </patternFill>
    </fill>
  </fills>
  <borders count="71">
    <border>
      <left/>
      <right/>
      <top/>
      <bottom/>
      <diagonal/>
    </border>
    <border>
      <left style="mediumDashed">
        <color indexed="64"/>
      </left>
      <right/>
      <top style="mediumDashed">
        <color indexed="64"/>
      </top>
      <bottom/>
      <diagonal/>
    </border>
    <border>
      <left/>
      <right/>
      <top/>
      <bottom style="thin">
        <color indexed="64"/>
      </bottom>
      <diagonal/>
    </border>
    <border>
      <left/>
      <right/>
      <top/>
      <bottom style="medium">
        <color indexed="64"/>
      </bottom>
      <diagonal/>
    </border>
    <border>
      <left/>
      <right style="thin">
        <color indexed="64"/>
      </right>
      <top style="medium">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Dashed">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bottom style="double">
        <color indexed="64"/>
      </bottom>
      <diagonal/>
    </border>
    <border>
      <left style="thick">
        <color indexed="64"/>
      </left>
      <right/>
      <top/>
      <bottom style="thin">
        <color indexed="17"/>
      </bottom>
      <diagonal/>
    </border>
    <border>
      <left/>
      <right/>
      <top style="medium">
        <color indexed="17"/>
      </top>
      <bottom/>
      <diagonal/>
    </border>
    <border>
      <left style="medium">
        <color indexed="17"/>
      </left>
      <right/>
      <top/>
      <bottom/>
      <diagonal/>
    </border>
    <border>
      <left/>
      <right/>
      <top/>
      <bottom style="medium">
        <color indexed="17"/>
      </bottom>
      <diagonal/>
    </border>
    <border>
      <left style="medium">
        <color indexed="17"/>
      </left>
      <right style="medium">
        <color indexed="17"/>
      </right>
      <top style="medium">
        <color indexed="17"/>
      </top>
      <bottom style="medium">
        <color indexed="17"/>
      </bottom>
      <diagonal/>
    </border>
    <border>
      <left style="medium">
        <color indexed="17"/>
      </left>
      <right/>
      <top style="medium">
        <color indexed="17"/>
      </top>
      <bottom/>
      <diagonal/>
    </border>
    <border>
      <left/>
      <right/>
      <top style="double">
        <color indexed="64"/>
      </top>
      <bottom style="double">
        <color indexed="64"/>
      </bottom>
      <diagonal/>
    </border>
    <border>
      <left/>
      <right style="medium">
        <color indexed="64"/>
      </right>
      <top style="thin">
        <color indexed="64"/>
      </top>
      <bottom style="thin">
        <color indexed="64"/>
      </bottom>
      <diagonal/>
    </border>
    <border>
      <left/>
      <right/>
      <top/>
      <bottom style="slantDashDot">
        <color indexed="64"/>
      </bottom>
      <diagonal/>
    </border>
    <border>
      <left/>
      <right/>
      <top style="medium">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top/>
      <bottom style="slantDashDot">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bottom style="medium">
        <color theme="0"/>
      </bottom>
      <diagonal/>
    </border>
    <border>
      <left style="thin">
        <color theme="0"/>
      </left>
      <right style="thin">
        <color theme="0"/>
      </right>
      <top style="thin">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bottom/>
      <diagonal/>
    </border>
    <border>
      <left/>
      <right style="medium">
        <color indexed="17"/>
      </right>
      <top/>
      <bottom/>
      <diagonal/>
    </border>
    <border>
      <left style="medium">
        <color indexed="17"/>
      </left>
      <right/>
      <top/>
      <bottom style="medium">
        <color indexed="17"/>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medium">
        <color indexed="17"/>
      </left>
      <right/>
      <top style="medium">
        <color indexed="17"/>
      </top>
      <bottom style="medium">
        <color indexed="17"/>
      </bottom>
      <diagonal/>
    </border>
    <border>
      <left style="medium">
        <color indexed="64"/>
      </left>
      <right/>
      <top style="thin">
        <color indexed="64"/>
      </top>
      <bottom/>
      <diagonal/>
    </border>
  </borders>
  <cellStyleXfs count="4">
    <xf numFmtId="0" fontId="0" fillId="0" borderId="0"/>
    <xf numFmtId="164" fontId="1" fillId="0" borderId="0" applyFont="0" applyFill="0" applyBorder="0" applyAlignment="0" applyProtection="0"/>
    <xf numFmtId="43" fontId="38" fillId="0" borderId="0" applyFont="0" applyFill="0" applyBorder="0" applyAlignment="0" applyProtection="0"/>
    <xf numFmtId="0" fontId="56" fillId="0" borderId="0" applyNumberFormat="0" applyFill="0" applyBorder="0" applyAlignment="0" applyProtection="0"/>
  </cellStyleXfs>
  <cellXfs count="491">
    <xf numFmtId="0" fontId="0" fillId="0" borderId="0" xfId="0"/>
    <xf numFmtId="0" fontId="0" fillId="0" borderId="2" xfId="0" applyBorder="1"/>
    <xf numFmtId="0" fontId="0" fillId="0" borderId="3" xfId="0" applyBorder="1"/>
    <xf numFmtId="0" fontId="0" fillId="0" borderId="5" xfId="0" applyBorder="1" applyAlignment="1">
      <alignment horizontal="center"/>
    </xf>
    <xf numFmtId="0" fontId="0" fillId="0" borderId="0" xfId="0" applyBorder="1"/>
    <xf numFmtId="0" fontId="0" fillId="0" borderId="0" xfId="0" applyFill="1" applyBorder="1"/>
    <xf numFmtId="0" fontId="0" fillId="2" borderId="0" xfId="0" applyFill="1" applyBorder="1"/>
    <xf numFmtId="0" fontId="2" fillId="2" borderId="0" xfId="0" applyFont="1" applyFill="1" applyBorder="1" applyAlignment="1">
      <alignment horizontal="right"/>
    </xf>
    <xf numFmtId="0" fontId="0" fillId="2" borderId="0" xfId="0" applyFill="1" applyBorder="1" applyAlignment="1">
      <alignment horizontal="right"/>
    </xf>
    <xf numFmtId="0" fontId="0" fillId="2" borderId="13" xfId="0" applyFill="1" applyBorder="1"/>
    <xf numFmtId="0" fontId="2" fillId="2" borderId="0" xfId="0" applyFont="1" applyFill="1" applyBorder="1" applyAlignment="1">
      <alignment horizontal="center"/>
    </xf>
    <xf numFmtId="0" fontId="1" fillId="4" borderId="0" xfId="0" applyFont="1" applyFill="1" applyBorder="1"/>
    <xf numFmtId="0" fontId="12" fillId="4" borderId="0" xfId="0" applyFont="1" applyFill="1" applyBorder="1" applyAlignment="1">
      <alignment horizontal="right"/>
    </xf>
    <xf numFmtId="0" fontId="0" fillId="4" borderId="0" xfId="0" applyFill="1" applyBorder="1"/>
    <xf numFmtId="2" fontId="0" fillId="4" borderId="2" xfId="0" applyNumberFormat="1" applyFill="1" applyBorder="1" applyAlignment="1">
      <alignment horizontal="center"/>
    </xf>
    <xf numFmtId="2" fontId="0" fillId="4" borderId="0" xfId="0" applyNumberFormat="1" applyFill="1" applyBorder="1" applyAlignment="1">
      <alignment horizontal="center"/>
    </xf>
    <xf numFmtId="0" fontId="0" fillId="5" borderId="13" xfId="0" applyFill="1" applyBorder="1"/>
    <xf numFmtId="0" fontId="0" fillId="5" borderId="16" xfId="0" applyFill="1" applyBorder="1" applyAlignment="1">
      <alignment horizontal="center"/>
    </xf>
    <xf numFmtId="0" fontId="0" fillId="6" borderId="0" xfId="0" applyFill="1" applyBorder="1"/>
    <xf numFmtId="0" fontId="0" fillId="6" borderId="0" xfId="0" applyFill="1" applyBorder="1" applyAlignment="1">
      <alignment horizontal="right"/>
    </xf>
    <xf numFmtId="0" fontId="1" fillId="5" borderId="13" xfId="0" applyFont="1" applyFill="1" applyBorder="1"/>
    <xf numFmtId="0" fontId="1" fillId="5" borderId="16" xfId="0" applyFont="1" applyFill="1" applyBorder="1" applyAlignment="1">
      <alignment horizontal="center"/>
    </xf>
    <xf numFmtId="0" fontId="0" fillId="5" borderId="0" xfId="0" applyFill="1" applyBorder="1" applyAlignment="1">
      <alignment horizontal="right"/>
    </xf>
    <xf numFmtId="0" fontId="11" fillId="5" borderId="0" xfId="0" applyFont="1" applyFill="1" applyBorder="1"/>
    <xf numFmtId="0" fontId="2" fillId="0" borderId="0" xfId="0" applyFont="1" applyBorder="1" applyAlignment="1">
      <alignment horizontal="right" indent="1"/>
    </xf>
    <xf numFmtId="0" fontId="0" fillId="2" borderId="16" xfId="0" applyFill="1" applyBorder="1"/>
    <xf numFmtId="0" fontId="2" fillId="7" borderId="17" xfId="0" applyFont="1" applyFill="1" applyBorder="1" applyAlignment="1">
      <alignment horizontal="center"/>
    </xf>
    <xf numFmtId="0" fontId="2" fillId="7" borderId="18" xfId="0" applyFont="1" applyFill="1" applyBorder="1" applyAlignment="1">
      <alignment horizontal="center"/>
    </xf>
    <xf numFmtId="2" fontId="0" fillId="7" borderId="20" xfId="0" applyNumberFormat="1" applyFill="1" applyBorder="1" applyAlignment="1">
      <alignment horizontal="center"/>
    </xf>
    <xf numFmtId="2" fontId="0" fillId="7" borderId="21" xfId="0" applyNumberFormat="1" applyFill="1" applyBorder="1" applyAlignment="1">
      <alignment horizontal="center"/>
    </xf>
    <xf numFmtId="2" fontId="0" fillId="7" borderId="22" xfId="0" applyNumberFormat="1" applyFill="1" applyBorder="1" applyAlignment="1">
      <alignment horizontal="center"/>
    </xf>
    <xf numFmtId="0" fontId="18" fillId="8" borderId="0" xfId="0" applyFont="1" applyFill="1" applyBorder="1"/>
    <xf numFmtId="0" fontId="18" fillId="8" borderId="3" xfId="0" applyFont="1" applyFill="1" applyBorder="1" applyAlignment="1">
      <alignment horizontal="center"/>
    </xf>
    <xf numFmtId="0" fontId="18" fillId="8" borderId="0" xfId="0" applyFont="1" applyFill="1" applyBorder="1" applyAlignment="1">
      <alignment horizontal="center"/>
    </xf>
    <xf numFmtId="2" fontId="0" fillId="0" borderId="12" xfId="0" applyNumberFormat="1" applyBorder="1" applyAlignment="1">
      <alignment horizontal="center"/>
    </xf>
    <xf numFmtId="0" fontId="0" fillId="0" borderId="12" xfId="0" applyBorder="1"/>
    <xf numFmtId="0" fontId="2" fillId="4" borderId="17" xfId="0" applyFont="1" applyFill="1" applyBorder="1" applyAlignment="1">
      <alignment horizontal="center"/>
    </xf>
    <xf numFmtId="0" fontId="2" fillId="4" borderId="18" xfId="0" applyFont="1" applyFill="1" applyBorder="1" applyAlignment="1">
      <alignment horizontal="center"/>
    </xf>
    <xf numFmtId="2" fontId="0" fillId="4" borderId="20" xfId="0" applyNumberFormat="1" applyFill="1" applyBorder="1" applyAlignment="1">
      <alignment horizontal="center"/>
    </xf>
    <xf numFmtId="2" fontId="0" fillId="4" borderId="21" xfId="0" applyNumberFormat="1" applyFill="1" applyBorder="1" applyAlignment="1">
      <alignment horizontal="center"/>
    </xf>
    <xf numFmtId="2" fontId="0" fillId="4" borderId="22" xfId="0" applyNumberFormat="1" applyFill="1" applyBorder="1" applyAlignment="1">
      <alignment horizontal="center"/>
    </xf>
    <xf numFmtId="0" fontId="2" fillId="5" borderId="23" xfId="0" applyFont="1" applyFill="1" applyBorder="1"/>
    <xf numFmtId="0" fontId="2" fillId="5" borderId="2" xfId="0" applyFont="1" applyFill="1" applyBorder="1" applyAlignment="1">
      <alignment horizontal="center"/>
    </xf>
    <xf numFmtId="0" fontId="2" fillId="5" borderId="0" xfId="0" applyFont="1" applyFill="1" applyBorder="1"/>
    <xf numFmtId="0" fontId="2" fillId="5" borderId="14" xfId="0" applyFont="1" applyFill="1" applyBorder="1"/>
    <xf numFmtId="0" fontId="9" fillId="6" borderId="24" xfId="0" applyFont="1" applyFill="1" applyBorder="1" applyAlignment="1">
      <alignment horizontal="center"/>
    </xf>
    <xf numFmtId="0" fontId="9" fillId="9" borderId="25" xfId="0" applyFont="1" applyFill="1" applyBorder="1" applyAlignment="1">
      <alignment horizontal="left"/>
    </xf>
    <xf numFmtId="0" fontId="2" fillId="9" borderId="26" xfId="0" applyFont="1" applyFill="1" applyBorder="1" applyAlignment="1">
      <alignment horizontal="center"/>
    </xf>
    <xf numFmtId="0" fontId="2" fillId="9" borderId="27" xfId="0" applyFont="1" applyFill="1" applyBorder="1" applyAlignment="1">
      <alignment horizontal="center"/>
    </xf>
    <xf numFmtId="2" fontId="0" fillId="9" borderId="0" xfId="0" applyNumberFormat="1" applyFill="1" applyBorder="1" applyAlignment="1">
      <alignment horizontal="left"/>
    </xf>
    <xf numFmtId="0" fontId="0" fillId="6" borderId="28" xfId="0" applyFill="1" applyBorder="1" applyAlignment="1">
      <alignment horizontal="right"/>
    </xf>
    <xf numFmtId="0" fontId="0" fillId="6" borderId="29" xfId="0" applyFill="1" applyBorder="1" applyAlignment="1">
      <alignment horizontal="right"/>
    </xf>
    <xf numFmtId="0" fontId="0" fillId="6" borderId="30" xfId="0" applyFill="1" applyBorder="1" applyAlignment="1">
      <alignment horizontal="right"/>
    </xf>
    <xf numFmtId="2" fontId="2" fillId="7" borderId="31" xfId="0" applyNumberFormat="1" applyFont="1" applyFill="1" applyBorder="1" applyAlignment="1">
      <alignment horizontal="center"/>
    </xf>
    <xf numFmtId="0" fontId="2" fillId="10" borderId="13" xfId="0" applyFont="1" applyFill="1" applyBorder="1"/>
    <xf numFmtId="0" fontId="0" fillId="10" borderId="16" xfId="0" applyFill="1" applyBorder="1" applyAlignment="1">
      <alignment horizontal="left"/>
    </xf>
    <xf numFmtId="0" fontId="0" fillId="8" borderId="16" xfId="0" applyFill="1" applyBorder="1"/>
    <xf numFmtId="0" fontId="0" fillId="4" borderId="16" xfId="0" applyFill="1" applyBorder="1"/>
    <xf numFmtId="0" fontId="2" fillId="4" borderId="0" xfId="0" applyFont="1" applyFill="1" applyBorder="1" applyAlignment="1">
      <alignment horizontal="right"/>
    </xf>
    <xf numFmtId="2" fontId="0" fillId="4" borderId="0" xfId="0" applyNumberFormat="1" applyFill="1" applyBorder="1"/>
    <xf numFmtId="0" fontId="2" fillId="4" borderId="0" xfId="0" applyFont="1" applyFill="1" applyBorder="1" applyAlignment="1">
      <alignment horizontal="center"/>
    </xf>
    <xf numFmtId="2" fontId="0" fillId="3" borderId="12" xfId="0" applyNumberFormat="1" applyFill="1" applyBorder="1" applyAlignment="1">
      <alignment horizontal="center"/>
    </xf>
    <xf numFmtId="2" fontId="0" fillId="8" borderId="12" xfId="0" applyNumberFormat="1" applyFill="1" applyBorder="1" applyAlignment="1">
      <alignment horizontal="center"/>
    </xf>
    <xf numFmtId="0" fontId="11" fillId="0" borderId="0" xfId="0" applyFont="1" applyBorder="1" applyAlignment="1">
      <alignment horizontal="right"/>
    </xf>
    <xf numFmtId="0" fontId="3" fillId="0" borderId="0" xfId="0" applyFont="1" applyBorder="1" applyAlignment="1">
      <alignment horizontal="right"/>
    </xf>
    <xf numFmtId="0" fontId="1" fillId="0" borderId="0" xfId="0" applyFont="1" applyBorder="1"/>
    <xf numFmtId="0" fontId="9" fillId="0" borderId="0" xfId="0" applyFont="1" applyBorder="1" applyAlignment="1">
      <alignment horizontal="left"/>
    </xf>
    <xf numFmtId="0" fontId="1" fillId="6" borderId="0" xfId="0" applyFont="1" applyFill="1" applyBorder="1" applyAlignment="1">
      <alignment horizontal="right"/>
    </xf>
    <xf numFmtId="0" fontId="8" fillId="4" borderId="0" xfId="0" applyFont="1" applyFill="1" applyBorder="1" applyAlignment="1">
      <alignment horizontal="right"/>
    </xf>
    <xf numFmtId="0" fontId="7" fillId="4" borderId="0" xfId="0" applyFont="1" applyFill="1" applyBorder="1" applyAlignment="1">
      <alignment horizontal="center"/>
    </xf>
    <xf numFmtId="0" fontId="7" fillId="4" borderId="0" xfId="0" applyFont="1" applyFill="1" applyBorder="1" applyAlignment="1">
      <alignment horizontal="left"/>
    </xf>
    <xf numFmtId="0" fontId="26" fillId="0" borderId="0" xfId="0" applyFont="1" applyBorder="1" applyAlignment="1">
      <alignment horizontal="right"/>
    </xf>
    <xf numFmtId="0" fontId="0" fillId="3" borderId="7" xfId="0" applyFill="1" applyBorder="1" applyAlignment="1">
      <alignment horizontal="center"/>
    </xf>
    <xf numFmtId="0" fontId="21" fillId="0" borderId="0" xfId="0" applyFont="1" applyBorder="1"/>
    <xf numFmtId="0" fontId="29" fillId="4" borderId="0" xfId="0" applyFont="1" applyFill="1" applyBorder="1" applyAlignment="1">
      <alignment horizontal="right"/>
    </xf>
    <xf numFmtId="2" fontId="2" fillId="4" borderId="0" xfId="0" applyNumberFormat="1" applyFont="1" applyFill="1" applyBorder="1" applyAlignment="1">
      <alignment horizontal="left" indent="1"/>
    </xf>
    <xf numFmtId="2" fontId="2" fillId="4" borderId="0" xfId="0" applyNumberFormat="1" applyFont="1" applyFill="1" applyBorder="1"/>
    <xf numFmtId="0" fontId="17" fillId="2" borderId="33" xfId="0" applyFont="1" applyFill="1" applyBorder="1" applyAlignment="1">
      <alignment horizontal="left" indent="1"/>
    </xf>
    <xf numFmtId="167" fontId="0" fillId="4" borderId="12" xfId="0" applyNumberFormat="1" applyFill="1" applyBorder="1" applyAlignment="1">
      <alignment horizontal="center"/>
    </xf>
    <xf numFmtId="167" fontId="0" fillId="0" borderId="12" xfId="0" applyNumberFormat="1" applyBorder="1" applyAlignment="1">
      <alignment horizontal="center"/>
    </xf>
    <xf numFmtId="2" fontId="10" fillId="3" borderId="37" xfId="0" applyNumberFormat="1" applyFont="1" applyFill="1" applyBorder="1" applyAlignment="1">
      <alignment horizontal="left"/>
    </xf>
    <xf numFmtId="2" fontId="0" fillId="0" borderId="2" xfId="0" applyNumberFormat="1" applyBorder="1"/>
    <xf numFmtId="0" fontId="23" fillId="2" borderId="0" xfId="0" applyFont="1" applyFill="1" applyBorder="1" applyAlignment="1">
      <alignment horizontal="center"/>
    </xf>
    <xf numFmtId="2" fontId="9" fillId="2" borderId="0" xfId="0" applyNumberFormat="1" applyFont="1" applyFill="1" applyBorder="1" applyAlignment="1">
      <alignment horizontal="left"/>
    </xf>
    <xf numFmtId="0" fontId="2" fillId="2" borderId="0" xfId="0" applyFont="1" applyFill="1" applyBorder="1" applyAlignment="1">
      <alignment horizontal="left"/>
    </xf>
    <xf numFmtId="0" fontId="14" fillId="0" borderId="43" xfId="0" applyFont="1" applyBorder="1" applyAlignment="1">
      <alignment horizontal="right"/>
    </xf>
    <xf numFmtId="0" fontId="0" fillId="0" borderId="43" xfId="0" applyBorder="1"/>
    <xf numFmtId="0" fontId="11" fillId="0" borderId="48" xfId="0" applyFont="1" applyBorder="1" applyAlignment="1">
      <alignment horizontal="right"/>
    </xf>
    <xf numFmtId="0" fontId="0" fillId="3" borderId="3" xfId="0" applyFill="1" applyBorder="1" applyAlignment="1">
      <alignment horizontal="right"/>
    </xf>
    <xf numFmtId="0" fontId="0" fillId="11" borderId="0" xfId="0" applyFill="1" applyBorder="1"/>
    <xf numFmtId="168" fontId="0" fillId="13" borderId="43" xfId="0" applyNumberFormat="1" applyFill="1" applyBorder="1" applyAlignment="1" applyProtection="1">
      <alignment horizontal="center"/>
      <protection locked="0"/>
    </xf>
    <xf numFmtId="0" fontId="11" fillId="13" borderId="0" xfId="0" applyFont="1" applyFill="1" applyBorder="1" applyProtection="1">
      <protection locked="0"/>
    </xf>
    <xf numFmtId="2" fontId="11" fillId="13" borderId="0" xfId="0" applyNumberFormat="1" applyFont="1" applyFill="1" applyBorder="1" applyProtection="1">
      <protection locked="0"/>
    </xf>
    <xf numFmtId="168" fontId="3" fillId="13" borderId="0" xfId="0" applyNumberFormat="1" applyFont="1" applyFill="1" applyBorder="1" applyProtection="1">
      <protection locked="0"/>
    </xf>
    <xf numFmtId="0" fontId="0" fillId="13" borderId="0" xfId="0" applyFill="1" applyBorder="1" applyAlignment="1" applyProtection="1">
      <alignment horizontal="left"/>
      <protection locked="0"/>
    </xf>
    <xf numFmtId="0" fontId="14" fillId="11" borderId="43" xfId="0" applyFont="1" applyFill="1" applyBorder="1" applyAlignment="1">
      <alignment horizontal="right"/>
    </xf>
    <xf numFmtId="0" fontId="14" fillId="11" borderId="0" xfId="0" applyFont="1" applyFill="1" applyBorder="1"/>
    <xf numFmtId="0" fontId="1" fillId="11" borderId="0" xfId="0" applyFont="1" applyFill="1" applyBorder="1"/>
    <xf numFmtId="0" fontId="1" fillId="11" borderId="0" xfId="0" applyFont="1" applyFill="1" applyBorder="1" applyAlignment="1">
      <alignment horizontal="center"/>
    </xf>
    <xf numFmtId="2" fontId="1" fillId="11" borderId="0" xfId="0" applyNumberFormat="1" applyFont="1" applyFill="1" applyBorder="1"/>
    <xf numFmtId="0" fontId="0" fillId="11" borderId="43" xfId="0" applyFill="1" applyBorder="1"/>
    <xf numFmtId="0" fontId="2" fillId="11" borderId="0" xfId="0" applyFont="1" applyFill="1" applyBorder="1"/>
    <xf numFmtId="0" fontId="0" fillId="11" borderId="0" xfId="0" applyFill="1" applyBorder="1" applyAlignment="1">
      <alignment horizontal="right"/>
    </xf>
    <xf numFmtId="0" fontId="33" fillId="11" borderId="0" xfId="0" applyFont="1" applyFill="1" applyBorder="1"/>
    <xf numFmtId="2" fontId="0" fillId="11" borderId="0" xfId="0" applyNumberFormat="1" applyFill="1" applyBorder="1"/>
    <xf numFmtId="0" fontId="4" fillId="11" borderId="0" xfId="0" applyFont="1" applyFill="1" applyBorder="1" applyAlignment="1">
      <alignment horizontal="right"/>
    </xf>
    <xf numFmtId="0" fontId="8" fillId="11" borderId="0" xfId="0" applyFont="1" applyFill="1" applyBorder="1" applyAlignment="1">
      <alignment horizontal="right"/>
    </xf>
    <xf numFmtId="0" fontId="0" fillId="11" borderId="42" xfId="0" applyFill="1" applyBorder="1"/>
    <xf numFmtId="0" fontId="13" fillId="11" borderId="42" xfId="0" applyFont="1" applyFill="1" applyBorder="1"/>
    <xf numFmtId="2" fontId="11" fillId="11" borderId="0" xfId="0" applyNumberFormat="1" applyFont="1" applyFill="1" applyBorder="1"/>
    <xf numFmtId="0" fontId="0" fillId="11" borderId="0" xfId="0" applyFill="1" applyBorder="1" applyAlignment="1">
      <alignment horizontal="center"/>
    </xf>
    <xf numFmtId="0" fontId="0" fillId="11" borderId="46" xfId="0" applyFill="1" applyBorder="1"/>
    <xf numFmtId="0" fontId="0" fillId="11" borderId="3" xfId="0" applyFill="1" applyBorder="1"/>
    <xf numFmtId="0" fontId="0" fillId="11" borderId="0" xfId="0" applyFill="1"/>
    <xf numFmtId="2" fontId="0" fillId="11" borderId="0" xfId="0" applyNumberFormat="1" applyFill="1" applyBorder="1" applyAlignment="1">
      <alignment horizontal="left"/>
    </xf>
    <xf numFmtId="0" fontId="18" fillId="11" borderId="0" xfId="0" applyFont="1" applyFill="1" applyBorder="1" applyAlignment="1">
      <alignment horizontal="right"/>
    </xf>
    <xf numFmtId="2" fontId="18" fillId="11" borderId="0" xfId="0" applyNumberFormat="1" applyFont="1" applyFill="1" applyBorder="1" applyAlignment="1">
      <alignment horizontal="left"/>
    </xf>
    <xf numFmtId="1" fontId="18" fillId="11" borderId="0" xfId="0" applyNumberFormat="1" applyFont="1" applyFill="1" applyBorder="1" applyAlignment="1">
      <alignment horizontal="left"/>
    </xf>
    <xf numFmtId="0" fontId="19" fillId="11" borderId="0" xfId="0" applyFont="1" applyFill="1" applyBorder="1"/>
    <xf numFmtId="2" fontId="0" fillId="11" borderId="43" xfId="0" applyNumberFormat="1" applyFill="1" applyBorder="1"/>
    <xf numFmtId="0" fontId="13" fillId="11" borderId="0" xfId="0" applyFont="1" applyFill="1" applyBorder="1" applyAlignment="1">
      <alignment horizontal="right"/>
    </xf>
    <xf numFmtId="2" fontId="0" fillId="11" borderId="0" xfId="0" applyNumberFormat="1" applyFill="1" applyBorder="1" applyAlignment="1">
      <alignment horizontal="center"/>
    </xf>
    <xf numFmtId="0" fontId="0" fillId="11" borderId="5" xfId="0" applyFill="1" applyBorder="1"/>
    <xf numFmtId="0" fontId="0" fillId="11" borderId="7" xfId="0" applyFill="1" applyBorder="1"/>
    <xf numFmtId="0" fontId="0" fillId="11" borderId="8" xfId="0" applyFill="1" applyBorder="1"/>
    <xf numFmtId="0" fontId="0" fillId="11" borderId="2" xfId="0" applyFill="1" applyBorder="1"/>
    <xf numFmtId="0" fontId="0" fillId="11" borderId="9" xfId="0" applyFill="1" applyBorder="1"/>
    <xf numFmtId="0" fontId="0" fillId="11" borderId="48" xfId="0" applyFill="1" applyBorder="1"/>
    <xf numFmtId="0" fontId="13" fillId="11" borderId="43" xfId="0" applyFont="1" applyFill="1" applyBorder="1" applyAlignment="1">
      <alignment horizontal="right"/>
    </xf>
    <xf numFmtId="0" fontId="13" fillId="11" borderId="0" xfId="0" applyFont="1" applyFill="1" applyBorder="1"/>
    <xf numFmtId="0" fontId="0" fillId="11" borderId="0" xfId="0" applyFill="1" applyBorder="1" applyAlignment="1">
      <alignment horizontal="left"/>
    </xf>
    <xf numFmtId="0" fontId="11" fillId="11" borderId="0" xfId="0" applyFont="1" applyFill="1" applyBorder="1" applyAlignment="1">
      <alignment horizontal="right"/>
    </xf>
    <xf numFmtId="0" fontId="32" fillId="11" borderId="0" xfId="0" applyFont="1" applyFill="1" applyBorder="1" applyAlignment="1">
      <alignment horizontal="left"/>
    </xf>
    <xf numFmtId="0" fontId="14" fillId="11" borderId="0" xfId="0" applyFont="1" applyFill="1" applyBorder="1" applyAlignment="1">
      <alignment horizontal="left"/>
    </xf>
    <xf numFmtId="0" fontId="14" fillId="11" borderId="0" xfId="0" applyFont="1" applyFill="1" applyBorder="1" applyAlignment="1">
      <alignment horizontal="right"/>
    </xf>
    <xf numFmtId="0" fontId="6" fillId="11" borderId="0" xfId="0" applyFont="1" applyFill="1" applyBorder="1" applyAlignment="1">
      <alignment horizontal="right"/>
    </xf>
    <xf numFmtId="169" fontId="0" fillId="11" borderId="0" xfId="0" applyNumberFormat="1" applyFill="1" applyBorder="1" applyAlignment="1">
      <alignment horizontal="left"/>
    </xf>
    <xf numFmtId="170" fontId="0" fillId="11" borderId="0" xfId="0" applyNumberFormat="1" applyFill="1" applyBorder="1" applyAlignment="1">
      <alignment horizontal="left"/>
    </xf>
    <xf numFmtId="0" fontId="5" fillId="11" borderId="0" xfId="0" applyFont="1" applyFill="1" applyBorder="1" applyAlignment="1">
      <alignment horizontal="right"/>
    </xf>
    <xf numFmtId="171" fontId="0" fillId="11" borderId="0" xfId="0" applyNumberFormat="1" applyFill="1" applyBorder="1" applyAlignment="1">
      <alignment horizontal="left"/>
    </xf>
    <xf numFmtId="172" fontId="0" fillId="11" borderId="0" xfId="0" applyNumberFormat="1" applyFill="1" applyBorder="1" applyAlignment="1">
      <alignment horizontal="left"/>
    </xf>
    <xf numFmtId="0" fontId="3" fillId="11" borderId="0" xfId="0" applyFont="1" applyFill="1" applyBorder="1"/>
    <xf numFmtId="0" fontId="24" fillId="11" borderId="0" xfId="0" applyFont="1" applyFill="1" applyBorder="1"/>
    <xf numFmtId="166" fontId="0" fillId="11" borderId="0" xfId="0" applyNumberFormat="1" applyFill="1" applyBorder="1" applyAlignment="1">
      <alignment horizontal="left"/>
    </xf>
    <xf numFmtId="0" fontId="26" fillId="11" borderId="0" xfId="0" applyFont="1" applyFill="1" applyBorder="1" applyAlignment="1">
      <alignment horizontal="right"/>
    </xf>
    <xf numFmtId="0" fontId="0" fillId="11" borderId="6" xfId="0" applyFill="1" applyBorder="1"/>
    <xf numFmtId="0" fontId="14" fillId="11" borderId="5" xfId="0" applyFont="1" applyFill="1" applyBorder="1"/>
    <xf numFmtId="0" fontId="32" fillId="11" borderId="5" xfId="0" applyFont="1" applyFill="1" applyBorder="1"/>
    <xf numFmtId="0" fontId="3" fillId="11" borderId="0" xfId="0" applyFont="1" applyFill="1" applyBorder="1" applyAlignment="1">
      <alignment horizontal="right"/>
    </xf>
    <xf numFmtId="0" fontId="0" fillId="13" borderId="0" xfId="0" applyFill="1" applyBorder="1" applyAlignment="1" applyProtection="1">
      <alignment horizontal="center"/>
      <protection locked="0"/>
    </xf>
    <xf numFmtId="0" fontId="13" fillId="11" borderId="23" xfId="0" applyFont="1" applyFill="1" applyBorder="1" applyAlignment="1">
      <alignment horizontal="right"/>
    </xf>
    <xf numFmtId="0" fontId="15" fillId="11" borderId="0" xfId="0" applyFont="1" applyFill="1" applyBorder="1"/>
    <xf numFmtId="0" fontId="34" fillId="11" borderId="38" xfId="0" applyFont="1" applyFill="1" applyBorder="1"/>
    <xf numFmtId="0" fontId="10" fillId="11" borderId="35" xfId="0" applyFont="1" applyFill="1" applyBorder="1"/>
    <xf numFmtId="0" fontId="9" fillId="11" borderId="35" xfId="0" applyFont="1" applyFill="1" applyBorder="1"/>
    <xf numFmtId="0" fontId="0" fillId="11" borderId="34" xfId="0" applyFill="1" applyBorder="1"/>
    <xf numFmtId="0" fontId="0" fillId="11" borderId="34" xfId="0" applyFill="1" applyBorder="1" applyAlignment="1">
      <alignment horizontal="right"/>
    </xf>
    <xf numFmtId="2" fontId="0" fillId="11" borderId="34" xfId="0" applyNumberFormat="1" applyFill="1" applyBorder="1" applyAlignment="1">
      <alignment horizontal="left"/>
    </xf>
    <xf numFmtId="2" fontId="3" fillId="11" borderId="34" xfId="0" applyNumberFormat="1" applyFont="1" applyFill="1" applyBorder="1" applyAlignment="1">
      <alignment horizontal="left"/>
    </xf>
    <xf numFmtId="2" fontId="3" fillId="11" borderId="0" xfId="0" applyNumberFormat="1" applyFont="1" applyFill="1" applyBorder="1"/>
    <xf numFmtId="0" fontId="11" fillId="11" borderId="0" xfId="0" applyFont="1" applyFill="1" applyBorder="1" applyAlignment="1">
      <alignment horizontal="center"/>
    </xf>
    <xf numFmtId="2" fontId="3" fillId="11" borderId="0" xfId="0" applyNumberFormat="1" applyFont="1" applyFill="1" applyBorder="1" applyAlignment="1">
      <alignment horizontal="left"/>
    </xf>
    <xf numFmtId="0" fontId="30" fillId="11" borderId="0" xfId="0" applyFont="1" applyFill="1" applyBorder="1"/>
    <xf numFmtId="0" fontId="0" fillId="11" borderId="36" xfId="0" applyFill="1" applyBorder="1"/>
    <xf numFmtId="0" fontId="16" fillId="11" borderId="43" xfId="0" applyFont="1" applyFill="1" applyBorder="1"/>
    <xf numFmtId="0" fontId="21" fillId="11" borderId="43" xfId="0" applyFont="1" applyFill="1" applyBorder="1" applyAlignment="1">
      <alignment horizontal="right"/>
    </xf>
    <xf numFmtId="0" fontId="0" fillId="11" borderId="43" xfId="0" applyFill="1" applyBorder="1" applyAlignment="1">
      <alignment horizontal="right"/>
    </xf>
    <xf numFmtId="164" fontId="13" fillId="11" borderId="42" xfId="1" applyFont="1" applyFill="1" applyBorder="1" applyAlignment="1">
      <alignment horizontal="left"/>
    </xf>
    <xf numFmtId="164" fontId="13" fillId="11" borderId="42" xfId="1" applyFont="1" applyFill="1" applyBorder="1" applyAlignment="1">
      <alignment horizontal="center"/>
    </xf>
    <xf numFmtId="0" fontId="22" fillId="11" borderId="42" xfId="0" applyFont="1" applyFill="1" applyBorder="1"/>
    <xf numFmtId="0" fontId="0" fillId="11" borderId="32" xfId="0" applyFill="1" applyBorder="1"/>
    <xf numFmtId="0" fontId="0" fillId="11" borderId="32" xfId="0" applyFill="1" applyBorder="1" applyAlignment="1">
      <alignment horizontal="right"/>
    </xf>
    <xf numFmtId="0" fontId="0" fillId="11" borderId="39" xfId="0" applyFill="1" applyBorder="1"/>
    <xf numFmtId="0" fontId="20" fillId="11" borderId="0" xfId="0" applyFont="1" applyFill="1" applyBorder="1"/>
    <xf numFmtId="0" fontId="2" fillId="11" borderId="0" xfId="0" applyFont="1" applyFill="1" applyBorder="1" applyAlignment="1">
      <alignment horizontal="right"/>
    </xf>
    <xf numFmtId="2" fontId="11" fillId="11" borderId="21" xfId="0" applyNumberFormat="1" applyFont="1" applyFill="1" applyBorder="1" applyAlignment="1">
      <alignment horizontal="center"/>
    </xf>
    <xf numFmtId="2" fontId="11" fillId="11" borderId="5" xfId="0" applyNumberFormat="1" applyFont="1" applyFill="1" applyBorder="1"/>
    <xf numFmtId="168" fontId="0" fillId="11" borderId="0" xfId="0" applyNumberFormat="1" applyFill="1" applyBorder="1"/>
    <xf numFmtId="0" fontId="0" fillId="11" borderId="0" xfId="0" applyFill="1" applyBorder="1" applyAlignment="1">
      <alignment horizontal="left" indent="5"/>
    </xf>
    <xf numFmtId="2" fontId="3" fillId="11" borderId="0" xfId="0" applyNumberFormat="1" applyFont="1" applyFill="1" applyBorder="1" applyAlignment="1">
      <alignment horizontal="right"/>
    </xf>
    <xf numFmtId="0" fontId="0" fillId="11" borderId="1" xfId="0" applyFill="1" applyBorder="1"/>
    <xf numFmtId="0" fontId="0" fillId="11" borderId="11" xfId="0" applyFill="1" applyBorder="1"/>
    <xf numFmtId="0" fontId="13" fillId="11" borderId="16" xfId="0" applyFont="1" applyFill="1" applyBorder="1"/>
    <xf numFmtId="0" fontId="0" fillId="11" borderId="16" xfId="0" applyFill="1" applyBorder="1"/>
    <xf numFmtId="0" fontId="22" fillId="11" borderId="0" xfId="0" applyFont="1" applyFill="1" applyBorder="1"/>
    <xf numFmtId="0" fontId="5" fillId="11" borderId="42" xfId="0" applyFont="1" applyFill="1" applyBorder="1"/>
    <xf numFmtId="0" fontId="21" fillId="11" borderId="0" xfId="0" applyFont="1" applyFill="1" applyBorder="1"/>
    <xf numFmtId="166" fontId="21" fillId="11" borderId="0" xfId="0" applyNumberFormat="1" applyFont="1" applyFill="1" applyBorder="1"/>
    <xf numFmtId="165" fontId="0" fillId="11" borderId="0" xfId="0" applyNumberFormat="1" applyFill="1" applyBorder="1" applyAlignment="1">
      <alignment horizontal="left"/>
    </xf>
    <xf numFmtId="0" fontId="23" fillId="11" borderId="0" xfId="0" applyFont="1" applyFill="1" applyBorder="1"/>
    <xf numFmtId="0" fontId="18" fillId="11" borderId="0" xfId="0" applyFont="1" applyFill="1" applyBorder="1" applyAlignment="1">
      <alignment horizontal="center"/>
    </xf>
    <xf numFmtId="0" fontId="27" fillId="11" borderId="0" xfId="0" applyFont="1" applyFill="1" applyBorder="1"/>
    <xf numFmtId="0" fontId="11" fillId="11" borderId="0" xfId="0" applyFont="1" applyFill="1" applyBorder="1"/>
    <xf numFmtId="0" fontId="4" fillId="11" borderId="43" xfId="0" applyFont="1" applyFill="1" applyBorder="1" applyAlignment="1">
      <alignment horizontal="right"/>
    </xf>
    <xf numFmtId="0" fontId="21" fillId="11" borderId="0" xfId="0" applyFont="1" applyFill="1" applyBorder="1" applyAlignment="1">
      <alignment horizontal="left"/>
    </xf>
    <xf numFmtId="0" fontId="15" fillId="11" borderId="0" xfId="0" applyFont="1" applyFill="1" applyBorder="1" applyAlignment="1">
      <alignment horizontal="left"/>
    </xf>
    <xf numFmtId="0" fontId="2" fillId="11" borderId="0" xfId="0" applyFont="1" applyFill="1" applyBorder="1" applyAlignment="1">
      <alignment horizontal="left"/>
    </xf>
    <xf numFmtId="0" fontId="20" fillId="11" borderId="0" xfId="0" applyFont="1" applyFill="1" applyBorder="1" applyAlignment="1">
      <alignment horizontal="left"/>
    </xf>
    <xf numFmtId="0" fontId="0" fillId="11" borderId="4" xfId="0" applyFill="1" applyBorder="1"/>
    <xf numFmtId="0" fontId="21" fillId="11" borderId="0" xfId="0" applyFont="1" applyFill="1" applyBorder="1" applyAlignment="1">
      <alignment horizontal="center"/>
    </xf>
    <xf numFmtId="2" fontId="11" fillId="11" borderId="0" xfId="0" applyNumberFormat="1" applyFont="1" applyFill="1" applyBorder="1" applyAlignment="1">
      <alignment horizontal="center"/>
    </xf>
    <xf numFmtId="0" fontId="21" fillId="11" borderId="7" xfId="0" applyFont="1" applyFill="1" applyBorder="1" applyAlignment="1">
      <alignment horizontal="left"/>
    </xf>
    <xf numFmtId="2" fontId="21" fillId="11" borderId="0" xfId="0" applyNumberFormat="1" applyFont="1" applyFill="1" applyBorder="1" applyAlignment="1">
      <alignment horizontal="right"/>
    </xf>
    <xf numFmtId="0" fontId="0" fillId="11" borderId="49" xfId="0" applyFill="1" applyBorder="1" applyAlignment="1">
      <alignment horizontal="right" indent="1"/>
    </xf>
    <xf numFmtId="0" fontId="0" fillId="11" borderId="10" xfId="0" applyFill="1" applyBorder="1" applyAlignment="1">
      <alignment horizontal="center"/>
    </xf>
    <xf numFmtId="2" fontId="11" fillId="13" borderId="0" xfId="0" applyNumberFormat="1" applyFont="1" applyFill="1" applyBorder="1" applyAlignment="1" applyProtection="1">
      <alignment horizontal="center" vertical="center"/>
      <protection locked="0"/>
    </xf>
    <xf numFmtId="0" fontId="37" fillId="11" borderId="0" xfId="0" applyFont="1" applyFill="1" applyBorder="1" applyAlignment="1">
      <alignment horizontal="right"/>
    </xf>
    <xf numFmtId="0" fontId="35" fillId="14" borderId="0" xfId="0" applyFont="1" applyFill="1"/>
    <xf numFmtId="0" fontId="35" fillId="14" borderId="0" xfId="0" applyFont="1" applyFill="1" applyAlignment="1">
      <alignment horizontal="center"/>
    </xf>
    <xf numFmtId="0" fontId="35" fillId="14" borderId="51" xfId="0" applyFont="1" applyFill="1" applyBorder="1" applyAlignment="1">
      <alignment horizontal="center"/>
    </xf>
    <xf numFmtId="0" fontId="39" fillId="15" borderId="51" xfId="0" applyFont="1" applyFill="1" applyBorder="1" applyAlignment="1">
      <alignment horizontal="center"/>
    </xf>
    <xf numFmtId="0" fontId="35" fillId="15" borderId="51" xfId="0" applyFont="1" applyFill="1" applyBorder="1" applyAlignment="1">
      <alignment horizontal="center"/>
    </xf>
    <xf numFmtId="0" fontId="40" fillId="14" borderId="0" xfId="0" applyFont="1" applyFill="1" applyAlignment="1"/>
    <xf numFmtId="0" fontId="35" fillId="17" borderId="51" xfId="0" applyFont="1" applyFill="1" applyBorder="1" applyAlignment="1">
      <alignment horizontal="center"/>
    </xf>
    <xf numFmtId="0" fontId="39" fillId="17" borderId="51" xfId="0" applyFont="1" applyFill="1" applyBorder="1" applyAlignment="1">
      <alignment horizontal="center"/>
    </xf>
    <xf numFmtId="0" fontId="35" fillId="17" borderId="51" xfId="0" applyFont="1" applyFill="1" applyBorder="1"/>
    <xf numFmtId="0" fontId="35" fillId="14" borderId="53" xfId="0" applyFont="1" applyFill="1" applyBorder="1" applyAlignment="1">
      <alignment horizontal="center"/>
    </xf>
    <xf numFmtId="0" fontId="35" fillId="14" borderId="55" xfId="0" applyFont="1" applyFill="1" applyBorder="1" applyAlignment="1">
      <alignment horizontal="center"/>
    </xf>
    <xf numFmtId="181" fontId="35" fillId="17" borderId="51" xfId="0" applyNumberFormat="1" applyFont="1" applyFill="1" applyBorder="1" applyAlignment="1">
      <alignment horizontal="right"/>
    </xf>
    <xf numFmtId="181" fontId="35" fillId="17" borderId="55" xfId="0" applyNumberFormat="1" applyFont="1" applyFill="1" applyBorder="1" applyAlignment="1">
      <alignment horizontal="right" vertical="center"/>
    </xf>
    <xf numFmtId="182" fontId="35" fillId="17" borderId="55" xfId="0" applyNumberFormat="1" applyFont="1" applyFill="1" applyBorder="1" applyAlignment="1">
      <alignment horizontal="right" vertical="center"/>
    </xf>
    <xf numFmtId="181" fontId="35" fillId="17" borderId="51" xfId="0" applyNumberFormat="1" applyFont="1" applyFill="1" applyBorder="1" applyAlignment="1">
      <alignment horizontal="right" vertical="center"/>
    </xf>
    <xf numFmtId="182" fontId="35" fillId="17" borderId="51" xfId="0" applyNumberFormat="1" applyFont="1" applyFill="1" applyBorder="1" applyAlignment="1">
      <alignment horizontal="right" vertical="center"/>
    </xf>
    <xf numFmtId="181" fontId="35" fillId="17" borderId="51" xfId="2" applyNumberFormat="1" applyFont="1" applyFill="1" applyBorder="1" applyAlignment="1">
      <alignment horizontal="right"/>
    </xf>
    <xf numFmtId="180" fontId="35" fillId="17" borderId="51" xfId="0" applyNumberFormat="1" applyFont="1" applyFill="1" applyBorder="1" applyAlignment="1">
      <alignment horizontal="right"/>
    </xf>
    <xf numFmtId="179" fontId="35" fillId="17" borderId="51" xfId="0" applyNumberFormat="1" applyFont="1" applyFill="1" applyBorder="1" applyAlignment="1">
      <alignment horizontal="right"/>
    </xf>
    <xf numFmtId="177" fontId="35" fillId="15" borderId="51" xfId="0" applyNumberFormat="1" applyFont="1" applyFill="1" applyBorder="1" applyAlignment="1">
      <alignment horizontal="right"/>
    </xf>
    <xf numFmtId="179" fontId="35" fillId="15" borderId="51" xfId="0" applyNumberFormat="1" applyFont="1" applyFill="1" applyBorder="1" applyAlignment="1">
      <alignment horizontal="right"/>
    </xf>
    <xf numFmtId="178" fontId="35" fillId="15" borderId="51" xfId="0" applyNumberFormat="1" applyFont="1" applyFill="1" applyBorder="1" applyAlignment="1">
      <alignment horizontal="right"/>
    </xf>
    <xf numFmtId="176" fontId="35" fillId="15" borderId="51" xfId="0" applyNumberFormat="1" applyFont="1" applyFill="1" applyBorder="1" applyAlignment="1">
      <alignment horizontal="right"/>
    </xf>
    <xf numFmtId="175" fontId="35" fillId="15" borderId="51" xfId="0" applyNumberFormat="1" applyFont="1" applyFill="1" applyBorder="1" applyAlignment="1">
      <alignment horizontal="right"/>
    </xf>
    <xf numFmtId="0" fontId="35" fillId="14" borderId="56" xfId="0" applyFont="1" applyFill="1" applyBorder="1" applyAlignment="1">
      <alignment horizontal="center"/>
    </xf>
    <xf numFmtId="181" fontId="35" fillId="17" borderId="57" xfId="0" applyNumberFormat="1" applyFont="1" applyFill="1" applyBorder="1" applyAlignment="1">
      <alignment horizontal="right" vertical="center"/>
    </xf>
    <xf numFmtId="182" fontId="35" fillId="17" borderId="57" xfId="0" applyNumberFormat="1" applyFont="1" applyFill="1" applyBorder="1" applyAlignment="1">
      <alignment horizontal="right" vertical="center"/>
    </xf>
    <xf numFmtId="183" fontId="35" fillId="14" borderId="0" xfId="0" applyNumberFormat="1" applyFont="1" applyFill="1"/>
    <xf numFmtId="184" fontId="35" fillId="14" borderId="0" xfId="0" applyNumberFormat="1" applyFont="1" applyFill="1"/>
    <xf numFmtId="0" fontId="35" fillId="14" borderId="63" xfId="0" applyFont="1" applyFill="1" applyBorder="1"/>
    <xf numFmtId="0" fontId="36" fillId="14" borderId="63" xfId="0" applyFont="1" applyFill="1" applyBorder="1" applyAlignment="1">
      <alignment vertical="center"/>
    </xf>
    <xf numFmtId="169" fontId="35" fillId="17" borderId="51" xfId="0" applyNumberFormat="1" applyFont="1" applyFill="1" applyBorder="1"/>
    <xf numFmtId="169" fontId="35" fillId="16" borderId="51" xfId="0" applyNumberFormat="1" applyFont="1" applyFill="1" applyBorder="1"/>
    <xf numFmtId="185" fontId="35" fillId="17" borderId="51" xfId="0" applyNumberFormat="1" applyFont="1" applyFill="1" applyBorder="1"/>
    <xf numFmtId="186" fontId="35" fillId="17" borderId="51" xfId="0" applyNumberFormat="1" applyFont="1" applyFill="1" applyBorder="1"/>
    <xf numFmtId="187" fontId="35" fillId="17" borderId="51" xfId="0" applyNumberFormat="1" applyFont="1" applyFill="1" applyBorder="1"/>
    <xf numFmtId="188" fontId="35" fillId="17" borderId="51" xfId="0" applyNumberFormat="1" applyFont="1" applyFill="1" applyBorder="1"/>
    <xf numFmtId="177" fontId="35" fillId="14" borderId="0" xfId="0" applyNumberFormat="1" applyFont="1" applyFill="1"/>
    <xf numFmtId="189" fontId="35" fillId="14" borderId="0" xfId="2" applyNumberFormat="1" applyFont="1" applyFill="1"/>
    <xf numFmtId="0" fontId="11" fillId="11" borderId="0" xfId="0" applyFont="1" applyFill="1" applyBorder="1" applyProtection="1">
      <protection locked="0"/>
    </xf>
    <xf numFmtId="0" fontId="3" fillId="11" borderId="0" xfId="0" applyFont="1" applyFill="1" applyBorder="1" applyProtection="1">
      <protection locked="0"/>
    </xf>
    <xf numFmtId="0" fontId="41" fillId="11" borderId="0" xfId="0" applyFont="1" applyFill="1" applyBorder="1" applyAlignment="1">
      <alignment horizontal="right"/>
    </xf>
    <xf numFmtId="169" fontId="0" fillId="3" borderId="0" xfId="0" applyNumberFormat="1" applyFill="1" applyBorder="1"/>
    <xf numFmtId="169" fontId="0" fillId="11" borderId="0" xfId="0" applyNumberFormat="1" applyFill="1" applyBorder="1"/>
    <xf numFmtId="194" fontId="0" fillId="11" borderId="0" xfId="0" applyNumberFormat="1" applyFill="1" applyBorder="1"/>
    <xf numFmtId="195" fontId="0" fillId="3" borderId="3" xfId="0" applyNumberFormat="1" applyFill="1" applyBorder="1" applyAlignment="1">
      <alignment horizontal="left"/>
    </xf>
    <xf numFmtId="169" fontId="0" fillId="13" borderId="0" xfId="0" applyNumberFormat="1" applyFill="1" applyBorder="1" applyAlignment="1" applyProtection="1">
      <alignment horizontal="left"/>
      <protection locked="0"/>
    </xf>
    <xf numFmtId="194" fontId="0" fillId="11" borderId="0" xfId="0" applyNumberFormat="1" applyFill="1" applyBorder="1" applyAlignment="1">
      <alignment horizontal="left"/>
    </xf>
    <xf numFmtId="193" fontId="0" fillId="13" borderId="0" xfId="0" applyNumberFormat="1" applyFill="1" applyBorder="1" applyAlignment="1" applyProtection="1">
      <alignment horizontal="left"/>
      <protection locked="0"/>
    </xf>
    <xf numFmtId="193" fontId="0" fillId="13" borderId="2" xfId="0" applyNumberFormat="1" applyFill="1" applyBorder="1" applyAlignment="1" applyProtection="1">
      <alignment horizontal="left"/>
      <protection locked="0"/>
    </xf>
    <xf numFmtId="193" fontId="0" fillId="11" borderId="0" xfId="0" applyNumberFormat="1" applyFill="1" applyBorder="1" applyAlignment="1">
      <alignment horizontal="left"/>
    </xf>
    <xf numFmtId="169" fontId="37" fillId="11" borderId="0" xfId="0" applyNumberFormat="1" applyFont="1" applyFill="1" applyBorder="1" applyAlignment="1">
      <alignment horizontal="left"/>
    </xf>
    <xf numFmtId="197" fontId="0" fillId="13" borderId="0" xfId="0" applyNumberFormat="1" applyFill="1" applyBorder="1" applyAlignment="1" applyProtection="1">
      <alignment horizontal="left"/>
      <protection locked="0"/>
    </xf>
    <xf numFmtId="171" fontId="0" fillId="11" borderId="0" xfId="0" applyNumberFormat="1" applyFill="1" applyBorder="1"/>
    <xf numFmtId="169" fontId="0" fillId="3" borderId="0" xfId="0" applyNumberFormat="1" applyFill="1" applyBorder="1" applyAlignment="1">
      <alignment horizontal="left"/>
    </xf>
    <xf numFmtId="177" fontId="0" fillId="11" borderId="0" xfId="0" applyNumberFormat="1" applyFill="1" applyBorder="1" applyAlignment="1">
      <alignment horizontal="left"/>
    </xf>
    <xf numFmtId="194" fontId="0" fillId="3" borderId="0" xfId="0" applyNumberFormat="1" applyFill="1" applyBorder="1"/>
    <xf numFmtId="194" fontId="0" fillId="0" borderId="0" xfId="0" applyNumberFormat="1" applyBorder="1"/>
    <xf numFmtId="194" fontId="0" fillId="3" borderId="32" xfId="0" applyNumberFormat="1" applyFill="1" applyBorder="1"/>
    <xf numFmtId="194" fontId="0" fillId="0" borderId="39" xfId="0" applyNumberFormat="1" applyBorder="1"/>
    <xf numFmtId="0" fontId="0" fillId="11" borderId="39" xfId="0" applyFill="1" applyBorder="1" applyAlignment="1">
      <alignment horizontal="left"/>
    </xf>
    <xf numFmtId="198" fontId="0" fillId="11" borderId="0" xfId="0" applyNumberFormat="1" applyFill="1" applyBorder="1"/>
    <xf numFmtId="174" fontId="0" fillId="11" borderId="0" xfId="0" applyNumberFormat="1" applyFill="1" applyBorder="1"/>
    <xf numFmtId="2" fontId="3" fillId="11" borderId="64" xfId="0" applyNumberFormat="1" applyFont="1" applyFill="1" applyBorder="1" applyAlignment="1">
      <alignment horizontal="left"/>
    </xf>
    <xf numFmtId="0" fontId="10" fillId="11" borderId="36" xfId="0" applyFont="1" applyFill="1" applyBorder="1"/>
    <xf numFmtId="199" fontId="0" fillId="5" borderId="50" xfId="0" applyNumberFormat="1" applyFill="1" applyBorder="1"/>
    <xf numFmtId="200" fontId="0" fillId="6" borderId="0" xfId="0" applyNumberFormat="1" applyFill="1" applyBorder="1"/>
    <xf numFmtId="200" fontId="0" fillId="6" borderId="0" xfId="0" applyNumberFormat="1" applyFill="1" applyBorder="1" applyAlignment="1">
      <alignment horizontal="right"/>
    </xf>
    <xf numFmtId="199" fontId="1" fillId="5" borderId="50" xfId="0" applyNumberFormat="1" applyFont="1" applyFill="1" applyBorder="1"/>
    <xf numFmtId="200" fontId="1" fillId="6" borderId="0" xfId="0" applyNumberFormat="1" applyFont="1" applyFill="1" applyBorder="1"/>
    <xf numFmtId="0" fontId="1" fillId="11" borderId="0" xfId="0" applyFont="1" applyFill="1" applyBorder="1" applyAlignment="1">
      <alignment horizontal="right"/>
    </xf>
    <xf numFmtId="201" fontId="0" fillId="5" borderId="0" xfId="0" applyNumberFormat="1" applyFill="1" applyBorder="1" applyAlignment="1">
      <alignment horizontal="right"/>
    </xf>
    <xf numFmtId="179" fontId="1" fillId="5" borderId="50" xfId="0" applyNumberFormat="1" applyFont="1" applyFill="1" applyBorder="1"/>
    <xf numFmtId="170" fontId="0" fillId="11" borderId="0" xfId="0" applyNumberFormat="1" applyFill="1" applyBorder="1"/>
    <xf numFmtId="175" fontId="0" fillId="11" borderId="0" xfId="0" applyNumberFormat="1" applyFill="1" applyBorder="1" applyAlignment="1">
      <alignment horizontal="left"/>
    </xf>
    <xf numFmtId="174" fontId="0" fillId="11" borderId="0" xfId="0" applyNumberFormat="1" applyFill="1" applyBorder="1" applyAlignment="1">
      <alignment horizontal="left"/>
    </xf>
    <xf numFmtId="0" fontId="42" fillId="11" borderId="0" xfId="0" applyFont="1" applyFill="1" applyBorder="1"/>
    <xf numFmtId="0" fontId="15" fillId="11" borderId="42" xfId="0" applyFont="1" applyFill="1" applyBorder="1"/>
    <xf numFmtId="0" fontId="10" fillId="5" borderId="65" xfId="0" applyFont="1" applyFill="1" applyBorder="1" applyAlignment="1">
      <alignment horizontal="left"/>
    </xf>
    <xf numFmtId="169" fontId="10" fillId="5" borderId="36" xfId="0" applyNumberFormat="1" applyFont="1" applyFill="1" applyBorder="1" applyAlignment="1">
      <alignment horizontal="left"/>
    </xf>
    <xf numFmtId="0" fontId="22" fillId="11" borderId="36" xfId="0" applyFont="1" applyFill="1" applyBorder="1"/>
    <xf numFmtId="0" fontId="30" fillId="18" borderId="0" xfId="0" applyFont="1" applyFill="1" applyBorder="1"/>
    <xf numFmtId="0" fontId="30" fillId="18" borderId="0" xfId="0" applyFont="1" applyFill="1" applyBorder="1" applyAlignment="1">
      <alignment horizontal="center"/>
    </xf>
    <xf numFmtId="169" fontId="0" fillId="13" borderId="0" xfId="0" applyNumberFormat="1" applyFill="1" applyBorder="1" applyAlignment="1" applyProtection="1">
      <alignment horizontal="left"/>
      <protection locked="0"/>
    </xf>
    <xf numFmtId="0" fontId="43" fillId="11" borderId="43" xfId="0" applyFont="1" applyFill="1" applyBorder="1" applyAlignment="1">
      <alignment horizontal="right"/>
    </xf>
    <xf numFmtId="2" fontId="35" fillId="17" borderId="51" xfId="0" applyNumberFormat="1" applyFont="1" applyFill="1" applyBorder="1" applyAlignment="1">
      <alignment horizontal="right"/>
    </xf>
    <xf numFmtId="168" fontId="11" fillId="11" borderId="7" xfId="0" applyNumberFormat="1" applyFont="1" applyFill="1" applyBorder="1" applyAlignment="1" applyProtection="1">
      <alignment horizontal="left" indent="1"/>
      <protection locked="0"/>
    </xf>
    <xf numFmtId="169" fontId="11" fillId="11" borderId="0" xfId="0" applyNumberFormat="1" applyFont="1" applyFill="1" applyBorder="1" applyAlignment="1">
      <alignment horizontal="left"/>
    </xf>
    <xf numFmtId="169" fontId="0" fillId="11" borderId="0" xfId="0" applyNumberFormat="1" applyFill="1" applyBorder="1" applyAlignment="1" applyProtection="1">
      <alignment horizontal="left"/>
      <protection locked="0"/>
    </xf>
    <xf numFmtId="169" fontId="0" fillId="20" borderId="40" xfId="0" applyNumberFormat="1" applyFill="1" applyBorder="1" applyAlignment="1" applyProtection="1">
      <alignment horizontal="center"/>
      <protection locked="0"/>
    </xf>
    <xf numFmtId="170" fontId="0" fillId="11" borderId="0" xfId="0" applyNumberFormat="1" applyFill="1" applyBorder="1" applyAlignment="1" applyProtection="1">
      <alignment horizontal="left"/>
      <protection locked="0"/>
    </xf>
    <xf numFmtId="0" fontId="3" fillId="13" borderId="0" xfId="0" applyFont="1" applyFill="1" applyBorder="1" applyProtection="1">
      <protection locked="0"/>
    </xf>
    <xf numFmtId="0" fontId="28" fillId="11" borderId="23" xfId="0" applyFont="1" applyFill="1" applyBorder="1" applyAlignment="1">
      <alignment horizontal="left"/>
    </xf>
    <xf numFmtId="0" fontId="3" fillId="11" borderId="43" xfId="0" applyFont="1" applyFill="1" applyBorder="1" applyAlignment="1">
      <alignment horizontal="right"/>
    </xf>
    <xf numFmtId="0" fontId="11" fillId="11" borderId="43" xfId="0" applyFont="1" applyFill="1" applyBorder="1" applyAlignment="1">
      <alignment horizontal="right"/>
    </xf>
    <xf numFmtId="0" fontId="44" fillId="11" borderId="43" xfId="0" applyFont="1" applyFill="1" applyBorder="1" applyAlignment="1">
      <alignment horizontal="right"/>
    </xf>
    <xf numFmtId="0" fontId="4" fillId="0" borderId="43" xfId="0" applyFont="1" applyBorder="1" applyAlignment="1">
      <alignment horizontal="right"/>
    </xf>
    <xf numFmtId="0" fontId="10" fillId="11" borderId="43" xfId="0" applyFont="1" applyFill="1" applyBorder="1" applyAlignment="1">
      <alignment horizontal="right"/>
    </xf>
    <xf numFmtId="0" fontId="3" fillId="11" borderId="46" xfId="0" applyFont="1" applyFill="1" applyBorder="1" applyAlignment="1">
      <alignment horizontal="right"/>
    </xf>
    <xf numFmtId="0" fontId="9" fillId="11" borderId="0" xfId="0" applyFont="1" applyFill="1" applyBorder="1" applyAlignment="1">
      <alignment horizontal="right"/>
    </xf>
    <xf numFmtId="0" fontId="3" fillId="13" borderId="3" xfId="0" applyFont="1" applyFill="1" applyBorder="1"/>
    <xf numFmtId="0" fontId="9" fillId="11" borderId="43" xfId="0" applyFont="1" applyFill="1" applyBorder="1" applyAlignment="1">
      <alignment horizontal="right"/>
    </xf>
    <xf numFmtId="2" fontId="0" fillId="4" borderId="66" xfId="0" applyNumberFormat="1" applyFill="1" applyBorder="1" applyAlignment="1">
      <alignment horizontal="center"/>
    </xf>
    <xf numFmtId="2" fontId="0" fillId="3" borderId="66" xfId="0" applyNumberFormat="1" applyFill="1" applyBorder="1" applyAlignment="1">
      <alignment horizontal="center"/>
    </xf>
    <xf numFmtId="0" fontId="37" fillId="11" borderId="0" xfId="0" applyFont="1" applyFill="1" applyBorder="1" applyAlignment="1">
      <alignment horizontal="center"/>
    </xf>
    <xf numFmtId="166" fontId="0" fillId="11" borderId="0" xfId="0" applyNumberFormat="1" applyFill="1" applyBorder="1" applyAlignment="1" applyProtection="1">
      <alignment horizontal="left"/>
      <protection locked="0"/>
    </xf>
    <xf numFmtId="0" fontId="0" fillId="11" borderId="0" xfId="0" applyFill="1" applyBorder="1" applyAlignment="1" applyProtection="1">
      <alignment horizontal="left"/>
      <protection locked="0"/>
    </xf>
    <xf numFmtId="0" fontId="46" fillId="11" borderId="0" xfId="0" applyFont="1" applyFill="1" applyBorder="1"/>
    <xf numFmtId="168" fontId="11" fillId="11" borderId="21" xfId="0" applyNumberFormat="1" applyFont="1" applyFill="1" applyBorder="1" applyAlignment="1" applyProtection="1">
      <alignment horizontal="center"/>
      <protection locked="0"/>
    </xf>
    <xf numFmtId="0" fontId="43" fillId="11" borderId="0" xfId="0" applyFont="1" applyFill="1" applyBorder="1" applyAlignment="1">
      <alignment horizontal="right"/>
    </xf>
    <xf numFmtId="0" fontId="3" fillId="21" borderId="0" xfId="0" applyFont="1" applyFill="1" applyBorder="1" applyAlignment="1">
      <alignment horizontal="center"/>
    </xf>
    <xf numFmtId="200" fontId="0" fillId="11" borderId="0" xfId="0" applyNumberFormat="1" applyFill="1" applyBorder="1"/>
    <xf numFmtId="200" fontId="11" fillId="11" borderId="0" xfId="0" applyNumberFormat="1" applyFont="1" applyFill="1" applyBorder="1"/>
    <xf numFmtId="0" fontId="49" fillId="11" borderId="0" xfId="0" applyFont="1" applyFill="1" applyBorder="1" applyAlignment="1">
      <alignment horizontal="right"/>
    </xf>
    <xf numFmtId="0" fontId="50" fillId="11" borderId="0" xfId="0" applyFont="1" applyFill="1" applyBorder="1" applyAlignment="1">
      <alignment horizontal="right"/>
    </xf>
    <xf numFmtId="0" fontId="35" fillId="11" borderId="0" xfId="0" applyFont="1" applyFill="1" applyBorder="1"/>
    <xf numFmtId="2" fontId="35" fillId="11" borderId="0" xfId="0" applyNumberFormat="1" applyFont="1" applyFill="1" applyBorder="1" applyAlignment="1">
      <alignment horizontal="left"/>
    </xf>
    <xf numFmtId="168" fontId="0" fillId="3" borderId="5" xfId="0" applyNumberFormat="1" applyFill="1" applyBorder="1" applyAlignment="1"/>
    <xf numFmtId="0" fontId="37" fillId="11" borderId="42" xfId="0" applyFont="1" applyFill="1" applyBorder="1"/>
    <xf numFmtId="0" fontId="51" fillId="11" borderId="42" xfId="0" applyFont="1" applyFill="1" applyBorder="1"/>
    <xf numFmtId="0" fontId="37" fillId="11" borderId="0" xfId="0" applyFont="1" applyFill="1" applyBorder="1"/>
    <xf numFmtId="174" fontId="37" fillId="11" borderId="0" xfId="0" applyNumberFormat="1" applyFont="1" applyFill="1" applyBorder="1"/>
    <xf numFmtId="0" fontId="1" fillId="13" borderId="0" xfId="0" applyFont="1" applyFill="1" applyBorder="1" applyAlignment="1" applyProtection="1">
      <alignment horizontal="center"/>
      <protection locked="0"/>
    </xf>
    <xf numFmtId="166" fontId="35" fillId="11" borderId="0" xfId="0" applyNumberFormat="1" applyFont="1" applyFill="1" applyBorder="1" applyProtection="1">
      <protection locked="0"/>
    </xf>
    <xf numFmtId="200" fontId="0" fillId="11" borderId="0" xfId="0" applyNumberFormat="1" applyFill="1" applyBorder="1" applyAlignment="1">
      <alignment horizontal="left"/>
    </xf>
    <xf numFmtId="0" fontId="13" fillId="0" borderId="23" xfId="0" applyFont="1" applyFill="1" applyBorder="1" applyAlignment="1">
      <alignment horizontal="right"/>
    </xf>
    <xf numFmtId="200" fontId="0" fillId="11" borderId="0" xfId="0" applyNumberFormat="1" applyFill="1"/>
    <xf numFmtId="2" fontId="1" fillId="11" borderId="0" xfId="0" applyNumberFormat="1" applyFont="1" applyFill="1" applyBorder="1" applyAlignment="1">
      <alignment horizontal="right"/>
    </xf>
    <xf numFmtId="200" fontId="1" fillId="11" borderId="0" xfId="0" applyNumberFormat="1" applyFont="1" applyFill="1" applyBorder="1"/>
    <xf numFmtId="0" fontId="2" fillId="11" borderId="43" xfId="0" applyFont="1" applyFill="1" applyBorder="1" applyAlignment="1">
      <alignment horizontal="center"/>
    </xf>
    <xf numFmtId="0" fontId="35" fillId="11" borderId="0" xfId="0" applyFont="1" applyFill="1"/>
    <xf numFmtId="200" fontId="0" fillId="13" borderId="0" xfId="0" applyNumberFormat="1" applyFill="1" applyAlignment="1">
      <alignment horizontal="left"/>
    </xf>
    <xf numFmtId="169" fontId="20" fillId="11" borderId="0" xfId="0" applyNumberFormat="1" applyFont="1" applyFill="1" applyBorder="1" applyAlignment="1">
      <alignment horizontal="left"/>
    </xf>
    <xf numFmtId="0" fontId="14" fillId="0" borderId="23" xfId="0" applyFont="1" applyFill="1" applyBorder="1" applyAlignment="1">
      <alignment horizontal="right"/>
    </xf>
    <xf numFmtId="173" fontId="37" fillId="13" borderId="0" xfId="0" applyNumberFormat="1" applyFont="1" applyFill="1" applyBorder="1" applyAlignment="1" applyProtection="1">
      <alignment horizontal="left"/>
      <protection locked="0"/>
    </xf>
    <xf numFmtId="174" fontId="54" fillId="13" borderId="0" xfId="0" applyNumberFormat="1" applyFont="1" applyFill="1" applyBorder="1" applyAlignment="1" applyProtection="1">
      <alignment horizontal="left"/>
      <protection locked="0"/>
    </xf>
    <xf numFmtId="2" fontId="0" fillId="11" borderId="0" xfId="0" applyNumberFormat="1" applyFill="1" applyBorder="1" applyAlignment="1" applyProtection="1">
      <alignment horizontal="left"/>
      <protection locked="0"/>
    </xf>
    <xf numFmtId="2" fontId="55" fillId="13" borderId="0" xfId="0" applyNumberFormat="1" applyFont="1" applyFill="1" applyBorder="1" applyProtection="1">
      <protection locked="0"/>
    </xf>
    <xf numFmtId="0" fontId="11" fillId="11" borderId="3" xfId="0" applyFont="1" applyFill="1" applyBorder="1"/>
    <xf numFmtId="0" fontId="3" fillId="11" borderId="3" xfId="0" applyFont="1" applyFill="1" applyBorder="1"/>
    <xf numFmtId="0" fontId="2" fillId="3" borderId="42" xfId="0" applyFont="1" applyFill="1" applyBorder="1" applyAlignment="1">
      <alignment horizontal="center"/>
    </xf>
    <xf numFmtId="0" fontId="2" fillId="3" borderId="3" xfId="0" applyFont="1" applyFill="1" applyBorder="1" applyAlignment="1">
      <alignment horizontal="center"/>
    </xf>
    <xf numFmtId="2" fontId="0" fillId="3" borderId="0" xfId="0" applyNumberFormat="1" applyFill="1" applyBorder="1" applyAlignment="1">
      <alignment horizontal="center"/>
    </xf>
    <xf numFmtId="2" fontId="2" fillId="3" borderId="67" xfId="0" applyNumberFormat="1" applyFont="1" applyFill="1" applyBorder="1" applyAlignment="1">
      <alignment horizontal="center"/>
    </xf>
    <xf numFmtId="0" fontId="41" fillId="11" borderId="0" xfId="0" applyFont="1" applyFill="1" applyBorder="1" applyAlignment="1">
      <alignment horizontal="left"/>
    </xf>
    <xf numFmtId="190" fontId="0" fillId="11" borderId="0" xfId="0" applyNumberFormat="1" applyFill="1" applyBorder="1" applyAlignment="1">
      <alignment horizontal="left"/>
    </xf>
    <xf numFmtId="0" fontId="17" fillId="11" borderId="0" xfId="0" applyFont="1" applyFill="1" applyBorder="1"/>
    <xf numFmtId="0" fontId="0" fillId="0" borderId="68" xfId="0" applyBorder="1" applyAlignment="1">
      <alignment horizontal="center"/>
    </xf>
    <xf numFmtId="2" fontId="0" fillId="8" borderId="66" xfId="0" applyNumberFormat="1" applyFill="1" applyBorder="1" applyAlignment="1">
      <alignment horizontal="center"/>
    </xf>
    <xf numFmtId="2" fontId="0" fillId="0" borderId="66" xfId="0" applyNumberFormat="1" applyBorder="1" applyAlignment="1">
      <alignment horizontal="center"/>
    </xf>
    <xf numFmtId="0" fontId="52" fillId="11" borderId="42" xfId="0" applyFont="1" applyFill="1" applyBorder="1"/>
    <xf numFmtId="172" fontId="1" fillId="11" borderId="36" xfId="0" applyNumberFormat="1" applyFont="1" applyFill="1" applyBorder="1" applyAlignment="1">
      <alignment horizontal="left"/>
    </xf>
    <xf numFmtId="169" fontId="3" fillId="13" borderId="69" xfId="0" applyNumberFormat="1" applyFont="1" applyFill="1" applyBorder="1" applyAlignment="1" applyProtection="1">
      <alignment horizontal="left"/>
      <protection locked="0"/>
    </xf>
    <xf numFmtId="0" fontId="30" fillId="11" borderId="36" xfId="0" applyFont="1" applyFill="1" applyBorder="1"/>
    <xf numFmtId="0" fontId="25" fillId="11" borderId="0" xfId="0" applyFont="1" applyFill="1" applyBorder="1"/>
    <xf numFmtId="0" fontId="35" fillId="11" borderId="0" xfId="0" applyFont="1" applyFill="1" applyBorder="1" applyAlignment="1">
      <alignment horizontal="right"/>
    </xf>
    <xf numFmtId="175" fontId="35" fillId="11" borderId="0" xfId="0" applyNumberFormat="1" applyFont="1" applyFill="1" applyBorder="1" applyAlignment="1">
      <alignment horizontal="left"/>
    </xf>
    <xf numFmtId="198" fontId="35" fillId="11" borderId="0" xfId="0" applyNumberFormat="1" applyFont="1" applyFill="1" applyBorder="1"/>
    <xf numFmtId="0" fontId="0" fillId="11" borderId="19" xfId="0" applyFill="1" applyBorder="1"/>
    <xf numFmtId="0" fontId="57" fillId="11" borderId="0" xfId="0" applyFont="1" applyFill="1" applyBorder="1"/>
    <xf numFmtId="0" fontId="46" fillId="11" borderId="0" xfId="0" applyFont="1" applyFill="1"/>
    <xf numFmtId="0" fontId="46" fillId="0" borderId="0" xfId="0" applyFont="1"/>
    <xf numFmtId="0" fontId="46" fillId="11" borderId="23" xfId="0" applyFont="1" applyFill="1" applyBorder="1"/>
    <xf numFmtId="0" fontId="58" fillId="11" borderId="42" xfId="0" applyFont="1" applyFill="1" applyBorder="1"/>
    <xf numFmtId="0" fontId="46" fillId="11" borderId="42" xfId="0" applyFont="1" applyFill="1" applyBorder="1"/>
    <xf numFmtId="0" fontId="46" fillId="11" borderId="14" xfId="0" applyFont="1" applyFill="1" applyBorder="1"/>
    <xf numFmtId="0" fontId="46" fillId="11" borderId="43" xfId="0" applyFont="1" applyFill="1" applyBorder="1"/>
    <xf numFmtId="0" fontId="46" fillId="11" borderId="15" xfId="0" applyFont="1" applyFill="1" applyBorder="1"/>
    <xf numFmtId="0" fontId="46" fillId="11" borderId="43" xfId="0" applyFont="1" applyFill="1" applyBorder="1" applyAlignment="1">
      <alignment horizontal="center"/>
    </xf>
    <xf numFmtId="0" fontId="46" fillId="11" borderId="0" xfId="0" applyFont="1" applyFill="1" applyBorder="1" applyAlignment="1">
      <alignment horizontal="right"/>
    </xf>
    <xf numFmtId="169" fontId="46" fillId="11" borderId="0" xfId="0" applyNumberFormat="1" applyFont="1" applyFill="1" applyBorder="1"/>
    <xf numFmtId="0" fontId="46" fillId="11" borderId="0" xfId="0" applyFont="1" applyFill="1" applyBorder="1" applyAlignment="1">
      <alignment horizontal="center"/>
    </xf>
    <xf numFmtId="0" fontId="60" fillId="11" borderId="0" xfId="0" applyFont="1" applyFill="1" applyBorder="1"/>
    <xf numFmtId="192" fontId="46" fillId="11" borderId="0" xfId="0" applyNumberFormat="1" applyFont="1" applyFill="1" applyBorder="1" applyProtection="1">
      <protection locked="0"/>
    </xf>
    <xf numFmtId="0" fontId="46" fillId="22" borderId="43" xfId="0" applyFont="1" applyFill="1" applyBorder="1" applyAlignment="1">
      <alignment horizontal="center"/>
    </xf>
    <xf numFmtId="0" fontId="46" fillId="22" borderId="0" xfId="0" applyFont="1" applyFill="1" applyBorder="1"/>
    <xf numFmtId="0" fontId="46" fillId="22" borderId="15" xfId="0" applyFont="1" applyFill="1" applyBorder="1"/>
    <xf numFmtId="0" fontId="46" fillId="22" borderId="43" xfId="0" applyFont="1" applyFill="1" applyBorder="1"/>
    <xf numFmtId="0" fontId="46" fillId="22" borderId="46" xfId="0" applyFont="1" applyFill="1" applyBorder="1"/>
    <xf numFmtId="0" fontId="46" fillId="22" borderId="3" xfId="0" applyFont="1" applyFill="1" applyBorder="1" applyAlignment="1">
      <alignment horizontal="right"/>
    </xf>
    <xf numFmtId="0" fontId="46" fillId="22" borderId="3" xfId="0" applyFont="1" applyFill="1" applyBorder="1"/>
    <xf numFmtId="0" fontId="46" fillId="22" borderId="19" xfId="0" applyFont="1" applyFill="1" applyBorder="1"/>
    <xf numFmtId="0" fontId="46" fillId="19" borderId="43" xfId="0" applyFont="1" applyFill="1" applyBorder="1"/>
    <xf numFmtId="0" fontId="46" fillId="19" borderId="0" xfId="0" applyFont="1" applyFill="1" applyBorder="1"/>
    <xf numFmtId="0" fontId="46" fillId="19" borderId="15" xfId="0" applyFont="1" applyFill="1" applyBorder="1"/>
    <xf numFmtId="0" fontId="58" fillId="22" borderId="0" xfId="0" applyFont="1" applyFill="1" applyBorder="1"/>
    <xf numFmtId="0" fontId="46" fillId="22" borderId="0" xfId="0" applyFont="1" applyFill="1" applyBorder="1" applyAlignment="1">
      <alignment vertical="top" wrapText="1"/>
    </xf>
    <xf numFmtId="0" fontId="46" fillId="22" borderId="43" xfId="0" applyFont="1" applyFill="1" applyBorder="1" applyAlignment="1">
      <alignment horizontal="right"/>
    </xf>
    <xf numFmtId="178" fontId="41" fillId="22" borderId="0" xfId="0" applyNumberFormat="1" applyFont="1" applyFill="1" applyBorder="1" applyAlignment="1">
      <alignment horizontal="center"/>
    </xf>
    <xf numFmtId="0" fontId="46" fillId="22" borderId="43" xfId="0" applyFont="1" applyFill="1" applyBorder="1" applyAlignment="1">
      <alignment horizontal="left"/>
    </xf>
    <xf numFmtId="0" fontId="46" fillId="22" borderId="0" xfId="0" applyFont="1" applyFill="1" applyBorder="1" applyAlignment="1">
      <alignment horizontal="left"/>
    </xf>
    <xf numFmtId="0" fontId="46" fillId="22" borderId="15" xfId="0" applyFont="1" applyFill="1" applyBorder="1" applyAlignment="1">
      <alignment horizontal="left"/>
    </xf>
    <xf numFmtId="0" fontId="41" fillId="22" borderId="0" xfId="0" applyFont="1" applyFill="1" applyBorder="1" applyAlignment="1">
      <alignment horizontal="center"/>
    </xf>
    <xf numFmtId="0" fontId="46" fillId="22" borderId="0" xfId="0" applyFont="1" applyFill="1" applyBorder="1" applyAlignment="1">
      <alignment horizontal="center"/>
    </xf>
    <xf numFmtId="0" fontId="41" fillId="22" borderId="15" xfId="0" applyFont="1" applyFill="1" applyBorder="1" applyAlignment="1">
      <alignment horizontal="center"/>
    </xf>
    <xf numFmtId="0" fontId="41" fillId="11" borderId="0" xfId="0" applyFont="1" applyFill="1" applyBorder="1" applyAlignment="1">
      <alignment horizontal="center"/>
    </xf>
    <xf numFmtId="168" fontId="46" fillId="22" borderId="0" xfId="0" applyNumberFormat="1" applyFont="1" applyFill="1" applyBorder="1" applyAlignment="1">
      <alignment horizontal="center"/>
    </xf>
    <xf numFmtId="167" fontId="46" fillId="22" borderId="15" xfId="0" applyNumberFormat="1" applyFont="1" applyFill="1" applyBorder="1" applyAlignment="1">
      <alignment horizontal="center"/>
    </xf>
    <xf numFmtId="0" fontId="46" fillId="22" borderId="0" xfId="0" quotePrefix="1" applyFont="1" applyFill="1" applyBorder="1" applyAlignment="1">
      <alignment horizontal="center"/>
    </xf>
    <xf numFmtId="14" fontId="46" fillId="22" borderId="0" xfId="0" applyNumberFormat="1" applyFont="1" applyFill="1" applyBorder="1" applyAlignment="1">
      <alignment horizontal="center"/>
    </xf>
    <xf numFmtId="0" fontId="59" fillId="22" borderId="0" xfId="0" applyFont="1" applyFill="1" applyBorder="1" applyAlignment="1">
      <alignment horizontal="center"/>
    </xf>
    <xf numFmtId="0" fontId="41" fillId="22" borderId="0" xfId="0" applyFont="1" applyFill="1" applyBorder="1"/>
    <xf numFmtId="200" fontId="46" fillId="22" borderId="0" xfId="0" applyNumberFormat="1" applyFont="1" applyFill="1" applyBorder="1"/>
    <xf numFmtId="2" fontId="46" fillId="22" borderId="0" xfId="0" applyNumberFormat="1" applyFont="1" applyFill="1" applyBorder="1" applyAlignment="1">
      <alignment horizontal="left"/>
    </xf>
    <xf numFmtId="0" fontId="46" fillId="22" borderId="0" xfId="0" applyFont="1" applyFill="1"/>
    <xf numFmtId="0" fontId="37" fillId="11" borderId="15" xfId="0" applyFont="1" applyFill="1" applyBorder="1"/>
    <xf numFmtId="0" fontId="37" fillId="11" borderId="43" xfId="0" applyFont="1" applyFill="1" applyBorder="1" applyAlignment="1">
      <alignment horizontal="center"/>
    </xf>
    <xf numFmtId="2" fontId="37" fillId="11" borderId="0" xfId="0" applyNumberFormat="1" applyFont="1" applyFill="1" applyBorder="1"/>
    <xf numFmtId="191" fontId="55" fillId="11" borderId="0" xfId="0" applyNumberFormat="1" applyFont="1" applyFill="1" applyBorder="1"/>
    <xf numFmtId="0" fontId="55" fillId="11" borderId="15" xfId="0" applyFont="1" applyFill="1" applyBorder="1"/>
    <xf numFmtId="0" fontId="37" fillId="11" borderId="43" xfId="0" applyFont="1" applyFill="1" applyBorder="1" applyAlignment="1">
      <alignment horizontal="right"/>
    </xf>
    <xf numFmtId="0" fontId="62" fillId="11" borderId="0" xfId="0" applyFont="1" applyFill="1" applyBorder="1" applyAlignment="1">
      <alignment horizontal="right"/>
    </xf>
    <xf numFmtId="191" fontId="37" fillId="11" borderId="0" xfId="0" applyNumberFormat="1" applyFont="1" applyFill="1" applyBorder="1" applyProtection="1">
      <protection locked="0"/>
    </xf>
    <xf numFmtId="0" fontId="37" fillId="11" borderId="43" xfId="0" applyFont="1" applyFill="1" applyBorder="1"/>
    <xf numFmtId="169" fontId="37" fillId="11" borderId="0" xfId="0" applyNumberFormat="1" applyFont="1" applyFill="1" applyBorder="1"/>
    <xf numFmtId="169" fontId="37" fillId="11" borderId="0" xfId="0" applyNumberFormat="1" applyFont="1" applyFill="1" applyBorder="1" applyProtection="1">
      <protection locked="0"/>
    </xf>
    <xf numFmtId="0" fontId="37" fillId="11" borderId="0" xfId="0" applyFont="1" applyFill="1" applyBorder="1" applyAlignment="1">
      <alignment horizontal="left"/>
    </xf>
    <xf numFmtId="0" fontId="37" fillId="11" borderId="23" xfId="0" applyFont="1" applyFill="1" applyBorder="1" applyAlignment="1">
      <alignment horizontal="left" vertical="top" wrapText="1"/>
    </xf>
    <xf numFmtId="0" fontId="37" fillId="11" borderId="42" xfId="0" applyFont="1" applyFill="1" applyBorder="1" applyAlignment="1">
      <alignment horizontal="left" vertical="top" wrapText="1"/>
    </xf>
    <xf numFmtId="0" fontId="37" fillId="11" borderId="14" xfId="0" applyFont="1" applyFill="1" applyBorder="1" applyAlignment="1">
      <alignment horizontal="left" vertical="top" wrapText="1"/>
    </xf>
    <xf numFmtId="0" fontId="37" fillId="11" borderId="43" xfId="0" applyFont="1" applyFill="1" applyBorder="1" applyAlignment="1">
      <alignment horizontal="left" vertical="top" wrapText="1"/>
    </xf>
    <xf numFmtId="0" fontId="37" fillId="11" borderId="0" xfId="0" applyFont="1" applyFill="1" applyBorder="1" applyAlignment="1">
      <alignment horizontal="left" vertical="top" wrapText="1"/>
    </xf>
    <xf numFmtId="0" fontId="37" fillId="11" borderId="15" xfId="0" applyFont="1" applyFill="1" applyBorder="1" applyAlignment="1">
      <alignment horizontal="left" vertical="top" wrapText="1"/>
    </xf>
    <xf numFmtId="0" fontId="1" fillId="11" borderId="0" xfId="0" applyFont="1" applyFill="1" applyAlignment="1">
      <alignment horizontal="left" vertical="top" wrapText="1"/>
    </xf>
    <xf numFmtId="0" fontId="0" fillId="11" borderId="0" xfId="0" applyFill="1" applyAlignment="1">
      <alignment horizontal="left" vertical="top" wrapText="1"/>
    </xf>
    <xf numFmtId="169" fontId="37" fillId="11" borderId="0" xfId="0" applyNumberFormat="1" applyFont="1" applyFill="1" applyBorder="1" applyAlignment="1">
      <alignment horizontal="left"/>
    </xf>
    <xf numFmtId="171" fontId="0" fillId="11" borderId="0" xfId="0" applyNumberFormat="1" applyFill="1" applyBorder="1" applyAlignment="1">
      <alignment horizontal="left"/>
    </xf>
    <xf numFmtId="0" fontId="61" fillId="22" borderId="48" xfId="0" applyFont="1" applyFill="1" applyBorder="1" applyAlignment="1">
      <alignment horizontal="left"/>
    </xf>
    <xf numFmtId="0" fontId="61" fillId="22" borderId="2" xfId="0" applyFont="1" applyFill="1" applyBorder="1" applyAlignment="1">
      <alignment horizontal="left"/>
    </xf>
    <xf numFmtId="0" fontId="61" fillId="22" borderId="45" xfId="0" applyFont="1" applyFill="1" applyBorder="1" applyAlignment="1">
      <alignment horizontal="left"/>
    </xf>
    <xf numFmtId="195" fontId="0" fillId="11" borderId="0" xfId="0" applyNumberFormat="1" applyFill="1" applyBorder="1" applyAlignment="1">
      <alignment horizontal="left"/>
    </xf>
    <xf numFmtId="194" fontId="0" fillId="11" borderId="0" xfId="0" applyNumberFormat="1" applyFill="1" applyBorder="1" applyAlignment="1">
      <alignment horizontal="left"/>
    </xf>
    <xf numFmtId="0" fontId="56" fillId="11" borderId="46" xfId="3" applyFill="1" applyBorder="1" applyAlignment="1">
      <alignment horizontal="left"/>
    </xf>
    <xf numFmtId="0" fontId="56" fillId="11" borderId="3" xfId="3" applyFill="1" applyBorder="1" applyAlignment="1">
      <alignment horizontal="left"/>
    </xf>
    <xf numFmtId="0" fontId="37" fillId="18" borderId="0" xfId="0" applyFont="1" applyFill="1" applyBorder="1" applyAlignment="1">
      <alignment horizontal="center" vertical="center" wrapText="1"/>
    </xf>
    <xf numFmtId="0" fontId="37" fillId="18" borderId="15" xfId="0" applyFont="1" applyFill="1" applyBorder="1" applyAlignment="1">
      <alignment horizontal="center" vertical="center" wrapText="1"/>
    </xf>
    <xf numFmtId="0" fontId="37" fillId="11" borderId="0" xfId="0" applyFont="1" applyFill="1" applyBorder="1" applyAlignment="1">
      <alignment horizontal="center" vertical="center"/>
    </xf>
    <xf numFmtId="169" fontId="37" fillId="13" borderId="0" xfId="0" applyNumberFormat="1" applyFont="1" applyFill="1" applyBorder="1" applyAlignment="1">
      <alignment horizontal="center" vertical="center"/>
    </xf>
    <xf numFmtId="0" fontId="61" fillId="22" borderId="43" xfId="0" applyFont="1" applyFill="1" applyBorder="1" applyAlignment="1">
      <alignment horizontal="left"/>
    </xf>
    <xf numFmtId="0" fontId="61" fillId="22" borderId="0" xfId="0" applyFont="1" applyFill="1" applyBorder="1" applyAlignment="1">
      <alignment horizontal="left"/>
    </xf>
    <xf numFmtId="0" fontId="61" fillId="22" borderId="15" xfId="0" applyFont="1" applyFill="1" applyBorder="1" applyAlignment="1">
      <alignment horizontal="left"/>
    </xf>
    <xf numFmtId="0" fontId="61" fillId="22" borderId="70" xfId="0" applyFont="1" applyFill="1" applyBorder="1" applyAlignment="1">
      <alignment horizontal="left"/>
    </xf>
    <xf numFmtId="0" fontId="61" fillId="22" borderId="6" xfId="0" applyFont="1" applyFill="1" applyBorder="1" applyAlignment="1">
      <alignment horizontal="left"/>
    </xf>
    <xf numFmtId="0" fontId="61" fillId="22" borderId="44" xfId="0" applyFont="1" applyFill="1" applyBorder="1" applyAlignment="1">
      <alignment horizontal="left"/>
    </xf>
    <xf numFmtId="169" fontId="46" fillId="11" borderId="0" xfId="0" applyNumberFormat="1" applyFont="1" applyFill="1" applyBorder="1" applyAlignment="1">
      <alignment horizontal="left"/>
    </xf>
    <xf numFmtId="169" fontId="46" fillId="22" borderId="3" xfId="0" applyNumberFormat="1" applyFont="1" applyFill="1" applyBorder="1" applyAlignment="1">
      <alignment horizontal="left"/>
    </xf>
    <xf numFmtId="0" fontId="48" fillId="11" borderId="0" xfId="0" applyFont="1" applyFill="1" applyBorder="1" applyAlignment="1">
      <alignment horizontal="center" wrapText="1"/>
    </xf>
    <xf numFmtId="0" fontId="48" fillId="11" borderId="3" xfId="0" applyFont="1" applyFill="1" applyBorder="1" applyAlignment="1">
      <alignment horizontal="center" wrapText="1"/>
    </xf>
    <xf numFmtId="198" fontId="37" fillId="11" borderId="0" xfId="0" applyNumberFormat="1" applyFont="1" applyFill="1" applyBorder="1" applyAlignment="1">
      <alignment horizontal="left"/>
    </xf>
    <xf numFmtId="202" fontId="37" fillId="11" borderId="0" xfId="0" applyNumberFormat="1" applyFont="1" applyFill="1" applyBorder="1" applyAlignment="1">
      <alignment horizontal="left"/>
    </xf>
    <xf numFmtId="0" fontId="31" fillId="18" borderId="0" xfId="0" applyFont="1" applyFill="1" applyBorder="1" applyAlignment="1">
      <alignment horizontal="center"/>
    </xf>
    <xf numFmtId="0" fontId="56" fillId="11" borderId="0" xfId="3" applyFill="1" applyBorder="1" applyAlignment="1">
      <alignment horizontal="left"/>
    </xf>
    <xf numFmtId="0" fontId="31" fillId="18" borderId="3" xfId="0" applyFont="1" applyFill="1" applyBorder="1" applyAlignment="1">
      <alignment horizontal="center"/>
    </xf>
    <xf numFmtId="0" fontId="47" fillId="12" borderId="23" xfId="0" applyFont="1" applyFill="1" applyBorder="1" applyAlignment="1">
      <alignment horizontal="center" vertical="center"/>
    </xf>
    <xf numFmtId="0" fontId="47" fillId="12" borderId="42" xfId="0" applyFont="1" applyFill="1" applyBorder="1" applyAlignment="1">
      <alignment horizontal="center" vertical="center"/>
    </xf>
    <xf numFmtId="0" fontId="47" fillId="12" borderId="14" xfId="0" applyFont="1" applyFill="1" applyBorder="1" applyAlignment="1">
      <alignment horizontal="center" vertical="center"/>
    </xf>
    <xf numFmtId="0" fontId="47" fillId="12" borderId="46" xfId="0" applyFont="1" applyFill="1" applyBorder="1" applyAlignment="1">
      <alignment horizontal="center" vertical="center"/>
    </xf>
    <xf numFmtId="0" fontId="47" fillId="12" borderId="3" xfId="0" applyFont="1" applyFill="1" applyBorder="1" applyAlignment="1">
      <alignment horizontal="center" vertical="center"/>
    </xf>
    <xf numFmtId="0" fontId="47" fillId="12" borderId="19" xfId="0" applyFont="1" applyFill="1" applyBorder="1" applyAlignment="1">
      <alignment horizontal="center" vertical="center"/>
    </xf>
    <xf numFmtId="0" fontId="46" fillId="22" borderId="0" xfId="0" applyFont="1" applyFill="1" applyBorder="1" applyAlignment="1">
      <alignment horizontal="center"/>
    </xf>
    <xf numFmtId="2" fontId="46" fillId="22" borderId="0" xfId="0" applyNumberFormat="1" applyFont="1" applyFill="1" applyBorder="1" applyAlignment="1">
      <alignment horizontal="center" vertical="center" wrapText="1"/>
    </xf>
    <xf numFmtId="0" fontId="1" fillId="0" borderId="3" xfId="0" applyFont="1" applyBorder="1" applyAlignment="1">
      <alignment horizontal="center"/>
    </xf>
    <xf numFmtId="0" fontId="3" fillId="11" borderId="47" xfId="0" applyFont="1" applyFill="1" applyBorder="1" applyAlignment="1">
      <alignment horizontal="center"/>
    </xf>
    <xf numFmtId="0" fontId="3" fillId="11" borderId="41" xfId="0" applyFont="1" applyFill="1" applyBorder="1" applyAlignment="1">
      <alignment horizontal="center"/>
    </xf>
    <xf numFmtId="0" fontId="32" fillId="11" borderId="43" xfId="0" applyFont="1" applyFill="1" applyBorder="1" applyAlignment="1">
      <alignment vertical="top" wrapText="1"/>
    </xf>
    <xf numFmtId="0" fontId="32" fillId="11" borderId="0" xfId="0" applyFont="1" applyFill="1" applyBorder="1" applyAlignment="1">
      <alignment vertical="top" wrapText="1"/>
    </xf>
    <xf numFmtId="0" fontId="3" fillId="11" borderId="0" xfId="0" applyFont="1" applyFill="1" applyBorder="1" applyAlignment="1">
      <alignment horizontal="left"/>
    </xf>
    <xf numFmtId="0" fontId="46" fillId="22" borderId="0" xfId="0" applyFont="1" applyFill="1" applyBorder="1" applyAlignment="1">
      <alignment horizontal="center" vertical="top" wrapText="1"/>
    </xf>
    <xf numFmtId="2" fontId="46" fillId="22" borderId="0" xfId="0" applyNumberFormat="1" applyFont="1" applyFill="1" applyBorder="1" applyAlignment="1">
      <alignment horizontal="center"/>
    </xf>
    <xf numFmtId="196" fontId="0" fillId="11" borderId="0" xfId="0" applyNumberFormat="1" applyFill="1" applyBorder="1" applyAlignment="1">
      <alignment horizontal="left"/>
    </xf>
    <xf numFmtId="0" fontId="3" fillId="0" borderId="43" xfId="0" applyFont="1" applyFill="1" applyBorder="1" applyAlignment="1">
      <alignment horizontal="center" vertical="center" wrapText="1"/>
    </xf>
    <xf numFmtId="0" fontId="40" fillId="14" borderId="0" xfId="0" applyFont="1" applyFill="1" applyBorder="1" applyAlignment="1">
      <alignment horizontal="center" vertical="center"/>
    </xf>
    <xf numFmtId="0" fontId="36" fillId="12" borderId="58" xfId="0" applyFont="1" applyFill="1" applyBorder="1" applyAlignment="1">
      <alignment horizontal="center" vertical="center"/>
    </xf>
    <xf numFmtId="0" fontId="36" fillId="12" borderId="59" xfId="0" applyFont="1" applyFill="1" applyBorder="1" applyAlignment="1">
      <alignment horizontal="center" vertical="center"/>
    </xf>
    <xf numFmtId="0" fontId="36" fillId="12" borderId="60" xfId="0" applyFont="1" applyFill="1" applyBorder="1" applyAlignment="1">
      <alignment horizontal="center" vertical="center"/>
    </xf>
    <xf numFmtId="0" fontId="36" fillId="12" borderId="61" xfId="0" applyFont="1" applyFill="1" applyBorder="1" applyAlignment="1">
      <alignment horizontal="center" vertical="center"/>
    </xf>
    <xf numFmtId="0" fontId="36" fillId="12" borderId="56" xfId="0" applyFont="1" applyFill="1" applyBorder="1" applyAlignment="1">
      <alignment horizontal="center" vertical="center"/>
    </xf>
    <xf numFmtId="0" fontId="36" fillId="12" borderId="62" xfId="0" applyFont="1" applyFill="1" applyBorder="1" applyAlignment="1">
      <alignment horizontal="center" vertical="center"/>
    </xf>
    <xf numFmtId="0" fontId="40" fillId="14" borderId="0" xfId="0" applyFont="1" applyFill="1" applyAlignment="1">
      <alignment horizontal="center"/>
    </xf>
    <xf numFmtId="0" fontId="40" fillId="14" borderId="0" xfId="0" applyFont="1" applyFill="1" applyAlignment="1">
      <alignment horizontal="center" vertical="center"/>
    </xf>
    <xf numFmtId="0" fontId="40" fillId="14" borderId="54" xfId="0" applyFont="1" applyFill="1" applyBorder="1" applyAlignment="1">
      <alignment horizontal="center" vertical="center" wrapText="1"/>
    </xf>
    <xf numFmtId="0" fontId="35" fillId="14" borderId="51" xfId="0" applyFont="1" applyFill="1" applyBorder="1" applyAlignment="1">
      <alignment horizontal="center"/>
    </xf>
    <xf numFmtId="0" fontId="35" fillId="14" borderId="52" xfId="0" applyFont="1" applyFill="1" applyBorder="1" applyAlignment="1">
      <alignment horizontal="center"/>
    </xf>
    <xf numFmtId="0" fontId="35" fillId="14" borderId="53" xfId="0" applyFont="1" applyFill="1" applyBorder="1" applyAlignment="1">
      <alignment horizontal="center"/>
    </xf>
  </cellXfs>
  <cellStyles count="4">
    <cellStyle name="Hipervínculo" xfId="3" builtinId="8"/>
    <cellStyle name="Millares" xfId="2" builtinId="3"/>
    <cellStyle name="Moneda" xfId="1" builtinId="4"/>
    <cellStyle name="Normal" xfId="0" builtinId="0"/>
  </cellStyles>
  <dxfs count="1">
    <dxf>
      <font>
        <condense val="0"/>
        <extend val="0"/>
        <color indexed="10"/>
      </font>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1098779134295227E-2"/>
          <c:y val="1.6313213703099509E-2"/>
          <c:w val="0.89234184239733627"/>
          <c:h val="0.96737357259380097"/>
        </c:manualLayout>
      </c:layout>
      <c:scatterChart>
        <c:scatterStyle val="smoothMarker"/>
        <c:varyColors val="0"/>
        <c:ser>
          <c:idx val="0"/>
          <c:order val="0"/>
          <c:spPr>
            <a:ln w="12700">
              <a:solidFill>
                <a:srgbClr val="000080"/>
              </a:solidFill>
              <a:prstDash val="solid"/>
            </a:ln>
          </c:spPr>
          <c:marker>
            <c:symbol val="none"/>
          </c:marker>
          <c:dLbls>
            <c:spPr>
              <a:noFill/>
              <a:ln w="25400">
                <a:noFill/>
              </a:ln>
            </c:spPr>
            <c:txPr>
              <a:bodyPr wrap="square" lIns="38100" tIns="19050" rIns="38100" bIns="19050" anchor="ctr">
                <a:spAutoFit/>
              </a:bodyPr>
              <a:lstStyle/>
              <a:p>
                <a:pPr>
                  <a:defRPr sz="825" b="0" i="0" u="none" strike="noStrike" baseline="0">
                    <a:solidFill>
                      <a:srgbClr val="000000"/>
                    </a:solidFill>
                    <a:latin typeface="Arial"/>
                    <a:ea typeface="Arial"/>
                    <a:cs typeface="Arial"/>
                  </a:defRPr>
                </a:pPr>
                <a:endParaRPr lang="es-MX"/>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'Analisis y Diseño'!$H$102:$H$111</c:f>
              <c:numCache>
                <c:formatCode>0.00</c:formatCode>
                <c:ptCount val="10"/>
                <c:pt idx="0">
                  <c:v>0</c:v>
                </c:pt>
                <c:pt idx="1">
                  <c:v>0.76666666666666672</c:v>
                </c:pt>
                <c:pt idx="2" formatCode="0.000">
                  <c:v>1.0446093076540808</c:v>
                </c:pt>
                <c:pt idx="3" formatCode="0.000">
                  <c:v>0.18799999999999994</c:v>
                </c:pt>
                <c:pt idx="4">
                  <c:v>0.5</c:v>
                </c:pt>
                <c:pt idx="5">
                  <c:v>0.7</c:v>
                </c:pt>
                <c:pt idx="6">
                  <c:v>1.1500000000000001</c:v>
                </c:pt>
                <c:pt idx="7">
                  <c:v>0.9</c:v>
                </c:pt>
                <c:pt idx="8" formatCode="0.000">
                  <c:v>1.2120000000000002</c:v>
                </c:pt>
                <c:pt idx="9">
                  <c:v>2.3000000000000003</c:v>
                </c:pt>
              </c:numCache>
            </c:numRef>
          </c:xVal>
          <c:yVal>
            <c:numRef>
              <c:f>'Analisis y Diseño'!$I$102:$I$111</c:f>
              <c:numCache>
                <c:formatCode>0.00</c:formatCode>
                <c:ptCount val="10"/>
                <c:pt idx="0">
                  <c:v>6.8543794044779709</c:v>
                </c:pt>
                <c:pt idx="1">
                  <c:v>5.8689728449709175</c:v>
                </c:pt>
                <c:pt idx="2">
                  <c:v>5.5117295820199894</c:v>
                </c:pt>
                <c:pt idx="3">
                  <c:v>6.6127405785814588</c:v>
                </c:pt>
                <c:pt idx="4">
                  <c:v>6.2117229526255446</c:v>
                </c:pt>
                <c:pt idx="5">
                  <c:v>5.9546603718845743</c:v>
                </c:pt>
                <c:pt idx="6">
                  <c:v>5.3762695652173909</c:v>
                </c:pt>
                <c:pt idx="7">
                  <c:v>5.697597791143604</c:v>
                </c:pt>
                <c:pt idx="8">
                  <c:v>5.2965801651876898</c:v>
                </c:pt>
                <c:pt idx="9">
                  <c:v>3.8981597259568113</c:v>
                </c:pt>
              </c:numCache>
            </c:numRef>
          </c:yVal>
          <c:smooth val="1"/>
          <c:extLst>
            <c:ext xmlns:c16="http://schemas.microsoft.com/office/drawing/2014/chart" uri="{C3380CC4-5D6E-409C-BE32-E72D297353CC}">
              <c16:uniqueId val="{00000000-CD1E-41F1-ABC5-147B80E1AE41}"/>
            </c:ext>
          </c:extLst>
        </c:ser>
        <c:dLbls>
          <c:showLegendKey val="0"/>
          <c:showVal val="1"/>
          <c:showCatName val="1"/>
          <c:showSerName val="0"/>
          <c:showPercent val="0"/>
          <c:showBubbleSize val="0"/>
        </c:dLbls>
        <c:axId val="444992872"/>
        <c:axId val="1"/>
      </c:scatterChart>
      <c:valAx>
        <c:axId val="444992872"/>
        <c:scaling>
          <c:orientation val="minMax"/>
        </c:scaling>
        <c:delete val="1"/>
        <c:axPos val="b"/>
        <c:majorGridlines>
          <c:spPr>
            <a:ln w="3175">
              <a:solidFill>
                <a:srgbClr val="000000"/>
              </a:solidFill>
              <a:prstDash val="solid"/>
            </a:ln>
          </c:spPr>
        </c:majorGridlines>
        <c:minorGridlines>
          <c:spPr>
            <a:ln w="3175">
              <a:solidFill>
                <a:srgbClr val="000000"/>
              </a:solidFill>
              <a:prstDash val="solid"/>
            </a:ln>
          </c:spPr>
        </c:minorGridlines>
        <c:numFmt formatCode="0.00" sourceLinked="1"/>
        <c:majorTickMark val="out"/>
        <c:minorTickMark val="none"/>
        <c:tickLblPos val="nextTo"/>
        <c:crossAx val="1"/>
        <c:crosses val="autoZero"/>
        <c:crossBetween val="midCat"/>
      </c:valAx>
      <c:valAx>
        <c:axId val="1"/>
        <c:scaling>
          <c:orientation val="minMax"/>
        </c:scaling>
        <c:delete val="1"/>
        <c:axPos val="l"/>
        <c:numFmt formatCode="0.00" sourceLinked="1"/>
        <c:majorTickMark val="out"/>
        <c:minorTickMark val="none"/>
        <c:tickLblPos val="nextTo"/>
        <c:crossAx val="444992872"/>
        <c:crosses val="autoZero"/>
        <c:crossBetween val="midCat"/>
      </c:valAx>
      <c:spPr>
        <a:noFill/>
        <a:ln w="25400">
          <a:noFill/>
        </a:ln>
      </c:spPr>
    </c:plotArea>
    <c:legend>
      <c:legendPos val="r"/>
      <c:layout>
        <c:manualLayout>
          <c:xMode val="edge"/>
          <c:yMode val="edge"/>
          <c:x val="0.9156492785793563"/>
          <c:y val="0.48450244698205547"/>
          <c:w val="7.9911209766925645E-2"/>
          <c:h val="3.2626427406199018E-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s-MX"/>
        </a:p>
      </c:txPr>
    </c:legend>
    <c:plotVisOnly val="1"/>
    <c:dispBlanksAs val="gap"/>
    <c:showDLblsOverMax val="0"/>
  </c:chart>
  <c:spPr>
    <a:noFill/>
    <a:ln w="6350">
      <a:noFill/>
    </a:ln>
  </c:spPr>
  <c:txPr>
    <a:bodyPr/>
    <a:lstStyle/>
    <a:p>
      <a:pPr>
        <a:defRPr sz="825" b="0" i="0" u="none" strike="noStrike" baseline="0">
          <a:solidFill>
            <a:srgbClr val="000000"/>
          </a:solidFill>
          <a:latin typeface="Arial"/>
          <a:ea typeface="Arial"/>
          <a:cs typeface="Arial"/>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MX"/>
              <a:t>Presión de contacto</a:t>
            </a:r>
          </a:p>
        </c:rich>
      </c:tx>
      <c:layout>
        <c:manualLayout>
          <c:xMode val="edge"/>
          <c:yMode val="edge"/>
          <c:x val="0.30333432074974204"/>
          <c:y val="4.687523841979177E-2"/>
        </c:manualLayout>
      </c:layout>
      <c:overlay val="0"/>
      <c:spPr>
        <a:noFill/>
        <a:ln w="25400">
          <a:noFill/>
        </a:ln>
      </c:spPr>
    </c:title>
    <c:autoTitleDeleted val="0"/>
    <c:plotArea>
      <c:layout>
        <c:manualLayout>
          <c:layoutTarget val="inner"/>
          <c:xMode val="edge"/>
          <c:yMode val="edge"/>
          <c:x val="6.6666883681261987E-2"/>
          <c:y val="0.36979354753391286"/>
          <c:w val="0.87000283204046891"/>
          <c:h val="0.4166687859537046"/>
        </c:manualLayout>
      </c:layout>
      <c:areaChart>
        <c:grouping val="stacked"/>
        <c:varyColors val="0"/>
        <c:ser>
          <c:idx val="0"/>
          <c:order val="0"/>
          <c:tx>
            <c:v>q</c:v>
          </c:tx>
          <c:spPr>
            <a:pattFill prst="dkVert">
              <a:fgClr>
                <a:srgbClr xmlns:mc="http://schemas.openxmlformats.org/markup-compatibility/2006" xmlns:a14="http://schemas.microsoft.com/office/drawing/2010/main" val="9999FF" mc:Ignorable="a14" a14:legacySpreadsheetColorIndex="24"/>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Lbls>
            <c:dLbl>
              <c:idx val="0"/>
              <c:layout>
                <c:manualLayout>
                  <c:x val="2.33334092884417E-2"/>
                  <c:y val="-9.362144838597819E-2"/>
                </c:manualLayout>
              </c:layout>
              <c:spPr>
                <a:noFill/>
                <a:ln w="25400">
                  <a:noFill/>
                </a:ln>
              </c:spPr>
              <c:txPr>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C9A1-4F09-8BDD-182A0B9346DC}"/>
                </c:ext>
              </c:extLst>
            </c:dLbl>
            <c:dLbl>
              <c:idx val="1"/>
              <c:layout>
                <c:manualLayout>
                  <c:x val="2.2109604878068789E-2"/>
                  <c:y val="5.5937704045643577E-2"/>
                </c:manualLayout>
              </c:layout>
              <c:spPr>
                <a:noFill/>
                <a:ln w="25400">
                  <a:noFill/>
                </a:ln>
              </c:spPr>
              <c:txPr>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9A1-4F09-8BDD-182A0B9346DC}"/>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showLeaderLines val="0"/>
            <c:extLst>
              <c:ext xmlns:c15="http://schemas.microsoft.com/office/drawing/2012/chart" uri="{CE6537A1-D6FC-4f65-9D91-7224C49458BB}">
                <c15:showLeaderLines val="0"/>
              </c:ext>
            </c:extLst>
          </c:dLbls>
          <c:val>
            <c:numRef>
              <c:f>'Analisis y Diseño'!$F$93:$F$94</c:f>
              <c:numCache>
                <c:formatCode>0.00</c:formatCode>
                <c:ptCount val="2"/>
                <c:pt idx="0">
                  <c:v>6.8543794044779709</c:v>
                </c:pt>
                <c:pt idx="1">
                  <c:v>3.8981597259568113</c:v>
                </c:pt>
              </c:numCache>
            </c:numRef>
          </c:val>
          <c:extLst>
            <c:ext xmlns:c16="http://schemas.microsoft.com/office/drawing/2014/chart" uri="{C3380CC4-5D6E-409C-BE32-E72D297353CC}">
              <c16:uniqueId val="{00000002-C9A1-4F09-8BDD-182A0B9346DC}"/>
            </c:ext>
          </c:extLst>
        </c:ser>
        <c:dLbls>
          <c:showLegendKey val="0"/>
          <c:showVal val="1"/>
          <c:showCatName val="1"/>
          <c:showSerName val="1"/>
          <c:showPercent val="0"/>
          <c:showBubbleSize val="0"/>
          <c:separator> </c:separator>
        </c:dLbls>
        <c:axId val="444983360"/>
        <c:axId val="1"/>
      </c:areaChart>
      <c:catAx>
        <c:axId val="444983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auto val="1"/>
        <c:lblAlgn val="ctr"/>
        <c:lblOffset val="100"/>
        <c:tickLblSkip val="1"/>
        <c:tickMarkSkip val="1"/>
        <c:noMultiLvlLbl val="0"/>
      </c:catAx>
      <c:valAx>
        <c:axId val="1"/>
        <c:scaling>
          <c:orientation val="minMax"/>
        </c:scaling>
        <c:delete val="0"/>
        <c:axPos val="l"/>
        <c:numFmt formatCode="0.00" sourceLinked="1"/>
        <c:majorTickMark val="none"/>
        <c:minorTickMark val="none"/>
        <c:tickLblPos val="none"/>
        <c:spPr>
          <a:ln w="6350">
            <a:noFill/>
          </a:ln>
        </c:spPr>
        <c:crossAx val="444983360"/>
        <c:crosses val="autoZero"/>
        <c:crossBetween val="midCat"/>
      </c:valAx>
      <c:spPr>
        <a:noFill/>
        <a:ln w="25400">
          <a:noFill/>
        </a:ln>
      </c:spPr>
    </c:plotArea>
    <c:legend>
      <c:legendPos val="t"/>
      <c:layout>
        <c:manualLayout>
          <c:xMode val="edge"/>
          <c:yMode val="edge"/>
          <c:x val="0.4533348090325815"/>
          <c:y val="0.19270931350358839"/>
          <c:w val="9.6666981337829874E-2"/>
          <c:h val="0.11979227596169008"/>
        </c:manualLayout>
      </c:layout>
      <c:overlay val="0"/>
      <c:spPr>
        <a:solidFill>
          <a:srgbClr val="FFFFFF"/>
        </a:solid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s-MX"/>
        </a:p>
      </c:txPr>
    </c:legend>
    <c:plotVisOnly val="1"/>
    <c:dispBlanksAs val="zero"/>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paperSize="257" orientation="landscape" horizontalDpi="-1" verticalDpi="0"/>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45" workbookViewId="0"/>
  </sheetViews>
  <pageMargins left="0.75" right="0.75" top="1" bottom="1" header="0" footer="0"/>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absoluteAnchor>
    <xdr:pos x="0" y="0"/>
    <xdr:ext cx="8671034" cy="6293069"/>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371475</xdr:colOff>
      <xdr:row>27</xdr:row>
      <xdr:rowOff>57150</xdr:rowOff>
    </xdr:from>
    <xdr:to>
      <xdr:col>5</xdr:col>
      <xdr:colOff>200025</xdr:colOff>
      <xdr:row>27</xdr:row>
      <xdr:rowOff>57150</xdr:rowOff>
    </xdr:to>
    <xdr:sp macro="" textlink="">
      <xdr:nvSpPr>
        <xdr:cNvPr id="1028" name="Line 4">
          <a:extLst>
            <a:ext uri="{FF2B5EF4-FFF2-40B4-BE49-F238E27FC236}">
              <a16:creationId xmlns:a16="http://schemas.microsoft.com/office/drawing/2014/main" id="{00000000-0008-0000-0100-000004040000}"/>
            </a:ext>
          </a:extLst>
        </xdr:cNvPr>
        <xdr:cNvSpPr>
          <a:spLocks noChangeShapeType="1"/>
        </xdr:cNvSpPr>
      </xdr:nvSpPr>
      <xdr:spPr bwMode="auto">
        <a:xfrm flipH="1" flipV="1">
          <a:off x="2667000" y="3486150"/>
          <a:ext cx="609600" cy="0"/>
        </a:xfrm>
        <a:prstGeom prst="line">
          <a:avLst/>
        </a:prstGeom>
        <a:noFill/>
        <a:ln w="254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5</xdr:col>
      <xdr:colOff>190500</xdr:colOff>
      <xdr:row>27</xdr:row>
      <xdr:rowOff>76200</xdr:rowOff>
    </xdr:from>
    <xdr:to>
      <xdr:col>5</xdr:col>
      <xdr:colOff>190500</xdr:colOff>
      <xdr:row>28</xdr:row>
      <xdr:rowOff>152400</xdr:rowOff>
    </xdr:to>
    <xdr:sp macro="" textlink="">
      <xdr:nvSpPr>
        <xdr:cNvPr id="1029" name="Line 5">
          <a:extLst>
            <a:ext uri="{FF2B5EF4-FFF2-40B4-BE49-F238E27FC236}">
              <a16:creationId xmlns:a16="http://schemas.microsoft.com/office/drawing/2014/main" id="{00000000-0008-0000-0100-000005040000}"/>
            </a:ext>
          </a:extLst>
        </xdr:cNvPr>
        <xdr:cNvSpPr>
          <a:spLocks noChangeShapeType="1"/>
        </xdr:cNvSpPr>
      </xdr:nvSpPr>
      <xdr:spPr bwMode="auto">
        <a:xfrm flipH="1" flipV="1">
          <a:off x="3267075" y="350520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190500</xdr:colOff>
      <xdr:row>30</xdr:row>
      <xdr:rowOff>28575</xdr:rowOff>
    </xdr:from>
    <xdr:to>
      <xdr:col>5</xdr:col>
      <xdr:colOff>190500</xdr:colOff>
      <xdr:row>31</xdr:row>
      <xdr:rowOff>152400</xdr:rowOff>
    </xdr:to>
    <xdr:sp macro="" textlink="">
      <xdr:nvSpPr>
        <xdr:cNvPr id="1030" name="Line 6">
          <a:extLst>
            <a:ext uri="{FF2B5EF4-FFF2-40B4-BE49-F238E27FC236}">
              <a16:creationId xmlns:a16="http://schemas.microsoft.com/office/drawing/2014/main" id="{00000000-0008-0000-0100-000006040000}"/>
            </a:ext>
          </a:extLst>
        </xdr:cNvPr>
        <xdr:cNvSpPr>
          <a:spLocks noChangeShapeType="1"/>
        </xdr:cNvSpPr>
      </xdr:nvSpPr>
      <xdr:spPr bwMode="auto">
        <a:xfrm>
          <a:off x="3267075" y="3990975"/>
          <a:ext cx="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142875</xdr:colOff>
      <xdr:row>18</xdr:row>
      <xdr:rowOff>9525</xdr:rowOff>
    </xdr:from>
    <xdr:to>
      <xdr:col>5</xdr:col>
      <xdr:colOff>152400</xdr:colOff>
      <xdr:row>18</xdr:row>
      <xdr:rowOff>180975</xdr:rowOff>
    </xdr:to>
    <xdr:sp macro="" textlink="">
      <xdr:nvSpPr>
        <xdr:cNvPr id="1031" name="Line 7">
          <a:extLst>
            <a:ext uri="{FF2B5EF4-FFF2-40B4-BE49-F238E27FC236}">
              <a16:creationId xmlns:a16="http://schemas.microsoft.com/office/drawing/2014/main" id="{00000000-0008-0000-0100-000007040000}"/>
            </a:ext>
          </a:extLst>
        </xdr:cNvPr>
        <xdr:cNvSpPr>
          <a:spLocks noChangeShapeType="1"/>
        </xdr:cNvSpPr>
      </xdr:nvSpPr>
      <xdr:spPr bwMode="auto">
        <a:xfrm flipV="1">
          <a:off x="3219450" y="1581150"/>
          <a:ext cx="9525"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152400</xdr:colOff>
      <xdr:row>19</xdr:row>
      <xdr:rowOff>19050</xdr:rowOff>
    </xdr:from>
    <xdr:to>
      <xdr:col>5</xdr:col>
      <xdr:colOff>152400</xdr:colOff>
      <xdr:row>19</xdr:row>
      <xdr:rowOff>152400</xdr:rowOff>
    </xdr:to>
    <xdr:sp macro="" textlink="">
      <xdr:nvSpPr>
        <xdr:cNvPr id="1032" name="Line 8">
          <a:extLst>
            <a:ext uri="{FF2B5EF4-FFF2-40B4-BE49-F238E27FC236}">
              <a16:creationId xmlns:a16="http://schemas.microsoft.com/office/drawing/2014/main" id="{00000000-0008-0000-0100-000008040000}"/>
            </a:ext>
          </a:extLst>
        </xdr:cNvPr>
        <xdr:cNvSpPr>
          <a:spLocks noChangeShapeType="1"/>
        </xdr:cNvSpPr>
      </xdr:nvSpPr>
      <xdr:spPr bwMode="auto">
        <a:xfrm>
          <a:off x="3228975" y="191452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409575</xdr:colOff>
      <xdr:row>20</xdr:row>
      <xdr:rowOff>0</xdr:rowOff>
    </xdr:from>
    <xdr:to>
      <xdr:col>5</xdr:col>
      <xdr:colOff>409575</xdr:colOff>
      <xdr:row>24</xdr:row>
      <xdr:rowOff>152400</xdr:rowOff>
    </xdr:to>
    <xdr:sp macro="" textlink="">
      <xdr:nvSpPr>
        <xdr:cNvPr id="1033" name="Line 9">
          <a:extLst>
            <a:ext uri="{FF2B5EF4-FFF2-40B4-BE49-F238E27FC236}">
              <a16:creationId xmlns:a16="http://schemas.microsoft.com/office/drawing/2014/main" id="{00000000-0008-0000-0100-000009040000}"/>
            </a:ext>
          </a:extLst>
        </xdr:cNvPr>
        <xdr:cNvSpPr>
          <a:spLocks noChangeShapeType="1"/>
        </xdr:cNvSpPr>
      </xdr:nvSpPr>
      <xdr:spPr bwMode="auto">
        <a:xfrm flipV="1">
          <a:off x="3486150" y="2066925"/>
          <a:ext cx="0" cy="800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400050</xdr:colOff>
      <xdr:row>25</xdr:row>
      <xdr:rowOff>19050</xdr:rowOff>
    </xdr:from>
    <xdr:to>
      <xdr:col>5</xdr:col>
      <xdr:colOff>400050</xdr:colOff>
      <xdr:row>32</xdr:row>
      <xdr:rowOff>0</xdr:rowOff>
    </xdr:to>
    <xdr:sp macro="" textlink="">
      <xdr:nvSpPr>
        <xdr:cNvPr id="1034" name="Line 10">
          <a:extLst>
            <a:ext uri="{FF2B5EF4-FFF2-40B4-BE49-F238E27FC236}">
              <a16:creationId xmlns:a16="http://schemas.microsoft.com/office/drawing/2014/main" id="{00000000-0008-0000-0100-00000A040000}"/>
            </a:ext>
          </a:extLst>
        </xdr:cNvPr>
        <xdr:cNvSpPr>
          <a:spLocks noChangeShapeType="1"/>
        </xdr:cNvSpPr>
      </xdr:nvSpPr>
      <xdr:spPr bwMode="auto">
        <a:xfrm>
          <a:off x="3476625" y="3057525"/>
          <a:ext cx="0"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31</xdr:row>
      <xdr:rowOff>152400</xdr:rowOff>
    </xdr:from>
    <xdr:to>
      <xdr:col>5</xdr:col>
      <xdr:colOff>0</xdr:colOff>
      <xdr:row>34</xdr:row>
      <xdr:rowOff>0</xdr:rowOff>
    </xdr:to>
    <xdr:sp macro="" textlink="">
      <xdr:nvSpPr>
        <xdr:cNvPr id="1036" name="Line 12">
          <a:extLst>
            <a:ext uri="{FF2B5EF4-FFF2-40B4-BE49-F238E27FC236}">
              <a16:creationId xmlns:a16="http://schemas.microsoft.com/office/drawing/2014/main" id="{00000000-0008-0000-0100-00000C040000}"/>
            </a:ext>
          </a:extLst>
        </xdr:cNvPr>
        <xdr:cNvSpPr>
          <a:spLocks noChangeShapeType="1"/>
        </xdr:cNvSpPr>
      </xdr:nvSpPr>
      <xdr:spPr bwMode="auto">
        <a:xfrm flipH="1">
          <a:off x="3076575" y="42862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523875</xdr:colOff>
      <xdr:row>32</xdr:row>
      <xdr:rowOff>76200</xdr:rowOff>
    </xdr:from>
    <xdr:to>
      <xdr:col>5</xdr:col>
      <xdr:colOff>28575</xdr:colOff>
      <xdr:row>32</xdr:row>
      <xdr:rowOff>76200</xdr:rowOff>
    </xdr:to>
    <xdr:sp macro="" textlink="">
      <xdr:nvSpPr>
        <xdr:cNvPr id="1037" name="Line 13">
          <a:extLst>
            <a:ext uri="{FF2B5EF4-FFF2-40B4-BE49-F238E27FC236}">
              <a16:creationId xmlns:a16="http://schemas.microsoft.com/office/drawing/2014/main" id="{00000000-0008-0000-0100-00000D040000}"/>
            </a:ext>
          </a:extLst>
        </xdr:cNvPr>
        <xdr:cNvSpPr>
          <a:spLocks noChangeShapeType="1"/>
        </xdr:cNvSpPr>
      </xdr:nvSpPr>
      <xdr:spPr bwMode="auto">
        <a:xfrm>
          <a:off x="2819400" y="4381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485775</xdr:colOff>
      <xdr:row>32</xdr:row>
      <xdr:rowOff>76200</xdr:rowOff>
    </xdr:from>
    <xdr:to>
      <xdr:col>4</xdr:col>
      <xdr:colOff>238125</xdr:colOff>
      <xdr:row>32</xdr:row>
      <xdr:rowOff>76200</xdr:rowOff>
    </xdr:to>
    <xdr:sp macro="" textlink="">
      <xdr:nvSpPr>
        <xdr:cNvPr id="1039" name="Line 15">
          <a:extLst>
            <a:ext uri="{FF2B5EF4-FFF2-40B4-BE49-F238E27FC236}">
              <a16:creationId xmlns:a16="http://schemas.microsoft.com/office/drawing/2014/main" id="{00000000-0008-0000-0100-00000F040000}"/>
            </a:ext>
          </a:extLst>
        </xdr:cNvPr>
        <xdr:cNvSpPr>
          <a:spLocks noChangeShapeType="1"/>
        </xdr:cNvSpPr>
      </xdr:nvSpPr>
      <xdr:spPr bwMode="auto">
        <a:xfrm flipH="1">
          <a:off x="2276475" y="438150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xdr:colOff>
      <xdr:row>29</xdr:row>
      <xdr:rowOff>104775</xdr:rowOff>
    </xdr:from>
    <xdr:to>
      <xdr:col>1</xdr:col>
      <xdr:colOff>9525</xdr:colOff>
      <xdr:row>30</xdr:row>
      <xdr:rowOff>142875</xdr:rowOff>
    </xdr:to>
    <xdr:sp macro="" textlink="">
      <xdr:nvSpPr>
        <xdr:cNvPr id="1047" name="Line 23">
          <a:extLst>
            <a:ext uri="{FF2B5EF4-FFF2-40B4-BE49-F238E27FC236}">
              <a16:creationId xmlns:a16="http://schemas.microsoft.com/office/drawing/2014/main" id="{00000000-0008-0000-0100-000017040000}"/>
            </a:ext>
          </a:extLst>
        </xdr:cNvPr>
        <xdr:cNvSpPr>
          <a:spLocks noChangeShapeType="1"/>
        </xdr:cNvSpPr>
      </xdr:nvSpPr>
      <xdr:spPr bwMode="auto">
        <a:xfrm>
          <a:off x="542925" y="3905250"/>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xdr:colOff>
      <xdr:row>32</xdr:row>
      <xdr:rowOff>0</xdr:rowOff>
    </xdr:from>
    <xdr:to>
      <xdr:col>1</xdr:col>
      <xdr:colOff>9525</xdr:colOff>
      <xdr:row>32</xdr:row>
      <xdr:rowOff>142875</xdr:rowOff>
    </xdr:to>
    <xdr:sp macro="" textlink="">
      <xdr:nvSpPr>
        <xdr:cNvPr id="1048" name="Line 24">
          <a:extLst>
            <a:ext uri="{FF2B5EF4-FFF2-40B4-BE49-F238E27FC236}">
              <a16:creationId xmlns:a16="http://schemas.microsoft.com/office/drawing/2014/main" id="{00000000-0008-0000-0100-000018040000}"/>
            </a:ext>
          </a:extLst>
        </xdr:cNvPr>
        <xdr:cNvSpPr>
          <a:spLocks noChangeShapeType="1"/>
        </xdr:cNvSpPr>
      </xdr:nvSpPr>
      <xdr:spPr bwMode="auto">
        <a:xfrm flipV="1">
          <a:off x="542925" y="430530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466725</xdr:colOff>
      <xdr:row>32</xdr:row>
      <xdr:rowOff>9525</xdr:rowOff>
    </xdr:from>
    <xdr:to>
      <xdr:col>1</xdr:col>
      <xdr:colOff>466725</xdr:colOff>
      <xdr:row>35</xdr:row>
      <xdr:rowOff>133350</xdr:rowOff>
    </xdr:to>
    <xdr:sp macro="" textlink="">
      <xdr:nvSpPr>
        <xdr:cNvPr id="1055" name="Line 31">
          <a:extLst>
            <a:ext uri="{FF2B5EF4-FFF2-40B4-BE49-F238E27FC236}">
              <a16:creationId xmlns:a16="http://schemas.microsoft.com/office/drawing/2014/main" id="{00000000-0008-0000-0100-00001F040000}"/>
            </a:ext>
          </a:extLst>
        </xdr:cNvPr>
        <xdr:cNvSpPr>
          <a:spLocks noChangeShapeType="1"/>
        </xdr:cNvSpPr>
      </xdr:nvSpPr>
      <xdr:spPr bwMode="auto">
        <a:xfrm>
          <a:off x="1000125" y="431482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333374</xdr:colOff>
      <xdr:row>35</xdr:row>
      <xdr:rowOff>95249</xdr:rowOff>
    </xdr:from>
    <xdr:to>
      <xdr:col>3</xdr:col>
      <xdr:colOff>500061</xdr:colOff>
      <xdr:row>35</xdr:row>
      <xdr:rowOff>101202</xdr:rowOff>
    </xdr:to>
    <xdr:sp macro="" textlink="">
      <xdr:nvSpPr>
        <xdr:cNvPr id="1058" name="Line 34">
          <a:extLst>
            <a:ext uri="{FF2B5EF4-FFF2-40B4-BE49-F238E27FC236}">
              <a16:creationId xmlns:a16="http://schemas.microsoft.com/office/drawing/2014/main" id="{00000000-0008-0000-0100-000022040000}"/>
            </a:ext>
          </a:extLst>
        </xdr:cNvPr>
        <xdr:cNvSpPr>
          <a:spLocks noChangeShapeType="1"/>
        </xdr:cNvSpPr>
      </xdr:nvSpPr>
      <xdr:spPr bwMode="auto">
        <a:xfrm>
          <a:off x="2184796" y="4238624"/>
          <a:ext cx="166687" cy="59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35</xdr:row>
      <xdr:rowOff>76200</xdr:rowOff>
    </xdr:from>
    <xdr:to>
      <xdr:col>3</xdr:col>
      <xdr:colOff>171450</xdr:colOff>
      <xdr:row>35</xdr:row>
      <xdr:rowOff>85725</xdr:rowOff>
    </xdr:to>
    <xdr:sp macro="" textlink="">
      <xdr:nvSpPr>
        <xdr:cNvPr id="1059" name="Line 35">
          <a:extLst>
            <a:ext uri="{FF2B5EF4-FFF2-40B4-BE49-F238E27FC236}">
              <a16:creationId xmlns:a16="http://schemas.microsoft.com/office/drawing/2014/main" id="{00000000-0008-0000-0100-000023040000}"/>
            </a:ext>
          </a:extLst>
        </xdr:cNvPr>
        <xdr:cNvSpPr>
          <a:spLocks noChangeShapeType="1"/>
        </xdr:cNvSpPr>
      </xdr:nvSpPr>
      <xdr:spPr bwMode="auto">
        <a:xfrm flipH="1" flipV="1">
          <a:off x="1790700" y="4867275"/>
          <a:ext cx="17145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342900</xdr:colOff>
      <xdr:row>35</xdr:row>
      <xdr:rowOff>76200</xdr:rowOff>
    </xdr:from>
    <xdr:to>
      <xdr:col>2</xdr:col>
      <xdr:colOff>495300</xdr:colOff>
      <xdr:row>35</xdr:row>
      <xdr:rowOff>76200</xdr:rowOff>
    </xdr:to>
    <xdr:sp macro="" textlink="">
      <xdr:nvSpPr>
        <xdr:cNvPr id="1060" name="Line 36">
          <a:extLst>
            <a:ext uri="{FF2B5EF4-FFF2-40B4-BE49-F238E27FC236}">
              <a16:creationId xmlns:a16="http://schemas.microsoft.com/office/drawing/2014/main" id="{00000000-0008-0000-0100-000024040000}"/>
            </a:ext>
          </a:extLst>
        </xdr:cNvPr>
        <xdr:cNvSpPr>
          <a:spLocks noChangeShapeType="1"/>
        </xdr:cNvSpPr>
      </xdr:nvSpPr>
      <xdr:spPr bwMode="auto">
        <a:xfrm>
          <a:off x="1352550" y="4867275"/>
          <a:ext cx="152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457200</xdr:colOff>
      <xdr:row>35</xdr:row>
      <xdr:rowOff>66675</xdr:rowOff>
    </xdr:from>
    <xdr:to>
      <xdr:col>2</xdr:col>
      <xdr:colOff>123825</xdr:colOff>
      <xdr:row>35</xdr:row>
      <xdr:rowOff>66675</xdr:rowOff>
    </xdr:to>
    <xdr:sp macro="" textlink="">
      <xdr:nvSpPr>
        <xdr:cNvPr id="1061" name="Line 37">
          <a:extLst>
            <a:ext uri="{FF2B5EF4-FFF2-40B4-BE49-F238E27FC236}">
              <a16:creationId xmlns:a16="http://schemas.microsoft.com/office/drawing/2014/main" id="{00000000-0008-0000-0100-000025040000}"/>
            </a:ext>
          </a:extLst>
        </xdr:cNvPr>
        <xdr:cNvSpPr>
          <a:spLocks noChangeShapeType="1"/>
        </xdr:cNvSpPr>
      </xdr:nvSpPr>
      <xdr:spPr bwMode="auto">
        <a:xfrm flipH="1">
          <a:off x="990600" y="4857750"/>
          <a:ext cx="142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485775</xdr:colOff>
      <xdr:row>32</xdr:row>
      <xdr:rowOff>9525</xdr:rowOff>
    </xdr:from>
    <xdr:to>
      <xdr:col>2</xdr:col>
      <xdr:colOff>485775</xdr:colOff>
      <xdr:row>37</xdr:row>
      <xdr:rowOff>28575</xdr:rowOff>
    </xdr:to>
    <xdr:sp macro="" textlink="">
      <xdr:nvSpPr>
        <xdr:cNvPr id="1062" name="Line 38">
          <a:extLst>
            <a:ext uri="{FF2B5EF4-FFF2-40B4-BE49-F238E27FC236}">
              <a16:creationId xmlns:a16="http://schemas.microsoft.com/office/drawing/2014/main" id="{00000000-0008-0000-0100-000026040000}"/>
            </a:ext>
          </a:extLst>
        </xdr:cNvPr>
        <xdr:cNvSpPr>
          <a:spLocks noChangeShapeType="1"/>
        </xdr:cNvSpPr>
      </xdr:nvSpPr>
      <xdr:spPr bwMode="auto">
        <a:xfrm>
          <a:off x="1495425" y="4314825"/>
          <a:ext cx="0" cy="828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409575</xdr:colOff>
      <xdr:row>73</xdr:row>
      <xdr:rowOff>28575</xdr:rowOff>
    </xdr:from>
    <xdr:ext cx="142875" cy="200025"/>
    <xdr:sp macro="" textlink="">
      <xdr:nvSpPr>
        <xdr:cNvPr id="1066" name="Text Box 42">
          <a:extLst>
            <a:ext uri="{FF2B5EF4-FFF2-40B4-BE49-F238E27FC236}">
              <a16:creationId xmlns:a16="http://schemas.microsoft.com/office/drawing/2014/main" id="{00000000-0008-0000-0100-00002A040000}"/>
            </a:ext>
          </a:extLst>
        </xdr:cNvPr>
        <xdr:cNvSpPr txBox="1">
          <a:spLocks noChangeArrowheads="1"/>
        </xdr:cNvSpPr>
      </xdr:nvSpPr>
      <xdr:spPr bwMode="auto">
        <a:xfrm>
          <a:off x="1419225" y="108680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73</xdr:row>
      <xdr:rowOff>0</xdr:rowOff>
    </xdr:from>
    <xdr:ext cx="142875" cy="200025"/>
    <xdr:sp macro="" textlink="">
      <xdr:nvSpPr>
        <xdr:cNvPr id="1067" name="Text Box 43">
          <a:extLst>
            <a:ext uri="{FF2B5EF4-FFF2-40B4-BE49-F238E27FC236}">
              <a16:creationId xmlns:a16="http://schemas.microsoft.com/office/drawing/2014/main" id="{00000000-0008-0000-0100-00002B040000}"/>
            </a:ext>
          </a:extLst>
        </xdr:cNvPr>
        <xdr:cNvSpPr txBox="1">
          <a:spLocks noChangeArrowheads="1"/>
        </xdr:cNvSpPr>
      </xdr:nvSpPr>
      <xdr:spPr bwMode="auto">
        <a:xfrm>
          <a:off x="2105025" y="108394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74</xdr:row>
      <xdr:rowOff>0</xdr:rowOff>
    </xdr:from>
    <xdr:ext cx="142875" cy="200025"/>
    <xdr:sp macro="" textlink="">
      <xdr:nvSpPr>
        <xdr:cNvPr id="1068" name="Text Box 44">
          <a:extLst>
            <a:ext uri="{FF2B5EF4-FFF2-40B4-BE49-F238E27FC236}">
              <a16:creationId xmlns:a16="http://schemas.microsoft.com/office/drawing/2014/main" id="{00000000-0008-0000-0100-00002C040000}"/>
            </a:ext>
          </a:extLst>
        </xdr:cNvPr>
        <xdr:cNvSpPr txBox="1">
          <a:spLocks noChangeArrowheads="1"/>
        </xdr:cNvSpPr>
      </xdr:nvSpPr>
      <xdr:spPr bwMode="auto">
        <a:xfrm>
          <a:off x="1419225" y="1100137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74</xdr:row>
      <xdr:rowOff>0</xdr:rowOff>
    </xdr:from>
    <xdr:ext cx="142875" cy="200025"/>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2105025" y="1100137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76</xdr:row>
      <xdr:rowOff>0</xdr:rowOff>
    </xdr:from>
    <xdr:ext cx="142875" cy="200025"/>
    <xdr:sp macro="" textlink="">
      <xdr:nvSpPr>
        <xdr:cNvPr id="1070" name="Text Box 46">
          <a:extLst>
            <a:ext uri="{FF2B5EF4-FFF2-40B4-BE49-F238E27FC236}">
              <a16:creationId xmlns:a16="http://schemas.microsoft.com/office/drawing/2014/main" id="{00000000-0008-0000-0100-00002E040000}"/>
            </a:ext>
          </a:extLst>
        </xdr:cNvPr>
        <xdr:cNvSpPr txBox="1">
          <a:spLocks noChangeArrowheads="1"/>
        </xdr:cNvSpPr>
      </xdr:nvSpPr>
      <xdr:spPr bwMode="auto">
        <a:xfrm>
          <a:off x="1419225" y="113252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76</xdr:row>
      <xdr:rowOff>0</xdr:rowOff>
    </xdr:from>
    <xdr:ext cx="142875" cy="200025"/>
    <xdr:sp macro="" textlink="">
      <xdr:nvSpPr>
        <xdr:cNvPr id="1071" name="Text Box 47">
          <a:extLst>
            <a:ext uri="{FF2B5EF4-FFF2-40B4-BE49-F238E27FC236}">
              <a16:creationId xmlns:a16="http://schemas.microsoft.com/office/drawing/2014/main" id="{00000000-0008-0000-0100-00002F040000}"/>
            </a:ext>
          </a:extLst>
        </xdr:cNvPr>
        <xdr:cNvSpPr txBox="1">
          <a:spLocks noChangeArrowheads="1"/>
        </xdr:cNvSpPr>
      </xdr:nvSpPr>
      <xdr:spPr bwMode="auto">
        <a:xfrm>
          <a:off x="2105025" y="113252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77</xdr:row>
      <xdr:rowOff>0</xdr:rowOff>
    </xdr:from>
    <xdr:ext cx="142875" cy="200025"/>
    <xdr:sp macro="" textlink="">
      <xdr:nvSpPr>
        <xdr:cNvPr id="1072" name="Text Box 48">
          <a:extLst>
            <a:ext uri="{FF2B5EF4-FFF2-40B4-BE49-F238E27FC236}">
              <a16:creationId xmlns:a16="http://schemas.microsoft.com/office/drawing/2014/main" id="{00000000-0008-0000-0100-000030040000}"/>
            </a:ext>
          </a:extLst>
        </xdr:cNvPr>
        <xdr:cNvSpPr txBox="1">
          <a:spLocks noChangeArrowheads="1"/>
        </xdr:cNvSpPr>
      </xdr:nvSpPr>
      <xdr:spPr bwMode="auto">
        <a:xfrm>
          <a:off x="1419225" y="114871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77</xdr:row>
      <xdr:rowOff>0</xdr:rowOff>
    </xdr:from>
    <xdr:ext cx="142875" cy="200025"/>
    <xdr:sp macro="" textlink="">
      <xdr:nvSpPr>
        <xdr:cNvPr id="1073" name="Text Box 49">
          <a:extLst>
            <a:ext uri="{FF2B5EF4-FFF2-40B4-BE49-F238E27FC236}">
              <a16:creationId xmlns:a16="http://schemas.microsoft.com/office/drawing/2014/main" id="{00000000-0008-0000-0100-000031040000}"/>
            </a:ext>
          </a:extLst>
        </xdr:cNvPr>
        <xdr:cNvSpPr txBox="1">
          <a:spLocks noChangeArrowheads="1"/>
        </xdr:cNvSpPr>
      </xdr:nvSpPr>
      <xdr:spPr bwMode="auto">
        <a:xfrm>
          <a:off x="2105025" y="114871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twoCellAnchor>
    <xdr:from>
      <xdr:col>2</xdr:col>
      <xdr:colOff>114300</xdr:colOff>
      <xdr:row>30</xdr:row>
      <xdr:rowOff>0</xdr:rowOff>
    </xdr:from>
    <xdr:to>
      <xdr:col>2</xdr:col>
      <xdr:colOff>114300</xdr:colOff>
      <xdr:row>30</xdr:row>
      <xdr:rowOff>142875</xdr:rowOff>
    </xdr:to>
    <xdr:sp macro="" textlink="">
      <xdr:nvSpPr>
        <xdr:cNvPr id="1081" name="Line 57">
          <a:extLst>
            <a:ext uri="{FF2B5EF4-FFF2-40B4-BE49-F238E27FC236}">
              <a16:creationId xmlns:a16="http://schemas.microsoft.com/office/drawing/2014/main" id="{00000000-0008-0000-0100-000039040000}"/>
            </a:ext>
          </a:extLst>
        </xdr:cNvPr>
        <xdr:cNvSpPr>
          <a:spLocks noChangeShapeType="1"/>
        </xdr:cNvSpPr>
      </xdr:nvSpPr>
      <xdr:spPr bwMode="auto">
        <a:xfrm>
          <a:off x="1123950" y="396240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114300</xdr:colOff>
      <xdr:row>28</xdr:row>
      <xdr:rowOff>9525</xdr:rowOff>
    </xdr:from>
    <xdr:to>
      <xdr:col>2</xdr:col>
      <xdr:colOff>114300</xdr:colOff>
      <xdr:row>28</xdr:row>
      <xdr:rowOff>142875</xdr:rowOff>
    </xdr:to>
    <xdr:sp macro="" textlink="">
      <xdr:nvSpPr>
        <xdr:cNvPr id="1082" name="Line 58">
          <a:extLst>
            <a:ext uri="{FF2B5EF4-FFF2-40B4-BE49-F238E27FC236}">
              <a16:creationId xmlns:a16="http://schemas.microsoft.com/office/drawing/2014/main" id="{00000000-0008-0000-0100-00003A040000}"/>
            </a:ext>
          </a:extLst>
        </xdr:cNvPr>
        <xdr:cNvSpPr>
          <a:spLocks noChangeShapeType="1"/>
        </xdr:cNvSpPr>
      </xdr:nvSpPr>
      <xdr:spPr bwMode="auto">
        <a:xfrm flipV="1">
          <a:off x="1123950" y="364807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228600</xdr:colOff>
      <xdr:row>28</xdr:row>
      <xdr:rowOff>38100</xdr:rowOff>
    </xdr:from>
    <xdr:to>
      <xdr:col>0</xdr:col>
      <xdr:colOff>228600</xdr:colOff>
      <xdr:row>29</xdr:row>
      <xdr:rowOff>95250</xdr:rowOff>
    </xdr:to>
    <xdr:sp macro="" textlink="">
      <xdr:nvSpPr>
        <xdr:cNvPr id="1083" name="Line 59">
          <a:extLst>
            <a:ext uri="{FF2B5EF4-FFF2-40B4-BE49-F238E27FC236}">
              <a16:creationId xmlns:a16="http://schemas.microsoft.com/office/drawing/2014/main" id="{00000000-0008-0000-0100-00003B040000}"/>
            </a:ext>
          </a:extLst>
        </xdr:cNvPr>
        <xdr:cNvSpPr>
          <a:spLocks noChangeShapeType="1"/>
        </xdr:cNvSpPr>
      </xdr:nvSpPr>
      <xdr:spPr bwMode="auto">
        <a:xfrm flipV="1">
          <a:off x="228600" y="3676650"/>
          <a:ext cx="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228600</xdr:colOff>
      <xdr:row>30</xdr:row>
      <xdr:rowOff>161925</xdr:rowOff>
    </xdr:from>
    <xdr:to>
      <xdr:col>0</xdr:col>
      <xdr:colOff>228600</xdr:colOff>
      <xdr:row>31</xdr:row>
      <xdr:rowOff>161925</xdr:rowOff>
    </xdr:to>
    <xdr:sp macro="" textlink="">
      <xdr:nvSpPr>
        <xdr:cNvPr id="1085" name="Line 61">
          <a:extLst>
            <a:ext uri="{FF2B5EF4-FFF2-40B4-BE49-F238E27FC236}">
              <a16:creationId xmlns:a16="http://schemas.microsoft.com/office/drawing/2014/main" id="{00000000-0008-0000-0100-00003D040000}"/>
            </a:ext>
          </a:extLst>
        </xdr:cNvPr>
        <xdr:cNvSpPr>
          <a:spLocks noChangeShapeType="1"/>
        </xdr:cNvSpPr>
      </xdr:nvSpPr>
      <xdr:spPr bwMode="auto">
        <a:xfrm>
          <a:off x="228600" y="4124325"/>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31</xdr:row>
      <xdr:rowOff>0</xdr:rowOff>
    </xdr:from>
    <xdr:to>
      <xdr:col>4</xdr:col>
      <xdr:colOff>0</xdr:colOff>
      <xdr:row>31</xdr:row>
      <xdr:rowOff>152400</xdr:rowOff>
    </xdr:to>
    <xdr:sp macro="" textlink="">
      <xdr:nvSpPr>
        <xdr:cNvPr id="1086" name="Rectangle 62" descr="Papel periódico">
          <a:extLst>
            <a:ext uri="{FF2B5EF4-FFF2-40B4-BE49-F238E27FC236}">
              <a16:creationId xmlns:a16="http://schemas.microsoft.com/office/drawing/2014/main" id="{00000000-0008-0000-0100-00003E040000}"/>
            </a:ext>
          </a:extLst>
        </xdr:cNvPr>
        <xdr:cNvSpPr>
          <a:spLocks noChangeArrowheads="1"/>
        </xdr:cNvSpPr>
      </xdr:nvSpPr>
      <xdr:spPr bwMode="auto">
        <a:xfrm>
          <a:off x="1009650" y="4133850"/>
          <a:ext cx="1285875" cy="152400"/>
        </a:xfrm>
        <a:prstGeom prst="rect">
          <a:avLst/>
        </a:prstGeom>
        <a:blipFill dpi="0" rotWithShape="1">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         </a:t>
          </a:r>
          <a:r>
            <a:rPr lang="es-MX" sz="1000" b="1" i="0" u="none" strike="noStrike" baseline="0">
              <a:solidFill>
                <a:srgbClr val="000000"/>
              </a:solidFill>
              <a:latin typeface="Arial"/>
              <a:cs typeface="Arial"/>
            </a:rPr>
            <a:t>w2</a:t>
          </a:r>
        </a:p>
      </xdr:txBody>
    </xdr:sp>
    <xdr:clientData/>
  </xdr:twoCellAnchor>
  <xdr:twoCellAnchor>
    <xdr:from>
      <xdr:col>2</xdr:col>
      <xdr:colOff>333375</xdr:colOff>
      <xdr:row>25</xdr:row>
      <xdr:rowOff>0</xdr:rowOff>
    </xdr:from>
    <xdr:to>
      <xdr:col>2</xdr:col>
      <xdr:colOff>333375</xdr:colOff>
      <xdr:row>27</xdr:row>
      <xdr:rowOff>171450</xdr:rowOff>
    </xdr:to>
    <xdr:sp macro="" textlink="">
      <xdr:nvSpPr>
        <xdr:cNvPr id="1087" name="Line 63">
          <a:extLst>
            <a:ext uri="{FF2B5EF4-FFF2-40B4-BE49-F238E27FC236}">
              <a16:creationId xmlns:a16="http://schemas.microsoft.com/office/drawing/2014/main" id="{00000000-0008-0000-0100-00003F040000}"/>
            </a:ext>
          </a:extLst>
        </xdr:cNvPr>
        <xdr:cNvSpPr>
          <a:spLocks noChangeShapeType="1"/>
        </xdr:cNvSpPr>
      </xdr:nvSpPr>
      <xdr:spPr bwMode="auto">
        <a:xfrm>
          <a:off x="1343025" y="3038475"/>
          <a:ext cx="0"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331304</xdr:colOff>
      <xdr:row>20</xdr:row>
      <xdr:rowOff>9525</xdr:rowOff>
    </xdr:from>
    <xdr:to>
      <xdr:col>2</xdr:col>
      <xdr:colOff>333375</xdr:colOff>
      <xdr:row>24</xdr:row>
      <xdr:rowOff>49695</xdr:rowOff>
    </xdr:to>
    <xdr:sp macro="" textlink="">
      <xdr:nvSpPr>
        <xdr:cNvPr id="1088" name="Line 64">
          <a:extLst>
            <a:ext uri="{FF2B5EF4-FFF2-40B4-BE49-F238E27FC236}">
              <a16:creationId xmlns:a16="http://schemas.microsoft.com/office/drawing/2014/main" id="{00000000-0008-0000-0100-000040040000}"/>
            </a:ext>
          </a:extLst>
        </xdr:cNvPr>
        <xdr:cNvSpPr>
          <a:spLocks noChangeShapeType="1"/>
        </xdr:cNvSpPr>
      </xdr:nvSpPr>
      <xdr:spPr bwMode="auto">
        <a:xfrm flipV="1">
          <a:off x="1391478" y="1467264"/>
          <a:ext cx="2071" cy="70277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37</xdr:row>
      <xdr:rowOff>85725</xdr:rowOff>
    </xdr:from>
    <xdr:to>
      <xdr:col>3</xdr:col>
      <xdr:colOff>466725</xdr:colOff>
      <xdr:row>37</xdr:row>
      <xdr:rowOff>85725</xdr:rowOff>
    </xdr:to>
    <xdr:sp macro="" textlink="">
      <xdr:nvSpPr>
        <xdr:cNvPr id="1098" name="Line 74">
          <a:extLst>
            <a:ext uri="{FF2B5EF4-FFF2-40B4-BE49-F238E27FC236}">
              <a16:creationId xmlns:a16="http://schemas.microsoft.com/office/drawing/2014/main" id="{00000000-0008-0000-0100-00004A040000}"/>
            </a:ext>
          </a:extLst>
        </xdr:cNvPr>
        <xdr:cNvSpPr>
          <a:spLocks noChangeShapeType="1"/>
        </xdr:cNvSpPr>
      </xdr:nvSpPr>
      <xdr:spPr bwMode="auto">
        <a:xfrm>
          <a:off x="1819275" y="5200650"/>
          <a:ext cx="438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37</xdr:row>
      <xdr:rowOff>85725</xdr:rowOff>
    </xdr:from>
    <xdr:to>
      <xdr:col>2</xdr:col>
      <xdr:colOff>428625</xdr:colOff>
      <xdr:row>37</xdr:row>
      <xdr:rowOff>85725</xdr:rowOff>
    </xdr:to>
    <xdr:sp macro="" textlink="">
      <xdr:nvSpPr>
        <xdr:cNvPr id="1099" name="Line 75">
          <a:extLst>
            <a:ext uri="{FF2B5EF4-FFF2-40B4-BE49-F238E27FC236}">
              <a16:creationId xmlns:a16="http://schemas.microsoft.com/office/drawing/2014/main" id="{00000000-0008-0000-0100-00004B040000}"/>
            </a:ext>
          </a:extLst>
        </xdr:cNvPr>
        <xdr:cNvSpPr>
          <a:spLocks noChangeShapeType="1"/>
        </xdr:cNvSpPr>
      </xdr:nvSpPr>
      <xdr:spPr bwMode="auto">
        <a:xfrm flipH="1">
          <a:off x="1047750" y="520065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38</xdr:row>
      <xdr:rowOff>85725</xdr:rowOff>
    </xdr:from>
    <xdr:to>
      <xdr:col>2</xdr:col>
      <xdr:colOff>428625</xdr:colOff>
      <xdr:row>38</xdr:row>
      <xdr:rowOff>85725</xdr:rowOff>
    </xdr:to>
    <xdr:sp macro="" textlink="">
      <xdr:nvSpPr>
        <xdr:cNvPr id="1100" name="Line 76">
          <a:extLst>
            <a:ext uri="{FF2B5EF4-FFF2-40B4-BE49-F238E27FC236}">
              <a16:creationId xmlns:a16="http://schemas.microsoft.com/office/drawing/2014/main" id="{00000000-0008-0000-0100-00004C040000}"/>
            </a:ext>
          </a:extLst>
        </xdr:cNvPr>
        <xdr:cNvSpPr>
          <a:spLocks noChangeShapeType="1"/>
        </xdr:cNvSpPr>
      </xdr:nvSpPr>
      <xdr:spPr bwMode="auto">
        <a:xfrm flipH="1">
          <a:off x="1047750" y="5362575"/>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695325</xdr:colOff>
      <xdr:row>38</xdr:row>
      <xdr:rowOff>85725</xdr:rowOff>
    </xdr:from>
    <xdr:to>
      <xdr:col>3</xdr:col>
      <xdr:colOff>466725</xdr:colOff>
      <xdr:row>38</xdr:row>
      <xdr:rowOff>85725</xdr:rowOff>
    </xdr:to>
    <xdr:sp macro="" textlink="">
      <xdr:nvSpPr>
        <xdr:cNvPr id="1101" name="Line 77">
          <a:extLst>
            <a:ext uri="{FF2B5EF4-FFF2-40B4-BE49-F238E27FC236}">
              <a16:creationId xmlns:a16="http://schemas.microsoft.com/office/drawing/2014/main" id="{00000000-0008-0000-0100-00004D040000}"/>
            </a:ext>
          </a:extLst>
        </xdr:cNvPr>
        <xdr:cNvSpPr>
          <a:spLocks noChangeShapeType="1"/>
        </xdr:cNvSpPr>
      </xdr:nvSpPr>
      <xdr:spPr bwMode="auto">
        <a:xfrm>
          <a:off x="1704975" y="5362575"/>
          <a:ext cx="552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95</xdr:row>
      <xdr:rowOff>28575</xdr:rowOff>
    </xdr:from>
    <xdr:to>
      <xdr:col>7</xdr:col>
      <xdr:colOff>295275</xdr:colOff>
      <xdr:row>97</xdr:row>
      <xdr:rowOff>0</xdr:rowOff>
    </xdr:to>
    <xdr:sp macro="" textlink="">
      <xdr:nvSpPr>
        <xdr:cNvPr id="1102" name="Line 78">
          <a:extLst>
            <a:ext uri="{FF2B5EF4-FFF2-40B4-BE49-F238E27FC236}">
              <a16:creationId xmlns:a16="http://schemas.microsoft.com/office/drawing/2014/main" id="{00000000-0008-0000-0100-00004E040000}"/>
            </a:ext>
          </a:extLst>
        </xdr:cNvPr>
        <xdr:cNvSpPr>
          <a:spLocks noChangeShapeType="1"/>
        </xdr:cNvSpPr>
      </xdr:nvSpPr>
      <xdr:spPr bwMode="auto">
        <a:xfrm flipH="1">
          <a:off x="4533900" y="14639925"/>
          <a:ext cx="28575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485775</xdr:colOff>
      <xdr:row>96</xdr:row>
      <xdr:rowOff>0</xdr:rowOff>
    </xdr:from>
    <xdr:to>
      <xdr:col>8</xdr:col>
      <xdr:colOff>409575</xdr:colOff>
      <xdr:row>97</xdr:row>
      <xdr:rowOff>9525</xdr:rowOff>
    </xdr:to>
    <xdr:sp macro="" textlink="">
      <xdr:nvSpPr>
        <xdr:cNvPr id="1103" name="Rectangle 79">
          <a:extLst>
            <a:ext uri="{FF2B5EF4-FFF2-40B4-BE49-F238E27FC236}">
              <a16:creationId xmlns:a16="http://schemas.microsoft.com/office/drawing/2014/main" id="{00000000-0008-0000-0100-00004F040000}"/>
            </a:ext>
          </a:extLst>
        </xdr:cNvPr>
        <xdr:cNvSpPr>
          <a:spLocks noChangeArrowheads="1"/>
        </xdr:cNvSpPr>
      </xdr:nvSpPr>
      <xdr:spPr bwMode="auto">
        <a:xfrm>
          <a:off x="4105275" y="14773275"/>
          <a:ext cx="1647825" cy="1714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485775</xdr:colOff>
      <xdr:row>97</xdr:row>
      <xdr:rowOff>0</xdr:rowOff>
    </xdr:from>
    <xdr:to>
      <xdr:col>6</xdr:col>
      <xdr:colOff>485775</xdr:colOff>
      <xdr:row>98</xdr:row>
      <xdr:rowOff>123825</xdr:rowOff>
    </xdr:to>
    <xdr:sp macro="" textlink="">
      <xdr:nvSpPr>
        <xdr:cNvPr id="1104" name="Line 80">
          <a:extLst>
            <a:ext uri="{FF2B5EF4-FFF2-40B4-BE49-F238E27FC236}">
              <a16:creationId xmlns:a16="http://schemas.microsoft.com/office/drawing/2014/main" id="{00000000-0008-0000-0100-000050040000}"/>
            </a:ext>
          </a:extLst>
        </xdr:cNvPr>
        <xdr:cNvSpPr>
          <a:spLocks noChangeShapeType="1"/>
        </xdr:cNvSpPr>
      </xdr:nvSpPr>
      <xdr:spPr bwMode="auto">
        <a:xfrm flipH="1">
          <a:off x="4105275" y="1493520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476250</xdr:colOff>
      <xdr:row>97</xdr:row>
      <xdr:rowOff>85725</xdr:rowOff>
    </xdr:from>
    <xdr:to>
      <xdr:col>6</xdr:col>
      <xdr:colOff>590550</xdr:colOff>
      <xdr:row>97</xdr:row>
      <xdr:rowOff>85725</xdr:rowOff>
    </xdr:to>
    <xdr:sp macro="" textlink="">
      <xdr:nvSpPr>
        <xdr:cNvPr id="1106" name="Line 82">
          <a:extLst>
            <a:ext uri="{FF2B5EF4-FFF2-40B4-BE49-F238E27FC236}">
              <a16:creationId xmlns:a16="http://schemas.microsoft.com/office/drawing/2014/main" id="{00000000-0008-0000-0100-000052040000}"/>
            </a:ext>
          </a:extLst>
        </xdr:cNvPr>
        <xdr:cNvSpPr>
          <a:spLocks noChangeShapeType="1"/>
        </xdr:cNvSpPr>
      </xdr:nvSpPr>
      <xdr:spPr bwMode="auto">
        <a:xfrm flipH="1">
          <a:off x="4095750" y="150209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752475</xdr:colOff>
      <xdr:row>97</xdr:row>
      <xdr:rowOff>85725</xdr:rowOff>
    </xdr:from>
    <xdr:to>
      <xdr:col>6</xdr:col>
      <xdr:colOff>866775</xdr:colOff>
      <xdr:row>97</xdr:row>
      <xdr:rowOff>85725</xdr:rowOff>
    </xdr:to>
    <xdr:sp macro="" textlink="">
      <xdr:nvSpPr>
        <xdr:cNvPr id="1107" name="Line 83">
          <a:extLst>
            <a:ext uri="{FF2B5EF4-FFF2-40B4-BE49-F238E27FC236}">
              <a16:creationId xmlns:a16="http://schemas.microsoft.com/office/drawing/2014/main" id="{00000000-0008-0000-0100-000053040000}"/>
            </a:ext>
          </a:extLst>
        </xdr:cNvPr>
        <xdr:cNvSpPr>
          <a:spLocks noChangeShapeType="1"/>
        </xdr:cNvSpPr>
      </xdr:nvSpPr>
      <xdr:spPr bwMode="auto">
        <a:xfrm>
          <a:off x="4371975" y="150209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409575</xdr:colOff>
      <xdr:row>97</xdr:row>
      <xdr:rowOff>9525</xdr:rowOff>
    </xdr:from>
    <xdr:to>
      <xdr:col>8</xdr:col>
      <xdr:colOff>409575</xdr:colOff>
      <xdr:row>98</xdr:row>
      <xdr:rowOff>142875</xdr:rowOff>
    </xdr:to>
    <xdr:sp macro="" textlink="">
      <xdr:nvSpPr>
        <xdr:cNvPr id="1108" name="Line 84">
          <a:extLst>
            <a:ext uri="{FF2B5EF4-FFF2-40B4-BE49-F238E27FC236}">
              <a16:creationId xmlns:a16="http://schemas.microsoft.com/office/drawing/2014/main" id="{00000000-0008-0000-0100-000054040000}"/>
            </a:ext>
          </a:extLst>
        </xdr:cNvPr>
        <xdr:cNvSpPr>
          <a:spLocks noChangeShapeType="1"/>
        </xdr:cNvSpPr>
      </xdr:nvSpPr>
      <xdr:spPr bwMode="auto">
        <a:xfrm>
          <a:off x="5753100" y="14944725"/>
          <a:ext cx="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514350</xdr:colOff>
      <xdr:row>98</xdr:row>
      <xdr:rowOff>95250</xdr:rowOff>
    </xdr:from>
    <xdr:to>
      <xdr:col>6</xdr:col>
      <xdr:colOff>857250</xdr:colOff>
      <xdr:row>98</xdr:row>
      <xdr:rowOff>95250</xdr:rowOff>
    </xdr:to>
    <xdr:sp macro="" textlink="">
      <xdr:nvSpPr>
        <xdr:cNvPr id="1109" name="Line 85">
          <a:extLst>
            <a:ext uri="{FF2B5EF4-FFF2-40B4-BE49-F238E27FC236}">
              <a16:creationId xmlns:a16="http://schemas.microsoft.com/office/drawing/2014/main" id="{00000000-0008-0000-0100-000055040000}"/>
            </a:ext>
          </a:extLst>
        </xdr:cNvPr>
        <xdr:cNvSpPr>
          <a:spLocks noChangeShapeType="1"/>
        </xdr:cNvSpPr>
      </xdr:nvSpPr>
      <xdr:spPr bwMode="auto">
        <a:xfrm flipH="1">
          <a:off x="4133850" y="1519237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0</xdr:colOff>
      <xdr:row>98</xdr:row>
      <xdr:rowOff>95250</xdr:rowOff>
    </xdr:from>
    <xdr:to>
      <xdr:col>8</xdr:col>
      <xdr:colOff>381000</xdr:colOff>
      <xdr:row>98</xdr:row>
      <xdr:rowOff>95250</xdr:rowOff>
    </xdr:to>
    <xdr:sp macro="" textlink="">
      <xdr:nvSpPr>
        <xdr:cNvPr id="1110" name="Line 86">
          <a:extLst>
            <a:ext uri="{FF2B5EF4-FFF2-40B4-BE49-F238E27FC236}">
              <a16:creationId xmlns:a16="http://schemas.microsoft.com/office/drawing/2014/main" id="{00000000-0008-0000-0100-000056040000}"/>
            </a:ext>
          </a:extLst>
        </xdr:cNvPr>
        <xdr:cNvSpPr>
          <a:spLocks noChangeShapeType="1"/>
        </xdr:cNvSpPr>
      </xdr:nvSpPr>
      <xdr:spPr bwMode="auto">
        <a:xfrm>
          <a:off x="5343525" y="15192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304800</xdr:colOff>
      <xdr:row>94</xdr:row>
      <xdr:rowOff>161925</xdr:rowOff>
    </xdr:from>
    <xdr:to>
      <xdr:col>6</xdr:col>
      <xdr:colOff>76200</xdr:colOff>
      <xdr:row>106</xdr:row>
      <xdr:rowOff>38100</xdr:rowOff>
    </xdr:to>
    <xdr:graphicFrame macro="">
      <xdr:nvGraphicFramePr>
        <xdr:cNvPr id="1111" name="Gráfico 87">
          <a:extLst>
            <a:ext uri="{FF2B5EF4-FFF2-40B4-BE49-F238E27FC236}">
              <a16:creationId xmlns:a16="http://schemas.microsoft.com/office/drawing/2014/main" id="{00000000-0008-0000-0100-00005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106</xdr:row>
      <xdr:rowOff>85725</xdr:rowOff>
    </xdr:from>
    <xdr:to>
      <xdr:col>3</xdr:col>
      <xdr:colOff>190500</xdr:colOff>
      <xdr:row>106</xdr:row>
      <xdr:rowOff>85725</xdr:rowOff>
    </xdr:to>
    <xdr:sp macro="" textlink="">
      <xdr:nvSpPr>
        <xdr:cNvPr id="1114" name="Line 90">
          <a:extLst>
            <a:ext uri="{FF2B5EF4-FFF2-40B4-BE49-F238E27FC236}">
              <a16:creationId xmlns:a16="http://schemas.microsoft.com/office/drawing/2014/main" id="{00000000-0008-0000-0100-00005A040000}"/>
            </a:ext>
          </a:extLst>
        </xdr:cNvPr>
        <xdr:cNvSpPr>
          <a:spLocks noChangeShapeType="1"/>
        </xdr:cNvSpPr>
      </xdr:nvSpPr>
      <xdr:spPr bwMode="auto">
        <a:xfrm flipH="1">
          <a:off x="1028700" y="16478250"/>
          <a:ext cx="952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106</xdr:row>
      <xdr:rowOff>76200</xdr:rowOff>
    </xdr:from>
    <xdr:to>
      <xdr:col>5</xdr:col>
      <xdr:colOff>419100</xdr:colOff>
      <xdr:row>106</xdr:row>
      <xdr:rowOff>76200</xdr:rowOff>
    </xdr:to>
    <xdr:sp macro="" textlink="">
      <xdr:nvSpPr>
        <xdr:cNvPr id="1115" name="Line 91">
          <a:extLst>
            <a:ext uri="{FF2B5EF4-FFF2-40B4-BE49-F238E27FC236}">
              <a16:creationId xmlns:a16="http://schemas.microsoft.com/office/drawing/2014/main" id="{00000000-0008-0000-0100-00005B040000}"/>
            </a:ext>
          </a:extLst>
        </xdr:cNvPr>
        <xdr:cNvSpPr>
          <a:spLocks noChangeShapeType="1"/>
        </xdr:cNvSpPr>
      </xdr:nvSpPr>
      <xdr:spPr bwMode="auto">
        <a:xfrm>
          <a:off x="2324100" y="16468725"/>
          <a:ext cx="11715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523875</xdr:colOff>
      <xdr:row>107</xdr:row>
      <xdr:rowOff>76200</xdr:rowOff>
    </xdr:from>
    <xdr:to>
      <xdr:col>2</xdr:col>
      <xdr:colOff>714375</xdr:colOff>
      <xdr:row>107</xdr:row>
      <xdr:rowOff>76200</xdr:rowOff>
    </xdr:to>
    <xdr:sp macro="" textlink="">
      <xdr:nvSpPr>
        <xdr:cNvPr id="1116" name="Line 92">
          <a:extLst>
            <a:ext uri="{FF2B5EF4-FFF2-40B4-BE49-F238E27FC236}">
              <a16:creationId xmlns:a16="http://schemas.microsoft.com/office/drawing/2014/main" id="{00000000-0008-0000-0100-00005C040000}"/>
            </a:ext>
          </a:extLst>
        </xdr:cNvPr>
        <xdr:cNvSpPr>
          <a:spLocks noChangeShapeType="1"/>
        </xdr:cNvSpPr>
      </xdr:nvSpPr>
      <xdr:spPr bwMode="auto">
        <a:xfrm>
          <a:off x="1533525" y="1663065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107</xdr:row>
      <xdr:rowOff>76200</xdr:rowOff>
    </xdr:from>
    <xdr:to>
      <xdr:col>2</xdr:col>
      <xdr:colOff>228600</xdr:colOff>
      <xdr:row>107</xdr:row>
      <xdr:rowOff>76200</xdr:rowOff>
    </xdr:to>
    <xdr:sp macro="" textlink="">
      <xdr:nvSpPr>
        <xdr:cNvPr id="1117" name="Line 93">
          <a:extLst>
            <a:ext uri="{FF2B5EF4-FFF2-40B4-BE49-F238E27FC236}">
              <a16:creationId xmlns:a16="http://schemas.microsoft.com/office/drawing/2014/main" id="{00000000-0008-0000-0100-00005D040000}"/>
            </a:ext>
          </a:extLst>
        </xdr:cNvPr>
        <xdr:cNvSpPr>
          <a:spLocks noChangeShapeType="1"/>
        </xdr:cNvSpPr>
      </xdr:nvSpPr>
      <xdr:spPr bwMode="auto">
        <a:xfrm flipH="1">
          <a:off x="1038225" y="16630650"/>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257175</xdr:colOff>
      <xdr:row>107</xdr:row>
      <xdr:rowOff>152400</xdr:rowOff>
    </xdr:from>
    <xdr:to>
      <xdr:col>3</xdr:col>
      <xdr:colOff>257175</xdr:colOff>
      <xdr:row>109</xdr:row>
      <xdr:rowOff>9525</xdr:rowOff>
    </xdr:to>
    <xdr:sp macro="" textlink="">
      <xdr:nvSpPr>
        <xdr:cNvPr id="1118" name="Line 94">
          <a:extLst>
            <a:ext uri="{FF2B5EF4-FFF2-40B4-BE49-F238E27FC236}">
              <a16:creationId xmlns:a16="http://schemas.microsoft.com/office/drawing/2014/main" id="{00000000-0008-0000-0100-00005E040000}"/>
            </a:ext>
          </a:extLst>
        </xdr:cNvPr>
        <xdr:cNvSpPr>
          <a:spLocks noChangeShapeType="1"/>
        </xdr:cNvSpPr>
      </xdr:nvSpPr>
      <xdr:spPr bwMode="auto">
        <a:xfrm>
          <a:off x="2047875" y="16706850"/>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108</xdr:row>
      <xdr:rowOff>95250</xdr:rowOff>
    </xdr:from>
    <xdr:to>
      <xdr:col>3</xdr:col>
      <xdr:colOff>219075</xdr:colOff>
      <xdr:row>108</xdr:row>
      <xdr:rowOff>95250</xdr:rowOff>
    </xdr:to>
    <xdr:sp macro="" textlink="">
      <xdr:nvSpPr>
        <xdr:cNvPr id="1119" name="Line 95">
          <a:extLst>
            <a:ext uri="{FF2B5EF4-FFF2-40B4-BE49-F238E27FC236}">
              <a16:creationId xmlns:a16="http://schemas.microsoft.com/office/drawing/2014/main" id="{00000000-0008-0000-0100-00005F040000}"/>
            </a:ext>
          </a:extLst>
        </xdr:cNvPr>
        <xdr:cNvSpPr>
          <a:spLocks noChangeShapeType="1"/>
        </xdr:cNvSpPr>
      </xdr:nvSpPr>
      <xdr:spPr bwMode="auto">
        <a:xfrm>
          <a:off x="1809750" y="16811625"/>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108</xdr:row>
      <xdr:rowOff>95250</xdr:rowOff>
    </xdr:from>
    <xdr:to>
      <xdr:col>2</xdr:col>
      <xdr:colOff>447675</xdr:colOff>
      <xdr:row>108</xdr:row>
      <xdr:rowOff>95250</xdr:rowOff>
    </xdr:to>
    <xdr:sp macro="" textlink="">
      <xdr:nvSpPr>
        <xdr:cNvPr id="1121" name="Line 97">
          <a:extLst>
            <a:ext uri="{FF2B5EF4-FFF2-40B4-BE49-F238E27FC236}">
              <a16:creationId xmlns:a16="http://schemas.microsoft.com/office/drawing/2014/main" id="{00000000-0008-0000-0100-000061040000}"/>
            </a:ext>
          </a:extLst>
        </xdr:cNvPr>
        <xdr:cNvSpPr>
          <a:spLocks noChangeShapeType="1"/>
        </xdr:cNvSpPr>
      </xdr:nvSpPr>
      <xdr:spPr bwMode="auto">
        <a:xfrm flipH="1">
          <a:off x="1038225" y="16811625"/>
          <a:ext cx="419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409575</xdr:colOff>
      <xdr:row>75</xdr:row>
      <xdr:rowOff>0</xdr:rowOff>
    </xdr:from>
    <xdr:ext cx="142875" cy="200025"/>
    <xdr:sp macro="" textlink="">
      <xdr:nvSpPr>
        <xdr:cNvPr id="1126" name="Text Box 102">
          <a:extLst>
            <a:ext uri="{FF2B5EF4-FFF2-40B4-BE49-F238E27FC236}">
              <a16:creationId xmlns:a16="http://schemas.microsoft.com/office/drawing/2014/main" id="{00000000-0008-0000-0100-000066040000}"/>
            </a:ext>
          </a:extLst>
        </xdr:cNvPr>
        <xdr:cNvSpPr txBox="1">
          <a:spLocks noChangeArrowheads="1"/>
        </xdr:cNvSpPr>
      </xdr:nvSpPr>
      <xdr:spPr bwMode="auto">
        <a:xfrm>
          <a:off x="1419225" y="1116330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75</xdr:row>
      <xdr:rowOff>0</xdr:rowOff>
    </xdr:from>
    <xdr:ext cx="142875" cy="200025"/>
    <xdr:sp macro="" textlink="">
      <xdr:nvSpPr>
        <xdr:cNvPr id="1127" name="Text Box 103">
          <a:extLst>
            <a:ext uri="{FF2B5EF4-FFF2-40B4-BE49-F238E27FC236}">
              <a16:creationId xmlns:a16="http://schemas.microsoft.com/office/drawing/2014/main" id="{00000000-0008-0000-0100-000067040000}"/>
            </a:ext>
          </a:extLst>
        </xdr:cNvPr>
        <xdr:cNvSpPr txBox="1">
          <a:spLocks noChangeArrowheads="1"/>
        </xdr:cNvSpPr>
      </xdr:nvSpPr>
      <xdr:spPr bwMode="auto">
        <a:xfrm>
          <a:off x="2105025" y="1116330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twoCellAnchor>
    <xdr:from>
      <xdr:col>3</xdr:col>
      <xdr:colOff>104775</xdr:colOff>
      <xdr:row>18</xdr:row>
      <xdr:rowOff>19050</xdr:rowOff>
    </xdr:from>
    <xdr:to>
      <xdr:col>3</xdr:col>
      <xdr:colOff>114300</xdr:colOff>
      <xdr:row>20</xdr:row>
      <xdr:rowOff>9525</xdr:rowOff>
    </xdr:to>
    <xdr:sp macro="" textlink="">
      <xdr:nvSpPr>
        <xdr:cNvPr id="1144" name="Line 120">
          <a:extLst>
            <a:ext uri="{FF2B5EF4-FFF2-40B4-BE49-F238E27FC236}">
              <a16:creationId xmlns:a16="http://schemas.microsoft.com/office/drawing/2014/main" id="{00000000-0008-0000-0100-000078040000}"/>
            </a:ext>
          </a:extLst>
        </xdr:cNvPr>
        <xdr:cNvSpPr>
          <a:spLocks noChangeShapeType="1"/>
        </xdr:cNvSpPr>
      </xdr:nvSpPr>
      <xdr:spPr bwMode="auto">
        <a:xfrm flipH="1">
          <a:off x="1895475" y="1590675"/>
          <a:ext cx="95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180975</xdr:colOff>
      <xdr:row>18</xdr:row>
      <xdr:rowOff>19050</xdr:rowOff>
    </xdr:from>
    <xdr:to>
      <xdr:col>3</xdr:col>
      <xdr:colOff>180975</xdr:colOff>
      <xdr:row>20</xdr:row>
      <xdr:rowOff>9525</xdr:rowOff>
    </xdr:to>
    <xdr:sp macro="" textlink="">
      <xdr:nvSpPr>
        <xdr:cNvPr id="1145" name="Line 121">
          <a:extLst>
            <a:ext uri="{FF2B5EF4-FFF2-40B4-BE49-F238E27FC236}">
              <a16:creationId xmlns:a16="http://schemas.microsoft.com/office/drawing/2014/main" id="{00000000-0008-0000-0100-000079040000}"/>
            </a:ext>
          </a:extLst>
        </xdr:cNvPr>
        <xdr:cNvSpPr>
          <a:spLocks noChangeShapeType="1"/>
        </xdr:cNvSpPr>
      </xdr:nvSpPr>
      <xdr:spPr bwMode="auto">
        <a:xfrm>
          <a:off x="1971675" y="1590675"/>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257175</xdr:colOff>
      <xdr:row>18</xdr:row>
      <xdr:rowOff>9525</xdr:rowOff>
    </xdr:from>
    <xdr:to>
      <xdr:col>3</xdr:col>
      <xdr:colOff>257175</xdr:colOff>
      <xdr:row>20</xdr:row>
      <xdr:rowOff>9525</xdr:rowOff>
    </xdr:to>
    <xdr:sp macro="" textlink="">
      <xdr:nvSpPr>
        <xdr:cNvPr id="1146" name="Line 122">
          <a:extLst>
            <a:ext uri="{FF2B5EF4-FFF2-40B4-BE49-F238E27FC236}">
              <a16:creationId xmlns:a16="http://schemas.microsoft.com/office/drawing/2014/main" id="{00000000-0008-0000-0100-00007A040000}"/>
            </a:ext>
          </a:extLst>
        </xdr:cNvPr>
        <xdr:cNvSpPr>
          <a:spLocks noChangeShapeType="1"/>
        </xdr:cNvSpPr>
      </xdr:nvSpPr>
      <xdr:spPr bwMode="auto">
        <a:xfrm>
          <a:off x="2047875" y="1581150"/>
          <a:ext cx="0" cy="495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333375</xdr:colOff>
      <xdr:row>18</xdr:row>
      <xdr:rowOff>0</xdr:rowOff>
    </xdr:from>
    <xdr:to>
      <xdr:col>3</xdr:col>
      <xdr:colOff>342900</xdr:colOff>
      <xdr:row>20</xdr:row>
      <xdr:rowOff>9525</xdr:rowOff>
    </xdr:to>
    <xdr:sp macro="" textlink="">
      <xdr:nvSpPr>
        <xdr:cNvPr id="1147" name="Line 123">
          <a:extLst>
            <a:ext uri="{FF2B5EF4-FFF2-40B4-BE49-F238E27FC236}">
              <a16:creationId xmlns:a16="http://schemas.microsoft.com/office/drawing/2014/main" id="{00000000-0008-0000-0100-00007B040000}"/>
            </a:ext>
          </a:extLst>
        </xdr:cNvPr>
        <xdr:cNvSpPr>
          <a:spLocks noChangeShapeType="1"/>
        </xdr:cNvSpPr>
      </xdr:nvSpPr>
      <xdr:spPr bwMode="auto">
        <a:xfrm flipH="1">
          <a:off x="2124075"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381000</xdr:colOff>
      <xdr:row>25</xdr:row>
      <xdr:rowOff>28575</xdr:rowOff>
    </xdr:from>
    <xdr:to>
      <xdr:col>2</xdr:col>
      <xdr:colOff>485775</xdr:colOff>
      <xdr:row>25</xdr:row>
      <xdr:rowOff>104775</xdr:rowOff>
    </xdr:to>
    <xdr:sp macro="" textlink="">
      <xdr:nvSpPr>
        <xdr:cNvPr id="1154" name="Line 130">
          <a:extLst>
            <a:ext uri="{FF2B5EF4-FFF2-40B4-BE49-F238E27FC236}">
              <a16:creationId xmlns:a16="http://schemas.microsoft.com/office/drawing/2014/main" id="{00000000-0008-0000-0100-000082040000}"/>
            </a:ext>
          </a:extLst>
        </xdr:cNvPr>
        <xdr:cNvSpPr>
          <a:spLocks noChangeShapeType="1"/>
        </xdr:cNvSpPr>
      </xdr:nvSpPr>
      <xdr:spPr bwMode="auto">
        <a:xfrm flipV="1">
          <a:off x="914400" y="3067050"/>
          <a:ext cx="581025" cy="7620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4</xdr:col>
      <xdr:colOff>409575</xdr:colOff>
      <xdr:row>189</xdr:row>
      <xdr:rowOff>19050</xdr:rowOff>
    </xdr:from>
    <xdr:to>
      <xdr:col>4</xdr:col>
      <xdr:colOff>628650</xdr:colOff>
      <xdr:row>193</xdr:row>
      <xdr:rowOff>19051</xdr:rowOff>
    </xdr:to>
    <xdr:sp macro="" textlink="">
      <xdr:nvSpPr>
        <xdr:cNvPr id="1166" name="Text Box 142">
          <a:extLst>
            <a:ext uri="{FF2B5EF4-FFF2-40B4-BE49-F238E27FC236}">
              <a16:creationId xmlns:a16="http://schemas.microsoft.com/office/drawing/2014/main" id="{00000000-0008-0000-0100-00008E040000}"/>
            </a:ext>
          </a:extLst>
        </xdr:cNvPr>
        <xdr:cNvSpPr txBox="1">
          <a:spLocks noChangeArrowheads="1"/>
        </xdr:cNvSpPr>
      </xdr:nvSpPr>
      <xdr:spPr bwMode="auto">
        <a:xfrm>
          <a:off x="2705100" y="30032325"/>
          <a:ext cx="2190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342900</xdr:colOff>
      <xdr:row>191</xdr:row>
      <xdr:rowOff>9525</xdr:rowOff>
    </xdr:from>
    <xdr:to>
      <xdr:col>5</xdr:col>
      <xdr:colOff>1242</xdr:colOff>
      <xdr:row>193</xdr:row>
      <xdr:rowOff>47626</xdr:rowOff>
    </xdr:to>
    <xdr:sp macro="" textlink="">
      <xdr:nvSpPr>
        <xdr:cNvPr id="1168" name="Text Box 144">
          <a:extLst>
            <a:ext uri="{FF2B5EF4-FFF2-40B4-BE49-F238E27FC236}">
              <a16:creationId xmlns:a16="http://schemas.microsoft.com/office/drawing/2014/main" id="{00000000-0008-0000-0100-000090040000}"/>
            </a:ext>
          </a:extLst>
        </xdr:cNvPr>
        <xdr:cNvSpPr txBox="1">
          <a:spLocks noChangeArrowheads="1"/>
        </xdr:cNvSpPr>
      </xdr:nvSpPr>
      <xdr:spPr bwMode="auto">
        <a:xfrm>
          <a:off x="2638425" y="30346650"/>
          <a:ext cx="42862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s-MX" sz="1000" b="0" i="0" u="none" strike="noStrike" baseline="0">
            <a:solidFill>
              <a:srgbClr val="000000"/>
            </a:solidFill>
            <a:latin typeface="Arial"/>
            <a:cs typeface="Arial"/>
          </a:endParaRPr>
        </a:p>
      </xdr:txBody>
    </xdr:sp>
    <xdr:clientData/>
  </xdr:twoCellAnchor>
  <xdr:oneCellAnchor>
    <xdr:from>
      <xdr:col>4</xdr:col>
      <xdr:colOff>190500</xdr:colOff>
      <xdr:row>226</xdr:row>
      <xdr:rowOff>28575</xdr:rowOff>
    </xdr:from>
    <xdr:ext cx="18531" cy="170560"/>
    <xdr:sp macro="" textlink="">
      <xdr:nvSpPr>
        <xdr:cNvPr id="1178" name="Text Box 154">
          <a:extLst>
            <a:ext uri="{FF2B5EF4-FFF2-40B4-BE49-F238E27FC236}">
              <a16:creationId xmlns:a16="http://schemas.microsoft.com/office/drawing/2014/main" id="{00000000-0008-0000-0100-00009A040000}"/>
            </a:ext>
          </a:extLst>
        </xdr:cNvPr>
        <xdr:cNvSpPr txBox="1">
          <a:spLocks noChangeArrowheads="1"/>
        </xdr:cNvSpPr>
      </xdr:nvSpPr>
      <xdr:spPr bwMode="auto">
        <a:xfrm>
          <a:off x="2484783" y="36836488"/>
          <a:ext cx="1853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s-MX" sz="1000" b="0" i="0" u="none" strike="noStrike" baseline="0">
            <a:solidFill>
              <a:srgbClr val="000000"/>
            </a:solidFill>
            <a:latin typeface="Arial"/>
            <a:cs typeface="Arial"/>
          </a:endParaRPr>
        </a:p>
      </xdr:txBody>
    </xdr:sp>
    <xdr:clientData/>
  </xdr:oneCellAnchor>
  <xdr:twoCellAnchor>
    <xdr:from>
      <xdr:col>2</xdr:col>
      <xdr:colOff>552450</xdr:colOff>
      <xdr:row>19</xdr:row>
      <xdr:rowOff>85725</xdr:rowOff>
    </xdr:from>
    <xdr:to>
      <xdr:col>3</xdr:col>
      <xdr:colOff>38100</xdr:colOff>
      <xdr:row>19</xdr:row>
      <xdr:rowOff>85725</xdr:rowOff>
    </xdr:to>
    <xdr:sp macro="" textlink="">
      <xdr:nvSpPr>
        <xdr:cNvPr id="1230" name="Line 206">
          <a:extLst>
            <a:ext uri="{FF2B5EF4-FFF2-40B4-BE49-F238E27FC236}">
              <a16:creationId xmlns:a16="http://schemas.microsoft.com/office/drawing/2014/main" id="{00000000-0008-0000-0100-0000CE040000}"/>
            </a:ext>
          </a:extLst>
        </xdr:cNvPr>
        <xdr:cNvSpPr>
          <a:spLocks noChangeShapeType="1"/>
        </xdr:cNvSpPr>
      </xdr:nvSpPr>
      <xdr:spPr bwMode="auto">
        <a:xfrm>
          <a:off x="1562100" y="1981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609600</xdr:colOff>
      <xdr:row>19</xdr:row>
      <xdr:rowOff>38100</xdr:rowOff>
    </xdr:from>
    <xdr:to>
      <xdr:col>2</xdr:col>
      <xdr:colOff>609600</xdr:colOff>
      <xdr:row>19</xdr:row>
      <xdr:rowOff>133350</xdr:rowOff>
    </xdr:to>
    <xdr:sp macro="" textlink="">
      <xdr:nvSpPr>
        <xdr:cNvPr id="1233" name="Line 209">
          <a:extLst>
            <a:ext uri="{FF2B5EF4-FFF2-40B4-BE49-F238E27FC236}">
              <a16:creationId xmlns:a16="http://schemas.microsoft.com/office/drawing/2014/main" id="{00000000-0008-0000-0100-0000D1040000}"/>
            </a:ext>
          </a:extLst>
        </xdr:cNvPr>
        <xdr:cNvSpPr>
          <a:spLocks noChangeShapeType="1"/>
        </xdr:cNvSpPr>
      </xdr:nvSpPr>
      <xdr:spPr bwMode="auto">
        <a:xfrm flipV="1">
          <a:off x="1619250" y="1933575"/>
          <a:ext cx="0" cy="952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457200</xdr:colOff>
      <xdr:row>28</xdr:row>
      <xdr:rowOff>0</xdr:rowOff>
    </xdr:from>
    <xdr:to>
      <xdr:col>1</xdr:col>
      <xdr:colOff>457200</xdr:colOff>
      <xdr:row>31</xdr:row>
      <xdr:rowOff>0</xdr:rowOff>
    </xdr:to>
    <xdr:sp macro="" textlink="">
      <xdr:nvSpPr>
        <xdr:cNvPr id="1234" name="Line 210">
          <a:extLst>
            <a:ext uri="{FF2B5EF4-FFF2-40B4-BE49-F238E27FC236}">
              <a16:creationId xmlns:a16="http://schemas.microsoft.com/office/drawing/2014/main" id="{00000000-0008-0000-0100-0000D2040000}"/>
            </a:ext>
          </a:extLst>
        </xdr:cNvPr>
        <xdr:cNvSpPr>
          <a:spLocks noChangeShapeType="1"/>
        </xdr:cNvSpPr>
      </xdr:nvSpPr>
      <xdr:spPr bwMode="auto">
        <a:xfrm flipV="1">
          <a:off x="990600" y="3638550"/>
          <a:ext cx="0" cy="495300"/>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485775</xdr:colOff>
      <xdr:row>20</xdr:row>
      <xdr:rowOff>0</xdr:rowOff>
    </xdr:from>
    <xdr:to>
      <xdr:col>3</xdr:col>
      <xdr:colOff>485775</xdr:colOff>
      <xdr:row>31</xdr:row>
      <xdr:rowOff>0</xdr:rowOff>
    </xdr:to>
    <xdr:sp macro="" textlink="">
      <xdr:nvSpPr>
        <xdr:cNvPr id="1235" name="Line 211">
          <a:extLst>
            <a:ext uri="{FF2B5EF4-FFF2-40B4-BE49-F238E27FC236}">
              <a16:creationId xmlns:a16="http://schemas.microsoft.com/office/drawing/2014/main" id="{00000000-0008-0000-0100-0000D3040000}"/>
            </a:ext>
          </a:extLst>
        </xdr:cNvPr>
        <xdr:cNvSpPr>
          <a:spLocks noChangeShapeType="1"/>
        </xdr:cNvSpPr>
      </xdr:nvSpPr>
      <xdr:spPr bwMode="auto">
        <a:xfrm flipV="1">
          <a:off x="2276475" y="2066925"/>
          <a:ext cx="0" cy="206692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438150</xdr:colOff>
      <xdr:row>36</xdr:row>
      <xdr:rowOff>38100</xdr:rowOff>
    </xdr:from>
    <xdr:to>
      <xdr:col>3</xdr:col>
      <xdr:colOff>57150</xdr:colOff>
      <xdr:row>36</xdr:row>
      <xdr:rowOff>38100</xdr:rowOff>
    </xdr:to>
    <xdr:sp macro="" textlink="">
      <xdr:nvSpPr>
        <xdr:cNvPr id="1238" name="Line 214">
          <a:extLst>
            <a:ext uri="{FF2B5EF4-FFF2-40B4-BE49-F238E27FC236}">
              <a16:creationId xmlns:a16="http://schemas.microsoft.com/office/drawing/2014/main" id="{00000000-0008-0000-0100-0000D6040000}"/>
            </a:ext>
          </a:extLst>
        </xdr:cNvPr>
        <xdr:cNvSpPr>
          <a:spLocks noChangeShapeType="1"/>
        </xdr:cNvSpPr>
      </xdr:nvSpPr>
      <xdr:spPr bwMode="auto">
        <a:xfrm>
          <a:off x="1447800" y="4991100"/>
          <a:ext cx="400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32</xdr:row>
      <xdr:rowOff>9525</xdr:rowOff>
    </xdr:from>
    <xdr:to>
      <xdr:col>3</xdr:col>
      <xdr:colOff>9525</xdr:colOff>
      <xdr:row>33</xdr:row>
      <xdr:rowOff>104775</xdr:rowOff>
    </xdr:to>
    <xdr:sp macro="" textlink="">
      <xdr:nvSpPr>
        <xdr:cNvPr id="1239" name="Rectangle 215" descr="Papel periódico">
          <a:extLst>
            <a:ext uri="{FF2B5EF4-FFF2-40B4-BE49-F238E27FC236}">
              <a16:creationId xmlns:a16="http://schemas.microsoft.com/office/drawing/2014/main" id="{00000000-0008-0000-0100-0000D7040000}"/>
            </a:ext>
          </a:extLst>
        </xdr:cNvPr>
        <xdr:cNvSpPr>
          <a:spLocks noChangeArrowheads="1"/>
        </xdr:cNvSpPr>
      </xdr:nvSpPr>
      <xdr:spPr bwMode="auto">
        <a:xfrm>
          <a:off x="1495425" y="4314825"/>
          <a:ext cx="304800" cy="257175"/>
        </a:xfrm>
        <a:prstGeom prst="rect">
          <a:avLst/>
        </a:prstGeom>
        <a:blipFill dpi="0" rotWithShape="1">
          <a:blip xmlns:r="http://schemas.openxmlformats.org/officeDocument/2006/relationships" r:embed="rId1"/>
          <a:srcRect/>
          <a:tile tx="0" ty="0" sx="100000" sy="100000" flip="none" algn="tl"/>
        </a:blipFill>
        <a:ln w="19050"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 w3</a:t>
          </a:r>
          <a:endParaRPr lang="es-MX" sz="1000" b="0" i="0" u="none" strike="noStrike" baseline="0">
            <a:solidFill>
              <a:srgbClr val="000000"/>
            </a:solidFill>
            <a:latin typeface="Arial"/>
            <a:cs typeface="Arial"/>
          </a:endParaRPr>
        </a:p>
        <a:p>
          <a:pPr algn="l" rtl="0">
            <a:defRPr sz="1000"/>
          </a:pPr>
          <a:endParaRPr lang="es-MX" sz="1000" b="0" i="0" u="none" strike="noStrike" baseline="0">
            <a:solidFill>
              <a:srgbClr val="000000"/>
            </a:solidFill>
            <a:latin typeface="Arial"/>
            <a:cs typeface="Arial"/>
          </a:endParaRPr>
        </a:p>
      </xdr:txBody>
    </xdr:sp>
    <xdr:clientData/>
  </xdr:twoCellAnchor>
  <xdr:twoCellAnchor>
    <xdr:from>
      <xdr:col>1</xdr:col>
      <xdr:colOff>438150</xdr:colOff>
      <xdr:row>31</xdr:row>
      <xdr:rowOff>142875</xdr:rowOff>
    </xdr:from>
    <xdr:to>
      <xdr:col>2</xdr:col>
      <xdr:colOff>9525</xdr:colOff>
      <xdr:row>32</xdr:row>
      <xdr:rowOff>38100</xdr:rowOff>
    </xdr:to>
    <xdr:sp macro="" textlink="">
      <xdr:nvSpPr>
        <xdr:cNvPr id="1243" name="AutoShape 219" descr="Papel periódico">
          <a:extLst>
            <a:ext uri="{FF2B5EF4-FFF2-40B4-BE49-F238E27FC236}">
              <a16:creationId xmlns:a16="http://schemas.microsoft.com/office/drawing/2014/main" id="{00000000-0008-0000-0100-0000DB040000}"/>
            </a:ext>
          </a:extLst>
        </xdr:cNvPr>
        <xdr:cNvSpPr>
          <a:spLocks noChangeArrowheads="1"/>
        </xdr:cNvSpPr>
      </xdr:nvSpPr>
      <xdr:spPr bwMode="auto">
        <a:xfrm>
          <a:off x="971550" y="4276725"/>
          <a:ext cx="47625" cy="66675"/>
        </a:xfrm>
        <a:prstGeom prst="flowChartConnector">
          <a:avLst/>
        </a:prstGeom>
        <a:blipFill dpi="0" rotWithShape="1">
          <a:blip xmlns:r="http://schemas.openxmlformats.org/officeDocument/2006/relationships" r:embed="rId1"/>
          <a:srcRect/>
          <a:tile tx="0" ty="0" sx="100000" sy="100000" flip="none" algn="tl"/>
        </a:blipFill>
        <a:ln w="19050" algn="ctr">
          <a:solidFill>
            <a:srgbClr xmlns:mc="http://schemas.openxmlformats.org/markup-compatibility/2006" xmlns:a14="http://schemas.microsoft.com/office/drawing/2010/main" val="FF6600" mc:Ignorable="a14" a14:legacySpreadsheetColorIndex="53"/>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228600</xdr:colOff>
      <xdr:row>32</xdr:row>
      <xdr:rowOff>38100</xdr:rowOff>
    </xdr:from>
    <xdr:to>
      <xdr:col>1</xdr:col>
      <xdr:colOff>447675</xdr:colOff>
      <xdr:row>33</xdr:row>
      <xdr:rowOff>85725</xdr:rowOff>
    </xdr:to>
    <xdr:sp macro="" textlink="">
      <xdr:nvSpPr>
        <xdr:cNvPr id="1244" name="Line 220">
          <a:extLst>
            <a:ext uri="{FF2B5EF4-FFF2-40B4-BE49-F238E27FC236}">
              <a16:creationId xmlns:a16="http://schemas.microsoft.com/office/drawing/2014/main" id="{00000000-0008-0000-0100-0000DC040000}"/>
            </a:ext>
          </a:extLst>
        </xdr:cNvPr>
        <xdr:cNvSpPr>
          <a:spLocks noChangeShapeType="1"/>
        </xdr:cNvSpPr>
      </xdr:nvSpPr>
      <xdr:spPr bwMode="auto">
        <a:xfrm flipH="1">
          <a:off x="762000" y="4343400"/>
          <a:ext cx="219075" cy="209550"/>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457200</xdr:colOff>
      <xdr:row>265</xdr:row>
      <xdr:rowOff>152400</xdr:rowOff>
    </xdr:from>
    <xdr:to>
      <xdr:col>5</xdr:col>
      <xdr:colOff>0</xdr:colOff>
      <xdr:row>265</xdr:row>
      <xdr:rowOff>152400</xdr:rowOff>
    </xdr:to>
    <xdr:sp macro="" textlink="">
      <xdr:nvSpPr>
        <xdr:cNvPr id="1249" name="Line 225">
          <a:extLst>
            <a:ext uri="{FF2B5EF4-FFF2-40B4-BE49-F238E27FC236}">
              <a16:creationId xmlns:a16="http://schemas.microsoft.com/office/drawing/2014/main" id="{00000000-0008-0000-0100-0000E1040000}"/>
            </a:ext>
          </a:extLst>
        </xdr:cNvPr>
        <xdr:cNvSpPr>
          <a:spLocks noChangeShapeType="1"/>
        </xdr:cNvSpPr>
      </xdr:nvSpPr>
      <xdr:spPr bwMode="auto">
        <a:xfrm>
          <a:off x="2752725" y="42624375"/>
          <a:ext cx="3238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762000</xdr:colOff>
      <xdr:row>265</xdr:row>
      <xdr:rowOff>152400</xdr:rowOff>
    </xdr:from>
    <xdr:to>
      <xdr:col>4</xdr:col>
      <xdr:colOff>762000</xdr:colOff>
      <xdr:row>292</xdr:row>
      <xdr:rowOff>0</xdr:rowOff>
    </xdr:to>
    <xdr:sp macro="" textlink="">
      <xdr:nvSpPr>
        <xdr:cNvPr id="1250" name="Line 226">
          <a:extLst>
            <a:ext uri="{FF2B5EF4-FFF2-40B4-BE49-F238E27FC236}">
              <a16:creationId xmlns:a16="http://schemas.microsoft.com/office/drawing/2014/main" id="{00000000-0008-0000-0100-0000E2040000}"/>
            </a:ext>
          </a:extLst>
        </xdr:cNvPr>
        <xdr:cNvSpPr>
          <a:spLocks noChangeShapeType="1"/>
        </xdr:cNvSpPr>
      </xdr:nvSpPr>
      <xdr:spPr bwMode="auto">
        <a:xfrm>
          <a:off x="3057525" y="42624375"/>
          <a:ext cx="0" cy="42195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752475</xdr:colOff>
      <xdr:row>292</xdr:row>
      <xdr:rowOff>9525</xdr:rowOff>
    </xdr:from>
    <xdr:to>
      <xdr:col>7</xdr:col>
      <xdr:colOff>0</xdr:colOff>
      <xdr:row>292</xdr:row>
      <xdr:rowOff>9525</xdr:rowOff>
    </xdr:to>
    <xdr:sp macro="" textlink="">
      <xdr:nvSpPr>
        <xdr:cNvPr id="1251" name="Line 227">
          <a:extLst>
            <a:ext uri="{FF2B5EF4-FFF2-40B4-BE49-F238E27FC236}">
              <a16:creationId xmlns:a16="http://schemas.microsoft.com/office/drawing/2014/main" id="{00000000-0008-0000-0100-0000E3040000}"/>
            </a:ext>
          </a:extLst>
        </xdr:cNvPr>
        <xdr:cNvSpPr>
          <a:spLocks noChangeShapeType="1"/>
        </xdr:cNvSpPr>
      </xdr:nvSpPr>
      <xdr:spPr bwMode="auto">
        <a:xfrm>
          <a:off x="3048000" y="46853475"/>
          <a:ext cx="14763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895350</xdr:colOff>
      <xdr:row>292</xdr:row>
      <xdr:rowOff>9525</xdr:rowOff>
    </xdr:from>
    <xdr:to>
      <xdr:col>6</xdr:col>
      <xdr:colOff>895350</xdr:colOff>
      <xdr:row>295</xdr:row>
      <xdr:rowOff>66675</xdr:rowOff>
    </xdr:to>
    <xdr:sp macro="" textlink="">
      <xdr:nvSpPr>
        <xdr:cNvPr id="1252" name="Line 228">
          <a:extLst>
            <a:ext uri="{FF2B5EF4-FFF2-40B4-BE49-F238E27FC236}">
              <a16:creationId xmlns:a16="http://schemas.microsoft.com/office/drawing/2014/main" id="{00000000-0008-0000-0100-0000E4040000}"/>
            </a:ext>
          </a:extLst>
        </xdr:cNvPr>
        <xdr:cNvSpPr>
          <a:spLocks noChangeShapeType="1"/>
        </xdr:cNvSpPr>
      </xdr:nvSpPr>
      <xdr:spPr bwMode="auto">
        <a:xfrm>
          <a:off x="4514850" y="46853475"/>
          <a:ext cx="0" cy="542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265</xdr:row>
      <xdr:rowOff>152400</xdr:rowOff>
    </xdr:from>
    <xdr:to>
      <xdr:col>4</xdr:col>
      <xdr:colOff>476250</xdr:colOff>
      <xdr:row>292</xdr:row>
      <xdr:rowOff>9525</xdr:rowOff>
    </xdr:to>
    <xdr:sp macro="" textlink="">
      <xdr:nvSpPr>
        <xdr:cNvPr id="1253" name="Line 229">
          <a:extLst>
            <a:ext uri="{FF2B5EF4-FFF2-40B4-BE49-F238E27FC236}">
              <a16:creationId xmlns:a16="http://schemas.microsoft.com/office/drawing/2014/main" id="{00000000-0008-0000-0100-0000E5040000}"/>
            </a:ext>
          </a:extLst>
        </xdr:cNvPr>
        <xdr:cNvSpPr>
          <a:spLocks noChangeShapeType="1"/>
        </xdr:cNvSpPr>
      </xdr:nvSpPr>
      <xdr:spPr bwMode="auto">
        <a:xfrm flipH="1">
          <a:off x="2295525" y="42624375"/>
          <a:ext cx="476250" cy="42291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419100</xdr:colOff>
      <xdr:row>292</xdr:row>
      <xdr:rowOff>0</xdr:rowOff>
    </xdr:from>
    <xdr:to>
      <xdr:col>3</xdr:col>
      <xdr:colOff>485775</xdr:colOff>
      <xdr:row>292</xdr:row>
      <xdr:rowOff>0</xdr:rowOff>
    </xdr:to>
    <xdr:sp macro="" textlink="">
      <xdr:nvSpPr>
        <xdr:cNvPr id="1254" name="Line 230">
          <a:extLst>
            <a:ext uri="{FF2B5EF4-FFF2-40B4-BE49-F238E27FC236}">
              <a16:creationId xmlns:a16="http://schemas.microsoft.com/office/drawing/2014/main" id="{00000000-0008-0000-0100-0000E6040000}"/>
            </a:ext>
          </a:extLst>
        </xdr:cNvPr>
        <xdr:cNvSpPr>
          <a:spLocks noChangeShapeType="1"/>
        </xdr:cNvSpPr>
      </xdr:nvSpPr>
      <xdr:spPr bwMode="auto">
        <a:xfrm flipH="1">
          <a:off x="1428750" y="46843950"/>
          <a:ext cx="8477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400050</xdr:colOff>
      <xdr:row>295</xdr:row>
      <xdr:rowOff>57150</xdr:rowOff>
    </xdr:from>
    <xdr:to>
      <xdr:col>6</xdr:col>
      <xdr:colOff>885825</xdr:colOff>
      <xdr:row>295</xdr:row>
      <xdr:rowOff>57150</xdr:rowOff>
    </xdr:to>
    <xdr:sp macro="" textlink="">
      <xdr:nvSpPr>
        <xdr:cNvPr id="1255" name="Line 231">
          <a:extLst>
            <a:ext uri="{FF2B5EF4-FFF2-40B4-BE49-F238E27FC236}">
              <a16:creationId xmlns:a16="http://schemas.microsoft.com/office/drawing/2014/main" id="{00000000-0008-0000-0100-0000E7040000}"/>
            </a:ext>
          </a:extLst>
        </xdr:cNvPr>
        <xdr:cNvSpPr>
          <a:spLocks noChangeShapeType="1"/>
        </xdr:cNvSpPr>
      </xdr:nvSpPr>
      <xdr:spPr bwMode="auto">
        <a:xfrm flipH="1">
          <a:off x="1409700" y="47386875"/>
          <a:ext cx="3095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419100</xdr:colOff>
      <xdr:row>291</xdr:row>
      <xdr:rowOff>152400</xdr:rowOff>
    </xdr:from>
    <xdr:to>
      <xdr:col>2</xdr:col>
      <xdr:colOff>419100</xdr:colOff>
      <xdr:row>295</xdr:row>
      <xdr:rowOff>47625</xdr:rowOff>
    </xdr:to>
    <xdr:sp macro="" textlink="">
      <xdr:nvSpPr>
        <xdr:cNvPr id="1256" name="Line 232">
          <a:extLst>
            <a:ext uri="{FF2B5EF4-FFF2-40B4-BE49-F238E27FC236}">
              <a16:creationId xmlns:a16="http://schemas.microsoft.com/office/drawing/2014/main" id="{00000000-0008-0000-0100-0000E8040000}"/>
            </a:ext>
          </a:extLst>
        </xdr:cNvPr>
        <xdr:cNvSpPr>
          <a:spLocks noChangeShapeType="1"/>
        </xdr:cNvSpPr>
      </xdr:nvSpPr>
      <xdr:spPr bwMode="auto">
        <a:xfrm>
          <a:off x="1428750" y="46834425"/>
          <a:ext cx="0" cy="542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294</xdr:row>
      <xdr:rowOff>133350</xdr:rowOff>
    </xdr:from>
    <xdr:to>
      <xdr:col>6</xdr:col>
      <xdr:colOff>809625</xdr:colOff>
      <xdr:row>294</xdr:row>
      <xdr:rowOff>133350</xdr:rowOff>
    </xdr:to>
    <xdr:sp macro="" textlink="">
      <xdr:nvSpPr>
        <xdr:cNvPr id="1257" name="Line 233">
          <a:extLst>
            <a:ext uri="{FF2B5EF4-FFF2-40B4-BE49-F238E27FC236}">
              <a16:creationId xmlns:a16="http://schemas.microsoft.com/office/drawing/2014/main" id="{00000000-0008-0000-0100-0000E9040000}"/>
            </a:ext>
          </a:extLst>
        </xdr:cNvPr>
        <xdr:cNvSpPr>
          <a:spLocks noChangeShapeType="1"/>
        </xdr:cNvSpPr>
      </xdr:nvSpPr>
      <xdr:spPr bwMode="auto">
        <a:xfrm>
          <a:off x="1495425" y="47301150"/>
          <a:ext cx="2933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292</xdr:row>
      <xdr:rowOff>47625</xdr:rowOff>
    </xdr:from>
    <xdr:to>
      <xdr:col>6</xdr:col>
      <xdr:colOff>800100</xdr:colOff>
      <xdr:row>292</xdr:row>
      <xdr:rowOff>57150</xdr:rowOff>
    </xdr:to>
    <xdr:sp macro="" textlink="">
      <xdr:nvSpPr>
        <xdr:cNvPr id="1258" name="Line 234">
          <a:extLst>
            <a:ext uri="{FF2B5EF4-FFF2-40B4-BE49-F238E27FC236}">
              <a16:creationId xmlns:a16="http://schemas.microsoft.com/office/drawing/2014/main" id="{00000000-0008-0000-0100-0000EA040000}"/>
            </a:ext>
          </a:extLst>
        </xdr:cNvPr>
        <xdr:cNvSpPr>
          <a:spLocks noChangeShapeType="1"/>
        </xdr:cNvSpPr>
      </xdr:nvSpPr>
      <xdr:spPr bwMode="auto">
        <a:xfrm flipV="1">
          <a:off x="1495425" y="46891575"/>
          <a:ext cx="292417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800100</xdr:colOff>
      <xdr:row>292</xdr:row>
      <xdr:rowOff>57150</xdr:rowOff>
    </xdr:from>
    <xdr:to>
      <xdr:col>6</xdr:col>
      <xdr:colOff>800100</xdr:colOff>
      <xdr:row>294</xdr:row>
      <xdr:rowOff>0</xdr:rowOff>
    </xdr:to>
    <xdr:sp macro="" textlink="">
      <xdr:nvSpPr>
        <xdr:cNvPr id="1259" name="Line 235">
          <a:extLst>
            <a:ext uri="{FF2B5EF4-FFF2-40B4-BE49-F238E27FC236}">
              <a16:creationId xmlns:a16="http://schemas.microsoft.com/office/drawing/2014/main" id="{00000000-0008-0000-0100-0000EB040000}"/>
            </a:ext>
          </a:extLst>
        </xdr:cNvPr>
        <xdr:cNvSpPr>
          <a:spLocks noChangeShapeType="1"/>
        </xdr:cNvSpPr>
      </xdr:nvSpPr>
      <xdr:spPr bwMode="auto">
        <a:xfrm>
          <a:off x="4419600" y="46901100"/>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476250</xdr:colOff>
      <xdr:row>292</xdr:row>
      <xdr:rowOff>57150</xdr:rowOff>
    </xdr:from>
    <xdr:to>
      <xdr:col>2</xdr:col>
      <xdr:colOff>476250</xdr:colOff>
      <xdr:row>294</xdr:row>
      <xdr:rowOff>9525</xdr:rowOff>
    </xdr:to>
    <xdr:sp macro="" textlink="">
      <xdr:nvSpPr>
        <xdr:cNvPr id="1260" name="Line 236">
          <a:extLst>
            <a:ext uri="{FF2B5EF4-FFF2-40B4-BE49-F238E27FC236}">
              <a16:creationId xmlns:a16="http://schemas.microsoft.com/office/drawing/2014/main" id="{00000000-0008-0000-0100-0000EC040000}"/>
            </a:ext>
          </a:extLst>
        </xdr:cNvPr>
        <xdr:cNvSpPr>
          <a:spLocks noChangeShapeType="1"/>
        </xdr:cNvSpPr>
      </xdr:nvSpPr>
      <xdr:spPr bwMode="auto">
        <a:xfrm>
          <a:off x="1485900" y="46901100"/>
          <a:ext cx="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266</xdr:row>
      <xdr:rowOff>123825</xdr:rowOff>
    </xdr:from>
    <xdr:to>
      <xdr:col>4</xdr:col>
      <xdr:colOff>695325</xdr:colOff>
      <xdr:row>294</xdr:row>
      <xdr:rowOff>76200</xdr:rowOff>
    </xdr:to>
    <xdr:sp macro="" textlink="">
      <xdr:nvSpPr>
        <xdr:cNvPr id="1261" name="Line 237">
          <a:extLst>
            <a:ext uri="{FF2B5EF4-FFF2-40B4-BE49-F238E27FC236}">
              <a16:creationId xmlns:a16="http://schemas.microsoft.com/office/drawing/2014/main" id="{00000000-0008-0000-0100-0000ED040000}"/>
            </a:ext>
          </a:extLst>
        </xdr:cNvPr>
        <xdr:cNvSpPr>
          <a:spLocks noChangeShapeType="1"/>
        </xdr:cNvSpPr>
      </xdr:nvSpPr>
      <xdr:spPr bwMode="auto">
        <a:xfrm>
          <a:off x="2990850" y="42757725"/>
          <a:ext cx="0" cy="448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294</xdr:row>
      <xdr:rowOff>76200</xdr:rowOff>
    </xdr:from>
    <xdr:to>
      <xdr:col>5</xdr:col>
      <xdr:colOff>428625</xdr:colOff>
      <xdr:row>294</xdr:row>
      <xdr:rowOff>76200</xdr:rowOff>
    </xdr:to>
    <xdr:sp macro="" textlink="">
      <xdr:nvSpPr>
        <xdr:cNvPr id="1262" name="Line 238">
          <a:extLst>
            <a:ext uri="{FF2B5EF4-FFF2-40B4-BE49-F238E27FC236}">
              <a16:creationId xmlns:a16="http://schemas.microsoft.com/office/drawing/2014/main" id="{00000000-0008-0000-0100-0000EE040000}"/>
            </a:ext>
          </a:extLst>
        </xdr:cNvPr>
        <xdr:cNvSpPr>
          <a:spLocks noChangeShapeType="1"/>
        </xdr:cNvSpPr>
      </xdr:nvSpPr>
      <xdr:spPr bwMode="auto">
        <a:xfrm>
          <a:off x="2990850" y="472440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581025</xdr:colOff>
      <xdr:row>266</xdr:row>
      <xdr:rowOff>123825</xdr:rowOff>
    </xdr:from>
    <xdr:to>
      <xdr:col>4</xdr:col>
      <xdr:colOff>695325</xdr:colOff>
      <xdr:row>266</xdr:row>
      <xdr:rowOff>123825</xdr:rowOff>
    </xdr:to>
    <xdr:sp macro="" textlink="">
      <xdr:nvSpPr>
        <xdr:cNvPr id="1263" name="Line 239">
          <a:extLst>
            <a:ext uri="{FF2B5EF4-FFF2-40B4-BE49-F238E27FC236}">
              <a16:creationId xmlns:a16="http://schemas.microsoft.com/office/drawing/2014/main" id="{00000000-0008-0000-0100-0000EF040000}"/>
            </a:ext>
          </a:extLst>
        </xdr:cNvPr>
        <xdr:cNvSpPr>
          <a:spLocks noChangeShapeType="1"/>
        </xdr:cNvSpPr>
      </xdr:nvSpPr>
      <xdr:spPr bwMode="auto">
        <a:xfrm flipH="1">
          <a:off x="2876550" y="427577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266</xdr:row>
      <xdr:rowOff>66675</xdr:rowOff>
    </xdr:from>
    <xdr:to>
      <xdr:col>4</xdr:col>
      <xdr:colOff>523875</xdr:colOff>
      <xdr:row>294</xdr:row>
      <xdr:rowOff>66675</xdr:rowOff>
    </xdr:to>
    <xdr:sp macro="" textlink="">
      <xdr:nvSpPr>
        <xdr:cNvPr id="1264" name="Line 240">
          <a:extLst>
            <a:ext uri="{FF2B5EF4-FFF2-40B4-BE49-F238E27FC236}">
              <a16:creationId xmlns:a16="http://schemas.microsoft.com/office/drawing/2014/main" id="{00000000-0008-0000-0100-0000F0040000}"/>
            </a:ext>
          </a:extLst>
        </xdr:cNvPr>
        <xdr:cNvSpPr>
          <a:spLocks noChangeShapeType="1"/>
        </xdr:cNvSpPr>
      </xdr:nvSpPr>
      <xdr:spPr bwMode="auto">
        <a:xfrm flipH="1">
          <a:off x="2314575" y="42700575"/>
          <a:ext cx="504825" cy="453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762000</xdr:colOff>
      <xdr:row>294</xdr:row>
      <xdr:rowOff>66675</xdr:rowOff>
    </xdr:from>
    <xdr:to>
      <xdr:col>4</xdr:col>
      <xdr:colOff>19050</xdr:colOff>
      <xdr:row>294</xdr:row>
      <xdr:rowOff>76200</xdr:rowOff>
    </xdr:to>
    <xdr:sp macro="" textlink="">
      <xdr:nvSpPr>
        <xdr:cNvPr id="1265" name="Line 241">
          <a:extLst>
            <a:ext uri="{FF2B5EF4-FFF2-40B4-BE49-F238E27FC236}">
              <a16:creationId xmlns:a16="http://schemas.microsoft.com/office/drawing/2014/main" id="{00000000-0008-0000-0100-0000F1040000}"/>
            </a:ext>
          </a:extLst>
        </xdr:cNvPr>
        <xdr:cNvSpPr>
          <a:spLocks noChangeShapeType="1"/>
        </xdr:cNvSpPr>
      </xdr:nvSpPr>
      <xdr:spPr bwMode="auto">
        <a:xfrm flipH="1">
          <a:off x="1771650" y="47234475"/>
          <a:ext cx="5429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514350</xdr:colOff>
      <xdr:row>266</xdr:row>
      <xdr:rowOff>57150</xdr:rowOff>
    </xdr:from>
    <xdr:to>
      <xdr:col>4</xdr:col>
      <xdr:colOff>695325</xdr:colOff>
      <xdr:row>266</xdr:row>
      <xdr:rowOff>57150</xdr:rowOff>
    </xdr:to>
    <xdr:sp macro="" textlink="">
      <xdr:nvSpPr>
        <xdr:cNvPr id="1266" name="Line 242">
          <a:extLst>
            <a:ext uri="{FF2B5EF4-FFF2-40B4-BE49-F238E27FC236}">
              <a16:creationId xmlns:a16="http://schemas.microsoft.com/office/drawing/2014/main" id="{00000000-0008-0000-0100-0000F2040000}"/>
            </a:ext>
          </a:extLst>
        </xdr:cNvPr>
        <xdr:cNvSpPr>
          <a:spLocks noChangeShapeType="1"/>
        </xdr:cNvSpPr>
      </xdr:nvSpPr>
      <xdr:spPr bwMode="auto">
        <a:xfrm>
          <a:off x="2809875" y="42691050"/>
          <a:ext cx="180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453628</xdr:colOff>
      <xdr:row>283</xdr:row>
      <xdr:rowOff>66675</xdr:rowOff>
    </xdr:from>
    <xdr:to>
      <xdr:col>4</xdr:col>
      <xdr:colOff>453628</xdr:colOff>
      <xdr:row>292</xdr:row>
      <xdr:rowOff>113109</xdr:rowOff>
    </xdr:to>
    <xdr:sp macro="" textlink="">
      <xdr:nvSpPr>
        <xdr:cNvPr id="1267" name="Line 243">
          <a:extLst>
            <a:ext uri="{FF2B5EF4-FFF2-40B4-BE49-F238E27FC236}">
              <a16:creationId xmlns:a16="http://schemas.microsoft.com/office/drawing/2014/main" id="{00000000-0008-0000-0100-0000F3040000}"/>
            </a:ext>
          </a:extLst>
        </xdr:cNvPr>
        <xdr:cNvSpPr>
          <a:spLocks noChangeShapeType="1"/>
        </xdr:cNvSpPr>
      </xdr:nvSpPr>
      <xdr:spPr bwMode="auto">
        <a:xfrm>
          <a:off x="2811066" y="39226331"/>
          <a:ext cx="0" cy="14930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30957</xdr:colOff>
      <xdr:row>294</xdr:row>
      <xdr:rowOff>19050</xdr:rowOff>
    </xdr:from>
    <xdr:to>
      <xdr:col>6</xdr:col>
      <xdr:colOff>41673</xdr:colOff>
      <xdr:row>294</xdr:row>
      <xdr:rowOff>19050</xdr:rowOff>
    </xdr:to>
    <xdr:sp macro="" textlink="">
      <xdr:nvSpPr>
        <xdr:cNvPr id="1268" name="Line 244">
          <a:extLst>
            <a:ext uri="{FF2B5EF4-FFF2-40B4-BE49-F238E27FC236}">
              <a16:creationId xmlns:a16="http://schemas.microsoft.com/office/drawing/2014/main" id="{00000000-0008-0000-0100-0000F4040000}"/>
            </a:ext>
          </a:extLst>
        </xdr:cNvPr>
        <xdr:cNvSpPr>
          <a:spLocks noChangeShapeType="1"/>
        </xdr:cNvSpPr>
      </xdr:nvSpPr>
      <xdr:spPr bwMode="auto">
        <a:xfrm flipH="1">
          <a:off x="3162301" y="40946784"/>
          <a:ext cx="56435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742950</xdr:colOff>
      <xdr:row>292</xdr:row>
      <xdr:rowOff>47625</xdr:rowOff>
    </xdr:from>
    <xdr:to>
      <xdr:col>6</xdr:col>
      <xdr:colOff>781050</xdr:colOff>
      <xdr:row>292</xdr:row>
      <xdr:rowOff>85725</xdr:rowOff>
    </xdr:to>
    <xdr:sp macro="" textlink="">
      <xdr:nvSpPr>
        <xdr:cNvPr id="1271" name="AutoShape 247">
          <a:extLst>
            <a:ext uri="{FF2B5EF4-FFF2-40B4-BE49-F238E27FC236}">
              <a16:creationId xmlns:a16="http://schemas.microsoft.com/office/drawing/2014/main" id="{00000000-0008-0000-0100-0000F7040000}"/>
            </a:ext>
          </a:extLst>
        </xdr:cNvPr>
        <xdr:cNvSpPr>
          <a:spLocks noChangeArrowheads="1"/>
        </xdr:cNvSpPr>
      </xdr:nvSpPr>
      <xdr:spPr bwMode="auto">
        <a:xfrm>
          <a:off x="436245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292</xdr:row>
      <xdr:rowOff>47625</xdr:rowOff>
    </xdr:from>
    <xdr:to>
      <xdr:col>2</xdr:col>
      <xdr:colOff>523875</xdr:colOff>
      <xdr:row>292</xdr:row>
      <xdr:rowOff>85725</xdr:rowOff>
    </xdr:to>
    <xdr:sp macro="" textlink="">
      <xdr:nvSpPr>
        <xdr:cNvPr id="1272" name="AutoShape 248">
          <a:extLst>
            <a:ext uri="{FF2B5EF4-FFF2-40B4-BE49-F238E27FC236}">
              <a16:creationId xmlns:a16="http://schemas.microsoft.com/office/drawing/2014/main" id="{00000000-0008-0000-0100-0000F8040000}"/>
            </a:ext>
          </a:extLst>
        </xdr:cNvPr>
        <xdr:cNvSpPr>
          <a:spLocks noChangeArrowheads="1"/>
        </xdr:cNvSpPr>
      </xdr:nvSpPr>
      <xdr:spPr bwMode="auto">
        <a:xfrm>
          <a:off x="149542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390525</xdr:colOff>
      <xdr:row>294</xdr:row>
      <xdr:rowOff>95250</xdr:rowOff>
    </xdr:from>
    <xdr:to>
      <xdr:col>3</xdr:col>
      <xdr:colOff>428625</xdr:colOff>
      <xdr:row>294</xdr:row>
      <xdr:rowOff>133350</xdr:rowOff>
    </xdr:to>
    <xdr:sp macro="" textlink="">
      <xdr:nvSpPr>
        <xdr:cNvPr id="1273" name="AutoShape 249">
          <a:extLst>
            <a:ext uri="{FF2B5EF4-FFF2-40B4-BE49-F238E27FC236}">
              <a16:creationId xmlns:a16="http://schemas.microsoft.com/office/drawing/2014/main" id="{00000000-0008-0000-0100-0000F9040000}"/>
            </a:ext>
          </a:extLst>
        </xdr:cNvPr>
        <xdr:cNvSpPr>
          <a:spLocks noChangeArrowheads="1"/>
        </xdr:cNvSpPr>
      </xdr:nvSpPr>
      <xdr:spPr bwMode="auto">
        <a:xfrm>
          <a:off x="218122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257175</xdr:colOff>
      <xdr:row>294</xdr:row>
      <xdr:rowOff>95250</xdr:rowOff>
    </xdr:from>
    <xdr:to>
      <xdr:col>5</xdr:col>
      <xdr:colOff>295275</xdr:colOff>
      <xdr:row>294</xdr:row>
      <xdr:rowOff>133350</xdr:rowOff>
    </xdr:to>
    <xdr:sp macro="" textlink="">
      <xdr:nvSpPr>
        <xdr:cNvPr id="1274" name="AutoShape 250">
          <a:extLst>
            <a:ext uri="{FF2B5EF4-FFF2-40B4-BE49-F238E27FC236}">
              <a16:creationId xmlns:a16="http://schemas.microsoft.com/office/drawing/2014/main" id="{00000000-0008-0000-0100-0000FA040000}"/>
            </a:ext>
          </a:extLst>
        </xdr:cNvPr>
        <xdr:cNvSpPr>
          <a:spLocks noChangeArrowheads="1"/>
        </xdr:cNvSpPr>
      </xdr:nvSpPr>
      <xdr:spPr bwMode="auto">
        <a:xfrm>
          <a:off x="333375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495300</xdr:colOff>
      <xdr:row>294</xdr:row>
      <xdr:rowOff>85725</xdr:rowOff>
    </xdr:from>
    <xdr:to>
      <xdr:col>2</xdr:col>
      <xdr:colOff>533400</xdr:colOff>
      <xdr:row>294</xdr:row>
      <xdr:rowOff>123825</xdr:rowOff>
    </xdr:to>
    <xdr:sp macro="" textlink="">
      <xdr:nvSpPr>
        <xdr:cNvPr id="1275" name="AutoShape 251">
          <a:extLst>
            <a:ext uri="{FF2B5EF4-FFF2-40B4-BE49-F238E27FC236}">
              <a16:creationId xmlns:a16="http://schemas.microsoft.com/office/drawing/2014/main" id="{00000000-0008-0000-0100-0000FB040000}"/>
            </a:ext>
          </a:extLst>
        </xdr:cNvPr>
        <xdr:cNvSpPr>
          <a:spLocks noChangeArrowheads="1"/>
        </xdr:cNvSpPr>
      </xdr:nvSpPr>
      <xdr:spPr bwMode="auto">
        <a:xfrm>
          <a:off x="1504950"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628650</xdr:colOff>
      <xdr:row>294</xdr:row>
      <xdr:rowOff>85725</xdr:rowOff>
    </xdr:from>
    <xdr:to>
      <xdr:col>4</xdr:col>
      <xdr:colOff>666750</xdr:colOff>
      <xdr:row>294</xdr:row>
      <xdr:rowOff>123825</xdr:rowOff>
    </xdr:to>
    <xdr:sp macro="" textlink="">
      <xdr:nvSpPr>
        <xdr:cNvPr id="1276" name="AutoShape 252">
          <a:extLst>
            <a:ext uri="{FF2B5EF4-FFF2-40B4-BE49-F238E27FC236}">
              <a16:creationId xmlns:a16="http://schemas.microsoft.com/office/drawing/2014/main" id="{00000000-0008-0000-0100-0000FC040000}"/>
            </a:ext>
          </a:extLst>
        </xdr:cNvPr>
        <xdr:cNvSpPr>
          <a:spLocks noChangeArrowheads="1"/>
        </xdr:cNvSpPr>
      </xdr:nvSpPr>
      <xdr:spPr bwMode="auto">
        <a:xfrm>
          <a:off x="2924175"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742950</xdr:colOff>
      <xdr:row>294</xdr:row>
      <xdr:rowOff>95250</xdr:rowOff>
    </xdr:from>
    <xdr:to>
      <xdr:col>6</xdr:col>
      <xdr:colOff>781050</xdr:colOff>
      <xdr:row>294</xdr:row>
      <xdr:rowOff>133350</xdr:rowOff>
    </xdr:to>
    <xdr:sp macro="" textlink="">
      <xdr:nvSpPr>
        <xdr:cNvPr id="1277" name="AutoShape 253">
          <a:extLst>
            <a:ext uri="{FF2B5EF4-FFF2-40B4-BE49-F238E27FC236}">
              <a16:creationId xmlns:a16="http://schemas.microsoft.com/office/drawing/2014/main" id="{00000000-0008-0000-0100-0000FD040000}"/>
            </a:ext>
          </a:extLst>
        </xdr:cNvPr>
        <xdr:cNvSpPr>
          <a:spLocks noChangeArrowheads="1"/>
        </xdr:cNvSpPr>
      </xdr:nvSpPr>
      <xdr:spPr bwMode="auto">
        <a:xfrm>
          <a:off x="436245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295275</xdr:colOff>
      <xdr:row>292</xdr:row>
      <xdr:rowOff>47625</xdr:rowOff>
    </xdr:from>
    <xdr:to>
      <xdr:col>5</xdr:col>
      <xdr:colOff>333375</xdr:colOff>
      <xdr:row>292</xdr:row>
      <xdr:rowOff>85725</xdr:rowOff>
    </xdr:to>
    <xdr:sp macro="" textlink="">
      <xdr:nvSpPr>
        <xdr:cNvPr id="1278" name="AutoShape 254">
          <a:extLst>
            <a:ext uri="{FF2B5EF4-FFF2-40B4-BE49-F238E27FC236}">
              <a16:creationId xmlns:a16="http://schemas.microsoft.com/office/drawing/2014/main" id="{00000000-0008-0000-0100-0000FE040000}"/>
            </a:ext>
          </a:extLst>
        </xdr:cNvPr>
        <xdr:cNvSpPr>
          <a:spLocks noChangeArrowheads="1"/>
        </xdr:cNvSpPr>
      </xdr:nvSpPr>
      <xdr:spPr bwMode="auto">
        <a:xfrm>
          <a:off x="337185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292</xdr:row>
      <xdr:rowOff>57150</xdr:rowOff>
    </xdr:from>
    <xdr:to>
      <xdr:col>5</xdr:col>
      <xdr:colOff>38100</xdr:colOff>
      <xdr:row>292</xdr:row>
      <xdr:rowOff>95250</xdr:rowOff>
    </xdr:to>
    <xdr:sp macro="" textlink="">
      <xdr:nvSpPr>
        <xdr:cNvPr id="1279" name="AutoShape 255">
          <a:extLst>
            <a:ext uri="{FF2B5EF4-FFF2-40B4-BE49-F238E27FC236}">
              <a16:creationId xmlns:a16="http://schemas.microsoft.com/office/drawing/2014/main" id="{00000000-0008-0000-0100-0000FF040000}"/>
            </a:ext>
          </a:extLst>
        </xdr:cNvPr>
        <xdr:cNvSpPr>
          <a:spLocks noChangeArrowheads="1"/>
        </xdr:cNvSpPr>
      </xdr:nvSpPr>
      <xdr:spPr bwMode="auto">
        <a:xfrm>
          <a:off x="3076575" y="469011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76200</xdr:colOff>
      <xdr:row>292</xdr:row>
      <xdr:rowOff>47625</xdr:rowOff>
    </xdr:from>
    <xdr:to>
      <xdr:col>6</xdr:col>
      <xdr:colOff>114300</xdr:colOff>
      <xdr:row>292</xdr:row>
      <xdr:rowOff>85725</xdr:rowOff>
    </xdr:to>
    <xdr:sp macro="" textlink="">
      <xdr:nvSpPr>
        <xdr:cNvPr id="1280" name="AutoShape 256">
          <a:extLst>
            <a:ext uri="{FF2B5EF4-FFF2-40B4-BE49-F238E27FC236}">
              <a16:creationId xmlns:a16="http://schemas.microsoft.com/office/drawing/2014/main" id="{00000000-0008-0000-0100-000000050000}"/>
            </a:ext>
          </a:extLst>
        </xdr:cNvPr>
        <xdr:cNvSpPr>
          <a:spLocks noChangeArrowheads="1"/>
        </xdr:cNvSpPr>
      </xdr:nvSpPr>
      <xdr:spPr bwMode="auto">
        <a:xfrm>
          <a:off x="369570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428625</xdr:colOff>
      <xdr:row>292</xdr:row>
      <xdr:rowOff>47625</xdr:rowOff>
    </xdr:from>
    <xdr:to>
      <xdr:col>6</xdr:col>
      <xdr:colOff>466725</xdr:colOff>
      <xdr:row>292</xdr:row>
      <xdr:rowOff>85725</xdr:rowOff>
    </xdr:to>
    <xdr:sp macro="" textlink="">
      <xdr:nvSpPr>
        <xdr:cNvPr id="1281" name="AutoShape 257">
          <a:extLst>
            <a:ext uri="{FF2B5EF4-FFF2-40B4-BE49-F238E27FC236}">
              <a16:creationId xmlns:a16="http://schemas.microsoft.com/office/drawing/2014/main" id="{00000000-0008-0000-0100-000001050000}"/>
            </a:ext>
          </a:extLst>
        </xdr:cNvPr>
        <xdr:cNvSpPr>
          <a:spLocks noChangeArrowheads="1"/>
        </xdr:cNvSpPr>
      </xdr:nvSpPr>
      <xdr:spPr bwMode="auto">
        <a:xfrm>
          <a:off x="404812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447675</xdr:colOff>
      <xdr:row>292</xdr:row>
      <xdr:rowOff>47625</xdr:rowOff>
    </xdr:from>
    <xdr:to>
      <xdr:col>3</xdr:col>
      <xdr:colOff>485775</xdr:colOff>
      <xdr:row>292</xdr:row>
      <xdr:rowOff>85725</xdr:rowOff>
    </xdr:to>
    <xdr:sp macro="" textlink="">
      <xdr:nvSpPr>
        <xdr:cNvPr id="1282" name="AutoShape 258">
          <a:extLst>
            <a:ext uri="{FF2B5EF4-FFF2-40B4-BE49-F238E27FC236}">
              <a16:creationId xmlns:a16="http://schemas.microsoft.com/office/drawing/2014/main" id="{00000000-0008-0000-0100-000002050000}"/>
            </a:ext>
          </a:extLst>
        </xdr:cNvPr>
        <xdr:cNvSpPr>
          <a:spLocks noChangeArrowheads="1"/>
        </xdr:cNvSpPr>
      </xdr:nvSpPr>
      <xdr:spPr bwMode="auto">
        <a:xfrm>
          <a:off x="223837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428625</xdr:colOff>
      <xdr:row>294</xdr:row>
      <xdr:rowOff>95250</xdr:rowOff>
    </xdr:from>
    <xdr:to>
      <xdr:col>6</xdr:col>
      <xdr:colOff>466725</xdr:colOff>
      <xdr:row>294</xdr:row>
      <xdr:rowOff>133350</xdr:rowOff>
    </xdr:to>
    <xdr:sp macro="" textlink="">
      <xdr:nvSpPr>
        <xdr:cNvPr id="1283" name="AutoShape 259">
          <a:extLst>
            <a:ext uri="{FF2B5EF4-FFF2-40B4-BE49-F238E27FC236}">
              <a16:creationId xmlns:a16="http://schemas.microsoft.com/office/drawing/2014/main" id="{00000000-0008-0000-0100-000003050000}"/>
            </a:ext>
          </a:extLst>
        </xdr:cNvPr>
        <xdr:cNvSpPr>
          <a:spLocks noChangeArrowheads="1"/>
        </xdr:cNvSpPr>
      </xdr:nvSpPr>
      <xdr:spPr bwMode="auto">
        <a:xfrm>
          <a:off x="404812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76200</xdr:colOff>
      <xdr:row>294</xdr:row>
      <xdr:rowOff>95250</xdr:rowOff>
    </xdr:from>
    <xdr:to>
      <xdr:col>6</xdr:col>
      <xdr:colOff>114300</xdr:colOff>
      <xdr:row>294</xdr:row>
      <xdr:rowOff>133350</xdr:rowOff>
    </xdr:to>
    <xdr:sp macro="" textlink="">
      <xdr:nvSpPr>
        <xdr:cNvPr id="1284" name="AutoShape 260">
          <a:extLst>
            <a:ext uri="{FF2B5EF4-FFF2-40B4-BE49-F238E27FC236}">
              <a16:creationId xmlns:a16="http://schemas.microsoft.com/office/drawing/2014/main" id="{00000000-0008-0000-0100-000004050000}"/>
            </a:ext>
          </a:extLst>
        </xdr:cNvPr>
        <xdr:cNvSpPr>
          <a:spLocks noChangeArrowheads="1"/>
        </xdr:cNvSpPr>
      </xdr:nvSpPr>
      <xdr:spPr bwMode="auto">
        <a:xfrm>
          <a:off x="369570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247650</xdr:colOff>
      <xdr:row>294</xdr:row>
      <xdr:rowOff>95250</xdr:rowOff>
    </xdr:from>
    <xdr:to>
      <xdr:col>4</xdr:col>
      <xdr:colOff>285750</xdr:colOff>
      <xdr:row>294</xdr:row>
      <xdr:rowOff>133350</xdr:rowOff>
    </xdr:to>
    <xdr:sp macro="" textlink="">
      <xdr:nvSpPr>
        <xdr:cNvPr id="1285" name="AutoShape 261">
          <a:extLst>
            <a:ext uri="{FF2B5EF4-FFF2-40B4-BE49-F238E27FC236}">
              <a16:creationId xmlns:a16="http://schemas.microsoft.com/office/drawing/2014/main" id="{00000000-0008-0000-0100-000005050000}"/>
            </a:ext>
          </a:extLst>
        </xdr:cNvPr>
        <xdr:cNvSpPr>
          <a:spLocks noChangeArrowheads="1"/>
        </xdr:cNvSpPr>
      </xdr:nvSpPr>
      <xdr:spPr bwMode="auto">
        <a:xfrm>
          <a:off x="254317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57150</xdr:colOff>
      <xdr:row>292</xdr:row>
      <xdr:rowOff>57150</xdr:rowOff>
    </xdr:from>
    <xdr:to>
      <xdr:col>3</xdr:col>
      <xdr:colOff>95250</xdr:colOff>
      <xdr:row>292</xdr:row>
      <xdr:rowOff>95250</xdr:rowOff>
    </xdr:to>
    <xdr:sp macro="" textlink="">
      <xdr:nvSpPr>
        <xdr:cNvPr id="1286" name="AutoShape 262">
          <a:extLst>
            <a:ext uri="{FF2B5EF4-FFF2-40B4-BE49-F238E27FC236}">
              <a16:creationId xmlns:a16="http://schemas.microsoft.com/office/drawing/2014/main" id="{00000000-0008-0000-0100-000006050000}"/>
            </a:ext>
          </a:extLst>
        </xdr:cNvPr>
        <xdr:cNvSpPr>
          <a:spLocks noChangeArrowheads="1"/>
        </xdr:cNvSpPr>
      </xdr:nvSpPr>
      <xdr:spPr bwMode="auto">
        <a:xfrm>
          <a:off x="1847850" y="469011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57150</xdr:colOff>
      <xdr:row>294</xdr:row>
      <xdr:rowOff>85725</xdr:rowOff>
    </xdr:from>
    <xdr:to>
      <xdr:col>3</xdr:col>
      <xdr:colOff>95250</xdr:colOff>
      <xdr:row>294</xdr:row>
      <xdr:rowOff>123825</xdr:rowOff>
    </xdr:to>
    <xdr:sp macro="" textlink="">
      <xdr:nvSpPr>
        <xdr:cNvPr id="1287" name="AutoShape 263">
          <a:extLst>
            <a:ext uri="{FF2B5EF4-FFF2-40B4-BE49-F238E27FC236}">
              <a16:creationId xmlns:a16="http://schemas.microsoft.com/office/drawing/2014/main" id="{00000000-0008-0000-0100-000007050000}"/>
            </a:ext>
          </a:extLst>
        </xdr:cNvPr>
        <xdr:cNvSpPr>
          <a:spLocks noChangeArrowheads="1"/>
        </xdr:cNvSpPr>
      </xdr:nvSpPr>
      <xdr:spPr bwMode="auto">
        <a:xfrm>
          <a:off x="1847850"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523875</xdr:colOff>
      <xdr:row>266</xdr:row>
      <xdr:rowOff>66675</xdr:rowOff>
    </xdr:from>
    <xdr:to>
      <xdr:col>4</xdr:col>
      <xdr:colOff>561975</xdr:colOff>
      <xdr:row>266</xdr:row>
      <xdr:rowOff>104775</xdr:rowOff>
    </xdr:to>
    <xdr:sp macro="" textlink="">
      <xdr:nvSpPr>
        <xdr:cNvPr id="1288" name="AutoShape 264">
          <a:extLst>
            <a:ext uri="{FF2B5EF4-FFF2-40B4-BE49-F238E27FC236}">
              <a16:creationId xmlns:a16="http://schemas.microsoft.com/office/drawing/2014/main" id="{00000000-0008-0000-0100-000008050000}"/>
            </a:ext>
          </a:extLst>
        </xdr:cNvPr>
        <xdr:cNvSpPr>
          <a:spLocks noChangeArrowheads="1"/>
        </xdr:cNvSpPr>
      </xdr:nvSpPr>
      <xdr:spPr bwMode="auto">
        <a:xfrm>
          <a:off x="2819400" y="42700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438150</xdr:colOff>
      <xdr:row>270</xdr:row>
      <xdr:rowOff>57150</xdr:rowOff>
    </xdr:from>
    <xdr:to>
      <xdr:col>4</xdr:col>
      <xdr:colOff>476250</xdr:colOff>
      <xdr:row>270</xdr:row>
      <xdr:rowOff>95250</xdr:rowOff>
    </xdr:to>
    <xdr:sp macro="" textlink="">
      <xdr:nvSpPr>
        <xdr:cNvPr id="1289" name="AutoShape 265">
          <a:extLst>
            <a:ext uri="{FF2B5EF4-FFF2-40B4-BE49-F238E27FC236}">
              <a16:creationId xmlns:a16="http://schemas.microsoft.com/office/drawing/2014/main" id="{00000000-0008-0000-0100-000009050000}"/>
            </a:ext>
          </a:extLst>
        </xdr:cNvPr>
        <xdr:cNvSpPr>
          <a:spLocks noChangeArrowheads="1"/>
        </xdr:cNvSpPr>
      </xdr:nvSpPr>
      <xdr:spPr bwMode="auto">
        <a:xfrm>
          <a:off x="2733675" y="433387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485775</xdr:colOff>
      <xdr:row>268</xdr:row>
      <xdr:rowOff>47625</xdr:rowOff>
    </xdr:from>
    <xdr:to>
      <xdr:col>4</xdr:col>
      <xdr:colOff>523875</xdr:colOff>
      <xdr:row>268</xdr:row>
      <xdr:rowOff>85725</xdr:rowOff>
    </xdr:to>
    <xdr:sp macro="" textlink="">
      <xdr:nvSpPr>
        <xdr:cNvPr id="1290" name="AutoShape 266">
          <a:extLst>
            <a:ext uri="{FF2B5EF4-FFF2-40B4-BE49-F238E27FC236}">
              <a16:creationId xmlns:a16="http://schemas.microsoft.com/office/drawing/2014/main" id="{00000000-0008-0000-0100-00000A050000}"/>
            </a:ext>
          </a:extLst>
        </xdr:cNvPr>
        <xdr:cNvSpPr>
          <a:spLocks noChangeArrowheads="1"/>
        </xdr:cNvSpPr>
      </xdr:nvSpPr>
      <xdr:spPr bwMode="auto">
        <a:xfrm>
          <a:off x="2781300" y="430053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409575</xdr:colOff>
      <xdr:row>272</xdr:row>
      <xdr:rowOff>47625</xdr:rowOff>
    </xdr:from>
    <xdr:to>
      <xdr:col>4</xdr:col>
      <xdr:colOff>447675</xdr:colOff>
      <xdr:row>272</xdr:row>
      <xdr:rowOff>85725</xdr:rowOff>
    </xdr:to>
    <xdr:sp macro="" textlink="">
      <xdr:nvSpPr>
        <xdr:cNvPr id="1291" name="AutoShape 267">
          <a:extLst>
            <a:ext uri="{FF2B5EF4-FFF2-40B4-BE49-F238E27FC236}">
              <a16:creationId xmlns:a16="http://schemas.microsoft.com/office/drawing/2014/main" id="{00000000-0008-0000-0100-00000B050000}"/>
            </a:ext>
          </a:extLst>
        </xdr:cNvPr>
        <xdr:cNvSpPr>
          <a:spLocks noChangeArrowheads="1"/>
        </xdr:cNvSpPr>
      </xdr:nvSpPr>
      <xdr:spPr bwMode="auto">
        <a:xfrm>
          <a:off x="2705100" y="436530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371475</xdr:colOff>
      <xdr:row>274</xdr:row>
      <xdr:rowOff>57150</xdr:rowOff>
    </xdr:from>
    <xdr:to>
      <xdr:col>4</xdr:col>
      <xdr:colOff>409575</xdr:colOff>
      <xdr:row>274</xdr:row>
      <xdr:rowOff>95250</xdr:rowOff>
    </xdr:to>
    <xdr:sp macro="" textlink="">
      <xdr:nvSpPr>
        <xdr:cNvPr id="1292" name="AutoShape 268">
          <a:extLst>
            <a:ext uri="{FF2B5EF4-FFF2-40B4-BE49-F238E27FC236}">
              <a16:creationId xmlns:a16="http://schemas.microsoft.com/office/drawing/2014/main" id="{00000000-0008-0000-0100-00000C050000}"/>
            </a:ext>
          </a:extLst>
        </xdr:cNvPr>
        <xdr:cNvSpPr>
          <a:spLocks noChangeArrowheads="1"/>
        </xdr:cNvSpPr>
      </xdr:nvSpPr>
      <xdr:spPr bwMode="auto">
        <a:xfrm>
          <a:off x="2667000" y="439864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133350</xdr:colOff>
      <xdr:row>288</xdr:row>
      <xdr:rowOff>57150</xdr:rowOff>
    </xdr:from>
    <xdr:to>
      <xdr:col>4</xdr:col>
      <xdr:colOff>171450</xdr:colOff>
      <xdr:row>288</xdr:row>
      <xdr:rowOff>95250</xdr:rowOff>
    </xdr:to>
    <xdr:sp macro="" textlink="">
      <xdr:nvSpPr>
        <xdr:cNvPr id="1293" name="AutoShape 269">
          <a:extLst>
            <a:ext uri="{FF2B5EF4-FFF2-40B4-BE49-F238E27FC236}">
              <a16:creationId xmlns:a16="http://schemas.microsoft.com/office/drawing/2014/main" id="{00000000-0008-0000-0100-00000D050000}"/>
            </a:ext>
          </a:extLst>
        </xdr:cNvPr>
        <xdr:cNvSpPr>
          <a:spLocks noChangeArrowheads="1"/>
        </xdr:cNvSpPr>
      </xdr:nvSpPr>
      <xdr:spPr bwMode="auto">
        <a:xfrm>
          <a:off x="2428875" y="462534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161925</xdr:colOff>
      <xdr:row>286</xdr:row>
      <xdr:rowOff>66675</xdr:rowOff>
    </xdr:from>
    <xdr:to>
      <xdr:col>4</xdr:col>
      <xdr:colOff>200025</xdr:colOff>
      <xdr:row>286</xdr:row>
      <xdr:rowOff>104775</xdr:rowOff>
    </xdr:to>
    <xdr:sp macro="" textlink="">
      <xdr:nvSpPr>
        <xdr:cNvPr id="1294" name="AutoShape 270">
          <a:extLst>
            <a:ext uri="{FF2B5EF4-FFF2-40B4-BE49-F238E27FC236}">
              <a16:creationId xmlns:a16="http://schemas.microsoft.com/office/drawing/2014/main" id="{00000000-0008-0000-0100-00000E050000}"/>
            </a:ext>
          </a:extLst>
        </xdr:cNvPr>
        <xdr:cNvSpPr>
          <a:spLocks noChangeArrowheads="1"/>
        </xdr:cNvSpPr>
      </xdr:nvSpPr>
      <xdr:spPr bwMode="auto">
        <a:xfrm>
          <a:off x="2457450" y="459390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95250</xdr:colOff>
      <xdr:row>290</xdr:row>
      <xdr:rowOff>47625</xdr:rowOff>
    </xdr:from>
    <xdr:to>
      <xdr:col>4</xdr:col>
      <xdr:colOff>133350</xdr:colOff>
      <xdr:row>290</xdr:row>
      <xdr:rowOff>85725</xdr:rowOff>
    </xdr:to>
    <xdr:sp macro="" textlink="">
      <xdr:nvSpPr>
        <xdr:cNvPr id="1295" name="AutoShape 271">
          <a:extLst>
            <a:ext uri="{FF2B5EF4-FFF2-40B4-BE49-F238E27FC236}">
              <a16:creationId xmlns:a16="http://schemas.microsoft.com/office/drawing/2014/main" id="{00000000-0008-0000-0100-00000F050000}"/>
            </a:ext>
          </a:extLst>
        </xdr:cNvPr>
        <xdr:cNvSpPr>
          <a:spLocks noChangeArrowheads="1"/>
        </xdr:cNvSpPr>
      </xdr:nvSpPr>
      <xdr:spPr bwMode="auto">
        <a:xfrm>
          <a:off x="2390775" y="465677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266</xdr:row>
      <xdr:rowOff>133350</xdr:rowOff>
    </xdr:from>
    <xdr:to>
      <xdr:col>4</xdr:col>
      <xdr:colOff>685800</xdr:colOff>
      <xdr:row>267</xdr:row>
      <xdr:rowOff>9525</xdr:rowOff>
    </xdr:to>
    <xdr:sp macro="" textlink="">
      <xdr:nvSpPr>
        <xdr:cNvPr id="1296" name="AutoShape 272">
          <a:extLst>
            <a:ext uri="{FF2B5EF4-FFF2-40B4-BE49-F238E27FC236}">
              <a16:creationId xmlns:a16="http://schemas.microsoft.com/office/drawing/2014/main" id="{00000000-0008-0000-0100-000010050000}"/>
            </a:ext>
          </a:extLst>
        </xdr:cNvPr>
        <xdr:cNvSpPr>
          <a:spLocks noChangeArrowheads="1"/>
        </xdr:cNvSpPr>
      </xdr:nvSpPr>
      <xdr:spPr bwMode="auto">
        <a:xfrm>
          <a:off x="2943225" y="427672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278</xdr:row>
      <xdr:rowOff>66675</xdr:rowOff>
    </xdr:from>
    <xdr:to>
      <xdr:col>4</xdr:col>
      <xdr:colOff>342900</xdr:colOff>
      <xdr:row>278</xdr:row>
      <xdr:rowOff>104775</xdr:rowOff>
    </xdr:to>
    <xdr:sp macro="" textlink="">
      <xdr:nvSpPr>
        <xdr:cNvPr id="1297" name="AutoShape 273">
          <a:extLst>
            <a:ext uri="{FF2B5EF4-FFF2-40B4-BE49-F238E27FC236}">
              <a16:creationId xmlns:a16="http://schemas.microsoft.com/office/drawing/2014/main" id="{00000000-0008-0000-0100-000011050000}"/>
            </a:ext>
          </a:extLst>
        </xdr:cNvPr>
        <xdr:cNvSpPr>
          <a:spLocks noChangeArrowheads="1"/>
        </xdr:cNvSpPr>
      </xdr:nvSpPr>
      <xdr:spPr bwMode="auto">
        <a:xfrm>
          <a:off x="2600325" y="446436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276</xdr:row>
      <xdr:rowOff>66675</xdr:rowOff>
    </xdr:from>
    <xdr:to>
      <xdr:col>4</xdr:col>
      <xdr:colOff>381000</xdr:colOff>
      <xdr:row>276</xdr:row>
      <xdr:rowOff>104775</xdr:rowOff>
    </xdr:to>
    <xdr:sp macro="" textlink="">
      <xdr:nvSpPr>
        <xdr:cNvPr id="1298" name="AutoShape 274">
          <a:extLst>
            <a:ext uri="{FF2B5EF4-FFF2-40B4-BE49-F238E27FC236}">
              <a16:creationId xmlns:a16="http://schemas.microsoft.com/office/drawing/2014/main" id="{00000000-0008-0000-0100-000012050000}"/>
            </a:ext>
          </a:extLst>
        </xdr:cNvPr>
        <xdr:cNvSpPr>
          <a:spLocks noChangeArrowheads="1"/>
        </xdr:cNvSpPr>
      </xdr:nvSpPr>
      <xdr:spPr bwMode="auto">
        <a:xfrm>
          <a:off x="2638425" y="443198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266700</xdr:colOff>
      <xdr:row>280</xdr:row>
      <xdr:rowOff>57150</xdr:rowOff>
    </xdr:from>
    <xdr:to>
      <xdr:col>4</xdr:col>
      <xdr:colOff>304800</xdr:colOff>
      <xdr:row>280</xdr:row>
      <xdr:rowOff>95250</xdr:rowOff>
    </xdr:to>
    <xdr:sp macro="" textlink="">
      <xdr:nvSpPr>
        <xdr:cNvPr id="1299" name="AutoShape 275">
          <a:extLst>
            <a:ext uri="{FF2B5EF4-FFF2-40B4-BE49-F238E27FC236}">
              <a16:creationId xmlns:a16="http://schemas.microsoft.com/office/drawing/2014/main" id="{00000000-0008-0000-0100-000013050000}"/>
            </a:ext>
          </a:extLst>
        </xdr:cNvPr>
        <xdr:cNvSpPr>
          <a:spLocks noChangeArrowheads="1"/>
        </xdr:cNvSpPr>
      </xdr:nvSpPr>
      <xdr:spPr bwMode="auto">
        <a:xfrm>
          <a:off x="2562225" y="449580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238125</xdr:colOff>
      <xdr:row>282</xdr:row>
      <xdr:rowOff>57150</xdr:rowOff>
    </xdr:from>
    <xdr:to>
      <xdr:col>4</xdr:col>
      <xdr:colOff>276225</xdr:colOff>
      <xdr:row>282</xdr:row>
      <xdr:rowOff>95250</xdr:rowOff>
    </xdr:to>
    <xdr:sp macro="" textlink="">
      <xdr:nvSpPr>
        <xdr:cNvPr id="1300" name="AutoShape 276">
          <a:extLst>
            <a:ext uri="{FF2B5EF4-FFF2-40B4-BE49-F238E27FC236}">
              <a16:creationId xmlns:a16="http://schemas.microsoft.com/office/drawing/2014/main" id="{00000000-0008-0000-0100-000014050000}"/>
            </a:ext>
          </a:extLst>
        </xdr:cNvPr>
        <xdr:cNvSpPr>
          <a:spLocks noChangeArrowheads="1"/>
        </xdr:cNvSpPr>
      </xdr:nvSpPr>
      <xdr:spPr bwMode="auto">
        <a:xfrm>
          <a:off x="2533650" y="452818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200025</xdr:colOff>
      <xdr:row>284</xdr:row>
      <xdr:rowOff>47625</xdr:rowOff>
    </xdr:from>
    <xdr:to>
      <xdr:col>4</xdr:col>
      <xdr:colOff>238125</xdr:colOff>
      <xdr:row>284</xdr:row>
      <xdr:rowOff>85725</xdr:rowOff>
    </xdr:to>
    <xdr:sp macro="" textlink="">
      <xdr:nvSpPr>
        <xdr:cNvPr id="1301" name="AutoShape 277">
          <a:extLst>
            <a:ext uri="{FF2B5EF4-FFF2-40B4-BE49-F238E27FC236}">
              <a16:creationId xmlns:a16="http://schemas.microsoft.com/office/drawing/2014/main" id="{00000000-0008-0000-0100-000015050000}"/>
            </a:ext>
          </a:extLst>
        </xdr:cNvPr>
        <xdr:cNvSpPr>
          <a:spLocks noChangeArrowheads="1"/>
        </xdr:cNvSpPr>
      </xdr:nvSpPr>
      <xdr:spPr bwMode="auto">
        <a:xfrm>
          <a:off x="2495550" y="455961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291</xdr:row>
      <xdr:rowOff>104775</xdr:rowOff>
    </xdr:from>
    <xdr:to>
      <xdr:col>4</xdr:col>
      <xdr:colOff>695325</xdr:colOff>
      <xdr:row>291</xdr:row>
      <xdr:rowOff>142875</xdr:rowOff>
    </xdr:to>
    <xdr:sp macro="" textlink="">
      <xdr:nvSpPr>
        <xdr:cNvPr id="1302" name="AutoShape 278">
          <a:extLst>
            <a:ext uri="{FF2B5EF4-FFF2-40B4-BE49-F238E27FC236}">
              <a16:creationId xmlns:a16="http://schemas.microsoft.com/office/drawing/2014/main" id="{00000000-0008-0000-0100-000016050000}"/>
            </a:ext>
          </a:extLst>
        </xdr:cNvPr>
        <xdr:cNvSpPr>
          <a:spLocks noChangeArrowheads="1"/>
        </xdr:cNvSpPr>
      </xdr:nvSpPr>
      <xdr:spPr bwMode="auto">
        <a:xfrm>
          <a:off x="3014663" y="40550306"/>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66675</xdr:colOff>
      <xdr:row>291</xdr:row>
      <xdr:rowOff>104775</xdr:rowOff>
    </xdr:from>
    <xdr:to>
      <xdr:col>4</xdr:col>
      <xdr:colOff>104775</xdr:colOff>
      <xdr:row>291</xdr:row>
      <xdr:rowOff>142875</xdr:rowOff>
    </xdr:to>
    <xdr:sp macro="" textlink="">
      <xdr:nvSpPr>
        <xdr:cNvPr id="1303" name="AutoShape 279">
          <a:extLst>
            <a:ext uri="{FF2B5EF4-FFF2-40B4-BE49-F238E27FC236}">
              <a16:creationId xmlns:a16="http://schemas.microsoft.com/office/drawing/2014/main" id="{00000000-0008-0000-0100-000017050000}"/>
            </a:ext>
          </a:extLst>
        </xdr:cNvPr>
        <xdr:cNvSpPr>
          <a:spLocks noChangeArrowheads="1"/>
        </xdr:cNvSpPr>
      </xdr:nvSpPr>
      <xdr:spPr bwMode="auto">
        <a:xfrm>
          <a:off x="2362200" y="467868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268</xdr:row>
      <xdr:rowOff>47625</xdr:rowOff>
    </xdr:from>
    <xdr:to>
      <xdr:col>4</xdr:col>
      <xdr:colOff>695325</xdr:colOff>
      <xdr:row>268</xdr:row>
      <xdr:rowOff>85725</xdr:rowOff>
    </xdr:to>
    <xdr:sp macro="" textlink="">
      <xdr:nvSpPr>
        <xdr:cNvPr id="1304" name="AutoShape 280">
          <a:extLst>
            <a:ext uri="{FF2B5EF4-FFF2-40B4-BE49-F238E27FC236}">
              <a16:creationId xmlns:a16="http://schemas.microsoft.com/office/drawing/2014/main" id="{00000000-0008-0000-0100-000018050000}"/>
            </a:ext>
          </a:extLst>
        </xdr:cNvPr>
        <xdr:cNvSpPr>
          <a:spLocks noChangeArrowheads="1"/>
        </xdr:cNvSpPr>
      </xdr:nvSpPr>
      <xdr:spPr bwMode="auto">
        <a:xfrm>
          <a:off x="2952750" y="430053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269</xdr:row>
      <xdr:rowOff>133350</xdr:rowOff>
    </xdr:from>
    <xdr:to>
      <xdr:col>4</xdr:col>
      <xdr:colOff>695325</xdr:colOff>
      <xdr:row>270</xdr:row>
      <xdr:rowOff>9525</xdr:rowOff>
    </xdr:to>
    <xdr:sp macro="" textlink="">
      <xdr:nvSpPr>
        <xdr:cNvPr id="1305" name="AutoShape 281">
          <a:extLst>
            <a:ext uri="{FF2B5EF4-FFF2-40B4-BE49-F238E27FC236}">
              <a16:creationId xmlns:a16="http://schemas.microsoft.com/office/drawing/2014/main" id="{00000000-0008-0000-0100-000019050000}"/>
            </a:ext>
          </a:extLst>
        </xdr:cNvPr>
        <xdr:cNvSpPr>
          <a:spLocks noChangeArrowheads="1"/>
        </xdr:cNvSpPr>
      </xdr:nvSpPr>
      <xdr:spPr bwMode="auto">
        <a:xfrm>
          <a:off x="2952750" y="432530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271</xdr:row>
      <xdr:rowOff>47625</xdr:rowOff>
    </xdr:from>
    <xdr:to>
      <xdr:col>4</xdr:col>
      <xdr:colOff>695325</xdr:colOff>
      <xdr:row>271</xdr:row>
      <xdr:rowOff>85725</xdr:rowOff>
    </xdr:to>
    <xdr:sp macro="" textlink="">
      <xdr:nvSpPr>
        <xdr:cNvPr id="1306" name="AutoShape 282">
          <a:extLst>
            <a:ext uri="{FF2B5EF4-FFF2-40B4-BE49-F238E27FC236}">
              <a16:creationId xmlns:a16="http://schemas.microsoft.com/office/drawing/2014/main" id="{00000000-0008-0000-0100-00001A050000}"/>
            </a:ext>
          </a:extLst>
        </xdr:cNvPr>
        <xdr:cNvSpPr>
          <a:spLocks noChangeArrowheads="1"/>
        </xdr:cNvSpPr>
      </xdr:nvSpPr>
      <xdr:spPr bwMode="auto">
        <a:xfrm>
          <a:off x="2952750" y="434911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272</xdr:row>
      <xdr:rowOff>123825</xdr:rowOff>
    </xdr:from>
    <xdr:to>
      <xdr:col>4</xdr:col>
      <xdr:colOff>695325</xdr:colOff>
      <xdr:row>273</xdr:row>
      <xdr:rowOff>0</xdr:rowOff>
    </xdr:to>
    <xdr:sp macro="" textlink="">
      <xdr:nvSpPr>
        <xdr:cNvPr id="1307" name="AutoShape 283">
          <a:extLst>
            <a:ext uri="{FF2B5EF4-FFF2-40B4-BE49-F238E27FC236}">
              <a16:creationId xmlns:a16="http://schemas.microsoft.com/office/drawing/2014/main" id="{00000000-0008-0000-0100-00001B050000}"/>
            </a:ext>
          </a:extLst>
        </xdr:cNvPr>
        <xdr:cNvSpPr>
          <a:spLocks noChangeArrowheads="1"/>
        </xdr:cNvSpPr>
      </xdr:nvSpPr>
      <xdr:spPr bwMode="auto">
        <a:xfrm>
          <a:off x="2952750" y="437292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274</xdr:row>
      <xdr:rowOff>57150</xdr:rowOff>
    </xdr:from>
    <xdr:to>
      <xdr:col>4</xdr:col>
      <xdr:colOff>685800</xdr:colOff>
      <xdr:row>274</xdr:row>
      <xdr:rowOff>95250</xdr:rowOff>
    </xdr:to>
    <xdr:sp macro="" textlink="">
      <xdr:nvSpPr>
        <xdr:cNvPr id="1308" name="AutoShape 284">
          <a:extLst>
            <a:ext uri="{FF2B5EF4-FFF2-40B4-BE49-F238E27FC236}">
              <a16:creationId xmlns:a16="http://schemas.microsoft.com/office/drawing/2014/main" id="{00000000-0008-0000-0100-00001C050000}"/>
            </a:ext>
          </a:extLst>
        </xdr:cNvPr>
        <xdr:cNvSpPr>
          <a:spLocks noChangeArrowheads="1"/>
        </xdr:cNvSpPr>
      </xdr:nvSpPr>
      <xdr:spPr bwMode="auto">
        <a:xfrm>
          <a:off x="2943225" y="439864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275</xdr:row>
      <xdr:rowOff>133350</xdr:rowOff>
    </xdr:from>
    <xdr:to>
      <xdr:col>4</xdr:col>
      <xdr:colOff>695325</xdr:colOff>
      <xdr:row>276</xdr:row>
      <xdr:rowOff>9525</xdr:rowOff>
    </xdr:to>
    <xdr:sp macro="" textlink="">
      <xdr:nvSpPr>
        <xdr:cNvPr id="1309" name="AutoShape 285">
          <a:extLst>
            <a:ext uri="{FF2B5EF4-FFF2-40B4-BE49-F238E27FC236}">
              <a16:creationId xmlns:a16="http://schemas.microsoft.com/office/drawing/2014/main" id="{00000000-0008-0000-0100-00001D050000}"/>
            </a:ext>
          </a:extLst>
        </xdr:cNvPr>
        <xdr:cNvSpPr>
          <a:spLocks noChangeArrowheads="1"/>
        </xdr:cNvSpPr>
      </xdr:nvSpPr>
      <xdr:spPr bwMode="auto">
        <a:xfrm>
          <a:off x="2952750" y="44224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277</xdr:row>
      <xdr:rowOff>66675</xdr:rowOff>
    </xdr:from>
    <xdr:to>
      <xdr:col>4</xdr:col>
      <xdr:colOff>685800</xdr:colOff>
      <xdr:row>277</xdr:row>
      <xdr:rowOff>104775</xdr:rowOff>
    </xdr:to>
    <xdr:sp macro="" textlink="">
      <xdr:nvSpPr>
        <xdr:cNvPr id="1310" name="AutoShape 286">
          <a:extLst>
            <a:ext uri="{FF2B5EF4-FFF2-40B4-BE49-F238E27FC236}">
              <a16:creationId xmlns:a16="http://schemas.microsoft.com/office/drawing/2014/main" id="{00000000-0008-0000-0100-00001E050000}"/>
            </a:ext>
          </a:extLst>
        </xdr:cNvPr>
        <xdr:cNvSpPr>
          <a:spLocks noChangeArrowheads="1"/>
        </xdr:cNvSpPr>
      </xdr:nvSpPr>
      <xdr:spPr bwMode="auto">
        <a:xfrm>
          <a:off x="2943225" y="444817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280</xdr:row>
      <xdr:rowOff>66675</xdr:rowOff>
    </xdr:from>
    <xdr:to>
      <xdr:col>4</xdr:col>
      <xdr:colOff>695325</xdr:colOff>
      <xdr:row>280</xdr:row>
      <xdr:rowOff>104775</xdr:rowOff>
    </xdr:to>
    <xdr:sp macro="" textlink="">
      <xdr:nvSpPr>
        <xdr:cNvPr id="1311" name="AutoShape 287">
          <a:extLst>
            <a:ext uri="{FF2B5EF4-FFF2-40B4-BE49-F238E27FC236}">
              <a16:creationId xmlns:a16="http://schemas.microsoft.com/office/drawing/2014/main" id="{00000000-0008-0000-0100-00001F050000}"/>
            </a:ext>
          </a:extLst>
        </xdr:cNvPr>
        <xdr:cNvSpPr>
          <a:spLocks noChangeArrowheads="1"/>
        </xdr:cNvSpPr>
      </xdr:nvSpPr>
      <xdr:spPr bwMode="auto">
        <a:xfrm>
          <a:off x="2952750" y="44967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278</xdr:row>
      <xdr:rowOff>133350</xdr:rowOff>
    </xdr:from>
    <xdr:to>
      <xdr:col>4</xdr:col>
      <xdr:colOff>695325</xdr:colOff>
      <xdr:row>279</xdr:row>
      <xdr:rowOff>9525</xdr:rowOff>
    </xdr:to>
    <xdr:sp macro="" textlink="">
      <xdr:nvSpPr>
        <xdr:cNvPr id="1312" name="AutoShape 288">
          <a:extLst>
            <a:ext uri="{FF2B5EF4-FFF2-40B4-BE49-F238E27FC236}">
              <a16:creationId xmlns:a16="http://schemas.microsoft.com/office/drawing/2014/main" id="{00000000-0008-0000-0100-000020050000}"/>
            </a:ext>
          </a:extLst>
        </xdr:cNvPr>
        <xdr:cNvSpPr>
          <a:spLocks noChangeArrowheads="1"/>
        </xdr:cNvSpPr>
      </xdr:nvSpPr>
      <xdr:spPr bwMode="auto">
        <a:xfrm>
          <a:off x="2952750" y="447103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281</xdr:row>
      <xdr:rowOff>133350</xdr:rowOff>
    </xdr:from>
    <xdr:to>
      <xdr:col>4</xdr:col>
      <xdr:colOff>695325</xdr:colOff>
      <xdr:row>282</xdr:row>
      <xdr:rowOff>9525</xdr:rowOff>
    </xdr:to>
    <xdr:sp macro="" textlink="">
      <xdr:nvSpPr>
        <xdr:cNvPr id="1313" name="AutoShape 289">
          <a:extLst>
            <a:ext uri="{FF2B5EF4-FFF2-40B4-BE49-F238E27FC236}">
              <a16:creationId xmlns:a16="http://schemas.microsoft.com/office/drawing/2014/main" id="{00000000-0008-0000-0100-000021050000}"/>
            </a:ext>
          </a:extLst>
        </xdr:cNvPr>
        <xdr:cNvSpPr>
          <a:spLocks noChangeArrowheads="1"/>
        </xdr:cNvSpPr>
      </xdr:nvSpPr>
      <xdr:spPr bwMode="auto">
        <a:xfrm>
          <a:off x="2952750" y="451961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283</xdr:row>
      <xdr:rowOff>57150</xdr:rowOff>
    </xdr:from>
    <xdr:to>
      <xdr:col>4</xdr:col>
      <xdr:colOff>695325</xdr:colOff>
      <xdr:row>283</xdr:row>
      <xdr:rowOff>95250</xdr:rowOff>
    </xdr:to>
    <xdr:sp macro="" textlink="">
      <xdr:nvSpPr>
        <xdr:cNvPr id="1314" name="AutoShape 290">
          <a:extLst>
            <a:ext uri="{FF2B5EF4-FFF2-40B4-BE49-F238E27FC236}">
              <a16:creationId xmlns:a16="http://schemas.microsoft.com/office/drawing/2014/main" id="{00000000-0008-0000-0100-000022050000}"/>
            </a:ext>
          </a:extLst>
        </xdr:cNvPr>
        <xdr:cNvSpPr>
          <a:spLocks noChangeArrowheads="1"/>
        </xdr:cNvSpPr>
      </xdr:nvSpPr>
      <xdr:spPr bwMode="auto">
        <a:xfrm>
          <a:off x="2952750" y="454437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284</xdr:row>
      <xdr:rowOff>133350</xdr:rowOff>
    </xdr:from>
    <xdr:to>
      <xdr:col>4</xdr:col>
      <xdr:colOff>695325</xdr:colOff>
      <xdr:row>285</xdr:row>
      <xdr:rowOff>9525</xdr:rowOff>
    </xdr:to>
    <xdr:sp macro="" textlink="">
      <xdr:nvSpPr>
        <xdr:cNvPr id="1315" name="AutoShape 291">
          <a:extLst>
            <a:ext uri="{FF2B5EF4-FFF2-40B4-BE49-F238E27FC236}">
              <a16:creationId xmlns:a16="http://schemas.microsoft.com/office/drawing/2014/main" id="{00000000-0008-0000-0100-000023050000}"/>
            </a:ext>
          </a:extLst>
        </xdr:cNvPr>
        <xdr:cNvSpPr>
          <a:spLocks noChangeArrowheads="1"/>
        </xdr:cNvSpPr>
      </xdr:nvSpPr>
      <xdr:spPr bwMode="auto">
        <a:xfrm>
          <a:off x="2952750" y="456819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286</xdr:row>
      <xdr:rowOff>57150</xdr:rowOff>
    </xdr:from>
    <xdr:to>
      <xdr:col>4</xdr:col>
      <xdr:colOff>695325</xdr:colOff>
      <xdr:row>286</xdr:row>
      <xdr:rowOff>95250</xdr:rowOff>
    </xdr:to>
    <xdr:sp macro="" textlink="">
      <xdr:nvSpPr>
        <xdr:cNvPr id="1316" name="AutoShape 292">
          <a:extLst>
            <a:ext uri="{FF2B5EF4-FFF2-40B4-BE49-F238E27FC236}">
              <a16:creationId xmlns:a16="http://schemas.microsoft.com/office/drawing/2014/main" id="{00000000-0008-0000-0100-000024050000}"/>
            </a:ext>
          </a:extLst>
        </xdr:cNvPr>
        <xdr:cNvSpPr>
          <a:spLocks noChangeArrowheads="1"/>
        </xdr:cNvSpPr>
      </xdr:nvSpPr>
      <xdr:spPr bwMode="auto">
        <a:xfrm>
          <a:off x="2952750" y="459295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287</xdr:row>
      <xdr:rowOff>142875</xdr:rowOff>
    </xdr:from>
    <xdr:to>
      <xdr:col>4</xdr:col>
      <xdr:colOff>695325</xdr:colOff>
      <xdr:row>288</xdr:row>
      <xdr:rowOff>19050</xdr:rowOff>
    </xdr:to>
    <xdr:sp macro="" textlink="">
      <xdr:nvSpPr>
        <xdr:cNvPr id="1317" name="AutoShape 293">
          <a:extLst>
            <a:ext uri="{FF2B5EF4-FFF2-40B4-BE49-F238E27FC236}">
              <a16:creationId xmlns:a16="http://schemas.microsoft.com/office/drawing/2014/main" id="{00000000-0008-0000-0100-000025050000}"/>
            </a:ext>
          </a:extLst>
        </xdr:cNvPr>
        <xdr:cNvSpPr>
          <a:spLocks noChangeArrowheads="1"/>
        </xdr:cNvSpPr>
      </xdr:nvSpPr>
      <xdr:spPr bwMode="auto">
        <a:xfrm>
          <a:off x="2952750" y="461772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289</xdr:row>
      <xdr:rowOff>57150</xdr:rowOff>
    </xdr:from>
    <xdr:to>
      <xdr:col>4</xdr:col>
      <xdr:colOff>695325</xdr:colOff>
      <xdr:row>289</xdr:row>
      <xdr:rowOff>95250</xdr:rowOff>
    </xdr:to>
    <xdr:sp macro="" textlink="">
      <xdr:nvSpPr>
        <xdr:cNvPr id="1318" name="AutoShape 294">
          <a:extLst>
            <a:ext uri="{FF2B5EF4-FFF2-40B4-BE49-F238E27FC236}">
              <a16:creationId xmlns:a16="http://schemas.microsoft.com/office/drawing/2014/main" id="{00000000-0008-0000-0100-000026050000}"/>
            </a:ext>
          </a:extLst>
        </xdr:cNvPr>
        <xdr:cNvSpPr>
          <a:spLocks noChangeArrowheads="1"/>
        </xdr:cNvSpPr>
      </xdr:nvSpPr>
      <xdr:spPr bwMode="auto">
        <a:xfrm>
          <a:off x="2952750" y="464153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323850</xdr:colOff>
      <xdr:row>300</xdr:row>
      <xdr:rowOff>152400</xdr:rowOff>
    </xdr:from>
    <xdr:to>
      <xdr:col>7</xdr:col>
      <xdr:colOff>161925</xdr:colOff>
      <xdr:row>300</xdr:row>
      <xdr:rowOff>152400</xdr:rowOff>
    </xdr:to>
    <xdr:sp macro="" textlink="">
      <xdr:nvSpPr>
        <xdr:cNvPr id="1320" name="Line 296">
          <a:extLst>
            <a:ext uri="{FF2B5EF4-FFF2-40B4-BE49-F238E27FC236}">
              <a16:creationId xmlns:a16="http://schemas.microsoft.com/office/drawing/2014/main" id="{00000000-0008-0000-0100-000028050000}"/>
            </a:ext>
          </a:extLst>
        </xdr:cNvPr>
        <xdr:cNvSpPr>
          <a:spLocks noChangeShapeType="1"/>
        </xdr:cNvSpPr>
      </xdr:nvSpPr>
      <xdr:spPr bwMode="auto">
        <a:xfrm>
          <a:off x="1333500" y="48291750"/>
          <a:ext cx="3352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400050</xdr:colOff>
      <xdr:row>300</xdr:row>
      <xdr:rowOff>38100</xdr:rowOff>
    </xdr:from>
    <xdr:to>
      <xdr:col>2</xdr:col>
      <xdr:colOff>409575</xdr:colOff>
      <xdr:row>301</xdr:row>
      <xdr:rowOff>95250</xdr:rowOff>
    </xdr:to>
    <xdr:sp macro="" textlink="">
      <xdr:nvSpPr>
        <xdr:cNvPr id="1321" name="Line 297">
          <a:extLst>
            <a:ext uri="{FF2B5EF4-FFF2-40B4-BE49-F238E27FC236}">
              <a16:creationId xmlns:a16="http://schemas.microsoft.com/office/drawing/2014/main" id="{00000000-0008-0000-0100-000029050000}"/>
            </a:ext>
          </a:extLst>
        </xdr:cNvPr>
        <xdr:cNvSpPr>
          <a:spLocks noChangeShapeType="1"/>
        </xdr:cNvSpPr>
      </xdr:nvSpPr>
      <xdr:spPr bwMode="auto">
        <a:xfrm flipH="1">
          <a:off x="1409700" y="48177450"/>
          <a:ext cx="95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300</xdr:row>
      <xdr:rowOff>47625</xdr:rowOff>
    </xdr:from>
    <xdr:to>
      <xdr:col>7</xdr:col>
      <xdr:colOff>0</xdr:colOff>
      <xdr:row>301</xdr:row>
      <xdr:rowOff>95250</xdr:rowOff>
    </xdr:to>
    <xdr:sp macro="" textlink="">
      <xdr:nvSpPr>
        <xdr:cNvPr id="1322" name="Line 298">
          <a:extLst>
            <a:ext uri="{FF2B5EF4-FFF2-40B4-BE49-F238E27FC236}">
              <a16:creationId xmlns:a16="http://schemas.microsoft.com/office/drawing/2014/main" id="{00000000-0008-0000-0100-00002A050000}"/>
            </a:ext>
          </a:extLst>
        </xdr:cNvPr>
        <xdr:cNvSpPr>
          <a:spLocks noChangeShapeType="1"/>
        </xdr:cNvSpPr>
      </xdr:nvSpPr>
      <xdr:spPr bwMode="auto">
        <a:xfrm>
          <a:off x="4524375" y="48186975"/>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300</xdr:row>
      <xdr:rowOff>47625</xdr:rowOff>
    </xdr:from>
    <xdr:to>
      <xdr:col>5</xdr:col>
      <xdr:colOff>0</xdr:colOff>
      <xdr:row>301</xdr:row>
      <xdr:rowOff>76200</xdr:rowOff>
    </xdr:to>
    <xdr:sp macro="" textlink="">
      <xdr:nvSpPr>
        <xdr:cNvPr id="1323" name="Line 299">
          <a:extLst>
            <a:ext uri="{FF2B5EF4-FFF2-40B4-BE49-F238E27FC236}">
              <a16:creationId xmlns:a16="http://schemas.microsoft.com/office/drawing/2014/main" id="{00000000-0008-0000-0100-00002B050000}"/>
            </a:ext>
          </a:extLst>
        </xdr:cNvPr>
        <xdr:cNvSpPr>
          <a:spLocks noChangeShapeType="1"/>
        </xdr:cNvSpPr>
      </xdr:nvSpPr>
      <xdr:spPr bwMode="auto">
        <a:xfrm>
          <a:off x="3076575" y="4818697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495300</xdr:colOff>
      <xdr:row>300</xdr:row>
      <xdr:rowOff>66675</xdr:rowOff>
    </xdr:from>
    <xdr:to>
      <xdr:col>4</xdr:col>
      <xdr:colOff>0</xdr:colOff>
      <xdr:row>301</xdr:row>
      <xdr:rowOff>85725</xdr:rowOff>
    </xdr:to>
    <xdr:sp macro="" textlink="">
      <xdr:nvSpPr>
        <xdr:cNvPr id="1324" name="Line 300">
          <a:extLst>
            <a:ext uri="{FF2B5EF4-FFF2-40B4-BE49-F238E27FC236}">
              <a16:creationId xmlns:a16="http://schemas.microsoft.com/office/drawing/2014/main" id="{00000000-0008-0000-0100-00002C050000}"/>
            </a:ext>
          </a:extLst>
        </xdr:cNvPr>
        <xdr:cNvSpPr>
          <a:spLocks noChangeShapeType="1"/>
        </xdr:cNvSpPr>
      </xdr:nvSpPr>
      <xdr:spPr bwMode="auto">
        <a:xfrm flipH="1">
          <a:off x="2286000" y="48206025"/>
          <a:ext cx="9525"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304800</xdr:colOff>
      <xdr:row>304</xdr:row>
      <xdr:rowOff>0</xdr:rowOff>
    </xdr:from>
    <xdr:to>
      <xdr:col>7</xdr:col>
      <xdr:colOff>123825</xdr:colOff>
      <xdr:row>304</xdr:row>
      <xdr:rowOff>0</xdr:rowOff>
    </xdr:to>
    <xdr:sp macro="" textlink="">
      <xdr:nvSpPr>
        <xdr:cNvPr id="1325" name="Line 301">
          <a:extLst>
            <a:ext uri="{FF2B5EF4-FFF2-40B4-BE49-F238E27FC236}">
              <a16:creationId xmlns:a16="http://schemas.microsoft.com/office/drawing/2014/main" id="{00000000-0008-0000-0100-00002D050000}"/>
            </a:ext>
          </a:extLst>
        </xdr:cNvPr>
        <xdr:cNvSpPr>
          <a:spLocks noChangeShapeType="1"/>
        </xdr:cNvSpPr>
      </xdr:nvSpPr>
      <xdr:spPr bwMode="auto">
        <a:xfrm>
          <a:off x="1314450" y="48787050"/>
          <a:ext cx="3333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371475</xdr:colOff>
      <xdr:row>303</xdr:row>
      <xdr:rowOff>66675</xdr:rowOff>
    </xdr:from>
    <xdr:to>
      <xdr:col>2</xdr:col>
      <xdr:colOff>371475</xdr:colOff>
      <xdr:row>304</xdr:row>
      <xdr:rowOff>85725</xdr:rowOff>
    </xdr:to>
    <xdr:sp macro="" textlink="">
      <xdr:nvSpPr>
        <xdr:cNvPr id="1326" name="Line 302">
          <a:extLst>
            <a:ext uri="{FF2B5EF4-FFF2-40B4-BE49-F238E27FC236}">
              <a16:creationId xmlns:a16="http://schemas.microsoft.com/office/drawing/2014/main" id="{00000000-0008-0000-0100-00002E050000}"/>
            </a:ext>
          </a:extLst>
        </xdr:cNvPr>
        <xdr:cNvSpPr>
          <a:spLocks noChangeShapeType="1"/>
        </xdr:cNvSpPr>
      </xdr:nvSpPr>
      <xdr:spPr bwMode="auto">
        <a:xfrm>
          <a:off x="1381125" y="48691800"/>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303</xdr:row>
      <xdr:rowOff>57150</xdr:rowOff>
    </xdr:from>
    <xdr:to>
      <xdr:col>7</xdr:col>
      <xdr:colOff>0</xdr:colOff>
      <xdr:row>304</xdr:row>
      <xdr:rowOff>104775</xdr:rowOff>
    </xdr:to>
    <xdr:sp macro="" textlink="">
      <xdr:nvSpPr>
        <xdr:cNvPr id="1327" name="Line 303">
          <a:extLst>
            <a:ext uri="{FF2B5EF4-FFF2-40B4-BE49-F238E27FC236}">
              <a16:creationId xmlns:a16="http://schemas.microsoft.com/office/drawing/2014/main" id="{00000000-0008-0000-0100-00002F050000}"/>
            </a:ext>
          </a:extLst>
        </xdr:cNvPr>
        <xdr:cNvSpPr>
          <a:spLocks noChangeShapeType="1"/>
        </xdr:cNvSpPr>
      </xdr:nvSpPr>
      <xdr:spPr bwMode="auto">
        <a:xfrm>
          <a:off x="4524375" y="48682275"/>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419100</xdr:colOff>
      <xdr:row>265</xdr:row>
      <xdr:rowOff>76200</xdr:rowOff>
    </xdr:from>
    <xdr:to>
      <xdr:col>8</xdr:col>
      <xdr:colOff>419100</xdr:colOff>
      <xdr:row>295</xdr:row>
      <xdr:rowOff>142875</xdr:rowOff>
    </xdr:to>
    <xdr:sp macro="" textlink="">
      <xdr:nvSpPr>
        <xdr:cNvPr id="1328" name="Line 304">
          <a:extLst>
            <a:ext uri="{FF2B5EF4-FFF2-40B4-BE49-F238E27FC236}">
              <a16:creationId xmlns:a16="http://schemas.microsoft.com/office/drawing/2014/main" id="{00000000-0008-0000-0100-000030050000}"/>
            </a:ext>
          </a:extLst>
        </xdr:cNvPr>
        <xdr:cNvSpPr>
          <a:spLocks noChangeShapeType="1"/>
        </xdr:cNvSpPr>
      </xdr:nvSpPr>
      <xdr:spPr bwMode="auto">
        <a:xfrm>
          <a:off x="5762625" y="42548175"/>
          <a:ext cx="0" cy="4924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304800</xdr:colOff>
      <xdr:row>266</xdr:row>
      <xdr:rowOff>0</xdr:rowOff>
    </xdr:from>
    <xdr:to>
      <xdr:col>8</xdr:col>
      <xdr:colOff>542925</xdr:colOff>
      <xdr:row>266</xdr:row>
      <xdr:rowOff>0</xdr:rowOff>
    </xdr:to>
    <xdr:sp macro="" textlink="">
      <xdr:nvSpPr>
        <xdr:cNvPr id="1329" name="Line 305">
          <a:extLst>
            <a:ext uri="{FF2B5EF4-FFF2-40B4-BE49-F238E27FC236}">
              <a16:creationId xmlns:a16="http://schemas.microsoft.com/office/drawing/2014/main" id="{00000000-0008-0000-0100-000031050000}"/>
            </a:ext>
          </a:extLst>
        </xdr:cNvPr>
        <xdr:cNvSpPr>
          <a:spLocks noChangeShapeType="1"/>
        </xdr:cNvSpPr>
      </xdr:nvSpPr>
      <xdr:spPr bwMode="auto">
        <a:xfrm>
          <a:off x="5648325" y="426339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342900</xdr:colOff>
      <xdr:row>295</xdr:row>
      <xdr:rowOff>57150</xdr:rowOff>
    </xdr:from>
    <xdr:to>
      <xdr:col>8</xdr:col>
      <xdr:colOff>533400</xdr:colOff>
      <xdr:row>295</xdr:row>
      <xdr:rowOff>57150</xdr:rowOff>
    </xdr:to>
    <xdr:sp macro="" textlink="">
      <xdr:nvSpPr>
        <xdr:cNvPr id="1330" name="Line 306">
          <a:extLst>
            <a:ext uri="{FF2B5EF4-FFF2-40B4-BE49-F238E27FC236}">
              <a16:creationId xmlns:a16="http://schemas.microsoft.com/office/drawing/2014/main" id="{00000000-0008-0000-0100-000032050000}"/>
            </a:ext>
          </a:extLst>
        </xdr:cNvPr>
        <xdr:cNvSpPr>
          <a:spLocks noChangeShapeType="1"/>
        </xdr:cNvSpPr>
      </xdr:nvSpPr>
      <xdr:spPr bwMode="auto">
        <a:xfrm>
          <a:off x="5686425" y="4738687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323850</xdr:colOff>
      <xdr:row>292</xdr:row>
      <xdr:rowOff>9525</xdr:rowOff>
    </xdr:from>
    <xdr:to>
      <xdr:col>8</xdr:col>
      <xdr:colOff>533400</xdr:colOff>
      <xdr:row>292</xdr:row>
      <xdr:rowOff>9525</xdr:rowOff>
    </xdr:to>
    <xdr:sp macro="" textlink="">
      <xdr:nvSpPr>
        <xdr:cNvPr id="1331" name="Line 307">
          <a:extLst>
            <a:ext uri="{FF2B5EF4-FFF2-40B4-BE49-F238E27FC236}">
              <a16:creationId xmlns:a16="http://schemas.microsoft.com/office/drawing/2014/main" id="{00000000-0008-0000-0100-000033050000}"/>
            </a:ext>
          </a:extLst>
        </xdr:cNvPr>
        <xdr:cNvSpPr>
          <a:spLocks noChangeShapeType="1"/>
        </xdr:cNvSpPr>
      </xdr:nvSpPr>
      <xdr:spPr bwMode="auto">
        <a:xfrm>
          <a:off x="5667375" y="4685347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333375</xdr:colOff>
      <xdr:row>283</xdr:row>
      <xdr:rowOff>95250</xdr:rowOff>
    </xdr:from>
    <xdr:to>
      <xdr:col>8</xdr:col>
      <xdr:colOff>542925</xdr:colOff>
      <xdr:row>283</xdr:row>
      <xdr:rowOff>95250</xdr:rowOff>
    </xdr:to>
    <xdr:sp macro="" textlink="">
      <xdr:nvSpPr>
        <xdr:cNvPr id="1332" name="Line 308">
          <a:extLst>
            <a:ext uri="{FF2B5EF4-FFF2-40B4-BE49-F238E27FC236}">
              <a16:creationId xmlns:a16="http://schemas.microsoft.com/office/drawing/2014/main" id="{00000000-0008-0000-0100-000034050000}"/>
            </a:ext>
          </a:extLst>
        </xdr:cNvPr>
        <xdr:cNvSpPr>
          <a:spLocks noChangeShapeType="1"/>
        </xdr:cNvSpPr>
      </xdr:nvSpPr>
      <xdr:spPr bwMode="auto">
        <a:xfrm>
          <a:off x="5676900" y="4548187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265</xdr:row>
      <xdr:rowOff>38100</xdr:rowOff>
    </xdr:from>
    <xdr:to>
      <xdr:col>1</xdr:col>
      <xdr:colOff>38100</xdr:colOff>
      <xdr:row>295</xdr:row>
      <xdr:rowOff>152400</xdr:rowOff>
    </xdr:to>
    <xdr:sp macro="" textlink="">
      <xdr:nvSpPr>
        <xdr:cNvPr id="1333" name="Line 309">
          <a:extLst>
            <a:ext uri="{FF2B5EF4-FFF2-40B4-BE49-F238E27FC236}">
              <a16:creationId xmlns:a16="http://schemas.microsoft.com/office/drawing/2014/main" id="{00000000-0008-0000-0100-000035050000}"/>
            </a:ext>
          </a:extLst>
        </xdr:cNvPr>
        <xdr:cNvSpPr>
          <a:spLocks noChangeShapeType="1"/>
        </xdr:cNvSpPr>
      </xdr:nvSpPr>
      <xdr:spPr bwMode="auto">
        <a:xfrm>
          <a:off x="571500" y="42510075"/>
          <a:ext cx="0" cy="4972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485775</xdr:colOff>
      <xdr:row>295</xdr:row>
      <xdr:rowOff>47625</xdr:rowOff>
    </xdr:from>
    <xdr:to>
      <xdr:col>1</xdr:col>
      <xdr:colOff>171450</xdr:colOff>
      <xdr:row>295</xdr:row>
      <xdr:rowOff>47625</xdr:rowOff>
    </xdr:to>
    <xdr:sp macro="" textlink="">
      <xdr:nvSpPr>
        <xdr:cNvPr id="1334" name="Line 310">
          <a:extLst>
            <a:ext uri="{FF2B5EF4-FFF2-40B4-BE49-F238E27FC236}">
              <a16:creationId xmlns:a16="http://schemas.microsoft.com/office/drawing/2014/main" id="{00000000-0008-0000-0100-000036050000}"/>
            </a:ext>
          </a:extLst>
        </xdr:cNvPr>
        <xdr:cNvSpPr>
          <a:spLocks noChangeShapeType="1"/>
        </xdr:cNvSpPr>
      </xdr:nvSpPr>
      <xdr:spPr bwMode="auto">
        <a:xfrm>
          <a:off x="485775" y="47377350"/>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466725</xdr:colOff>
      <xdr:row>266</xdr:row>
      <xdr:rowOff>9525</xdr:rowOff>
    </xdr:from>
    <xdr:to>
      <xdr:col>1</xdr:col>
      <xdr:colOff>190500</xdr:colOff>
      <xdr:row>266</xdr:row>
      <xdr:rowOff>9525</xdr:rowOff>
    </xdr:to>
    <xdr:sp macro="" textlink="">
      <xdr:nvSpPr>
        <xdr:cNvPr id="1335" name="Line 311">
          <a:extLst>
            <a:ext uri="{FF2B5EF4-FFF2-40B4-BE49-F238E27FC236}">
              <a16:creationId xmlns:a16="http://schemas.microsoft.com/office/drawing/2014/main" id="{00000000-0008-0000-0100-000037050000}"/>
            </a:ext>
          </a:extLst>
        </xdr:cNvPr>
        <xdr:cNvSpPr>
          <a:spLocks noChangeShapeType="1"/>
        </xdr:cNvSpPr>
      </xdr:nvSpPr>
      <xdr:spPr bwMode="auto">
        <a:xfrm>
          <a:off x="466725" y="426434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264</xdr:row>
      <xdr:rowOff>152400</xdr:rowOff>
    </xdr:from>
    <xdr:to>
      <xdr:col>5</xdr:col>
      <xdr:colOff>114300</xdr:colOff>
      <xdr:row>264</xdr:row>
      <xdr:rowOff>152400</xdr:rowOff>
    </xdr:to>
    <xdr:sp macro="" textlink="">
      <xdr:nvSpPr>
        <xdr:cNvPr id="1336" name="Line 312">
          <a:extLst>
            <a:ext uri="{FF2B5EF4-FFF2-40B4-BE49-F238E27FC236}">
              <a16:creationId xmlns:a16="http://schemas.microsoft.com/office/drawing/2014/main" id="{00000000-0008-0000-0100-000038050000}"/>
            </a:ext>
          </a:extLst>
        </xdr:cNvPr>
        <xdr:cNvSpPr>
          <a:spLocks noChangeShapeType="1"/>
        </xdr:cNvSpPr>
      </xdr:nvSpPr>
      <xdr:spPr bwMode="auto">
        <a:xfrm>
          <a:off x="2638425" y="42462450"/>
          <a:ext cx="552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264</xdr:row>
      <xdr:rowOff>85725</xdr:rowOff>
    </xdr:from>
    <xdr:to>
      <xdr:col>5</xdr:col>
      <xdr:colOff>0</xdr:colOff>
      <xdr:row>265</xdr:row>
      <xdr:rowOff>57150</xdr:rowOff>
    </xdr:to>
    <xdr:sp macro="" textlink="">
      <xdr:nvSpPr>
        <xdr:cNvPr id="1338" name="Line 314">
          <a:extLst>
            <a:ext uri="{FF2B5EF4-FFF2-40B4-BE49-F238E27FC236}">
              <a16:creationId xmlns:a16="http://schemas.microsoft.com/office/drawing/2014/main" id="{00000000-0008-0000-0100-00003A050000}"/>
            </a:ext>
          </a:extLst>
        </xdr:cNvPr>
        <xdr:cNvSpPr>
          <a:spLocks noChangeShapeType="1"/>
        </xdr:cNvSpPr>
      </xdr:nvSpPr>
      <xdr:spPr bwMode="auto">
        <a:xfrm>
          <a:off x="3076575" y="4239577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466725</xdr:colOff>
      <xdr:row>264</xdr:row>
      <xdr:rowOff>95250</xdr:rowOff>
    </xdr:from>
    <xdr:to>
      <xdr:col>4</xdr:col>
      <xdr:colOff>466725</xdr:colOff>
      <xdr:row>265</xdr:row>
      <xdr:rowOff>85725</xdr:rowOff>
    </xdr:to>
    <xdr:sp macro="" textlink="">
      <xdr:nvSpPr>
        <xdr:cNvPr id="1339" name="Line 315">
          <a:extLst>
            <a:ext uri="{FF2B5EF4-FFF2-40B4-BE49-F238E27FC236}">
              <a16:creationId xmlns:a16="http://schemas.microsoft.com/office/drawing/2014/main" id="{00000000-0008-0000-0100-00003B050000}"/>
            </a:ext>
          </a:extLst>
        </xdr:cNvPr>
        <xdr:cNvSpPr>
          <a:spLocks noChangeShapeType="1"/>
        </xdr:cNvSpPr>
      </xdr:nvSpPr>
      <xdr:spPr bwMode="auto">
        <a:xfrm>
          <a:off x="2762250" y="4240530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9525</xdr:colOff>
      <xdr:row>18</xdr:row>
      <xdr:rowOff>9525</xdr:rowOff>
    </xdr:from>
    <xdr:to>
      <xdr:col>4</xdr:col>
      <xdr:colOff>19050</xdr:colOff>
      <xdr:row>18</xdr:row>
      <xdr:rowOff>19050</xdr:rowOff>
    </xdr:to>
    <xdr:sp macro="" textlink="">
      <xdr:nvSpPr>
        <xdr:cNvPr id="1341" name="Line 317">
          <a:extLst>
            <a:ext uri="{FF2B5EF4-FFF2-40B4-BE49-F238E27FC236}">
              <a16:creationId xmlns:a16="http://schemas.microsoft.com/office/drawing/2014/main" id="{00000000-0008-0000-0100-00003D050000}"/>
            </a:ext>
          </a:extLst>
        </xdr:cNvPr>
        <xdr:cNvSpPr>
          <a:spLocks noChangeShapeType="1"/>
        </xdr:cNvSpPr>
      </xdr:nvSpPr>
      <xdr:spPr bwMode="auto">
        <a:xfrm flipV="1">
          <a:off x="1800225" y="1581150"/>
          <a:ext cx="514350" cy="95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733425</xdr:colOff>
      <xdr:row>17</xdr:row>
      <xdr:rowOff>0</xdr:rowOff>
    </xdr:from>
    <xdr:to>
      <xdr:col>4</xdr:col>
      <xdr:colOff>66675</xdr:colOff>
      <xdr:row>17</xdr:row>
      <xdr:rowOff>0</xdr:rowOff>
    </xdr:to>
    <xdr:sp macro="" textlink="">
      <xdr:nvSpPr>
        <xdr:cNvPr id="1344" name="Line 320">
          <a:extLst>
            <a:ext uri="{FF2B5EF4-FFF2-40B4-BE49-F238E27FC236}">
              <a16:creationId xmlns:a16="http://schemas.microsoft.com/office/drawing/2014/main" id="{00000000-0008-0000-0100-000040050000}"/>
            </a:ext>
          </a:extLst>
        </xdr:cNvPr>
        <xdr:cNvSpPr>
          <a:spLocks noChangeShapeType="1"/>
        </xdr:cNvSpPr>
      </xdr:nvSpPr>
      <xdr:spPr bwMode="auto">
        <a:xfrm>
          <a:off x="1743075" y="144780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419100</xdr:colOff>
      <xdr:row>106</xdr:row>
      <xdr:rowOff>0</xdr:rowOff>
    </xdr:from>
    <xdr:to>
      <xdr:col>5</xdr:col>
      <xdr:colOff>419100</xdr:colOff>
      <xdr:row>110</xdr:row>
      <xdr:rowOff>0</xdr:rowOff>
    </xdr:to>
    <xdr:sp macro="" textlink="">
      <xdr:nvSpPr>
        <xdr:cNvPr id="1357" name="Line 333">
          <a:extLst>
            <a:ext uri="{FF2B5EF4-FFF2-40B4-BE49-F238E27FC236}">
              <a16:creationId xmlns:a16="http://schemas.microsoft.com/office/drawing/2014/main" id="{00000000-0008-0000-0100-00004D050000}"/>
            </a:ext>
          </a:extLst>
        </xdr:cNvPr>
        <xdr:cNvSpPr>
          <a:spLocks noChangeShapeType="1"/>
        </xdr:cNvSpPr>
      </xdr:nvSpPr>
      <xdr:spPr bwMode="auto">
        <a:xfrm>
          <a:off x="3495675" y="16392525"/>
          <a:ext cx="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704850</xdr:colOff>
      <xdr:row>284</xdr:row>
      <xdr:rowOff>9525</xdr:rowOff>
    </xdr:from>
    <xdr:to>
      <xdr:col>5</xdr:col>
      <xdr:colOff>495300</xdr:colOff>
      <xdr:row>285</xdr:row>
      <xdr:rowOff>123825</xdr:rowOff>
    </xdr:to>
    <xdr:sp macro="" textlink="">
      <xdr:nvSpPr>
        <xdr:cNvPr id="1359" name="Line 335">
          <a:extLst>
            <a:ext uri="{FF2B5EF4-FFF2-40B4-BE49-F238E27FC236}">
              <a16:creationId xmlns:a16="http://schemas.microsoft.com/office/drawing/2014/main" id="{00000000-0008-0000-0100-00004F050000}"/>
            </a:ext>
          </a:extLst>
        </xdr:cNvPr>
        <xdr:cNvSpPr>
          <a:spLocks noChangeShapeType="1"/>
        </xdr:cNvSpPr>
      </xdr:nvSpPr>
      <xdr:spPr bwMode="auto">
        <a:xfrm flipV="1">
          <a:off x="3000375" y="45558075"/>
          <a:ext cx="571500" cy="2762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628650</xdr:colOff>
      <xdr:row>284</xdr:row>
      <xdr:rowOff>57150</xdr:rowOff>
    </xdr:from>
    <xdr:to>
      <xdr:col>5</xdr:col>
      <xdr:colOff>333375</xdr:colOff>
      <xdr:row>284</xdr:row>
      <xdr:rowOff>76200</xdr:rowOff>
    </xdr:to>
    <xdr:sp macro="" textlink="">
      <xdr:nvSpPr>
        <xdr:cNvPr id="1360" name="Line 336">
          <a:extLst>
            <a:ext uri="{FF2B5EF4-FFF2-40B4-BE49-F238E27FC236}">
              <a16:creationId xmlns:a16="http://schemas.microsoft.com/office/drawing/2014/main" id="{00000000-0008-0000-0100-000050050000}"/>
            </a:ext>
          </a:extLst>
        </xdr:cNvPr>
        <xdr:cNvSpPr>
          <a:spLocks noChangeShapeType="1"/>
        </xdr:cNvSpPr>
      </xdr:nvSpPr>
      <xdr:spPr bwMode="auto">
        <a:xfrm>
          <a:off x="2924175" y="45605700"/>
          <a:ext cx="485775" cy="190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270</xdr:row>
      <xdr:rowOff>152400</xdr:rowOff>
    </xdr:from>
    <xdr:to>
      <xdr:col>5</xdr:col>
      <xdr:colOff>447675</xdr:colOff>
      <xdr:row>272</xdr:row>
      <xdr:rowOff>95250</xdr:rowOff>
    </xdr:to>
    <xdr:sp macro="" textlink="">
      <xdr:nvSpPr>
        <xdr:cNvPr id="1362" name="Line 338">
          <a:extLst>
            <a:ext uri="{FF2B5EF4-FFF2-40B4-BE49-F238E27FC236}">
              <a16:creationId xmlns:a16="http://schemas.microsoft.com/office/drawing/2014/main" id="{00000000-0008-0000-0100-000052050000}"/>
            </a:ext>
          </a:extLst>
        </xdr:cNvPr>
        <xdr:cNvSpPr>
          <a:spLocks noChangeShapeType="1"/>
        </xdr:cNvSpPr>
      </xdr:nvSpPr>
      <xdr:spPr bwMode="auto">
        <a:xfrm flipV="1">
          <a:off x="2990850" y="43434000"/>
          <a:ext cx="533400" cy="2667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270</xdr:row>
      <xdr:rowOff>19050</xdr:rowOff>
    </xdr:from>
    <xdr:to>
      <xdr:col>5</xdr:col>
      <xdr:colOff>200025</xdr:colOff>
      <xdr:row>271</xdr:row>
      <xdr:rowOff>104775</xdr:rowOff>
    </xdr:to>
    <xdr:sp macro="" textlink="">
      <xdr:nvSpPr>
        <xdr:cNvPr id="1363" name="Line 339">
          <a:extLst>
            <a:ext uri="{FF2B5EF4-FFF2-40B4-BE49-F238E27FC236}">
              <a16:creationId xmlns:a16="http://schemas.microsoft.com/office/drawing/2014/main" id="{00000000-0008-0000-0100-000053050000}"/>
            </a:ext>
          </a:extLst>
        </xdr:cNvPr>
        <xdr:cNvSpPr>
          <a:spLocks noChangeShapeType="1"/>
        </xdr:cNvSpPr>
      </xdr:nvSpPr>
      <xdr:spPr bwMode="auto">
        <a:xfrm>
          <a:off x="2990850" y="43300650"/>
          <a:ext cx="285750" cy="2476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285750</xdr:colOff>
      <xdr:row>275</xdr:row>
      <xdr:rowOff>9525</xdr:rowOff>
    </xdr:from>
    <xdr:to>
      <xdr:col>4</xdr:col>
      <xdr:colOff>352425</xdr:colOff>
      <xdr:row>276</xdr:row>
      <xdr:rowOff>76200</xdr:rowOff>
    </xdr:to>
    <xdr:sp macro="" textlink="">
      <xdr:nvSpPr>
        <xdr:cNvPr id="1364" name="Line 340">
          <a:extLst>
            <a:ext uri="{FF2B5EF4-FFF2-40B4-BE49-F238E27FC236}">
              <a16:creationId xmlns:a16="http://schemas.microsoft.com/office/drawing/2014/main" id="{00000000-0008-0000-0100-000054050000}"/>
            </a:ext>
          </a:extLst>
        </xdr:cNvPr>
        <xdr:cNvSpPr>
          <a:spLocks noChangeShapeType="1"/>
        </xdr:cNvSpPr>
      </xdr:nvSpPr>
      <xdr:spPr bwMode="auto">
        <a:xfrm flipH="1" flipV="1">
          <a:off x="819150" y="44100750"/>
          <a:ext cx="1828800" cy="2286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295275</xdr:colOff>
      <xdr:row>274</xdr:row>
      <xdr:rowOff>85725</xdr:rowOff>
    </xdr:from>
    <xdr:to>
      <xdr:col>4</xdr:col>
      <xdr:colOff>371475</xdr:colOff>
      <xdr:row>276</xdr:row>
      <xdr:rowOff>0</xdr:rowOff>
    </xdr:to>
    <xdr:sp macro="" textlink="">
      <xdr:nvSpPr>
        <xdr:cNvPr id="1365" name="Line 341">
          <a:extLst>
            <a:ext uri="{FF2B5EF4-FFF2-40B4-BE49-F238E27FC236}">
              <a16:creationId xmlns:a16="http://schemas.microsoft.com/office/drawing/2014/main" id="{00000000-0008-0000-0100-000055050000}"/>
            </a:ext>
          </a:extLst>
        </xdr:cNvPr>
        <xdr:cNvSpPr>
          <a:spLocks noChangeShapeType="1"/>
        </xdr:cNvSpPr>
      </xdr:nvSpPr>
      <xdr:spPr bwMode="auto">
        <a:xfrm flipH="1">
          <a:off x="2085975" y="44015025"/>
          <a:ext cx="581025" cy="2381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285750</xdr:colOff>
      <xdr:row>284</xdr:row>
      <xdr:rowOff>9525</xdr:rowOff>
    </xdr:from>
    <xdr:to>
      <xdr:col>4</xdr:col>
      <xdr:colOff>161925</xdr:colOff>
      <xdr:row>285</xdr:row>
      <xdr:rowOff>76200</xdr:rowOff>
    </xdr:to>
    <xdr:sp macro="" textlink="">
      <xdr:nvSpPr>
        <xdr:cNvPr id="1366" name="Line 342">
          <a:extLst>
            <a:ext uri="{FF2B5EF4-FFF2-40B4-BE49-F238E27FC236}">
              <a16:creationId xmlns:a16="http://schemas.microsoft.com/office/drawing/2014/main" id="{00000000-0008-0000-0100-000056050000}"/>
            </a:ext>
          </a:extLst>
        </xdr:cNvPr>
        <xdr:cNvSpPr>
          <a:spLocks noChangeShapeType="1"/>
        </xdr:cNvSpPr>
      </xdr:nvSpPr>
      <xdr:spPr bwMode="auto">
        <a:xfrm flipH="1" flipV="1">
          <a:off x="819150" y="45558075"/>
          <a:ext cx="1638300" cy="2286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76200</xdr:colOff>
      <xdr:row>294</xdr:row>
      <xdr:rowOff>152400</xdr:rowOff>
    </xdr:from>
    <xdr:to>
      <xdr:col>5</xdr:col>
      <xdr:colOff>295275</xdr:colOff>
      <xdr:row>298</xdr:row>
      <xdr:rowOff>0</xdr:rowOff>
    </xdr:to>
    <xdr:sp macro="" textlink="">
      <xdr:nvSpPr>
        <xdr:cNvPr id="1367" name="Line 343">
          <a:extLst>
            <a:ext uri="{FF2B5EF4-FFF2-40B4-BE49-F238E27FC236}">
              <a16:creationId xmlns:a16="http://schemas.microsoft.com/office/drawing/2014/main" id="{00000000-0008-0000-0100-000057050000}"/>
            </a:ext>
          </a:extLst>
        </xdr:cNvPr>
        <xdr:cNvSpPr>
          <a:spLocks noChangeShapeType="1"/>
        </xdr:cNvSpPr>
      </xdr:nvSpPr>
      <xdr:spPr bwMode="auto">
        <a:xfrm>
          <a:off x="3152775" y="47320200"/>
          <a:ext cx="219075" cy="4953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133350</xdr:colOff>
      <xdr:row>294</xdr:row>
      <xdr:rowOff>104775</xdr:rowOff>
    </xdr:from>
    <xdr:to>
      <xdr:col>2</xdr:col>
      <xdr:colOff>504825</xdr:colOff>
      <xdr:row>297</xdr:row>
      <xdr:rowOff>152400</xdr:rowOff>
    </xdr:to>
    <xdr:sp macro="" textlink="">
      <xdr:nvSpPr>
        <xdr:cNvPr id="1368" name="Line 344">
          <a:extLst>
            <a:ext uri="{FF2B5EF4-FFF2-40B4-BE49-F238E27FC236}">
              <a16:creationId xmlns:a16="http://schemas.microsoft.com/office/drawing/2014/main" id="{00000000-0008-0000-0100-000058050000}"/>
            </a:ext>
          </a:extLst>
        </xdr:cNvPr>
        <xdr:cNvSpPr>
          <a:spLocks noChangeShapeType="1"/>
        </xdr:cNvSpPr>
      </xdr:nvSpPr>
      <xdr:spPr bwMode="auto">
        <a:xfrm flipH="1">
          <a:off x="666750" y="47272575"/>
          <a:ext cx="847725" cy="5334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390525</xdr:colOff>
      <xdr:row>294</xdr:row>
      <xdr:rowOff>123825</xdr:rowOff>
    </xdr:from>
    <xdr:to>
      <xdr:col>3</xdr:col>
      <xdr:colOff>28575</xdr:colOff>
      <xdr:row>297</xdr:row>
      <xdr:rowOff>0</xdr:rowOff>
    </xdr:to>
    <xdr:sp macro="" textlink="">
      <xdr:nvSpPr>
        <xdr:cNvPr id="1369" name="Line 345">
          <a:extLst>
            <a:ext uri="{FF2B5EF4-FFF2-40B4-BE49-F238E27FC236}">
              <a16:creationId xmlns:a16="http://schemas.microsoft.com/office/drawing/2014/main" id="{00000000-0008-0000-0100-000059050000}"/>
            </a:ext>
          </a:extLst>
        </xdr:cNvPr>
        <xdr:cNvSpPr>
          <a:spLocks noChangeShapeType="1"/>
        </xdr:cNvSpPr>
      </xdr:nvSpPr>
      <xdr:spPr bwMode="auto">
        <a:xfrm flipH="1">
          <a:off x="923925" y="47291625"/>
          <a:ext cx="895350" cy="3619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219075</xdr:colOff>
      <xdr:row>288</xdr:row>
      <xdr:rowOff>152400</xdr:rowOff>
    </xdr:from>
    <xdr:to>
      <xdr:col>2</xdr:col>
      <xdr:colOff>676275</xdr:colOff>
      <xdr:row>292</xdr:row>
      <xdr:rowOff>47625</xdr:rowOff>
    </xdr:to>
    <xdr:sp macro="" textlink="">
      <xdr:nvSpPr>
        <xdr:cNvPr id="1371" name="Line 347">
          <a:extLst>
            <a:ext uri="{FF2B5EF4-FFF2-40B4-BE49-F238E27FC236}">
              <a16:creationId xmlns:a16="http://schemas.microsoft.com/office/drawing/2014/main" id="{00000000-0008-0000-0100-00005B050000}"/>
            </a:ext>
          </a:extLst>
        </xdr:cNvPr>
        <xdr:cNvSpPr>
          <a:spLocks noChangeShapeType="1"/>
        </xdr:cNvSpPr>
      </xdr:nvSpPr>
      <xdr:spPr bwMode="auto">
        <a:xfrm flipH="1" flipV="1">
          <a:off x="752475" y="46348650"/>
          <a:ext cx="933450" cy="5429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361950</xdr:colOff>
      <xdr:row>289</xdr:row>
      <xdr:rowOff>152400</xdr:rowOff>
    </xdr:from>
    <xdr:to>
      <xdr:col>6</xdr:col>
      <xdr:colOff>428625</xdr:colOff>
      <xdr:row>292</xdr:row>
      <xdr:rowOff>47625</xdr:rowOff>
    </xdr:to>
    <xdr:sp macro="" textlink="">
      <xdr:nvSpPr>
        <xdr:cNvPr id="1372" name="Line 348">
          <a:extLst>
            <a:ext uri="{FF2B5EF4-FFF2-40B4-BE49-F238E27FC236}">
              <a16:creationId xmlns:a16="http://schemas.microsoft.com/office/drawing/2014/main" id="{00000000-0008-0000-0100-00005C050000}"/>
            </a:ext>
          </a:extLst>
        </xdr:cNvPr>
        <xdr:cNvSpPr>
          <a:spLocks noChangeShapeType="1"/>
        </xdr:cNvSpPr>
      </xdr:nvSpPr>
      <xdr:spPr bwMode="auto">
        <a:xfrm flipH="1" flipV="1">
          <a:off x="3438525" y="46510575"/>
          <a:ext cx="609600" cy="3810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9525</xdr:colOff>
      <xdr:row>290</xdr:row>
      <xdr:rowOff>104775</xdr:rowOff>
    </xdr:from>
    <xdr:to>
      <xdr:col>6</xdr:col>
      <xdr:colOff>95250</xdr:colOff>
      <xdr:row>292</xdr:row>
      <xdr:rowOff>47625</xdr:rowOff>
    </xdr:to>
    <xdr:sp macro="" textlink="">
      <xdr:nvSpPr>
        <xdr:cNvPr id="1373" name="Line 349">
          <a:extLst>
            <a:ext uri="{FF2B5EF4-FFF2-40B4-BE49-F238E27FC236}">
              <a16:creationId xmlns:a16="http://schemas.microsoft.com/office/drawing/2014/main" id="{00000000-0008-0000-0100-00005D050000}"/>
            </a:ext>
          </a:extLst>
        </xdr:cNvPr>
        <xdr:cNvSpPr>
          <a:spLocks noChangeShapeType="1"/>
        </xdr:cNvSpPr>
      </xdr:nvSpPr>
      <xdr:spPr bwMode="auto">
        <a:xfrm flipH="1" flipV="1">
          <a:off x="3629025" y="46624875"/>
          <a:ext cx="85725" cy="2667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257175</xdr:colOff>
      <xdr:row>229</xdr:row>
      <xdr:rowOff>0</xdr:rowOff>
    </xdr:from>
    <xdr:ext cx="76200" cy="200025"/>
    <xdr:sp macro="" textlink="">
      <xdr:nvSpPr>
        <xdr:cNvPr id="1375" name="Text Box 351">
          <a:extLst>
            <a:ext uri="{FF2B5EF4-FFF2-40B4-BE49-F238E27FC236}">
              <a16:creationId xmlns:a16="http://schemas.microsoft.com/office/drawing/2014/main" id="{00000000-0008-0000-0100-00005F050000}"/>
            </a:ext>
          </a:extLst>
        </xdr:cNvPr>
        <xdr:cNvSpPr txBox="1">
          <a:spLocks noChangeArrowheads="1"/>
        </xdr:cNvSpPr>
      </xdr:nvSpPr>
      <xdr:spPr bwMode="auto">
        <a:xfrm>
          <a:off x="9601200" y="36566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13</xdr:col>
      <xdr:colOff>400050</xdr:colOff>
      <xdr:row>230</xdr:row>
      <xdr:rowOff>0</xdr:rowOff>
    </xdr:from>
    <xdr:to>
      <xdr:col>14</xdr:col>
      <xdr:colOff>66673</xdr:colOff>
      <xdr:row>232</xdr:row>
      <xdr:rowOff>38100</xdr:rowOff>
    </xdr:to>
    <xdr:sp macro="" textlink="">
      <xdr:nvSpPr>
        <xdr:cNvPr id="1376" name="Text Box 352">
          <a:extLst>
            <a:ext uri="{FF2B5EF4-FFF2-40B4-BE49-F238E27FC236}">
              <a16:creationId xmlns:a16="http://schemas.microsoft.com/office/drawing/2014/main" id="{00000000-0008-0000-0100-000060050000}"/>
            </a:ext>
          </a:extLst>
        </xdr:cNvPr>
        <xdr:cNvSpPr txBox="1">
          <a:spLocks noChangeArrowheads="1"/>
        </xdr:cNvSpPr>
      </xdr:nvSpPr>
      <xdr:spPr bwMode="auto">
        <a:xfrm>
          <a:off x="9744075" y="367284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269</xdr:row>
      <xdr:rowOff>0</xdr:rowOff>
    </xdr:from>
    <xdr:ext cx="76200" cy="200025"/>
    <xdr:sp macro="" textlink="">
      <xdr:nvSpPr>
        <xdr:cNvPr id="1377" name="Text Box 353">
          <a:extLst>
            <a:ext uri="{FF2B5EF4-FFF2-40B4-BE49-F238E27FC236}">
              <a16:creationId xmlns:a16="http://schemas.microsoft.com/office/drawing/2014/main" id="{00000000-0008-0000-0100-000061050000}"/>
            </a:ext>
          </a:extLst>
        </xdr:cNvPr>
        <xdr:cNvSpPr txBox="1">
          <a:spLocks noChangeArrowheads="1"/>
        </xdr:cNvSpPr>
      </xdr:nvSpPr>
      <xdr:spPr bwMode="auto">
        <a:xfrm>
          <a:off x="3876675" y="431196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270</xdr:row>
      <xdr:rowOff>0</xdr:rowOff>
    </xdr:from>
    <xdr:to>
      <xdr:col>6</xdr:col>
      <xdr:colOff>838200</xdr:colOff>
      <xdr:row>271</xdr:row>
      <xdr:rowOff>38100</xdr:rowOff>
    </xdr:to>
    <xdr:sp macro="" textlink="">
      <xdr:nvSpPr>
        <xdr:cNvPr id="1378" name="Text Box 354">
          <a:extLst>
            <a:ext uri="{FF2B5EF4-FFF2-40B4-BE49-F238E27FC236}">
              <a16:creationId xmlns:a16="http://schemas.microsoft.com/office/drawing/2014/main" id="{00000000-0008-0000-0100-000062050000}"/>
            </a:ext>
          </a:extLst>
        </xdr:cNvPr>
        <xdr:cNvSpPr txBox="1">
          <a:spLocks noChangeArrowheads="1"/>
        </xdr:cNvSpPr>
      </xdr:nvSpPr>
      <xdr:spPr bwMode="auto">
        <a:xfrm>
          <a:off x="4019550" y="432816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270</xdr:row>
      <xdr:rowOff>19050</xdr:rowOff>
    </xdr:from>
    <xdr:to>
      <xdr:col>7</xdr:col>
      <xdr:colOff>533400</xdr:colOff>
      <xdr:row>271</xdr:row>
      <xdr:rowOff>19050</xdr:rowOff>
    </xdr:to>
    <xdr:sp macro="" textlink="">
      <xdr:nvSpPr>
        <xdr:cNvPr id="1379" name="Text Box 355">
          <a:extLst>
            <a:ext uri="{FF2B5EF4-FFF2-40B4-BE49-F238E27FC236}">
              <a16:creationId xmlns:a16="http://schemas.microsoft.com/office/drawing/2014/main" id="{00000000-0008-0000-0100-000063050000}"/>
            </a:ext>
          </a:extLst>
        </xdr:cNvPr>
        <xdr:cNvSpPr txBox="1">
          <a:spLocks noChangeArrowheads="1"/>
        </xdr:cNvSpPr>
      </xdr:nvSpPr>
      <xdr:spPr bwMode="auto">
        <a:xfrm>
          <a:off x="4781550" y="433006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1" u="none" strike="noStrike" baseline="0">
              <a:solidFill>
                <a:srgbClr val="000000"/>
              </a:solidFill>
              <a:latin typeface="Arial"/>
              <a:cs typeface="Arial"/>
            </a:rPr>
            <a:t>cm</a:t>
          </a:r>
        </a:p>
      </xdr:txBody>
    </xdr:sp>
    <xdr:clientData/>
  </xdr:twoCellAnchor>
  <xdr:oneCellAnchor>
    <xdr:from>
      <xdr:col>6</xdr:col>
      <xdr:colOff>257175</xdr:colOff>
      <xdr:row>282</xdr:row>
      <xdr:rowOff>0</xdr:rowOff>
    </xdr:from>
    <xdr:ext cx="76200" cy="200025"/>
    <xdr:sp macro="" textlink="">
      <xdr:nvSpPr>
        <xdr:cNvPr id="1380" name="Text Box 356">
          <a:extLst>
            <a:ext uri="{FF2B5EF4-FFF2-40B4-BE49-F238E27FC236}">
              <a16:creationId xmlns:a16="http://schemas.microsoft.com/office/drawing/2014/main" id="{00000000-0008-0000-0100-000064050000}"/>
            </a:ext>
          </a:extLst>
        </xdr:cNvPr>
        <xdr:cNvSpPr txBox="1">
          <a:spLocks noChangeArrowheads="1"/>
        </xdr:cNvSpPr>
      </xdr:nvSpPr>
      <xdr:spPr bwMode="auto">
        <a:xfrm>
          <a:off x="3876675" y="452247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283</xdr:row>
      <xdr:rowOff>0</xdr:rowOff>
    </xdr:from>
    <xdr:to>
      <xdr:col>6</xdr:col>
      <xdr:colOff>838200</xdr:colOff>
      <xdr:row>284</xdr:row>
      <xdr:rowOff>38099</xdr:rowOff>
    </xdr:to>
    <xdr:sp macro="" textlink="">
      <xdr:nvSpPr>
        <xdr:cNvPr id="1381" name="Text Box 357">
          <a:extLst>
            <a:ext uri="{FF2B5EF4-FFF2-40B4-BE49-F238E27FC236}">
              <a16:creationId xmlns:a16="http://schemas.microsoft.com/office/drawing/2014/main" id="{00000000-0008-0000-0100-000065050000}"/>
            </a:ext>
          </a:extLst>
        </xdr:cNvPr>
        <xdr:cNvSpPr txBox="1">
          <a:spLocks noChangeArrowheads="1"/>
        </xdr:cNvSpPr>
      </xdr:nvSpPr>
      <xdr:spPr bwMode="auto">
        <a:xfrm>
          <a:off x="4019550" y="4538662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283</xdr:row>
      <xdr:rowOff>19050</xdr:rowOff>
    </xdr:from>
    <xdr:to>
      <xdr:col>7</xdr:col>
      <xdr:colOff>533400</xdr:colOff>
      <xdr:row>284</xdr:row>
      <xdr:rowOff>19049</xdr:rowOff>
    </xdr:to>
    <xdr:sp macro="" textlink="">
      <xdr:nvSpPr>
        <xdr:cNvPr id="1382" name="Text Box 358">
          <a:extLst>
            <a:ext uri="{FF2B5EF4-FFF2-40B4-BE49-F238E27FC236}">
              <a16:creationId xmlns:a16="http://schemas.microsoft.com/office/drawing/2014/main" id="{00000000-0008-0000-0100-000066050000}"/>
            </a:ext>
          </a:extLst>
        </xdr:cNvPr>
        <xdr:cNvSpPr txBox="1">
          <a:spLocks noChangeArrowheads="1"/>
        </xdr:cNvSpPr>
      </xdr:nvSpPr>
      <xdr:spPr bwMode="auto">
        <a:xfrm>
          <a:off x="4781550" y="4540567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273</xdr:row>
      <xdr:rowOff>0</xdr:rowOff>
    </xdr:from>
    <xdr:ext cx="76200" cy="200025"/>
    <xdr:sp macro="" textlink="">
      <xdr:nvSpPr>
        <xdr:cNvPr id="1383" name="Text Box 359">
          <a:extLst>
            <a:ext uri="{FF2B5EF4-FFF2-40B4-BE49-F238E27FC236}">
              <a16:creationId xmlns:a16="http://schemas.microsoft.com/office/drawing/2014/main" id="{00000000-0008-0000-0100-000067050000}"/>
            </a:ext>
          </a:extLst>
        </xdr:cNvPr>
        <xdr:cNvSpPr txBox="1">
          <a:spLocks noChangeArrowheads="1"/>
        </xdr:cNvSpPr>
      </xdr:nvSpPr>
      <xdr:spPr bwMode="auto">
        <a:xfrm>
          <a:off x="1266825" y="437673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274</xdr:row>
      <xdr:rowOff>0</xdr:rowOff>
    </xdr:from>
    <xdr:to>
      <xdr:col>3</xdr:col>
      <xdr:colOff>57150</xdr:colOff>
      <xdr:row>275</xdr:row>
      <xdr:rowOff>38099</xdr:rowOff>
    </xdr:to>
    <xdr:sp macro="" textlink="">
      <xdr:nvSpPr>
        <xdr:cNvPr id="1384" name="Text Box 360">
          <a:extLst>
            <a:ext uri="{FF2B5EF4-FFF2-40B4-BE49-F238E27FC236}">
              <a16:creationId xmlns:a16="http://schemas.microsoft.com/office/drawing/2014/main" id="{00000000-0008-0000-0100-000068050000}"/>
            </a:ext>
          </a:extLst>
        </xdr:cNvPr>
        <xdr:cNvSpPr txBox="1">
          <a:spLocks noChangeArrowheads="1"/>
        </xdr:cNvSpPr>
      </xdr:nvSpPr>
      <xdr:spPr bwMode="auto">
        <a:xfrm>
          <a:off x="1409700" y="439293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274</xdr:row>
      <xdr:rowOff>19050</xdr:rowOff>
    </xdr:from>
    <xdr:to>
      <xdr:col>4</xdr:col>
      <xdr:colOff>28576</xdr:colOff>
      <xdr:row>275</xdr:row>
      <xdr:rowOff>19049</xdr:rowOff>
    </xdr:to>
    <xdr:sp macro="" textlink="">
      <xdr:nvSpPr>
        <xdr:cNvPr id="1385" name="Text Box 361">
          <a:extLst>
            <a:ext uri="{FF2B5EF4-FFF2-40B4-BE49-F238E27FC236}">
              <a16:creationId xmlns:a16="http://schemas.microsoft.com/office/drawing/2014/main" id="{00000000-0008-0000-0100-000069050000}"/>
            </a:ext>
          </a:extLst>
        </xdr:cNvPr>
        <xdr:cNvSpPr txBox="1">
          <a:spLocks noChangeArrowheads="1"/>
        </xdr:cNvSpPr>
      </xdr:nvSpPr>
      <xdr:spPr bwMode="auto">
        <a:xfrm>
          <a:off x="2047875" y="439483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1" u="none" strike="noStrike" baseline="0">
              <a:solidFill>
                <a:srgbClr val="000000"/>
              </a:solidFill>
              <a:latin typeface="Arial"/>
              <a:cs typeface="Arial"/>
            </a:rPr>
            <a:t>cm</a:t>
          </a:r>
        </a:p>
      </xdr:txBody>
    </xdr:sp>
    <xdr:clientData/>
  </xdr:twoCellAnchor>
  <xdr:oneCellAnchor>
    <xdr:from>
      <xdr:col>2</xdr:col>
      <xdr:colOff>257175</xdr:colOff>
      <xdr:row>282</xdr:row>
      <xdr:rowOff>0</xdr:rowOff>
    </xdr:from>
    <xdr:ext cx="76200" cy="200025"/>
    <xdr:sp macro="" textlink="">
      <xdr:nvSpPr>
        <xdr:cNvPr id="1386" name="Text Box 362">
          <a:extLst>
            <a:ext uri="{FF2B5EF4-FFF2-40B4-BE49-F238E27FC236}">
              <a16:creationId xmlns:a16="http://schemas.microsoft.com/office/drawing/2014/main" id="{00000000-0008-0000-0100-00006A050000}"/>
            </a:ext>
          </a:extLst>
        </xdr:cNvPr>
        <xdr:cNvSpPr txBox="1">
          <a:spLocks noChangeArrowheads="1"/>
        </xdr:cNvSpPr>
      </xdr:nvSpPr>
      <xdr:spPr bwMode="auto">
        <a:xfrm>
          <a:off x="1266825" y="452247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283</xdr:row>
      <xdr:rowOff>0</xdr:rowOff>
    </xdr:from>
    <xdr:to>
      <xdr:col>3</xdr:col>
      <xdr:colOff>57150</xdr:colOff>
      <xdr:row>284</xdr:row>
      <xdr:rowOff>38099</xdr:rowOff>
    </xdr:to>
    <xdr:sp macro="" textlink="">
      <xdr:nvSpPr>
        <xdr:cNvPr id="1387" name="Text Box 363">
          <a:extLst>
            <a:ext uri="{FF2B5EF4-FFF2-40B4-BE49-F238E27FC236}">
              <a16:creationId xmlns:a16="http://schemas.microsoft.com/office/drawing/2014/main" id="{00000000-0008-0000-0100-00006B050000}"/>
            </a:ext>
          </a:extLst>
        </xdr:cNvPr>
        <xdr:cNvSpPr txBox="1">
          <a:spLocks noChangeArrowheads="1"/>
        </xdr:cNvSpPr>
      </xdr:nvSpPr>
      <xdr:spPr bwMode="auto">
        <a:xfrm>
          <a:off x="1409700" y="4538662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283</xdr:row>
      <xdr:rowOff>19050</xdr:rowOff>
    </xdr:from>
    <xdr:to>
      <xdr:col>4</xdr:col>
      <xdr:colOff>28576</xdr:colOff>
      <xdr:row>284</xdr:row>
      <xdr:rowOff>19049</xdr:rowOff>
    </xdr:to>
    <xdr:sp macro="" textlink="">
      <xdr:nvSpPr>
        <xdr:cNvPr id="1388" name="Text Box 364">
          <a:extLst>
            <a:ext uri="{FF2B5EF4-FFF2-40B4-BE49-F238E27FC236}">
              <a16:creationId xmlns:a16="http://schemas.microsoft.com/office/drawing/2014/main" id="{00000000-0008-0000-0100-00006C050000}"/>
            </a:ext>
          </a:extLst>
        </xdr:cNvPr>
        <xdr:cNvSpPr txBox="1">
          <a:spLocks noChangeArrowheads="1"/>
        </xdr:cNvSpPr>
      </xdr:nvSpPr>
      <xdr:spPr bwMode="auto">
        <a:xfrm>
          <a:off x="2047875" y="4540567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287</xdr:row>
      <xdr:rowOff>0</xdr:rowOff>
    </xdr:from>
    <xdr:ext cx="76200" cy="200025"/>
    <xdr:sp macro="" textlink="">
      <xdr:nvSpPr>
        <xdr:cNvPr id="1389" name="Text Box 365">
          <a:extLst>
            <a:ext uri="{FF2B5EF4-FFF2-40B4-BE49-F238E27FC236}">
              <a16:creationId xmlns:a16="http://schemas.microsoft.com/office/drawing/2014/main" id="{00000000-0008-0000-0100-00006D050000}"/>
            </a:ext>
          </a:extLst>
        </xdr:cNvPr>
        <xdr:cNvSpPr txBox="1">
          <a:spLocks noChangeArrowheads="1"/>
        </xdr:cNvSpPr>
      </xdr:nvSpPr>
      <xdr:spPr bwMode="auto">
        <a:xfrm>
          <a:off x="1266825" y="460343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288</xdr:row>
      <xdr:rowOff>0</xdr:rowOff>
    </xdr:from>
    <xdr:to>
      <xdr:col>3</xdr:col>
      <xdr:colOff>57150</xdr:colOff>
      <xdr:row>289</xdr:row>
      <xdr:rowOff>38100</xdr:rowOff>
    </xdr:to>
    <xdr:sp macro="" textlink="">
      <xdr:nvSpPr>
        <xdr:cNvPr id="1390" name="Text Box 366">
          <a:extLst>
            <a:ext uri="{FF2B5EF4-FFF2-40B4-BE49-F238E27FC236}">
              <a16:creationId xmlns:a16="http://schemas.microsoft.com/office/drawing/2014/main" id="{00000000-0008-0000-0100-00006E050000}"/>
            </a:ext>
          </a:extLst>
        </xdr:cNvPr>
        <xdr:cNvSpPr txBox="1">
          <a:spLocks noChangeArrowheads="1"/>
        </xdr:cNvSpPr>
      </xdr:nvSpPr>
      <xdr:spPr bwMode="auto">
        <a:xfrm>
          <a:off x="1409700" y="4619625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288</xdr:row>
      <xdr:rowOff>19050</xdr:rowOff>
    </xdr:from>
    <xdr:to>
      <xdr:col>4</xdr:col>
      <xdr:colOff>28576</xdr:colOff>
      <xdr:row>289</xdr:row>
      <xdr:rowOff>19050</xdr:rowOff>
    </xdr:to>
    <xdr:sp macro="" textlink="">
      <xdr:nvSpPr>
        <xdr:cNvPr id="1391" name="Text Box 367">
          <a:extLst>
            <a:ext uri="{FF2B5EF4-FFF2-40B4-BE49-F238E27FC236}">
              <a16:creationId xmlns:a16="http://schemas.microsoft.com/office/drawing/2014/main" id="{00000000-0008-0000-0100-00006F050000}"/>
            </a:ext>
          </a:extLst>
        </xdr:cNvPr>
        <xdr:cNvSpPr txBox="1">
          <a:spLocks noChangeArrowheads="1"/>
        </xdr:cNvSpPr>
      </xdr:nvSpPr>
      <xdr:spPr bwMode="auto">
        <a:xfrm>
          <a:off x="2047875" y="4621530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297</xdr:row>
      <xdr:rowOff>0</xdr:rowOff>
    </xdr:from>
    <xdr:ext cx="76200" cy="200025"/>
    <xdr:sp macro="" textlink="">
      <xdr:nvSpPr>
        <xdr:cNvPr id="1392" name="Text Box 368">
          <a:extLst>
            <a:ext uri="{FF2B5EF4-FFF2-40B4-BE49-F238E27FC236}">
              <a16:creationId xmlns:a16="http://schemas.microsoft.com/office/drawing/2014/main" id="{00000000-0008-0000-0100-000070050000}"/>
            </a:ext>
          </a:extLst>
        </xdr:cNvPr>
        <xdr:cNvSpPr txBox="1">
          <a:spLocks noChangeArrowheads="1"/>
        </xdr:cNvSpPr>
      </xdr:nvSpPr>
      <xdr:spPr bwMode="auto">
        <a:xfrm>
          <a:off x="1266825" y="47653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298</xdr:row>
      <xdr:rowOff>0</xdr:rowOff>
    </xdr:from>
    <xdr:to>
      <xdr:col>3</xdr:col>
      <xdr:colOff>57150</xdr:colOff>
      <xdr:row>299</xdr:row>
      <xdr:rowOff>38101</xdr:rowOff>
    </xdr:to>
    <xdr:sp macro="" textlink="">
      <xdr:nvSpPr>
        <xdr:cNvPr id="1393" name="Text Box 369">
          <a:extLst>
            <a:ext uri="{FF2B5EF4-FFF2-40B4-BE49-F238E27FC236}">
              <a16:creationId xmlns:a16="http://schemas.microsoft.com/office/drawing/2014/main" id="{00000000-0008-0000-0100-000071050000}"/>
            </a:ext>
          </a:extLst>
        </xdr:cNvPr>
        <xdr:cNvSpPr txBox="1">
          <a:spLocks noChangeArrowheads="1"/>
        </xdr:cNvSpPr>
      </xdr:nvSpPr>
      <xdr:spPr bwMode="auto">
        <a:xfrm>
          <a:off x="1409700" y="478155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298</xdr:row>
      <xdr:rowOff>19050</xdr:rowOff>
    </xdr:from>
    <xdr:to>
      <xdr:col>4</xdr:col>
      <xdr:colOff>28576</xdr:colOff>
      <xdr:row>299</xdr:row>
      <xdr:rowOff>19051</xdr:rowOff>
    </xdr:to>
    <xdr:sp macro="" textlink="">
      <xdr:nvSpPr>
        <xdr:cNvPr id="1394" name="Text Box 370">
          <a:extLst>
            <a:ext uri="{FF2B5EF4-FFF2-40B4-BE49-F238E27FC236}">
              <a16:creationId xmlns:a16="http://schemas.microsoft.com/office/drawing/2014/main" id="{00000000-0008-0000-0100-000072050000}"/>
            </a:ext>
          </a:extLst>
        </xdr:cNvPr>
        <xdr:cNvSpPr txBox="1">
          <a:spLocks noChangeArrowheads="1"/>
        </xdr:cNvSpPr>
      </xdr:nvSpPr>
      <xdr:spPr bwMode="auto">
        <a:xfrm>
          <a:off x="2047875" y="478345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6</xdr:col>
      <xdr:colOff>257175</xdr:colOff>
      <xdr:row>288</xdr:row>
      <xdr:rowOff>0</xdr:rowOff>
    </xdr:from>
    <xdr:ext cx="76200" cy="200025"/>
    <xdr:sp macro="" textlink="">
      <xdr:nvSpPr>
        <xdr:cNvPr id="1395" name="Text Box 371">
          <a:extLst>
            <a:ext uri="{FF2B5EF4-FFF2-40B4-BE49-F238E27FC236}">
              <a16:creationId xmlns:a16="http://schemas.microsoft.com/office/drawing/2014/main" id="{00000000-0008-0000-0100-000073050000}"/>
            </a:ext>
          </a:extLst>
        </xdr:cNvPr>
        <xdr:cNvSpPr txBox="1">
          <a:spLocks noChangeArrowheads="1"/>
        </xdr:cNvSpPr>
      </xdr:nvSpPr>
      <xdr:spPr bwMode="auto">
        <a:xfrm>
          <a:off x="3876675" y="461962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289</xdr:row>
      <xdr:rowOff>0</xdr:rowOff>
    </xdr:from>
    <xdr:to>
      <xdr:col>6</xdr:col>
      <xdr:colOff>838200</xdr:colOff>
      <xdr:row>290</xdr:row>
      <xdr:rowOff>38100</xdr:rowOff>
    </xdr:to>
    <xdr:sp macro="" textlink="">
      <xdr:nvSpPr>
        <xdr:cNvPr id="1396" name="Text Box 372">
          <a:extLst>
            <a:ext uri="{FF2B5EF4-FFF2-40B4-BE49-F238E27FC236}">
              <a16:creationId xmlns:a16="http://schemas.microsoft.com/office/drawing/2014/main" id="{00000000-0008-0000-0100-000074050000}"/>
            </a:ext>
          </a:extLst>
        </xdr:cNvPr>
        <xdr:cNvSpPr txBox="1">
          <a:spLocks noChangeArrowheads="1"/>
        </xdr:cNvSpPr>
      </xdr:nvSpPr>
      <xdr:spPr bwMode="auto">
        <a:xfrm>
          <a:off x="4019550" y="4635817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289</xdr:row>
      <xdr:rowOff>19050</xdr:rowOff>
    </xdr:from>
    <xdr:to>
      <xdr:col>7</xdr:col>
      <xdr:colOff>533400</xdr:colOff>
      <xdr:row>290</xdr:row>
      <xdr:rowOff>19050</xdr:rowOff>
    </xdr:to>
    <xdr:sp macro="" textlink="">
      <xdr:nvSpPr>
        <xdr:cNvPr id="1397" name="Text Box 373">
          <a:extLst>
            <a:ext uri="{FF2B5EF4-FFF2-40B4-BE49-F238E27FC236}">
              <a16:creationId xmlns:a16="http://schemas.microsoft.com/office/drawing/2014/main" id="{00000000-0008-0000-0100-000075050000}"/>
            </a:ext>
          </a:extLst>
        </xdr:cNvPr>
        <xdr:cNvSpPr txBox="1">
          <a:spLocks noChangeArrowheads="1"/>
        </xdr:cNvSpPr>
      </xdr:nvSpPr>
      <xdr:spPr bwMode="auto">
        <a:xfrm>
          <a:off x="4781550" y="4637722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6</xdr:col>
      <xdr:colOff>257175</xdr:colOff>
      <xdr:row>297</xdr:row>
      <xdr:rowOff>0</xdr:rowOff>
    </xdr:from>
    <xdr:ext cx="76200" cy="200025"/>
    <xdr:sp macro="" textlink="">
      <xdr:nvSpPr>
        <xdr:cNvPr id="1398" name="Text Box 374">
          <a:extLst>
            <a:ext uri="{FF2B5EF4-FFF2-40B4-BE49-F238E27FC236}">
              <a16:creationId xmlns:a16="http://schemas.microsoft.com/office/drawing/2014/main" id="{00000000-0008-0000-0100-000076050000}"/>
            </a:ext>
          </a:extLst>
        </xdr:cNvPr>
        <xdr:cNvSpPr txBox="1">
          <a:spLocks noChangeArrowheads="1"/>
        </xdr:cNvSpPr>
      </xdr:nvSpPr>
      <xdr:spPr bwMode="auto">
        <a:xfrm>
          <a:off x="3876675" y="47653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298</xdr:row>
      <xdr:rowOff>0</xdr:rowOff>
    </xdr:from>
    <xdr:to>
      <xdr:col>6</xdr:col>
      <xdr:colOff>838200</xdr:colOff>
      <xdr:row>299</xdr:row>
      <xdr:rowOff>38101</xdr:rowOff>
    </xdr:to>
    <xdr:sp macro="" textlink="">
      <xdr:nvSpPr>
        <xdr:cNvPr id="1399" name="Text Box 375">
          <a:extLst>
            <a:ext uri="{FF2B5EF4-FFF2-40B4-BE49-F238E27FC236}">
              <a16:creationId xmlns:a16="http://schemas.microsoft.com/office/drawing/2014/main" id="{00000000-0008-0000-0100-000077050000}"/>
            </a:ext>
          </a:extLst>
        </xdr:cNvPr>
        <xdr:cNvSpPr txBox="1">
          <a:spLocks noChangeArrowheads="1"/>
        </xdr:cNvSpPr>
      </xdr:nvSpPr>
      <xdr:spPr bwMode="auto">
        <a:xfrm>
          <a:off x="4019550" y="478155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298</xdr:row>
      <xdr:rowOff>19050</xdr:rowOff>
    </xdr:from>
    <xdr:to>
      <xdr:col>7</xdr:col>
      <xdr:colOff>533400</xdr:colOff>
      <xdr:row>299</xdr:row>
      <xdr:rowOff>19051</xdr:rowOff>
    </xdr:to>
    <xdr:sp macro="" textlink="">
      <xdr:nvSpPr>
        <xdr:cNvPr id="1400" name="Text Box 376">
          <a:extLst>
            <a:ext uri="{FF2B5EF4-FFF2-40B4-BE49-F238E27FC236}">
              <a16:creationId xmlns:a16="http://schemas.microsoft.com/office/drawing/2014/main" id="{00000000-0008-0000-0100-000078050000}"/>
            </a:ext>
          </a:extLst>
        </xdr:cNvPr>
        <xdr:cNvSpPr txBox="1">
          <a:spLocks noChangeArrowheads="1"/>
        </xdr:cNvSpPr>
      </xdr:nvSpPr>
      <xdr:spPr bwMode="auto">
        <a:xfrm>
          <a:off x="4781550" y="478345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twoCellAnchor>
    <xdr:from>
      <xdr:col>2</xdr:col>
      <xdr:colOff>200025</xdr:colOff>
      <xdr:row>32</xdr:row>
      <xdr:rowOff>9525</xdr:rowOff>
    </xdr:from>
    <xdr:to>
      <xdr:col>2</xdr:col>
      <xdr:colOff>200025</xdr:colOff>
      <xdr:row>33</xdr:row>
      <xdr:rowOff>0</xdr:rowOff>
    </xdr:to>
    <xdr:sp macro="" textlink="">
      <xdr:nvSpPr>
        <xdr:cNvPr id="1417" name="Line 393">
          <a:extLst>
            <a:ext uri="{FF2B5EF4-FFF2-40B4-BE49-F238E27FC236}">
              <a16:creationId xmlns:a16="http://schemas.microsoft.com/office/drawing/2014/main" id="{00000000-0008-0000-0100-000089050000}"/>
            </a:ext>
          </a:extLst>
        </xdr:cNvPr>
        <xdr:cNvSpPr>
          <a:spLocks noChangeShapeType="1"/>
        </xdr:cNvSpPr>
      </xdr:nvSpPr>
      <xdr:spPr bwMode="auto">
        <a:xfrm>
          <a:off x="1209675" y="4314825"/>
          <a:ext cx="0" cy="152400"/>
        </a:xfrm>
        <a:prstGeom prst="line">
          <a:avLst/>
        </a:prstGeom>
        <a:noFill/>
        <a:ln w="3175">
          <a:solidFill>
            <a:srgbClr xmlns:mc="http://schemas.openxmlformats.org/markup-compatibility/2006" xmlns:a14="http://schemas.microsoft.com/office/drawing/2010/main" val="0000FF" mc:Ignorable="a14" a14:legacySpreadsheetColorIndex="12"/>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20</xdr:row>
      <xdr:rowOff>19050</xdr:rowOff>
    </xdr:from>
    <xdr:to>
      <xdr:col>4</xdr:col>
      <xdr:colOff>0</xdr:colOff>
      <xdr:row>30</xdr:row>
      <xdr:rowOff>161925</xdr:rowOff>
    </xdr:to>
    <xdr:sp macro="" textlink="">
      <xdr:nvSpPr>
        <xdr:cNvPr id="1421" name="Line 397">
          <a:extLst>
            <a:ext uri="{FF2B5EF4-FFF2-40B4-BE49-F238E27FC236}">
              <a16:creationId xmlns:a16="http://schemas.microsoft.com/office/drawing/2014/main" id="{00000000-0008-0000-0100-00008D050000}"/>
            </a:ext>
          </a:extLst>
        </xdr:cNvPr>
        <xdr:cNvSpPr>
          <a:spLocks noChangeShapeType="1"/>
        </xdr:cNvSpPr>
      </xdr:nvSpPr>
      <xdr:spPr bwMode="auto">
        <a:xfrm>
          <a:off x="2295525" y="2085975"/>
          <a:ext cx="0" cy="2038350"/>
        </a:xfrm>
        <a:prstGeom prst="line">
          <a:avLst/>
        </a:prstGeom>
        <a:noFill/>
        <a:ln w="12700">
          <a:solidFill>
            <a:srgbClr xmlns:mc="http://schemas.openxmlformats.org/markup-compatibility/2006" xmlns:a14="http://schemas.microsoft.com/office/drawing/2010/main" val="008000" mc:Ignorable="a14" a14:legacySpreadsheetColorIndex="1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247650</xdr:colOff>
      <xdr:row>20</xdr:row>
      <xdr:rowOff>0</xdr:rowOff>
    </xdr:from>
    <xdr:to>
      <xdr:col>4</xdr:col>
      <xdr:colOff>762000</xdr:colOff>
      <xdr:row>31</xdr:row>
      <xdr:rowOff>161925</xdr:rowOff>
    </xdr:to>
    <xdr:sp macro="" textlink="">
      <xdr:nvSpPr>
        <xdr:cNvPr id="1422" name="Line 398">
          <a:extLst>
            <a:ext uri="{FF2B5EF4-FFF2-40B4-BE49-F238E27FC236}">
              <a16:creationId xmlns:a16="http://schemas.microsoft.com/office/drawing/2014/main" id="{00000000-0008-0000-0100-00008E050000}"/>
            </a:ext>
          </a:extLst>
        </xdr:cNvPr>
        <xdr:cNvSpPr>
          <a:spLocks noChangeShapeType="1"/>
        </xdr:cNvSpPr>
      </xdr:nvSpPr>
      <xdr:spPr bwMode="auto">
        <a:xfrm flipH="1" flipV="1">
          <a:off x="2543175" y="2066925"/>
          <a:ext cx="514350" cy="22288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21</xdr:row>
      <xdr:rowOff>0</xdr:rowOff>
    </xdr:from>
    <xdr:to>
      <xdr:col>4</xdr:col>
      <xdr:colOff>276225</xdr:colOff>
      <xdr:row>21</xdr:row>
      <xdr:rowOff>0</xdr:rowOff>
    </xdr:to>
    <xdr:sp macro="" textlink="">
      <xdr:nvSpPr>
        <xdr:cNvPr id="1423" name="Line 399">
          <a:extLst>
            <a:ext uri="{FF2B5EF4-FFF2-40B4-BE49-F238E27FC236}">
              <a16:creationId xmlns:a16="http://schemas.microsoft.com/office/drawing/2014/main" id="{00000000-0008-0000-0100-00008F050000}"/>
            </a:ext>
          </a:extLst>
        </xdr:cNvPr>
        <xdr:cNvSpPr>
          <a:spLocks noChangeShapeType="1"/>
        </xdr:cNvSpPr>
      </xdr:nvSpPr>
      <xdr:spPr bwMode="auto">
        <a:xfrm flipH="1">
          <a:off x="2314575" y="2228850"/>
          <a:ext cx="2571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21</xdr:row>
      <xdr:rowOff>152400</xdr:rowOff>
    </xdr:from>
    <xdr:to>
      <xdr:col>4</xdr:col>
      <xdr:colOff>323850</xdr:colOff>
      <xdr:row>21</xdr:row>
      <xdr:rowOff>152400</xdr:rowOff>
    </xdr:to>
    <xdr:sp macro="" textlink="">
      <xdr:nvSpPr>
        <xdr:cNvPr id="1424" name="Line 400">
          <a:extLst>
            <a:ext uri="{FF2B5EF4-FFF2-40B4-BE49-F238E27FC236}">
              <a16:creationId xmlns:a16="http://schemas.microsoft.com/office/drawing/2014/main" id="{00000000-0008-0000-0100-000090050000}"/>
            </a:ext>
          </a:extLst>
        </xdr:cNvPr>
        <xdr:cNvSpPr>
          <a:spLocks noChangeShapeType="1"/>
        </xdr:cNvSpPr>
      </xdr:nvSpPr>
      <xdr:spPr bwMode="auto">
        <a:xfrm flipH="1">
          <a:off x="2314575" y="2381250"/>
          <a:ext cx="3048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22</xdr:row>
      <xdr:rowOff>133350</xdr:rowOff>
    </xdr:from>
    <xdr:to>
      <xdr:col>4</xdr:col>
      <xdr:colOff>333375</xdr:colOff>
      <xdr:row>22</xdr:row>
      <xdr:rowOff>133350</xdr:rowOff>
    </xdr:to>
    <xdr:sp macro="" textlink="">
      <xdr:nvSpPr>
        <xdr:cNvPr id="1425" name="Line 401">
          <a:extLst>
            <a:ext uri="{FF2B5EF4-FFF2-40B4-BE49-F238E27FC236}">
              <a16:creationId xmlns:a16="http://schemas.microsoft.com/office/drawing/2014/main" id="{00000000-0008-0000-0100-000091050000}"/>
            </a:ext>
          </a:extLst>
        </xdr:cNvPr>
        <xdr:cNvSpPr>
          <a:spLocks noChangeShapeType="1"/>
        </xdr:cNvSpPr>
      </xdr:nvSpPr>
      <xdr:spPr bwMode="auto">
        <a:xfrm flipH="1">
          <a:off x="2305050" y="2524125"/>
          <a:ext cx="3238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23</xdr:row>
      <xdr:rowOff>152400</xdr:rowOff>
    </xdr:from>
    <xdr:to>
      <xdr:col>4</xdr:col>
      <xdr:colOff>381000</xdr:colOff>
      <xdr:row>23</xdr:row>
      <xdr:rowOff>152400</xdr:rowOff>
    </xdr:to>
    <xdr:sp macro="" textlink="">
      <xdr:nvSpPr>
        <xdr:cNvPr id="1426" name="Line 402">
          <a:extLst>
            <a:ext uri="{FF2B5EF4-FFF2-40B4-BE49-F238E27FC236}">
              <a16:creationId xmlns:a16="http://schemas.microsoft.com/office/drawing/2014/main" id="{00000000-0008-0000-0100-000092050000}"/>
            </a:ext>
          </a:extLst>
        </xdr:cNvPr>
        <xdr:cNvSpPr>
          <a:spLocks noChangeShapeType="1"/>
        </xdr:cNvSpPr>
      </xdr:nvSpPr>
      <xdr:spPr bwMode="auto">
        <a:xfrm flipH="1">
          <a:off x="2305050" y="2705100"/>
          <a:ext cx="3714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31</xdr:row>
      <xdr:rowOff>0</xdr:rowOff>
    </xdr:from>
    <xdr:to>
      <xdr:col>4</xdr:col>
      <xdr:colOff>714375</xdr:colOff>
      <xdr:row>31</xdr:row>
      <xdr:rowOff>0</xdr:rowOff>
    </xdr:to>
    <xdr:sp macro="" textlink="">
      <xdr:nvSpPr>
        <xdr:cNvPr id="1427" name="Line 403">
          <a:extLst>
            <a:ext uri="{FF2B5EF4-FFF2-40B4-BE49-F238E27FC236}">
              <a16:creationId xmlns:a16="http://schemas.microsoft.com/office/drawing/2014/main" id="{00000000-0008-0000-0100-000093050000}"/>
            </a:ext>
          </a:extLst>
        </xdr:cNvPr>
        <xdr:cNvSpPr>
          <a:spLocks noChangeShapeType="1"/>
        </xdr:cNvSpPr>
      </xdr:nvSpPr>
      <xdr:spPr bwMode="auto">
        <a:xfrm flipH="1">
          <a:off x="2305050" y="4133850"/>
          <a:ext cx="7048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30</xdr:row>
      <xdr:rowOff>0</xdr:rowOff>
    </xdr:from>
    <xdr:to>
      <xdr:col>4</xdr:col>
      <xdr:colOff>676275</xdr:colOff>
      <xdr:row>30</xdr:row>
      <xdr:rowOff>0</xdr:rowOff>
    </xdr:to>
    <xdr:sp macro="" textlink="">
      <xdr:nvSpPr>
        <xdr:cNvPr id="1428" name="Line 404">
          <a:extLst>
            <a:ext uri="{FF2B5EF4-FFF2-40B4-BE49-F238E27FC236}">
              <a16:creationId xmlns:a16="http://schemas.microsoft.com/office/drawing/2014/main" id="{00000000-0008-0000-0100-000094050000}"/>
            </a:ext>
          </a:extLst>
        </xdr:cNvPr>
        <xdr:cNvSpPr>
          <a:spLocks noChangeShapeType="1"/>
        </xdr:cNvSpPr>
      </xdr:nvSpPr>
      <xdr:spPr bwMode="auto">
        <a:xfrm flipH="1">
          <a:off x="2305050" y="3962400"/>
          <a:ext cx="6667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28</xdr:row>
      <xdr:rowOff>152400</xdr:rowOff>
    </xdr:from>
    <xdr:to>
      <xdr:col>4</xdr:col>
      <xdr:colOff>638175</xdr:colOff>
      <xdr:row>28</xdr:row>
      <xdr:rowOff>152400</xdr:rowOff>
    </xdr:to>
    <xdr:sp macro="" textlink="">
      <xdr:nvSpPr>
        <xdr:cNvPr id="1429" name="Line 405">
          <a:extLst>
            <a:ext uri="{FF2B5EF4-FFF2-40B4-BE49-F238E27FC236}">
              <a16:creationId xmlns:a16="http://schemas.microsoft.com/office/drawing/2014/main" id="{00000000-0008-0000-0100-000095050000}"/>
            </a:ext>
          </a:extLst>
        </xdr:cNvPr>
        <xdr:cNvSpPr>
          <a:spLocks noChangeShapeType="1"/>
        </xdr:cNvSpPr>
      </xdr:nvSpPr>
      <xdr:spPr bwMode="auto">
        <a:xfrm flipH="1">
          <a:off x="2295525" y="3790950"/>
          <a:ext cx="6381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27</xdr:row>
      <xdr:rowOff>200025</xdr:rowOff>
    </xdr:from>
    <xdr:to>
      <xdr:col>4</xdr:col>
      <xdr:colOff>609600</xdr:colOff>
      <xdr:row>27</xdr:row>
      <xdr:rowOff>200025</xdr:rowOff>
    </xdr:to>
    <xdr:sp macro="" textlink="">
      <xdr:nvSpPr>
        <xdr:cNvPr id="1430" name="Line 406">
          <a:extLst>
            <a:ext uri="{FF2B5EF4-FFF2-40B4-BE49-F238E27FC236}">
              <a16:creationId xmlns:a16="http://schemas.microsoft.com/office/drawing/2014/main" id="{00000000-0008-0000-0100-000096050000}"/>
            </a:ext>
          </a:extLst>
        </xdr:cNvPr>
        <xdr:cNvSpPr>
          <a:spLocks noChangeShapeType="1"/>
        </xdr:cNvSpPr>
      </xdr:nvSpPr>
      <xdr:spPr bwMode="auto">
        <a:xfrm flipH="1">
          <a:off x="2305050" y="3629025"/>
          <a:ext cx="6000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26</xdr:row>
      <xdr:rowOff>219075</xdr:rowOff>
    </xdr:from>
    <xdr:to>
      <xdr:col>4</xdr:col>
      <xdr:colOff>542925</xdr:colOff>
      <xdr:row>26</xdr:row>
      <xdr:rowOff>219075</xdr:rowOff>
    </xdr:to>
    <xdr:sp macro="" textlink="">
      <xdr:nvSpPr>
        <xdr:cNvPr id="1431" name="Line 407">
          <a:extLst>
            <a:ext uri="{FF2B5EF4-FFF2-40B4-BE49-F238E27FC236}">
              <a16:creationId xmlns:a16="http://schemas.microsoft.com/office/drawing/2014/main" id="{00000000-0008-0000-0100-000097050000}"/>
            </a:ext>
          </a:extLst>
        </xdr:cNvPr>
        <xdr:cNvSpPr>
          <a:spLocks noChangeShapeType="1"/>
        </xdr:cNvSpPr>
      </xdr:nvSpPr>
      <xdr:spPr bwMode="auto">
        <a:xfrm flipH="1">
          <a:off x="2295525" y="3419475"/>
          <a:ext cx="54292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24</xdr:row>
      <xdr:rowOff>180975</xdr:rowOff>
    </xdr:from>
    <xdr:to>
      <xdr:col>4</xdr:col>
      <xdr:colOff>428625</xdr:colOff>
      <xdr:row>24</xdr:row>
      <xdr:rowOff>180975</xdr:rowOff>
    </xdr:to>
    <xdr:sp macro="" textlink="">
      <xdr:nvSpPr>
        <xdr:cNvPr id="1432" name="Line 408">
          <a:extLst>
            <a:ext uri="{FF2B5EF4-FFF2-40B4-BE49-F238E27FC236}">
              <a16:creationId xmlns:a16="http://schemas.microsoft.com/office/drawing/2014/main" id="{00000000-0008-0000-0100-000098050000}"/>
            </a:ext>
          </a:extLst>
        </xdr:cNvPr>
        <xdr:cNvSpPr>
          <a:spLocks noChangeShapeType="1"/>
        </xdr:cNvSpPr>
      </xdr:nvSpPr>
      <xdr:spPr bwMode="auto">
        <a:xfrm flipH="1">
          <a:off x="2305050" y="2895600"/>
          <a:ext cx="4191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25</xdr:row>
      <xdr:rowOff>0</xdr:rowOff>
    </xdr:from>
    <xdr:to>
      <xdr:col>4</xdr:col>
      <xdr:colOff>466725</xdr:colOff>
      <xdr:row>25</xdr:row>
      <xdr:rowOff>0</xdr:rowOff>
    </xdr:to>
    <xdr:sp macro="" textlink="">
      <xdr:nvSpPr>
        <xdr:cNvPr id="1433" name="Line 409">
          <a:extLst>
            <a:ext uri="{FF2B5EF4-FFF2-40B4-BE49-F238E27FC236}">
              <a16:creationId xmlns:a16="http://schemas.microsoft.com/office/drawing/2014/main" id="{00000000-0008-0000-0100-000099050000}"/>
            </a:ext>
          </a:extLst>
        </xdr:cNvPr>
        <xdr:cNvSpPr>
          <a:spLocks noChangeShapeType="1"/>
        </xdr:cNvSpPr>
      </xdr:nvSpPr>
      <xdr:spPr bwMode="auto">
        <a:xfrm flipH="1">
          <a:off x="2314575" y="3038475"/>
          <a:ext cx="4476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26</xdr:row>
      <xdr:rowOff>0</xdr:rowOff>
    </xdr:from>
    <xdr:to>
      <xdr:col>4</xdr:col>
      <xdr:colOff>466725</xdr:colOff>
      <xdr:row>26</xdr:row>
      <xdr:rowOff>0</xdr:rowOff>
    </xdr:to>
    <xdr:sp macro="" textlink="">
      <xdr:nvSpPr>
        <xdr:cNvPr id="1434" name="Line 410">
          <a:extLst>
            <a:ext uri="{FF2B5EF4-FFF2-40B4-BE49-F238E27FC236}">
              <a16:creationId xmlns:a16="http://schemas.microsoft.com/office/drawing/2014/main" id="{00000000-0008-0000-0100-00009A050000}"/>
            </a:ext>
          </a:extLst>
        </xdr:cNvPr>
        <xdr:cNvSpPr>
          <a:spLocks noChangeShapeType="1"/>
        </xdr:cNvSpPr>
      </xdr:nvSpPr>
      <xdr:spPr bwMode="auto">
        <a:xfrm flipH="1">
          <a:off x="2305050" y="3200400"/>
          <a:ext cx="4572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32</xdr:row>
      <xdr:rowOff>9525</xdr:rowOff>
    </xdr:from>
    <xdr:to>
      <xdr:col>4</xdr:col>
      <xdr:colOff>9525</xdr:colOff>
      <xdr:row>34</xdr:row>
      <xdr:rowOff>9525</xdr:rowOff>
    </xdr:to>
    <xdr:sp macro="" textlink="">
      <xdr:nvSpPr>
        <xdr:cNvPr id="1436" name="Line 412">
          <a:extLst>
            <a:ext uri="{FF2B5EF4-FFF2-40B4-BE49-F238E27FC236}">
              <a16:creationId xmlns:a16="http://schemas.microsoft.com/office/drawing/2014/main" id="{00000000-0008-0000-0100-00009C050000}"/>
            </a:ext>
          </a:extLst>
        </xdr:cNvPr>
        <xdr:cNvSpPr>
          <a:spLocks noChangeShapeType="1"/>
        </xdr:cNvSpPr>
      </xdr:nvSpPr>
      <xdr:spPr bwMode="auto">
        <a:xfrm>
          <a:off x="2305050" y="4314825"/>
          <a:ext cx="0" cy="3238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9525</xdr:colOff>
      <xdr:row>33</xdr:row>
      <xdr:rowOff>0</xdr:rowOff>
    </xdr:from>
    <xdr:to>
      <xdr:col>3</xdr:col>
      <xdr:colOff>247650</xdr:colOff>
      <xdr:row>33</xdr:row>
      <xdr:rowOff>0</xdr:rowOff>
    </xdr:to>
    <xdr:sp macro="" textlink="">
      <xdr:nvSpPr>
        <xdr:cNvPr id="1437" name="Line 413">
          <a:extLst>
            <a:ext uri="{FF2B5EF4-FFF2-40B4-BE49-F238E27FC236}">
              <a16:creationId xmlns:a16="http://schemas.microsoft.com/office/drawing/2014/main" id="{00000000-0008-0000-0100-00009D050000}"/>
            </a:ext>
          </a:extLst>
        </xdr:cNvPr>
        <xdr:cNvSpPr>
          <a:spLocks noChangeShapeType="1"/>
        </xdr:cNvSpPr>
      </xdr:nvSpPr>
      <xdr:spPr bwMode="auto">
        <a:xfrm flipH="1">
          <a:off x="1800225" y="4467225"/>
          <a:ext cx="238125" cy="0"/>
        </a:xfrm>
        <a:prstGeom prst="line">
          <a:avLst/>
        </a:prstGeom>
        <a:noFill/>
        <a:ln w="3175">
          <a:solidFill>
            <a:srgbClr xmlns:mc="http://schemas.openxmlformats.org/markup-compatibility/2006" xmlns:a14="http://schemas.microsoft.com/office/drawing/2010/main" val="0000FF" mc:Ignorable="a14" a14:legacySpreadsheetColorIndex="1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228600</xdr:colOff>
      <xdr:row>20</xdr:row>
      <xdr:rowOff>0</xdr:rowOff>
    </xdr:from>
    <xdr:to>
      <xdr:col>4</xdr:col>
      <xdr:colOff>228600</xdr:colOff>
      <xdr:row>31</xdr:row>
      <xdr:rowOff>161925</xdr:rowOff>
    </xdr:to>
    <xdr:sp macro="" textlink="">
      <xdr:nvSpPr>
        <xdr:cNvPr id="1439" name="Line 415">
          <a:extLst>
            <a:ext uri="{FF2B5EF4-FFF2-40B4-BE49-F238E27FC236}">
              <a16:creationId xmlns:a16="http://schemas.microsoft.com/office/drawing/2014/main" id="{00000000-0008-0000-0100-00009F050000}"/>
            </a:ext>
          </a:extLst>
        </xdr:cNvPr>
        <xdr:cNvSpPr>
          <a:spLocks noChangeShapeType="1"/>
        </xdr:cNvSpPr>
      </xdr:nvSpPr>
      <xdr:spPr bwMode="auto">
        <a:xfrm>
          <a:off x="2524125" y="2066925"/>
          <a:ext cx="0" cy="2228850"/>
        </a:xfrm>
        <a:prstGeom prst="line">
          <a:avLst/>
        </a:prstGeom>
        <a:noFill/>
        <a:ln w="3175">
          <a:solidFill>
            <a:srgbClr xmlns:mc="http://schemas.openxmlformats.org/markup-compatibility/2006" xmlns:a14="http://schemas.microsoft.com/office/drawing/2010/main" val="008000" mc:Ignorable="a14" a14:legacySpreadsheetColorIndex="17"/>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3</xdr:col>
      <xdr:colOff>257175</xdr:colOff>
      <xdr:row>147</xdr:row>
      <xdr:rowOff>0</xdr:rowOff>
    </xdr:from>
    <xdr:ext cx="76200" cy="200025"/>
    <xdr:sp macro="" textlink="">
      <xdr:nvSpPr>
        <xdr:cNvPr id="1440" name="Text Box 416">
          <a:extLst>
            <a:ext uri="{FF2B5EF4-FFF2-40B4-BE49-F238E27FC236}">
              <a16:creationId xmlns:a16="http://schemas.microsoft.com/office/drawing/2014/main" id="{00000000-0008-0000-0100-0000A0050000}"/>
            </a:ext>
          </a:extLst>
        </xdr:cNvPr>
        <xdr:cNvSpPr txBox="1">
          <a:spLocks noChangeArrowheads="1"/>
        </xdr:cNvSpPr>
      </xdr:nvSpPr>
      <xdr:spPr bwMode="auto">
        <a:xfrm>
          <a:off x="2047875" y="231076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3</xdr:col>
      <xdr:colOff>257175</xdr:colOff>
      <xdr:row>148</xdr:row>
      <xdr:rowOff>0</xdr:rowOff>
    </xdr:from>
    <xdr:to>
      <xdr:col>4</xdr:col>
      <xdr:colOff>323851</xdr:colOff>
      <xdr:row>149</xdr:row>
      <xdr:rowOff>47625</xdr:rowOff>
    </xdr:to>
    <xdr:sp macro="" textlink="">
      <xdr:nvSpPr>
        <xdr:cNvPr id="1441" name="Text Box 417">
          <a:extLst>
            <a:ext uri="{FF2B5EF4-FFF2-40B4-BE49-F238E27FC236}">
              <a16:creationId xmlns:a16="http://schemas.microsoft.com/office/drawing/2014/main" id="{00000000-0008-0000-0100-0000A1050000}"/>
            </a:ext>
          </a:extLst>
        </xdr:cNvPr>
        <xdr:cNvSpPr txBox="1">
          <a:spLocks noChangeArrowheads="1"/>
        </xdr:cNvSpPr>
      </xdr:nvSpPr>
      <xdr:spPr bwMode="auto">
        <a:xfrm>
          <a:off x="2047875" y="23279100"/>
          <a:ext cx="5715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   =</a:t>
          </a:r>
        </a:p>
      </xdr:txBody>
    </xdr:sp>
    <xdr:clientData/>
  </xdr:twoCellAnchor>
  <xdr:oneCellAnchor>
    <xdr:from>
      <xdr:col>8</xdr:col>
      <xdr:colOff>257175</xdr:colOff>
      <xdr:row>147</xdr:row>
      <xdr:rowOff>0</xdr:rowOff>
    </xdr:from>
    <xdr:ext cx="76200" cy="200025"/>
    <xdr:sp macro="" textlink="">
      <xdr:nvSpPr>
        <xdr:cNvPr id="1442" name="Text Box 418">
          <a:extLst>
            <a:ext uri="{FF2B5EF4-FFF2-40B4-BE49-F238E27FC236}">
              <a16:creationId xmlns:a16="http://schemas.microsoft.com/office/drawing/2014/main" id="{00000000-0008-0000-0100-0000A2050000}"/>
            </a:ext>
          </a:extLst>
        </xdr:cNvPr>
        <xdr:cNvSpPr txBox="1">
          <a:spLocks noChangeArrowheads="1"/>
        </xdr:cNvSpPr>
      </xdr:nvSpPr>
      <xdr:spPr bwMode="auto">
        <a:xfrm>
          <a:off x="5600700" y="231076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409575</xdr:colOff>
      <xdr:row>147</xdr:row>
      <xdr:rowOff>9525</xdr:rowOff>
    </xdr:from>
    <xdr:ext cx="76200" cy="200025"/>
    <xdr:sp macro="" textlink="">
      <xdr:nvSpPr>
        <xdr:cNvPr id="1444" name="Text Box 420">
          <a:extLst>
            <a:ext uri="{FF2B5EF4-FFF2-40B4-BE49-F238E27FC236}">
              <a16:creationId xmlns:a16="http://schemas.microsoft.com/office/drawing/2014/main" id="{00000000-0008-0000-0100-0000A4050000}"/>
            </a:ext>
          </a:extLst>
        </xdr:cNvPr>
        <xdr:cNvSpPr txBox="1">
          <a:spLocks noChangeArrowheads="1"/>
        </xdr:cNvSpPr>
      </xdr:nvSpPr>
      <xdr:spPr bwMode="auto">
        <a:xfrm>
          <a:off x="3486150" y="231171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xdr:col>
      <xdr:colOff>9525</xdr:colOff>
      <xdr:row>18</xdr:row>
      <xdr:rowOff>19050</xdr:rowOff>
    </xdr:from>
    <xdr:to>
      <xdr:col>3</xdr:col>
      <xdr:colOff>19050</xdr:colOff>
      <xdr:row>20</xdr:row>
      <xdr:rowOff>9525</xdr:rowOff>
    </xdr:to>
    <xdr:sp macro="" textlink="">
      <xdr:nvSpPr>
        <xdr:cNvPr id="1446" name="Line 422">
          <a:extLst>
            <a:ext uri="{FF2B5EF4-FFF2-40B4-BE49-F238E27FC236}">
              <a16:creationId xmlns:a16="http://schemas.microsoft.com/office/drawing/2014/main" id="{00000000-0008-0000-0100-0000A6050000}"/>
            </a:ext>
          </a:extLst>
        </xdr:cNvPr>
        <xdr:cNvSpPr>
          <a:spLocks noChangeShapeType="1"/>
        </xdr:cNvSpPr>
      </xdr:nvSpPr>
      <xdr:spPr bwMode="auto">
        <a:xfrm flipH="1">
          <a:off x="1800225" y="1590675"/>
          <a:ext cx="95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18</xdr:row>
      <xdr:rowOff>0</xdr:rowOff>
    </xdr:from>
    <xdr:to>
      <xdr:col>4</xdr:col>
      <xdr:colOff>9525</xdr:colOff>
      <xdr:row>20</xdr:row>
      <xdr:rowOff>9525</xdr:rowOff>
    </xdr:to>
    <xdr:sp macro="" textlink="">
      <xdr:nvSpPr>
        <xdr:cNvPr id="1447" name="Line 423">
          <a:extLst>
            <a:ext uri="{FF2B5EF4-FFF2-40B4-BE49-F238E27FC236}">
              <a16:creationId xmlns:a16="http://schemas.microsoft.com/office/drawing/2014/main" id="{00000000-0008-0000-0100-0000A7050000}"/>
            </a:ext>
          </a:extLst>
        </xdr:cNvPr>
        <xdr:cNvSpPr>
          <a:spLocks noChangeShapeType="1"/>
        </xdr:cNvSpPr>
      </xdr:nvSpPr>
      <xdr:spPr bwMode="auto">
        <a:xfrm flipH="1">
          <a:off x="2295525"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419100</xdr:colOff>
      <xdr:row>18</xdr:row>
      <xdr:rowOff>0</xdr:rowOff>
    </xdr:from>
    <xdr:to>
      <xdr:col>3</xdr:col>
      <xdr:colOff>428625</xdr:colOff>
      <xdr:row>20</xdr:row>
      <xdr:rowOff>9525</xdr:rowOff>
    </xdr:to>
    <xdr:sp macro="" textlink="">
      <xdr:nvSpPr>
        <xdr:cNvPr id="1448" name="Line 424">
          <a:extLst>
            <a:ext uri="{FF2B5EF4-FFF2-40B4-BE49-F238E27FC236}">
              <a16:creationId xmlns:a16="http://schemas.microsoft.com/office/drawing/2014/main" id="{00000000-0008-0000-0100-0000A8050000}"/>
            </a:ext>
          </a:extLst>
        </xdr:cNvPr>
        <xdr:cNvSpPr>
          <a:spLocks noChangeShapeType="1"/>
        </xdr:cNvSpPr>
      </xdr:nvSpPr>
      <xdr:spPr bwMode="auto">
        <a:xfrm flipH="1">
          <a:off x="2209800"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16</xdr:row>
      <xdr:rowOff>123825</xdr:rowOff>
    </xdr:from>
    <xdr:to>
      <xdr:col>3</xdr:col>
      <xdr:colOff>0</xdr:colOff>
      <xdr:row>17</xdr:row>
      <xdr:rowOff>47625</xdr:rowOff>
    </xdr:to>
    <xdr:sp macro="" textlink="">
      <xdr:nvSpPr>
        <xdr:cNvPr id="1449" name="Line 425">
          <a:extLst>
            <a:ext uri="{FF2B5EF4-FFF2-40B4-BE49-F238E27FC236}">
              <a16:creationId xmlns:a16="http://schemas.microsoft.com/office/drawing/2014/main" id="{00000000-0008-0000-0100-0000A9050000}"/>
            </a:ext>
          </a:extLst>
        </xdr:cNvPr>
        <xdr:cNvSpPr>
          <a:spLocks noChangeShapeType="1"/>
        </xdr:cNvSpPr>
      </xdr:nvSpPr>
      <xdr:spPr bwMode="auto">
        <a:xfrm>
          <a:off x="1790700" y="140970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16</xdr:row>
      <xdr:rowOff>104775</xdr:rowOff>
    </xdr:from>
    <xdr:to>
      <xdr:col>4</xdr:col>
      <xdr:colOff>19050</xdr:colOff>
      <xdr:row>17</xdr:row>
      <xdr:rowOff>19050</xdr:rowOff>
    </xdr:to>
    <xdr:sp macro="" textlink="">
      <xdr:nvSpPr>
        <xdr:cNvPr id="1455" name="Line 431">
          <a:extLst>
            <a:ext uri="{FF2B5EF4-FFF2-40B4-BE49-F238E27FC236}">
              <a16:creationId xmlns:a16="http://schemas.microsoft.com/office/drawing/2014/main" id="{00000000-0008-0000-0100-0000AF050000}"/>
            </a:ext>
          </a:extLst>
        </xdr:cNvPr>
        <xdr:cNvSpPr>
          <a:spLocks noChangeShapeType="1"/>
        </xdr:cNvSpPr>
      </xdr:nvSpPr>
      <xdr:spPr bwMode="auto">
        <a:xfrm>
          <a:off x="2314575" y="1390650"/>
          <a:ext cx="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476250</xdr:colOff>
      <xdr:row>19</xdr:row>
      <xdr:rowOff>19050</xdr:rowOff>
    </xdr:from>
    <xdr:to>
      <xdr:col>4</xdr:col>
      <xdr:colOff>295275</xdr:colOff>
      <xdr:row>19</xdr:row>
      <xdr:rowOff>19050</xdr:rowOff>
    </xdr:to>
    <xdr:sp macro="" textlink="">
      <xdr:nvSpPr>
        <xdr:cNvPr id="1456" name="Line 432">
          <a:extLst>
            <a:ext uri="{FF2B5EF4-FFF2-40B4-BE49-F238E27FC236}">
              <a16:creationId xmlns:a16="http://schemas.microsoft.com/office/drawing/2014/main" id="{00000000-0008-0000-0100-0000B0050000}"/>
            </a:ext>
          </a:extLst>
        </xdr:cNvPr>
        <xdr:cNvSpPr>
          <a:spLocks noChangeShapeType="1"/>
        </xdr:cNvSpPr>
      </xdr:nvSpPr>
      <xdr:spPr bwMode="auto">
        <a:xfrm>
          <a:off x="2266950" y="1914525"/>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266700</xdr:colOff>
      <xdr:row>18</xdr:row>
      <xdr:rowOff>285750</xdr:rowOff>
    </xdr:from>
    <xdr:to>
      <xdr:col>4</xdr:col>
      <xdr:colOff>266700</xdr:colOff>
      <xdr:row>19</xdr:row>
      <xdr:rowOff>76200</xdr:rowOff>
    </xdr:to>
    <xdr:sp macro="" textlink="">
      <xdr:nvSpPr>
        <xdr:cNvPr id="1457" name="Line 433">
          <a:extLst>
            <a:ext uri="{FF2B5EF4-FFF2-40B4-BE49-F238E27FC236}">
              <a16:creationId xmlns:a16="http://schemas.microsoft.com/office/drawing/2014/main" id="{00000000-0008-0000-0100-0000B1050000}"/>
            </a:ext>
          </a:extLst>
        </xdr:cNvPr>
        <xdr:cNvSpPr>
          <a:spLocks noChangeShapeType="1"/>
        </xdr:cNvSpPr>
      </xdr:nvSpPr>
      <xdr:spPr bwMode="auto">
        <a:xfrm>
          <a:off x="2562225" y="1857375"/>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18</xdr:row>
      <xdr:rowOff>0</xdr:rowOff>
    </xdr:from>
    <xdr:to>
      <xdr:col>5</xdr:col>
      <xdr:colOff>190500</xdr:colOff>
      <xdr:row>18</xdr:row>
      <xdr:rowOff>9525</xdr:rowOff>
    </xdr:to>
    <xdr:sp macro="" textlink="">
      <xdr:nvSpPr>
        <xdr:cNvPr id="1458" name="Line 434">
          <a:extLst>
            <a:ext uri="{FF2B5EF4-FFF2-40B4-BE49-F238E27FC236}">
              <a16:creationId xmlns:a16="http://schemas.microsoft.com/office/drawing/2014/main" id="{00000000-0008-0000-0100-0000B2050000}"/>
            </a:ext>
          </a:extLst>
        </xdr:cNvPr>
        <xdr:cNvSpPr>
          <a:spLocks noChangeShapeType="1"/>
        </xdr:cNvSpPr>
      </xdr:nvSpPr>
      <xdr:spPr bwMode="auto">
        <a:xfrm flipV="1">
          <a:off x="2295525" y="1571625"/>
          <a:ext cx="971550" cy="9525"/>
        </a:xfrm>
        <a:prstGeom prst="line">
          <a:avLst/>
        </a:prstGeom>
        <a:noFill/>
        <a:ln w="6350">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400050</xdr:colOff>
      <xdr:row>202</xdr:row>
      <xdr:rowOff>9525</xdr:rowOff>
    </xdr:from>
    <xdr:to>
      <xdr:col>3</xdr:col>
      <xdr:colOff>66675</xdr:colOff>
      <xdr:row>202</xdr:row>
      <xdr:rowOff>152400</xdr:rowOff>
    </xdr:to>
    <xdr:sp macro="" textlink="">
      <xdr:nvSpPr>
        <xdr:cNvPr id="1460" name="Text Box 436">
          <a:extLst>
            <a:ext uri="{FF2B5EF4-FFF2-40B4-BE49-F238E27FC236}">
              <a16:creationId xmlns:a16="http://schemas.microsoft.com/office/drawing/2014/main" id="{00000000-0008-0000-0100-0000B4050000}"/>
            </a:ext>
          </a:extLst>
        </xdr:cNvPr>
        <xdr:cNvSpPr txBox="1">
          <a:spLocks noChangeArrowheads="1"/>
        </xdr:cNvSpPr>
      </xdr:nvSpPr>
      <xdr:spPr bwMode="auto">
        <a:xfrm>
          <a:off x="1409700" y="32146875"/>
          <a:ext cx="447675"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352425</xdr:colOff>
      <xdr:row>193</xdr:row>
      <xdr:rowOff>19050</xdr:rowOff>
    </xdr:from>
    <xdr:to>
      <xdr:col>11</xdr:col>
      <xdr:colOff>47624</xdr:colOff>
      <xdr:row>194</xdr:row>
      <xdr:rowOff>38100</xdr:rowOff>
    </xdr:to>
    <xdr:sp macro="" textlink="">
      <xdr:nvSpPr>
        <xdr:cNvPr id="1461" name="Text Box 437">
          <a:extLst>
            <a:ext uri="{FF2B5EF4-FFF2-40B4-BE49-F238E27FC236}">
              <a16:creationId xmlns:a16="http://schemas.microsoft.com/office/drawing/2014/main" id="{00000000-0008-0000-0100-0000B5050000}"/>
            </a:ext>
          </a:extLst>
        </xdr:cNvPr>
        <xdr:cNvSpPr txBox="1">
          <a:spLocks noChangeArrowheads="1"/>
        </xdr:cNvSpPr>
      </xdr:nvSpPr>
      <xdr:spPr bwMode="auto">
        <a:xfrm>
          <a:off x="7715250" y="30680025"/>
          <a:ext cx="47625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381000</xdr:colOff>
      <xdr:row>241</xdr:row>
      <xdr:rowOff>19050</xdr:rowOff>
    </xdr:from>
    <xdr:to>
      <xdr:col>3</xdr:col>
      <xdr:colOff>95250</xdr:colOff>
      <xdr:row>242</xdr:row>
      <xdr:rowOff>3311</xdr:rowOff>
    </xdr:to>
    <xdr:sp macro="" textlink="">
      <xdr:nvSpPr>
        <xdr:cNvPr id="1465" name="Text Box 441">
          <a:extLst>
            <a:ext uri="{FF2B5EF4-FFF2-40B4-BE49-F238E27FC236}">
              <a16:creationId xmlns:a16="http://schemas.microsoft.com/office/drawing/2014/main" id="{00000000-0008-0000-0100-0000B9050000}"/>
            </a:ext>
          </a:extLst>
        </xdr:cNvPr>
        <xdr:cNvSpPr txBox="1">
          <a:spLocks noChangeArrowheads="1"/>
        </xdr:cNvSpPr>
      </xdr:nvSpPr>
      <xdr:spPr bwMode="auto">
        <a:xfrm>
          <a:off x="1390650" y="38547675"/>
          <a:ext cx="4953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0</xdr:colOff>
      <xdr:row>20</xdr:row>
      <xdr:rowOff>0</xdr:rowOff>
    </xdr:from>
    <xdr:to>
      <xdr:col>3</xdr:col>
      <xdr:colOff>0</xdr:colOff>
      <xdr:row>31</xdr:row>
      <xdr:rowOff>0</xdr:rowOff>
    </xdr:to>
    <xdr:sp macro="" textlink="">
      <xdr:nvSpPr>
        <xdr:cNvPr id="1469" name="Line 445">
          <a:extLst>
            <a:ext uri="{FF2B5EF4-FFF2-40B4-BE49-F238E27FC236}">
              <a16:creationId xmlns:a16="http://schemas.microsoft.com/office/drawing/2014/main" id="{00000000-0008-0000-0100-0000BD050000}"/>
            </a:ext>
          </a:extLst>
        </xdr:cNvPr>
        <xdr:cNvSpPr>
          <a:spLocks noChangeShapeType="1"/>
        </xdr:cNvSpPr>
      </xdr:nvSpPr>
      <xdr:spPr bwMode="auto">
        <a:xfrm>
          <a:off x="1790700" y="2066925"/>
          <a:ext cx="0" cy="2066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600075</xdr:colOff>
      <xdr:row>19</xdr:row>
      <xdr:rowOff>161925</xdr:rowOff>
    </xdr:from>
    <xdr:to>
      <xdr:col>3</xdr:col>
      <xdr:colOff>9525</xdr:colOff>
      <xdr:row>19</xdr:row>
      <xdr:rowOff>161925</xdr:rowOff>
    </xdr:to>
    <xdr:sp macro="" textlink="">
      <xdr:nvSpPr>
        <xdr:cNvPr id="1470" name="Line 446">
          <a:extLst>
            <a:ext uri="{FF2B5EF4-FFF2-40B4-BE49-F238E27FC236}">
              <a16:creationId xmlns:a16="http://schemas.microsoft.com/office/drawing/2014/main" id="{00000000-0008-0000-0100-0000BE050000}"/>
            </a:ext>
          </a:extLst>
        </xdr:cNvPr>
        <xdr:cNvSpPr>
          <a:spLocks noChangeShapeType="1"/>
        </xdr:cNvSpPr>
      </xdr:nvSpPr>
      <xdr:spPr bwMode="auto">
        <a:xfrm>
          <a:off x="1609725" y="2057400"/>
          <a:ext cx="1905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476250</xdr:colOff>
      <xdr:row>19</xdr:row>
      <xdr:rowOff>161925</xdr:rowOff>
    </xdr:from>
    <xdr:to>
      <xdr:col>2</xdr:col>
      <xdr:colOff>600075</xdr:colOff>
      <xdr:row>30</xdr:row>
      <xdr:rowOff>161925</xdr:rowOff>
    </xdr:to>
    <xdr:sp macro="" textlink="">
      <xdr:nvSpPr>
        <xdr:cNvPr id="1471" name="Line 447">
          <a:extLst>
            <a:ext uri="{FF2B5EF4-FFF2-40B4-BE49-F238E27FC236}">
              <a16:creationId xmlns:a16="http://schemas.microsoft.com/office/drawing/2014/main" id="{00000000-0008-0000-0100-0000BF050000}"/>
            </a:ext>
          </a:extLst>
        </xdr:cNvPr>
        <xdr:cNvSpPr>
          <a:spLocks noChangeShapeType="1"/>
        </xdr:cNvSpPr>
      </xdr:nvSpPr>
      <xdr:spPr bwMode="auto">
        <a:xfrm flipH="1">
          <a:off x="1485900" y="2057400"/>
          <a:ext cx="123825" cy="2066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809625</xdr:colOff>
      <xdr:row>282</xdr:row>
      <xdr:rowOff>142875</xdr:rowOff>
    </xdr:from>
    <xdr:to>
      <xdr:col>7</xdr:col>
      <xdr:colOff>809625</xdr:colOff>
      <xdr:row>292</xdr:row>
      <xdr:rowOff>38100</xdr:rowOff>
    </xdr:to>
    <xdr:sp macro="" textlink="">
      <xdr:nvSpPr>
        <xdr:cNvPr id="1473" name="Line 449">
          <a:extLst>
            <a:ext uri="{FF2B5EF4-FFF2-40B4-BE49-F238E27FC236}">
              <a16:creationId xmlns:a16="http://schemas.microsoft.com/office/drawing/2014/main" id="{00000000-0008-0000-0100-0000C1050000}"/>
            </a:ext>
          </a:extLst>
        </xdr:cNvPr>
        <xdr:cNvSpPr>
          <a:spLocks noChangeShapeType="1"/>
        </xdr:cNvSpPr>
      </xdr:nvSpPr>
      <xdr:spPr bwMode="auto">
        <a:xfrm flipV="1">
          <a:off x="5334000" y="45367575"/>
          <a:ext cx="0" cy="15144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714375</xdr:colOff>
      <xdr:row>292</xdr:row>
      <xdr:rowOff>0</xdr:rowOff>
    </xdr:from>
    <xdr:to>
      <xdr:col>8</xdr:col>
      <xdr:colOff>123825</xdr:colOff>
      <xdr:row>292</xdr:row>
      <xdr:rowOff>0</xdr:rowOff>
    </xdr:to>
    <xdr:sp macro="" textlink="">
      <xdr:nvSpPr>
        <xdr:cNvPr id="1474" name="Line 450">
          <a:extLst>
            <a:ext uri="{FF2B5EF4-FFF2-40B4-BE49-F238E27FC236}">
              <a16:creationId xmlns:a16="http://schemas.microsoft.com/office/drawing/2014/main" id="{00000000-0008-0000-0100-0000C2050000}"/>
            </a:ext>
          </a:extLst>
        </xdr:cNvPr>
        <xdr:cNvSpPr>
          <a:spLocks noChangeShapeType="1"/>
        </xdr:cNvSpPr>
      </xdr:nvSpPr>
      <xdr:spPr bwMode="auto">
        <a:xfrm>
          <a:off x="5238750" y="46843950"/>
          <a:ext cx="2286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752475</xdr:colOff>
      <xdr:row>283</xdr:row>
      <xdr:rowOff>38100</xdr:rowOff>
    </xdr:from>
    <xdr:to>
      <xdr:col>8</xdr:col>
      <xdr:colOff>57150</xdr:colOff>
      <xdr:row>283</xdr:row>
      <xdr:rowOff>38100</xdr:rowOff>
    </xdr:to>
    <xdr:sp macro="" textlink="">
      <xdr:nvSpPr>
        <xdr:cNvPr id="1475" name="Line 451">
          <a:extLst>
            <a:ext uri="{FF2B5EF4-FFF2-40B4-BE49-F238E27FC236}">
              <a16:creationId xmlns:a16="http://schemas.microsoft.com/office/drawing/2014/main" id="{00000000-0008-0000-0100-0000C3050000}"/>
            </a:ext>
          </a:extLst>
        </xdr:cNvPr>
        <xdr:cNvSpPr>
          <a:spLocks noChangeShapeType="1"/>
        </xdr:cNvSpPr>
      </xdr:nvSpPr>
      <xdr:spPr bwMode="auto">
        <a:xfrm>
          <a:off x="5276850" y="45424725"/>
          <a:ext cx="1238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215348</xdr:colOff>
      <xdr:row>28</xdr:row>
      <xdr:rowOff>142874</xdr:rowOff>
    </xdr:from>
    <xdr:to>
      <xdr:col>3</xdr:col>
      <xdr:colOff>219075</xdr:colOff>
      <xdr:row>30</xdr:row>
      <xdr:rowOff>149086</xdr:rowOff>
    </xdr:to>
    <xdr:sp macro="" textlink="">
      <xdr:nvSpPr>
        <xdr:cNvPr id="280" name="Line 392">
          <a:extLst>
            <a:ext uri="{FF2B5EF4-FFF2-40B4-BE49-F238E27FC236}">
              <a16:creationId xmlns:a16="http://schemas.microsoft.com/office/drawing/2014/main" id="{00000000-0008-0000-0100-000018010000}"/>
            </a:ext>
          </a:extLst>
        </xdr:cNvPr>
        <xdr:cNvSpPr>
          <a:spLocks noChangeShapeType="1"/>
        </xdr:cNvSpPr>
      </xdr:nvSpPr>
      <xdr:spPr bwMode="auto">
        <a:xfrm flipV="1">
          <a:off x="2054087" y="3190874"/>
          <a:ext cx="3727" cy="337516"/>
        </a:xfrm>
        <a:prstGeom prst="line">
          <a:avLst/>
        </a:prstGeom>
        <a:noFill/>
        <a:ln w="3175">
          <a:solidFill>
            <a:srgbClr xmlns:mc="http://schemas.openxmlformats.org/markup-compatibility/2006" xmlns:a14="http://schemas.microsoft.com/office/drawing/2010/main" val="0000FF" mc:Ignorable="a14" a14:legacySpreadsheetColorIndex="12"/>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0</xdr:col>
      <xdr:colOff>288377</xdr:colOff>
      <xdr:row>65</xdr:row>
      <xdr:rowOff>130722</xdr:rowOff>
    </xdr:from>
    <xdr:ext cx="1425198" cy="20499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288377" y="9274722"/>
              <a:ext cx="142519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a:solidFill>
                    <a:schemeClr val="tx1"/>
                  </a:solidFill>
                  <a:effectLst/>
                  <a:latin typeface="+mn-lt"/>
                  <a:ea typeface="+mn-ea"/>
                  <a:cs typeface="+mn-cs"/>
                </a:rPr>
                <a:t>φ</a:t>
              </a:r>
              <a14:m>
                <m:oMath xmlns:m="http://schemas.openxmlformats.org/officeDocument/2006/math">
                  <m:r>
                    <m:rPr>
                      <m:sty m:val="p"/>
                    </m:rPr>
                    <a:rPr lang="es-MX" sz="1100" b="0" i="0">
                      <a:solidFill>
                        <a:schemeClr val="tx1"/>
                      </a:solidFill>
                      <a:effectLst/>
                      <a:latin typeface="Cambria Math" panose="02040503050406030204" pitchFamily="18" charset="0"/>
                      <a:ea typeface="+mn-ea"/>
                      <a:cs typeface="+mn-cs"/>
                    </a:rPr>
                    <m:t>Vc</m:t>
                  </m:r>
                  <m:r>
                    <a:rPr lang="es-MX" sz="1100" b="0" i="0">
                      <a:solidFill>
                        <a:schemeClr val="tx1"/>
                      </a:solidFill>
                      <a:effectLst/>
                      <a:latin typeface="Cambria Math" panose="02040503050406030204" pitchFamily="18" charset="0"/>
                      <a:ea typeface="+mn-ea"/>
                      <a:cs typeface="+mn-cs"/>
                    </a:rPr>
                    <m:t>=</m:t>
                  </m:r>
                  <m:r>
                    <m:rPr>
                      <m:nor/>
                    </m:rPr>
                    <a:rPr lang="el-GR" sz="1100">
                      <a:solidFill>
                        <a:schemeClr val="tx1"/>
                      </a:solidFill>
                      <a:effectLst/>
                      <a:latin typeface="+mn-lt"/>
                      <a:ea typeface="+mn-ea"/>
                      <a:cs typeface="+mn-cs"/>
                    </a:rPr>
                    <m:t>φ</m:t>
                  </m:r>
                  <m:r>
                    <a:rPr lang="es-MX" sz="1100" b="0" i="1">
                      <a:solidFill>
                        <a:schemeClr val="tx1"/>
                      </a:solidFill>
                      <a:effectLst/>
                      <a:latin typeface="Cambria Math" panose="02040503050406030204" pitchFamily="18" charset="0"/>
                      <a:ea typeface="+mn-ea"/>
                      <a:cs typeface="+mn-cs"/>
                    </a:rPr>
                    <m:t> 0.53 </m:t>
                  </m:r>
                  <m:r>
                    <m:rPr>
                      <m:sty m:val="p"/>
                    </m:rPr>
                    <a:rPr lang="el-GR" sz="1100" b="0" i="1">
                      <a:solidFill>
                        <a:schemeClr val="tx1"/>
                      </a:solidFill>
                      <a:effectLst/>
                      <a:latin typeface="Cambria Math" panose="02040503050406030204" pitchFamily="18" charset="0"/>
                      <a:ea typeface="+mn-ea"/>
                      <a:cs typeface="+mn-cs"/>
                    </a:rPr>
                    <m:t>λ</m:t>
                  </m:r>
                  <m:r>
                    <a:rPr lang="es-MX" sz="1100" b="0" i="1">
                      <a:solidFill>
                        <a:schemeClr val="tx1"/>
                      </a:solidFill>
                      <a:effectLst/>
                      <a:latin typeface="Cambria Math" panose="02040503050406030204" pitchFamily="18" charset="0"/>
                      <a:ea typeface="+mn-ea"/>
                      <a:cs typeface="+mn-cs"/>
                    </a:rPr>
                    <m:t> </m:t>
                  </m:r>
                  <m:rad>
                    <m:radPr>
                      <m:degHide m:val="on"/>
                      <m:ctrlPr>
                        <a:rPr lang="es-MX" sz="1100" i="1">
                          <a:latin typeface="Cambria Math" panose="02040503050406030204" pitchFamily="18" charset="0"/>
                        </a:rPr>
                      </m:ctrlPr>
                    </m:radPr>
                    <m:deg/>
                    <m:e>
                      <m:r>
                        <a:rPr lang="es-MX" sz="1100" b="0" i="1">
                          <a:latin typeface="Cambria Math" panose="02040503050406030204" pitchFamily="18" charset="0"/>
                        </a:rPr>
                        <m:t>𝑓</m:t>
                      </m:r>
                      <m:r>
                        <a:rPr lang="es-MX" sz="1100" b="0" i="1">
                          <a:latin typeface="Cambria Math" panose="02040503050406030204" pitchFamily="18" charset="0"/>
                        </a:rPr>
                        <m:t>´</m:t>
                      </m:r>
                      <m:r>
                        <a:rPr lang="es-MX" sz="1100" b="0" i="1">
                          <a:latin typeface="Cambria Math" panose="02040503050406030204" pitchFamily="18" charset="0"/>
                        </a:rPr>
                        <m:t>𝑐</m:t>
                      </m:r>
                      <m:r>
                        <a:rPr lang="es-MX" sz="1100" b="0" i="1">
                          <a:latin typeface="Cambria Math" panose="02040503050406030204" pitchFamily="18" charset="0"/>
                        </a:rPr>
                        <m:t> </m:t>
                      </m:r>
                      <m:r>
                        <a:rPr lang="es-MX" sz="1100" b="0" i="1">
                          <a:latin typeface="Cambria Math" panose="02040503050406030204" pitchFamily="18" charset="0"/>
                        </a:rPr>
                        <m:t>𝑏𝑑</m:t>
                      </m:r>
                    </m:e>
                  </m:rad>
                </m:oMath>
              </a14:m>
              <a:endParaRPr lang="es-MX" sz="1100"/>
            </a:p>
          </xdr:txBody>
        </xdr:sp>
      </mc:Choice>
      <mc:Fallback xmlns="">
        <xdr:sp macro="" textlink="">
          <xdr:nvSpPr>
            <xdr:cNvPr id="3" name="CuadroTexto 2">
              <a:extLst>
                <a:ext uri="{FF2B5EF4-FFF2-40B4-BE49-F238E27FC236}">
                  <a16:creationId xmlns:a16="http://schemas.microsoft.com/office/drawing/2014/main" id="{5404474C-3C48-4A6B-AC6D-B0D87DB7905D}"/>
                </a:ext>
              </a:extLst>
            </xdr:cNvPr>
            <xdr:cNvSpPr txBox="1"/>
          </xdr:nvSpPr>
          <xdr:spPr>
            <a:xfrm>
              <a:off x="288377" y="9274722"/>
              <a:ext cx="142519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a:solidFill>
                    <a:schemeClr val="tx1"/>
                  </a:solidFill>
                  <a:effectLst/>
                  <a:latin typeface="+mn-lt"/>
                  <a:ea typeface="+mn-ea"/>
                  <a:cs typeface="+mn-cs"/>
                </a:rPr>
                <a:t>φ</a:t>
              </a:r>
              <a:r>
                <a:rPr lang="es-MX" sz="1100" b="0" i="0">
                  <a:solidFill>
                    <a:schemeClr val="tx1"/>
                  </a:solidFill>
                  <a:effectLst/>
                  <a:latin typeface="Cambria Math" panose="02040503050406030204" pitchFamily="18" charset="0"/>
                  <a:ea typeface="+mn-ea"/>
                  <a:cs typeface="+mn-cs"/>
                </a:rPr>
                <a:t>Vc=</a:t>
              </a:r>
              <a:r>
                <a:rPr lang="el-GR" sz="1100" b="0" i="0">
                  <a:solidFill>
                    <a:schemeClr val="tx1"/>
                  </a:solidFill>
                  <a:effectLst/>
                  <a:latin typeface="Cambria Math" panose="02040503050406030204" pitchFamily="18" charset="0"/>
                  <a:ea typeface="+mn-ea"/>
                  <a:cs typeface="+mn-cs"/>
                </a:rPr>
                <a:t>"</a:t>
              </a:r>
              <a:r>
                <a:rPr lang="el-GR" sz="1100" i="0">
                  <a:solidFill>
                    <a:schemeClr val="tx1"/>
                  </a:solidFill>
                  <a:effectLst/>
                  <a:latin typeface="Cambria Math" panose="02040503050406030204" pitchFamily="18" charset="0"/>
                  <a:ea typeface="+mn-ea"/>
                  <a:cs typeface="+mn-cs"/>
                </a:rPr>
                <a:t>φ</a:t>
              </a:r>
              <a:r>
                <a:rPr lang="es-MX" sz="1100" b="0" i="0">
                  <a:solidFill>
                    <a:schemeClr val="tx1"/>
                  </a:solidFill>
                  <a:effectLst/>
                  <a:latin typeface="Cambria Math" panose="02040503050406030204" pitchFamily="18" charset="0"/>
                  <a:ea typeface="+mn-ea"/>
                  <a:cs typeface="+mn-cs"/>
                </a:rPr>
                <a:t>" 0.53 </a:t>
              </a:r>
              <a:r>
                <a:rPr lang="el-GR" sz="1100" b="0" i="0">
                  <a:solidFill>
                    <a:schemeClr val="tx1"/>
                  </a:solidFill>
                  <a:effectLst/>
                  <a:latin typeface="Cambria Math" panose="02040503050406030204" pitchFamily="18" charset="0"/>
                  <a:ea typeface="+mn-ea"/>
                  <a:cs typeface="+mn-cs"/>
                </a:rPr>
                <a:t>λ</a:t>
              </a:r>
              <a:r>
                <a:rPr lang="es-MX" sz="1100" b="0" i="0">
                  <a:solidFill>
                    <a:schemeClr val="tx1"/>
                  </a:solidFill>
                  <a:effectLst/>
                  <a:latin typeface="Cambria Math" panose="02040503050406030204" pitchFamily="18" charset="0"/>
                  <a:ea typeface="+mn-ea"/>
                  <a:cs typeface="+mn-cs"/>
                </a:rPr>
                <a:t> </a:t>
              </a:r>
              <a:r>
                <a:rPr lang="es-MX" sz="1100" i="0">
                  <a:latin typeface="Cambria Math" panose="02040503050406030204" pitchFamily="18" charset="0"/>
                </a:rPr>
                <a:t>√(</a:t>
              </a:r>
              <a:r>
                <a:rPr lang="es-MX" sz="1100" b="0" i="0">
                  <a:latin typeface="Cambria Math" panose="02040503050406030204" pitchFamily="18" charset="0"/>
                </a:rPr>
                <a:t>𝑓´𝑐 𝑏𝑑)</a:t>
              </a:r>
              <a:endParaRPr lang="es-MX" sz="1100"/>
            </a:p>
          </xdr:txBody>
        </xdr:sp>
      </mc:Fallback>
    </mc:AlternateContent>
    <xdr:clientData/>
  </xdr:oneCellAnchor>
  <xdr:twoCellAnchor editAs="oneCell">
    <xdr:from>
      <xdr:col>8</xdr:col>
      <xdr:colOff>1250674</xdr:colOff>
      <xdr:row>34</xdr:row>
      <xdr:rowOff>106375</xdr:rowOff>
    </xdr:from>
    <xdr:to>
      <xdr:col>16</xdr:col>
      <xdr:colOff>0</xdr:colOff>
      <xdr:row>77</xdr:row>
      <xdr:rowOff>101048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3"/>
        <a:srcRect b="3105"/>
        <a:stretch/>
      </xdr:blipFill>
      <xdr:spPr>
        <a:xfrm>
          <a:off x="6679924" y="4764100"/>
          <a:ext cx="4635776" cy="7062223"/>
        </a:xfrm>
        <a:prstGeom prst="rect">
          <a:avLst/>
        </a:prstGeom>
      </xdr:spPr>
    </xdr:pic>
    <xdr:clientData/>
  </xdr:twoCellAnchor>
  <xdr:twoCellAnchor>
    <xdr:from>
      <xdr:col>3</xdr:col>
      <xdr:colOff>487551</xdr:colOff>
      <xdr:row>295</xdr:row>
      <xdr:rowOff>54889</xdr:rowOff>
    </xdr:from>
    <xdr:to>
      <xdr:col>3</xdr:col>
      <xdr:colOff>490780</xdr:colOff>
      <xdr:row>297</xdr:row>
      <xdr:rowOff>106551</xdr:rowOff>
    </xdr:to>
    <xdr:cxnSp macro="">
      <xdr:nvCxnSpPr>
        <xdr:cNvPr id="5" name="Conector recto 4">
          <a:extLst>
            <a:ext uri="{FF2B5EF4-FFF2-40B4-BE49-F238E27FC236}">
              <a16:creationId xmlns:a16="http://schemas.microsoft.com/office/drawing/2014/main" id="{00000000-0008-0000-0100-000005000000}"/>
            </a:ext>
          </a:extLst>
        </xdr:cNvPr>
        <xdr:cNvCxnSpPr/>
      </xdr:nvCxnSpPr>
      <xdr:spPr bwMode="auto">
        <a:xfrm flipH="1">
          <a:off x="2334432" y="46856542"/>
          <a:ext cx="3229" cy="374543"/>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752314</xdr:colOff>
      <xdr:row>295</xdr:row>
      <xdr:rowOff>54889</xdr:rowOff>
    </xdr:from>
    <xdr:to>
      <xdr:col>4</xdr:col>
      <xdr:colOff>756558</xdr:colOff>
      <xdr:row>297</xdr:row>
      <xdr:rowOff>114301</xdr:rowOff>
    </xdr:to>
    <xdr:cxnSp macro="">
      <xdr:nvCxnSpPr>
        <xdr:cNvPr id="256" name="Conector recto 255">
          <a:extLst>
            <a:ext uri="{FF2B5EF4-FFF2-40B4-BE49-F238E27FC236}">
              <a16:creationId xmlns:a16="http://schemas.microsoft.com/office/drawing/2014/main" id="{00000000-0008-0000-0100-000000010000}"/>
            </a:ext>
          </a:extLst>
        </xdr:cNvPr>
        <xdr:cNvCxnSpPr/>
      </xdr:nvCxnSpPr>
      <xdr:spPr bwMode="auto">
        <a:xfrm>
          <a:off x="3102890" y="46856542"/>
          <a:ext cx="4244" cy="382293"/>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484415</xdr:colOff>
      <xdr:row>297</xdr:row>
      <xdr:rowOff>103414</xdr:rowOff>
    </xdr:from>
    <xdr:to>
      <xdr:col>4</xdr:col>
      <xdr:colOff>762000</xdr:colOff>
      <xdr:row>297</xdr:row>
      <xdr:rowOff>103414</xdr:rowOff>
    </xdr:to>
    <xdr:cxnSp macro="">
      <xdr:nvCxnSpPr>
        <xdr:cNvPr id="8" name="Conector recto 7">
          <a:extLst>
            <a:ext uri="{FF2B5EF4-FFF2-40B4-BE49-F238E27FC236}">
              <a16:creationId xmlns:a16="http://schemas.microsoft.com/office/drawing/2014/main" id="{00000000-0008-0000-0100-000008000000}"/>
            </a:ext>
          </a:extLst>
        </xdr:cNvPr>
        <xdr:cNvCxnSpPr/>
      </xdr:nvCxnSpPr>
      <xdr:spPr bwMode="auto">
        <a:xfrm>
          <a:off x="2334986" y="47799171"/>
          <a:ext cx="783771" cy="0"/>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48911</xdr:colOff>
      <xdr:row>297</xdr:row>
      <xdr:rowOff>54061</xdr:rowOff>
    </xdr:from>
    <xdr:to>
      <xdr:col>4</xdr:col>
      <xdr:colOff>677046</xdr:colOff>
      <xdr:row>297</xdr:row>
      <xdr:rowOff>56635</xdr:rowOff>
    </xdr:to>
    <xdr:sp macro="" textlink="">
      <xdr:nvSpPr>
        <xdr:cNvPr id="262" name="Line 233">
          <a:extLst>
            <a:ext uri="{FF2B5EF4-FFF2-40B4-BE49-F238E27FC236}">
              <a16:creationId xmlns:a16="http://schemas.microsoft.com/office/drawing/2014/main" id="{00000000-0008-0000-0100-000006010000}"/>
            </a:ext>
          </a:extLst>
        </xdr:cNvPr>
        <xdr:cNvSpPr>
          <a:spLocks noChangeShapeType="1"/>
        </xdr:cNvSpPr>
      </xdr:nvSpPr>
      <xdr:spPr bwMode="auto">
        <a:xfrm>
          <a:off x="2399269" y="47411331"/>
          <a:ext cx="628135" cy="257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156983</xdr:colOff>
      <xdr:row>297</xdr:row>
      <xdr:rowOff>7620</xdr:rowOff>
    </xdr:from>
    <xdr:to>
      <xdr:col>4</xdr:col>
      <xdr:colOff>195083</xdr:colOff>
      <xdr:row>297</xdr:row>
      <xdr:rowOff>45720</xdr:rowOff>
    </xdr:to>
    <xdr:sp macro="" textlink="">
      <xdr:nvSpPr>
        <xdr:cNvPr id="263" name="AutoShape 261">
          <a:extLst>
            <a:ext uri="{FF2B5EF4-FFF2-40B4-BE49-F238E27FC236}">
              <a16:creationId xmlns:a16="http://schemas.microsoft.com/office/drawing/2014/main" id="{00000000-0008-0000-0100-000007010000}"/>
            </a:ext>
          </a:extLst>
        </xdr:cNvPr>
        <xdr:cNvSpPr>
          <a:spLocks noChangeArrowheads="1"/>
        </xdr:cNvSpPr>
      </xdr:nvSpPr>
      <xdr:spPr bwMode="auto">
        <a:xfrm>
          <a:off x="2507341" y="4736489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516255</xdr:colOff>
      <xdr:row>297</xdr:row>
      <xdr:rowOff>9525</xdr:rowOff>
    </xdr:from>
    <xdr:to>
      <xdr:col>4</xdr:col>
      <xdr:colOff>554355</xdr:colOff>
      <xdr:row>297</xdr:row>
      <xdr:rowOff>47625</xdr:rowOff>
    </xdr:to>
    <xdr:sp macro="" textlink="">
      <xdr:nvSpPr>
        <xdr:cNvPr id="264" name="AutoShape 252">
          <a:extLst>
            <a:ext uri="{FF2B5EF4-FFF2-40B4-BE49-F238E27FC236}">
              <a16:creationId xmlns:a16="http://schemas.microsoft.com/office/drawing/2014/main" id="{00000000-0008-0000-0100-000008010000}"/>
            </a:ext>
          </a:extLst>
        </xdr:cNvPr>
        <xdr:cNvSpPr>
          <a:spLocks noChangeArrowheads="1"/>
        </xdr:cNvSpPr>
      </xdr:nvSpPr>
      <xdr:spPr bwMode="auto">
        <a:xfrm>
          <a:off x="2870835" y="4771834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56635</xdr:colOff>
      <xdr:row>293</xdr:row>
      <xdr:rowOff>69273</xdr:rowOff>
    </xdr:from>
    <xdr:to>
      <xdr:col>4</xdr:col>
      <xdr:colOff>60614</xdr:colOff>
      <xdr:row>297</xdr:row>
      <xdr:rowOff>51487</xdr:rowOff>
    </xdr:to>
    <xdr:sp macro="" textlink="">
      <xdr:nvSpPr>
        <xdr:cNvPr id="266" name="Line 241">
          <a:extLst>
            <a:ext uri="{FF2B5EF4-FFF2-40B4-BE49-F238E27FC236}">
              <a16:creationId xmlns:a16="http://schemas.microsoft.com/office/drawing/2014/main" id="{00000000-0008-0000-0100-00000A010000}"/>
            </a:ext>
          </a:extLst>
        </xdr:cNvPr>
        <xdr:cNvSpPr>
          <a:spLocks noChangeShapeType="1"/>
        </xdr:cNvSpPr>
      </xdr:nvSpPr>
      <xdr:spPr bwMode="auto">
        <a:xfrm flipV="1">
          <a:off x="2406993" y="46777814"/>
          <a:ext cx="3979" cy="6309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671899</xdr:colOff>
      <xdr:row>293</xdr:row>
      <xdr:rowOff>23167</xdr:rowOff>
    </xdr:from>
    <xdr:to>
      <xdr:col>4</xdr:col>
      <xdr:colOff>676635</xdr:colOff>
      <xdr:row>297</xdr:row>
      <xdr:rowOff>60239</xdr:rowOff>
    </xdr:to>
    <xdr:sp macro="" textlink="">
      <xdr:nvSpPr>
        <xdr:cNvPr id="268" name="Line 241">
          <a:extLst>
            <a:ext uri="{FF2B5EF4-FFF2-40B4-BE49-F238E27FC236}">
              <a16:creationId xmlns:a16="http://schemas.microsoft.com/office/drawing/2014/main" id="{00000000-0008-0000-0100-00000C010000}"/>
            </a:ext>
          </a:extLst>
        </xdr:cNvPr>
        <xdr:cNvSpPr>
          <a:spLocks noChangeShapeType="1"/>
        </xdr:cNvSpPr>
      </xdr:nvSpPr>
      <xdr:spPr bwMode="auto">
        <a:xfrm flipH="1" flipV="1">
          <a:off x="3022257" y="46731708"/>
          <a:ext cx="4736" cy="68580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809626</xdr:colOff>
      <xdr:row>292</xdr:row>
      <xdr:rowOff>142873</xdr:rowOff>
    </xdr:from>
    <xdr:to>
      <xdr:col>7</xdr:col>
      <xdr:colOff>813954</xdr:colOff>
      <xdr:row>297</xdr:row>
      <xdr:rowOff>4329</xdr:rowOff>
    </xdr:to>
    <xdr:sp macro="" textlink="">
      <xdr:nvSpPr>
        <xdr:cNvPr id="270" name="Line 449">
          <a:extLst>
            <a:ext uri="{FF2B5EF4-FFF2-40B4-BE49-F238E27FC236}">
              <a16:creationId xmlns:a16="http://schemas.microsoft.com/office/drawing/2014/main" id="{00000000-0008-0000-0100-00000E010000}"/>
            </a:ext>
          </a:extLst>
        </xdr:cNvPr>
        <xdr:cNvSpPr>
          <a:spLocks noChangeShapeType="1"/>
        </xdr:cNvSpPr>
      </xdr:nvSpPr>
      <xdr:spPr bwMode="auto">
        <a:xfrm flipH="1" flipV="1">
          <a:off x="5420592" y="46261191"/>
          <a:ext cx="4328" cy="662422"/>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723033</xdr:colOff>
      <xdr:row>296</xdr:row>
      <xdr:rowOff>145473</xdr:rowOff>
    </xdr:from>
    <xdr:to>
      <xdr:col>8</xdr:col>
      <xdr:colOff>132483</xdr:colOff>
      <xdr:row>296</xdr:row>
      <xdr:rowOff>145473</xdr:rowOff>
    </xdr:to>
    <xdr:sp macro="" textlink="">
      <xdr:nvSpPr>
        <xdr:cNvPr id="272" name="Line 450">
          <a:extLst>
            <a:ext uri="{FF2B5EF4-FFF2-40B4-BE49-F238E27FC236}">
              <a16:creationId xmlns:a16="http://schemas.microsoft.com/office/drawing/2014/main" id="{00000000-0008-0000-0100-000010010000}"/>
            </a:ext>
          </a:extLst>
        </xdr:cNvPr>
        <xdr:cNvSpPr>
          <a:spLocks noChangeShapeType="1"/>
        </xdr:cNvSpPr>
      </xdr:nvSpPr>
      <xdr:spPr bwMode="auto">
        <a:xfrm>
          <a:off x="5333999" y="46904564"/>
          <a:ext cx="227734"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757670</xdr:colOff>
      <xdr:row>292</xdr:row>
      <xdr:rowOff>155864</xdr:rowOff>
    </xdr:from>
    <xdr:to>
      <xdr:col>8</xdr:col>
      <xdr:colOff>62345</xdr:colOff>
      <xdr:row>292</xdr:row>
      <xdr:rowOff>155864</xdr:rowOff>
    </xdr:to>
    <xdr:sp macro="" textlink="">
      <xdr:nvSpPr>
        <xdr:cNvPr id="274" name="Line 451">
          <a:extLst>
            <a:ext uri="{FF2B5EF4-FFF2-40B4-BE49-F238E27FC236}">
              <a16:creationId xmlns:a16="http://schemas.microsoft.com/office/drawing/2014/main" id="{00000000-0008-0000-0100-000012010000}"/>
            </a:ext>
          </a:extLst>
        </xdr:cNvPr>
        <xdr:cNvSpPr>
          <a:spLocks noChangeShapeType="1"/>
        </xdr:cNvSpPr>
      </xdr:nvSpPr>
      <xdr:spPr bwMode="auto">
        <a:xfrm>
          <a:off x="5368636" y="46274182"/>
          <a:ext cx="122959"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680357</xdr:colOff>
      <xdr:row>296</xdr:row>
      <xdr:rowOff>114300</xdr:rowOff>
    </xdr:from>
    <xdr:to>
      <xdr:col>5</xdr:col>
      <xdr:colOff>195942</xdr:colOff>
      <xdr:row>297</xdr:row>
      <xdr:rowOff>48986</xdr:rowOff>
    </xdr:to>
    <xdr:sp macro="" textlink="">
      <xdr:nvSpPr>
        <xdr:cNvPr id="275" name="Line 343">
          <a:extLst>
            <a:ext uri="{FF2B5EF4-FFF2-40B4-BE49-F238E27FC236}">
              <a16:creationId xmlns:a16="http://schemas.microsoft.com/office/drawing/2014/main" id="{00000000-0008-0000-0100-000013010000}"/>
            </a:ext>
          </a:extLst>
        </xdr:cNvPr>
        <xdr:cNvSpPr>
          <a:spLocks noChangeShapeType="1"/>
        </xdr:cNvSpPr>
      </xdr:nvSpPr>
      <xdr:spPr bwMode="auto">
        <a:xfrm flipV="1">
          <a:off x="3037114" y="47646771"/>
          <a:ext cx="288471" cy="97972"/>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406852</xdr:colOff>
      <xdr:row>296</xdr:row>
      <xdr:rowOff>152399</xdr:rowOff>
    </xdr:from>
    <xdr:to>
      <xdr:col>4</xdr:col>
      <xdr:colOff>141513</xdr:colOff>
      <xdr:row>297</xdr:row>
      <xdr:rowOff>16328</xdr:rowOff>
    </xdr:to>
    <xdr:sp macro="" textlink="">
      <xdr:nvSpPr>
        <xdr:cNvPr id="276" name="Line 345">
          <a:extLst>
            <a:ext uri="{FF2B5EF4-FFF2-40B4-BE49-F238E27FC236}">
              <a16:creationId xmlns:a16="http://schemas.microsoft.com/office/drawing/2014/main" id="{00000000-0008-0000-0100-000014010000}"/>
            </a:ext>
          </a:extLst>
        </xdr:cNvPr>
        <xdr:cNvSpPr>
          <a:spLocks noChangeShapeType="1"/>
        </xdr:cNvSpPr>
      </xdr:nvSpPr>
      <xdr:spPr bwMode="auto">
        <a:xfrm flipH="1" flipV="1">
          <a:off x="940252" y="47684870"/>
          <a:ext cx="1558018" cy="2721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439342</xdr:colOff>
      <xdr:row>292</xdr:row>
      <xdr:rowOff>117869</xdr:rowOff>
    </xdr:from>
    <xdr:to>
      <xdr:col>5</xdr:col>
      <xdr:colOff>41672</xdr:colOff>
      <xdr:row>294</xdr:row>
      <xdr:rowOff>17859</xdr:rowOff>
    </xdr:to>
    <xdr:sp macro="" textlink="">
      <xdr:nvSpPr>
        <xdr:cNvPr id="257" name="Line 244">
          <a:extLst>
            <a:ext uri="{FF2B5EF4-FFF2-40B4-BE49-F238E27FC236}">
              <a16:creationId xmlns:a16="http://schemas.microsoft.com/office/drawing/2014/main" id="{00000000-0008-0000-0100-000001010000}"/>
            </a:ext>
          </a:extLst>
        </xdr:cNvPr>
        <xdr:cNvSpPr>
          <a:spLocks noChangeShapeType="1"/>
        </xdr:cNvSpPr>
      </xdr:nvSpPr>
      <xdr:spPr bwMode="auto">
        <a:xfrm flipH="1" flipV="1">
          <a:off x="2796780" y="40724135"/>
          <a:ext cx="376236" cy="2214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731520</xdr:colOff>
          <xdr:row>52</xdr:row>
          <xdr:rowOff>152400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docs.live.net/763985570e13792a/Proyecto%20De%20Titulaci&#243;n/Programas%20de%20C&#225;lculo/Muros%20de%20Contencion/diagrama%20de%20flujo%20del%20As%20minimo.docx" TargetMode="External"/><Relationship Id="rId1" Type="http://schemas.openxmlformats.org/officeDocument/2006/relationships/hyperlink" Target="https://d.docs.live.net/763985570e13792a/Proyecto%20De%20Titulaci&#243;n/Programas%20de%20C&#225;lculo/Muros%20de%20Contencion/Dise&#241;o%20de%20un%20muro%20de%20contencion.docx" TargetMode="External"/><Relationship Id="rId4"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pageSetUpPr fitToPage="1"/>
  </sheetPr>
  <dimension ref="A1:R330"/>
  <sheetViews>
    <sheetView tabSelected="1" zoomScaleNormal="100" zoomScaleSheetLayoutView="100" workbookViewId="0">
      <selection activeCell="B12" sqref="B12:I15"/>
    </sheetView>
  </sheetViews>
  <sheetFormatPr baseColWidth="10" defaultColWidth="0" defaultRowHeight="13.2" zeroHeight="1" x14ac:dyDescent="0.25"/>
  <cols>
    <col min="1" max="2" width="8" customWidth="1"/>
    <col min="3" max="3" width="11.6640625" bestFit="1" customWidth="1"/>
    <col min="4" max="4" width="7.5546875" customWidth="1"/>
    <col min="5" max="5" width="11.5546875" customWidth="1"/>
    <col min="6" max="6" width="8.33203125" customWidth="1"/>
    <col min="7" max="7" width="14" customWidth="1"/>
    <col min="8" max="8" width="12.33203125" bestFit="1" customWidth="1"/>
    <col min="9" max="9" width="18.88671875" customWidth="1"/>
    <col min="10" max="10" width="5" style="368" customWidth="1"/>
    <col min="11" max="11" width="11.6640625" style="368" customWidth="1"/>
    <col min="12" max="12" width="5.5546875" style="368" customWidth="1"/>
    <col min="13" max="13" width="12.44140625" style="368" customWidth="1"/>
    <col min="14" max="16" width="11.5546875" style="368" customWidth="1"/>
    <col min="17" max="18" width="6.5546875" style="368" hidden="1" customWidth="1"/>
    <col min="19" max="16384" width="6.5546875" style="368" hidden="1"/>
  </cols>
  <sheetData>
    <row r="1" spans="1:16" ht="12.75" customHeight="1" x14ac:dyDescent="0.25">
      <c r="A1" s="113"/>
      <c r="B1" s="460" t="s">
        <v>264</v>
      </c>
      <c r="C1" s="461"/>
      <c r="D1" s="461"/>
      <c r="E1" s="461"/>
      <c r="F1" s="461"/>
      <c r="G1" s="461"/>
      <c r="H1" s="462"/>
      <c r="I1" s="113"/>
      <c r="J1" s="367"/>
      <c r="K1" s="367"/>
      <c r="L1" s="367"/>
      <c r="M1" s="367"/>
      <c r="N1" s="367"/>
      <c r="O1" s="367"/>
      <c r="P1" s="367"/>
    </row>
    <row r="2" spans="1:16" ht="13.5" customHeight="1" thickBot="1" x14ac:dyDescent="0.3">
      <c r="A2" s="113"/>
      <c r="B2" s="463"/>
      <c r="C2" s="464"/>
      <c r="D2" s="464"/>
      <c r="E2" s="464"/>
      <c r="F2" s="464"/>
      <c r="G2" s="464"/>
      <c r="H2" s="465"/>
      <c r="I2" s="113"/>
      <c r="J2" s="367"/>
      <c r="K2" s="367"/>
      <c r="L2" s="367"/>
      <c r="M2" s="367"/>
      <c r="N2" s="367"/>
      <c r="O2" s="367"/>
      <c r="P2" s="367"/>
    </row>
    <row r="3" spans="1:16" ht="12.75" customHeight="1" thickBot="1" x14ac:dyDescent="0.3">
      <c r="A3" s="113"/>
      <c r="B3" s="113"/>
      <c r="C3" s="113"/>
      <c r="D3" s="113"/>
      <c r="E3" s="113"/>
      <c r="F3" s="113"/>
      <c r="G3" s="113"/>
      <c r="H3" s="113"/>
      <c r="I3" s="113"/>
      <c r="J3" s="367"/>
      <c r="K3" s="367"/>
      <c r="L3" s="367"/>
      <c r="M3" s="367"/>
      <c r="N3" s="367"/>
      <c r="O3" s="367"/>
      <c r="P3" s="367"/>
    </row>
    <row r="4" spans="1:16" ht="12.75" hidden="1" customHeight="1" x14ac:dyDescent="0.25">
      <c r="A4" s="430" t="s">
        <v>354</v>
      </c>
      <c r="B4" s="431"/>
      <c r="C4" s="431"/>
      <c r="D4" s="431"/>
      <c r="E4" s="431"/>
      <c r="F4" s="431"/>
      <c r="G4" s="431"/>
      <c r="H4" s="431"/>
      <c r="I4" s="431"/>
      <c r="J4" s="367"/>
      <c r="K4" s="367"/>
      <c r="L4" s="367"/>
      <c r="M4" s="367"/>
      <c r="N4" s="367"/>
      <c r="O4" s="367"/>
      <c r="P4" s="367"/>
    </row>
    <row r="5" spans="1:16" ht="12.75" hidden="1" customHeight="1" x14ac:dyDescent="0.25">
      <c r="A5" s="431"/>
      <c r="B5" s="431"/>
      <c r="C5" s="431"/>
      <c r="D5" s="431"/>
      <c r="E5" s="431"/>
      <c r="F5" s="431"/>
      <c r="G5" s="431"/>
      <c r="H5" s="431"/>
      <c r="I5" s="431"/>
      <c r="J5" s="367"/>
      <c r="K5" s="367"/>
      <c r="L5" s="367"/>
      <c r="M5" s="367"/>
      <c r="N5" s="367"/>
      <c r="O5" s="367"/>
      <c r="P5" s="367"/>
    </row>
    <row r="6" spans="1:16" ht="12.75" hidden="1" customHeight="1" x14ac:dyDescent="0.25">
      <c r="A6" s="431"/>
      <c r="B6" s="431"/>
      <c r="C6" s="431"/>
      <c r="D6" s="431"/>
      <c r="E6" s="431"/>
      <c r="F6" s="431"/>
      <c r="G6" s="431"/>
      <c r="H6" s="431"/>
      <c r="I6" s="431"/>
      <c r="J6" s="367"/>
      <c r="K6" s="367"/>
      <c r="L6" s="367"/>
      <c r="M6" s="367"/>
      <c r="N6" s="367"/>
      <c r="O6" s="367"/>
      <c r="P6" s="367"/>
    </row>
    <row r="7" spans="1:16" ht="12.75" hidden="1" customHeight="1" thickBot="1" x14ac:dyDescent="0.3">
      <c r="A7" s="431"/>
      <c r="B7" s="431"/>
      <c r="C7" s="431"/>
      <c r="D7" s="431"/>
      <c r="E7" s="431"/>
      <c r="F7" s="431"/>
      <c r="G7" s="431"/>
      <c r="H7" s="431"/>
      <c r="I7" s="431"/>
      <c r="J7" s="367"/>
      <c r="K7" s="367"/>
      <c r="L7" s="367"/>
      <c r="M7" s="367"/>
      <c r="N7" s="367"/>
      <c r="O7" s="367"/>
      <c r="P7" s="367"/>
    </row>
    <row r="8" spans="1:16" ht="12.75" hidden="1" customHeight="1" x14ac:dyDescent="0.25">
      <c r="A8" s="431"/>
      <c r="B8" s="431"/>
      <c r="C8" s="431"/>
      <c r="D8" s="431"/>
      <c r="E8" s="431"/>
      <c r="F8" s="431"/>
      <c r="G8" s="431"/>
      <c r="H8" s="431"/>
      <c r="I8" s="431"/>
      <c r="J8" s="369"/>
      <c r="K8" s="370" t="s">
        <v>187</v>
      </c>
      <c r="L8" s="371"/>
      <c r="M8" s="371"/>
      <c r="N8" s="371"/>
      <c r="O8" s="371"/>
      <c r="P8" s="372"/>
    </row>
    <row r="9" spans="1:16" ht="12.75" hidden="1" customHeight="1" x14ac:dyDescent="0.25">
      <c r="A9" s="431"/>
      <c r="B9" s="431"/>
      <c r="C9" s="431"/>
      <c r="D9" s="431"/>
      <c r="E9" s="431"/>
      <c r="F9" s="431"/>
      <c r="G9" s="431"/>
      <c r="H9" s="431"/>
      <c r="I9" s="431"/>
      <c r="J9" s="373"/>
      <c r="K9" s="314"/>
      <c r="L9" s="314"/>
      <c r="M9" s="314"/>
      <c r="N9" s="314"/>
      <c r="O9" s="314"/>
      <c r="P9" s="374"/>
    </row>
    <row r="10" spans="1:16" ht="12.75" hidden="1" customHeight="1" x14ac:dyDescent="0.25">
      <c r="A10" s="431"/>
      <c r="B10" s="431"/>
      <c r="C10" s="431"/>
      <c r="D10" s="431"/>
      <c r="E10" s="431"/>
      <c r="F10" s="431"/>
      <c r="G10" s="431"/>
      <c r="H10" s="431"/>
      <c r="I10" s="431"/>
      <c r="J10" s="375" t="s">
        <v>125</v>
      </c>
      <c r="K10" s="314" t="s">
        <v>192</v>
      </c>
      <c r="L10" s="314" t="s">
        <v>190</v>
      </c>
      <c r="M10" s="314"/>
      <c r="N10" s="376" t="s">
        <v>193</v>
      </c>
      <c r="O10" s="377">
        <f>G25</f>
        <v>2.7</v>
      </c>
      <c r="P10" s="374"/>
    </row>
    <row r="11" spans="1:16" hidden="1" x14ac:dyDescent="0.25">
      <c r="A11" s="100"/>
      <c r="B11" s="89"/>
      <c r="C11" s="89"/>
      <c r="D11" s="190" t="s">
        <v>68</v>
      </c>
      <c r="E11" s="89"/>
      <c r="F11" s="89"/>
      <c r="G11" s="89"/>
      <c r="H11" s="89"/>
      <c r="I11" s="89"/>
      <c r="J11" s="375"/>
      <c r="K11" s="314" t="s">
        <v>189</v>
      </c>
      <c r="L11" s="314" t="s">
        <v>191</v>
      </c>
      <c r="M11" s="314"/>
      <c r="N11" s="376" t="s">
        <v>194</v>
      </c>
      <c r="O11" s="314">
        <f>H48</f>
        <v>1.5</v>
      </c>
      <c r="P11" s="374"/>
    </row>
    <row r="12" spans="1:16" ht="12.75" customHeight="1" x14ac:dyDescent="0.25">
      <c r="A12" s="100"/>
      <c r="B12" s="424" t="s">
        <v>355</v>
      </c>
      <c r="C12" s="425"/>
      <c r="D12" s="425"/>
      <c r="E12" s="425"/>
      <c r="F12" s="425"/>
      <c r="G12" s="425"/>
      <c r="H12" s="425"/>
      <c r="I12" s="426"/>
      <c r="J12" s="378"/>
      <c r="K12" s="314"/>
      <c r="L12" s="314"/>
      <c r="M12" s="314"/>
      <c r="N12" s="376"/>
      <c r="O12" s="314"/>
      <c r="P12" s="374"/>
    </row>
    <row r="13" spans="1:16" x14ac:dyDescent="0.25">
      <c r="A13" s="100"/>
      <c r="B13" s="427"/>
      <c r="C13" s="428"/>
      <c r="D13" s="428"/>
      <c r="E13" s="428"/>
      <c r="F13" s="428"/>
      <c r="G13" s="428"/>
      <c r="H13" s="428"/>
      <c r="I13" s="429"/>
      <c r="J13" s="378"/>
      <c r="K13" s="314"/>
      <c r="L13" s="314"/>
      <c r="M13" s="314"/>
      <c r="N13" s="376"/>
      <c r="O13" s="314"/>
      <c r="P13" s="374"/>
    </row>
    <row r="14" spans="1:16" x14ac:dyDescent="0.25">
      <c r="A14" s="100"/>
      <c r="B14" s="427"/>
      <c r="C14" s="428"/>
      <c r="D14" s="428"/>
      <c r="E14" s="428"/>
      <c r="F14" s="428"/>
      <c r="G14" s="428"/>
      <c r="H14" s="428"/>
      <c r="I14" s="429"/>
      <c r="J14" s="378"/>
      <c r="K14" s="314"/>
      <c r="L14" s="314"/>
      <c r="M14" s="314"/>
      <c r="N14" s="376"/>
      <c r="O14" s="314"/>
      <c r="P14" s="374"/>
    </row>
    <row r="15" spans="1:16" x14ac:dyDescent="0.25">
      <c r="A15" s="100"/>
      <c r="B15" s="427"/>
      <c r="C15" s="428"/>
      <c r="D15" s="428"/>
      <c r="E15" s="428"/>
      <c r="F15" s="428"/>
      <c r="G15" s="428"/>
      <c r="H15" s="428"/>
      <c r="I15" s="429"/>
      <c r="J15" s="311"/>
      <c r="K15" s="327"/>
      <c r="L15" s="327"/>
      <c r="M15" s="327"/>
      <c r="N15" s="206"/>
      <c r="O15" s="327"/>
      <c r="P15" s="412"/>
    </row>
    <row r="16" spans="1:16" ht="13.8" thickBot="1" x14ac:dyDescent="0.3">
      <c r="A16" s="100"/>
      <c r="B16" s="439" t="s">
        <v>356</v>
      </c>
      <c r="C16" s="440"/>
      <c r="D16" s="440"/>
      <c r="E16" s="440"/>
      <c r="F16" s="112"/>
      <c r="G16" s="112"/>
      <c r="H16" s="112"/>
      <c r="I16" s="365"/>
      <c r="J16" s="311"/>
      <c r="K16" s="327"/>
      <c r="L16" s="327"/>
      <c r="M16" s="327"/>
      <c r="N16" s="206"/>
      <c r="O16" s="327"/>
      <c r="P16" s="412"/>
    </row>
    <row r="17" spans="1:16" x14ac:dyDescent="0.25">
      <c r="A17" s="100"/>
      <c r="B17" s="89"/>
      <c r="C17" s="89"/>
      <c r="D17" s="190" t="s">
        <v>35</v>
      </c>
      <c r="E17" s="89"/>
      <c r="F17" s="89"/>
      <c r="G17" s="89"/>
      <c r="H17" s="89"/>
      <c r="I17" s="89"/>
      <c r="J17" s="413"/>
      <c r="K17" s="327"/>
      <c r="L17" s="327"/>
      <c r="M17" s="327"/>
      <c r="N17" s="206" t="s">
        <v>195</v>
      </c>
      <c r="O17" s="414">
        <f>B23</f>
        <v>0.3469740313698873</v>
      </c>
      <c r="P17" s="412"/>
    </row>
    <row r="18" spans="1:16" ht="9.75" customHeight="1" x14ac:dyDescent="0.25">
      <c r="A18" s="100"/>
      <c r="B18" s="89"/>
      <c r="C18" s="89"/>
      <c r="D18" s="473" t="s">
        <v>256</v>
      </c>
      <c r="E18" s="473"/>
      <c r="F18" s="89"/>
      <c r="G18" s="191" t="s">
        <v>215</v>
      </c>
      <c r="H18" s="89"/>
      <c r="I18" s="89"/>
      <c r="J18" s="413"/>
      <c r="K18" s="327"/>
      <c r="L18" s="327"/>
      <c r="M18" s="327"/>
      <c r="N18" s="206" t="s">
        <v>319</v>
      </c>
      <c r="O18" s="415">
        <f>B21</f>
        <v>2.2999999999999998</v>
      </c>
      <c r="P18" s="416"/>
    </row>
    <row r="19" spans="1:16" ht="25.5" customHeight="1" x14ac:dyDescent="0.25">
      <c r="A19" s="471" t="s">
        <v>37</v>
      </c>
      <c r="B19" s="472"/>
      <c r="C19" s="110" t="s">
        <v>132</v>
      </c>
      <c r="D19" s="89"/>
      <c r="E19" s="161">
        <f>B23*B21*H23</f>
        <v>0.18354926259467036</v>
      </c>
      <c r="F19" s="192" t="s">
        <v>1</v>
      </c>
      <c r="G19" s="173" t="s">
        <v>2</v>
      </c>
      <c r="H19" s="4"/>
      <c r="I19" s="89"/>
      <c r="J19" s="417"/>
      <c r="K19" s="327"/>
      <c r="L19" s="327"/>
      <c r="M19" s="327"/>
      <c r="N19" s="206" t="s">
        <v>196</v>
      </c>
      <c r="O19" s="414">
        <f>B22</f>
        <v>0.55430905145276899</v>
      </c>
      <c r="P19" s="412"/>
    </row>
    <row r="20" spans="1:16" ht="13.8" thickBot="1" x14ac:dyDescent="0.3">
      <c r="A20" s="193" t="s">
        <v>5</v>
      </c>
      <c r="B20" s="341">
        <v>29</v>
      </c>
      <c r="C20" s="1"/>
      <c r="D20" s="468"/>
      <c r="E20" s="468"/>
      <c r="F20" s="125"/>
      <c r="G20" s="102" t="s">
        <v>3</v>
      </c>
      <c r="H20" s="255">
        <v>190</v>
      </c>
      <c r="I20" s="97"/>
      <c r="J20" s="417"/>
      <c r="K20" s="311"/>
      <c r="L20" s="418"/>
      <c r="M20" s="311"/>
      <c r="N20" s="206" t="s">
        <v>319</v>
      </c>
      <c r="O20" s="419">
        <f>O18</f>
        <v>2.2999999999999998</v>
      </c>
      <c r="P20" s="416"/>
    </row>
    <row r="21" spans="1:16" ht="13.8" x14ac:dyDescent="0.3">
      <c r="A21" s="291" t="s">
        <v>319</v>
      </c>
      <c r="B21" s="342">
        <v>2.2999999999999998</v>
      </c>
      <c r="C21" s="89"/>
      <c r="D21" s="6"/>
      <c r="E21" s="6"/>
      <c r="F21" s="89"/>
      <c r="G21" s="102" t="s">
        <v>4</v>
      </c>
      <c r="H21" s="256">
        <v>350</v>
      </c>
      <c r="I21" s="89"/>
      <c r="J21" s="417"/>
      <c r="K21" s="206" t="s">
        <v>328</v>
      </c>
      <c r="L21" s="432">
        <f>ROUND((O10*O11*O17*O18)/(2*O19*O20),1)</f>
        <v>1.3</v>
      </c>
      <c r="M21" s="432"/>
      <c r="N21" s="327"/>
      <c r="O21" s="327"/>
      <c r="P21" s="412"/>
    </row>
    <row r="22" spans="1:16" x14ac:dyDescent="0.25">
      <c r="A22" s="166" t="s">
        <v>5</v>
      </c>
      <c r="B22" s="343">
        <f>TAN(RADIANS(B20))</f>
        <v>0.55430905145276899</v>
      </c>
      <c r="C22" s="89"/>
      <c r="D22" s="6"/>
      <c r="E22" s="6"/>
      <c r="F22" s="89"/>
      <c r="G22" s="102" t="s">
        <v>36</v>
      </c>
      <c r="H22" s="257">
        <f>H20+H21</f>
        <v>540</v>
      </c>
      <c r="I22" s="89"/>
      <c r="J22" s="417"/>
      <c r="K22" s="327"/>
      <c r="L22" s="327"/>
      <c r="M22" s="327"/>
      <c r="N22" s="327"/>
      <c r="O22" s="327"/>
      <c r="P22" s="412"/>
    </row>
    <row r="23" spans="1:16" x14ac:dyDescent="0.25">
      <c r="A23" s="166" t="s">
        <v>6</v>
      </c>
      <c r="B23" s="114">
        <f>(1-SIN(RADIANS($B$20)))/(1+SIN(RADIANS($B$20)))</f>
        <v>0.3469740313698873</v>
      </c>
      <c r="C23" s="89"/>
      <c r="D23" s="6"/>
      <c r="E23" s="6"/>
      <c r="F23" s="89"/>
      <c r="G23" s="206" t="s">
        <v>9</v>
      </c>
      <c r="H23" s="258">
        <f>ROUND(H22/(B21*1000),2)</f>
        <v>0.23</v>
      </c>
      <c r="I23" s="327"/>
      <c r="J23" s="413" t="s">
        <v>126</v>
      </c>
      <c r="K23" s="327" t="s">
        <v>197</v>
      </c>
      <c r="L23" s="327" t="s">
        <v>200</v>
      </c>
      <c r="M23" s="327" t="s">
        <v>201</v>
      </c>
      <c r="N23" s="206" t="s">
        <v>203</v>
      </c>
      <c r="O23" s="327">
        <f>H49</f>
        <v>2</v>
      </c>
      <c r="P23" s="412"/>
    </row>
    <row r="24" spans="1:16" x14ac:dyDescent="0.25">
      <c r="A24" s="166" t="s">
        <v>7</v>
      </c>
      <c r="B24" s="114">
        <f>(1+SIN(RADIANS($B$20)))/(1-SIN(RADIANS($B$20)))</f>
        <v>2.882060066719986</v>
      </c>
      <c r="C24" s="89"/>
      <c r="D24" s="10" t="s">
        <v>113</v>
      </c>
      <c r="E24" s="6"/>
      <c r="F24" s="89"/>
      <c r="G24" s="206" t="s">
        <v>10</v>
      </c>
      <c r="H24" s="258">
        <f>G25</f>
        <v>2.7</v>
      </c>
      <c r="I24" s="327"/>
      <c r="J24" s="420"/>
      <c r="K24" s="327" t="s">
        <v>198</v>
      </c>
      <c r="L24" s="327" t="s">
        <v>199</v>
      </c>
      <c r="M24" s="311" t="s">
        <v>202</v>
      </c>
      <c r="N24" s="206" t="s">
        <v>328</v>
      </c>
      <c r="O24" s="421">
        <f>L21</f>
        <v>1.3</v>
      </c>
      <c r="P24" s="412"/>
    </row>
    <row r="25" spans="1:16" ht="25.5" customHeight="1" x14ac:dyDescent="0.25">
      <c r="A25" s="100"/>
      <c r="B25" s="4"/>
      <c r="C25" s="205">
        <v>2</v>
      </c>
      <c r="D25" s="6"/>
      <c r="E25" s="6"/>
      <c r="F25" s="102" t="s">
        <v>10</v>
      </c>
      <c r="G25" s="294">
        <f>C25+A31</f>
        <v>2.7</v>
      </c>
      <c r="H25" s="89"/>
      <c r="I25" s="89"/>
      <c r="J25" s="420"/>
      <c r="K25" s="327"/>
      <c r="L25" s="327"/>
      <c r="M25" s="327"/>
      <c r="N25" s="206" t="s">
        <v>204</v>
      </c>
      <c r="O25" s="422">
        <v>0.4</v>
      </c>
      <c r="P25" s="412"/>
    </row>
    <row r="26" spans="1:16" x14ac:dyDescent="0.25">
      <c r="A26" s="100"/>
      <c r="B26" s="194" t="s">
        <v>131</v>
      </c>
      <c r="C26" s="174" t="s">
        <v>257</v>
      </c>
      <c r="D26" s="6"/>
      <c r="E26" s="7"/>
      <c r="F26" s="101"/>
      <c r="G26" s="174" t="s">
        <v>11</v>
      </c>
      <c r="H26" s="254">
        <f>0.5*B23*B21*H24*(H24+(2*H23))</f>
        <v>3.4044398009950601</v>
      </c>
      <c r="I26" s="89"/>
      <c r="J26" s="420"/>
      <c r="K26" s="327"/>
      <c r="L26" s="327"/>
      <c r="M26" s="327"/>
      <c r="N26" s="327"/>
      <c r="O26" s="327"/>
      <c r="P26" s="412"/>
    </row>
    <row r="27" spans="1:16" ht="18" customHeight="1" x14ac:dyDescent="0.25">
      <c r="A27" s="100"/>
      <c r="B27" s="89"/>
      <c r="C27" s="89"/>
      <c r="D27" s="6"/>
      <c r="E27" s="6"/>
      <c r="F27" s="195" t="s">
        <v>0</v>
      </c>
      <c r="G27" s="89"/>
      <c r="H27" s="89"/>
      <c r="I27" s="89"/>
      <c r="J27" s="420"/>
      <c r="K27" s="206" t="s">
        <v>360</v>
      </c>
      <c r="L27" s="414">
        <f>-ROUND(O10*((O19/3)*(O23/O11)-((O24*0.5)/O10)),1)</f>
        <v>0</v>
      </c>
      <c r="M27" s="327" t="s">
        <v>262</v>
      </c>
      <c r="N27" s="423" t="s">
        <v>261</v>
      </c>
      <c r="O27" s="379" t="str">
        <f>IF(L27&gt;=O25,"Cumple","No cumple")</f>
        <v>No cumple</v>
      </c>
      <c r="P27" s="412"/>
    </row>
    <row r="28" spans="1:16" ht="16.5" customHeight="1" thickBot="1" x14ac:dyDescent="0.3">
      <c r="A28" s="469" t="s">
        <v>34</v>
      </c>
      <c r="B28" s="470"/>
      <c r="C28" s="470"/>
      <c r="D28" s="6"/>
      <c r="E28" s="6"/>
      <c r="F28" s="89"/>
      <c r="G28" s="89"/>
      <c r="H28" s="89"/>
      <c r="I28" s="89"/>
      <c r="J28" s="420"/>
      <c r="K28" s="327" t="s">
        <v>206</v>
      </c>
      <c r="L28" s="327"/>
      <c r="M28" s="327"/>
      <c r="N28" s="327"/>
      <c r="O28" s="327"/>
      <c r="P28" s="412"/>
    </row>
    <row r="29" spans="1:16" x14ac:dyDescent="0.25">
      <c r="A29" s="100"/>
      <c r="B29" s="6"/>
      <c r="C29" s="6"/>
      <c r="D29" s="82" t="s">
        <v>235</v>
      </c>
      <c r="E29" s="8"/>
      <c r="F29" s="196"/>
      <c r="G29" s="174" t="s">
        <v>13</v>
      </c>
      <c r="H29" s="136">
        <f>((H24^2)+(3*H24*H23))/(3*(H24+(2*H23)))</f>
        <v>0.9655063291139242</v>
      </c>
      <c r="I29" s="89"/>
      <c r="J29" s="420"/>
      <c r="K29" s="443" t="s">
        <v>205</v>
      </c>
      <c r="L29" s="444">
        <v>0.4</v>
      </c>
      <c r="M29" s="444"/>
      <c r="N29" s="441" t="str">
        <f>IF(O27="NO CUMPLE","COLOCAR LA DIMENSIÓN B2 MIN","COLOCAR B2 CALC")</f>
        <v>COLOCAR LA DIMENSIÓN B2 MIN</v>
      </c>
      <c r="O29" s="441"/>
      <c r="P29" s="442"/>
    </row>
    <row r="30" spans="1:16" x14ac:dyDescent="0.25">
      <c r="A30" s="100"/>
      <c r="B30" s="6"/>
      <c r="C30" s="83">
        <f>A31-B32</f>
        <v>0.31799999999999989</v>
      </c>
      <c r="D30" s="82"/>
      <c r="E30" s="6"/>
      <c r="F30" s="196" t="s">
        <v>236</v>
      </c>
      <c r="G30" s="197" t="s">
        <v>110</v>
      </c>
      <c r="H30" s="89"/>
      <c r="I30" s="89"/>
      <c r="J30" s="420"/>
      <c r="K30" s="443"/>
      <c r="L30" s="444"/>
      <c r="M30" s="444"/>
      <c r="N30" s="441"/>
      <c r="O30" s="441"/>
      <c r="P30" s="442"/>
    </row>
    <row r="31" spans="1:16" ht="13.8" thickBot="1" x14ac:dyDescent="0.3">
      <c r="A31" s="90">
        <v>0.7</v>
      </c>
      <c r="B31" s="6"/>
      <c r="C31" s="84" t="s">
        <v>258</v>
      </c>
      <c r="D31" s="6"/>
      <c r="E31" s="6"/>
      <c r="F31" s="89"/>
      <c r="G31" s="102" t="s">
        <v>111</v>
      </c>
      <c r="H31" s="290">
        <v>0.4</v>
      </c>
      <c r="I31" s="314" t="str">
        <f>IF(H31&gt;H36,"Cumple","Aumentar a 10cm por cada diez")</f>
        <v>Cumple</v>
      </c>
      <c r="J31" s="375"/>
      <c r="K31" s="314"/>
      <c r="L31" s="314"/>
      <c r="M31" s="314"/>
      <c r="N31" s="314"/>
      <c r="O31" s="314"/>
      <c r="P31" s="374"/>
    </row>
    <row r="32" spans="1:16" ht="13.8" thickBot="1" x14ac:dyDescent="0.3">
      <c r="A32" s="87" t="s">
        <v>208</v>
      </c>
      <c r="B32" s="296">
        <f>MAX((0.12*G25),(0.16*G25))-0.05</f>
        <v>0.38200000000000006</v>
      </c>
      <c r="C32" s="9"/>
      <c r="D32" s="25"/>
      <c r="E32" s="77"/>
      <c r="F32" s="125"/>
      <c r="G32" s="102" t="s">
        <v>112</v>
      </c>
      <c r="H32" s="253">
        <v>0.5</v>
      </c>
      <c r="I32" s="97"/>
      <c r="J32" s="373"/>
      <c r="K32" s="314"/>
      <c r="L32" s="314"/>
      <c r="M32" s="314"/>
      <c r="N32" s="314"/>
      <c r="O32" s="314"/>
      <c r="P32" s="374"/>
    </row>
    <row r="33" spans="1:16" x14ac:dyDescent="0.25">
      <c r="A33" s="86"/>
      <c r="B33" s="89"/>
      <c r="C33" s="198"/>
      <c r="D33" s="199" t="s">
        <v>65</v>
      </c>
      <c r="E33" s="200">
        <f>B23*B21*(G25+H23)</f>
        <v>2.3382579974016702</v>
      </c>
      <c r="F33" s="89"/>
      <c r="G33" s="173"/>
      <c r="H33" s="89"/>
      <c r="I33" s="89"/>
      <c r="J33" s="373"/>
      <c r="K33" s="314"/>
      <c r="L33" s="314"/>
      <c r="M33" s="314"/>
      <c r="N33" s="314"/>
      <c r="O33" s="314"/>
      <c r="P33" s="374"/>
    </row>
    <row r="34" spans="1:16" x14ac:dyDescent="0.25">
      <c r="A34" s="164" t="s">
        <v>134</v>
      </c>
      <c r="B34" s="89"/>
      <c r="C34" s="201" t="s">
        <v>233</v>
      </c>
      <c r="D34" s="192"/>
      <c r="E34" s="114"/>
      <c r="F34" s="89"/>
      <c r="G34" s="173"/>
      <c r="H34" s="141"/>
      <c r="I34" s="89"/>
      <c r="J34" s="373"/>
      <c r="K34" s="376"/>
      <c r="L34" s="451"/>
      <c r="M34" s="451"/>
      <c r="N34" s="314"/>
      <c r="O34" s="314"/>
      <c r="P34" s="374"/>
    </row>
    <row r="35" spans="1:16" x14ac:dyDescent="0.25">
      <c r="A35" s="100"/>
      <c r="B35" s="89"/>
      <c r="C35" s="201" t="s">
        <v>188</v>
      </c>
      <c r="D35" s="199" t="s">
        <v>234</v>
      </c>
      <c r="E35" s="202"/>
      <c r="F35" s="89"/>
      <c r="G35" s="173" t="s">
        <v>135</v>
      </c>
      <c r="H35" s="141"/>
      <c r="I35" s="89"/>
      <c r="J35" s="373"/>
      <c r="K35" s="314"/>
      <c r="L35" s="314"/>
      <c r="M35" s="314"/>
      <c r="N35" s="314"/>
      <c r="O35" s="314"/>
      <c r="P35" s="374"/>
    </row>
    <row r="36" spans="1:16" x14ac:dyDescent="0.25">
      <c r="A36" s="165"/>
      <c r="B36" s="189"/>
      <c r="C36" s="293">
        <f>L29+0.1</f>
        <v>0.5</v>
      </c>
      <c r="D36" s="315">
        <f>L21+0.1</f>
        <v>1.4000000000000001</v>
      </c>
      <c r="E36" s="89"/>
      <c r="F36" s="89"/>
      <c r="G36" s="102" t="s">
        <v>136</v>
      </c>
      <c r="H36" s="295">
        <f>MAX((0.3),(0.08*G25))</f>
        <v>0.3</v>
      </c>
      <c r="I36" s="89"/>
      <c r="J36" s="375"/>
      <c r="K36" s="314"/>
      <c r="L36" s="314"/>
      <c r="M36" s="314"/>
      <c r="N36" s="376"/>
      <c r="O36" s="380"/>
      <c r="P36" s="374"/>
    </row>
    <row r="37" spans="1:16" x14ac:dyDescent="0.25">
      <c r="A37" s="100"/>
      <c r="B37" s="89"/>
      <c r="C37" s="24" t="s">
        <v>133</v>
      </c>
      <c r="D37" s="3"/>
      <c r="E37" s="89"/>
      <c r="F37" s="89"/>
      <c r="G37" s="197" t="s">
        <v>223</v>
      </c>
      <c r="H37" s="89"/>
      <c r="I37" s="89"/>
      <c r="J37" s="373"/>
      <c r="K37" s="314"/>
      <c r="L37" s="314"/>
      <c r="M37" s="314"/>
      <c r="N37" s="314"/>
      <c r="O37" s="314"/>
      <c r="P37" s="374"/>
    </row>
    <row r="38" spans="1:16" x14ac:dyDescent="0.25">
      <c r="A38" s="100"/>
      <c r="B38" s="89"/>
      <c r="C38" s="324">
        <f>C36+D36+H31</f>
        <v>2.3000000000000003</v>
      </c>
      <c r="D38" s="72"/>
      <c r="E38" s="89"/>
      <c r="F38" s="89"/>
      <c r="G38" s="102" t="s">
        <v>224</v>
      </c>
      <c r="H38" s="101" t="s">
        <v>225</v>
      </c>
      <c r="I38" s="192" t="s">
        <v>51</v>
      </c>
      <c r="J38" s="373"/>
      <c r="K38" s="376"/>
      <c r="L38" s="451"/>
      <c r="M38" s="451"/>
      <c r="N38" s="314"/>
      <c r="O38" s="314"/>
      <c r="P38" s="374"/>
    </row>
    <row r="39" spans="1:16" ht="13.8" thickBot="1" x14ac:dyDescent="0.3">
      <c r="A39" s="111"/>
      <c r="B39" s="112"/>
      <c r="C39" s="203" t="s">
        <v>237</v>
      </c>
      <c r="D39" s="204"/>
      <c r="E39" s="112"/>
      <c r="F39" s="2"/>
      <c r="G39" s="88" t="s">
        <v>224</v>
      </c>
      <c r="H39" s="252">
        <f>H26*H29</f>
        <v>3.2870081749480788</v>
      </c>
      <c r="I39" s="345"/>
      <c r="J39" s="373"/>
      <c r="K39" s="314"/>
      <c r="L39" s="314"/>
      <c r="M39" s="314"/>
      <c r="N39" s="314"/>
      <c r="O39" s="314"/>
      <c r="P39" s="374"/>
    </row>
    <row r="40" spans="1:16" ht="13.8" thickBot="1" x14ac:dyDescent="0.3">
      <c r="A40" s="150" t="s">
        <v>117</v>
      </c>
      <c r="B40" s="108" t="s">
        <v>14</v>
      </c>
      <c r="C40" s="107"/>
      <c r="D40" s="185"/>
      <c r="E40" s="107"/>
      <c r="F40" s="107"/>
      <c r="G40" s="107"/>
      <c r="H40" s="107"/>
      <c r="I40" s="107"/>
      <c r="J40" s="381"/>
      <c r="K40" s="382"/>
      <c r="L40" s="382"/>
      <c r="M40" s="382"/>
      <c r="N40" s="382"/>
      <c r="O40" s="382"/>
      <c r="P40" s="383"/>
    </row>
    <row r="41" spans="1:16" x14ac:dyDescent="0.25">
      <c r="A41" s="95" t="s">
        <v>125</v>
      </c>
      <c r="B41" s="96" t="s">
        <v>150</v>
      </c>
      <c r="C41" s="89"/>
      <c r="D41" s="89"/>
      <c r="E41" s="89"/>
      <c r="F41" s="89"/>
      <c r="G41" s="299" t="s">
        <v>214</v>
      </c>
      <c r="H41" s="107"/>
      <c r="I41" s="107"/>
      <c r="J41" s="384"/>
      <c r="K41" s="382"/>
      <c r="L41" s="382"/>
      <c r="M41" s="382"/>
      <c r="N41" s="382"/>
      <c r="O41" s="382"/>
      <c r="P41" s="383"/>
    </row>
    <row r="42" spans="1:16" x14ac:dyDescent="0.25">
      <c r="A42" s="95"/>
      <c r="B42" s="135" t="s">
        <v>10</v>
      </c>
      <c r="C42" s="249">
        <f>G25-B32</f>
        <v>2.3180000000000001</v>
      </c>
      <c r="D42" s="89"/>
      <c r="E42" s="89"/>
      <c r="F42" s="89"/>
      <c r="G42" s="300" t="s">
        <v>245</v>
      </c>
      <c r="H42" s="91">
        <v>1.4</v>
      </c>
      <c r="I42" s="141" t="s">
        <v>219</v>
      </c>
      <c r="J42" s="384"/>
      <c r="K42" s="382"/>
      <c r="L42" s="382"/>
      <c r="M42" s="382"/>
      <c r="N42" s="382"/>
      <c r="O42" s="382"/>
      <c r="P42" s="383"/>
    </row>
    <row r="43" spans="1:16" ht="13.8" thickBot="1" x14ac:dyDescent="0.3">
      <c r="A43" s="100"/>
      <c r="B43" s="102" t="s">
        <v>11</v>
      </c>
      <c r="C43" s="251">
        <f>0.5*B23*B21*C42*(C42+2*H23)</f>
        <v>2.5694518603242842</v>
      </c>
      <c r="D43" s="89"/>
      <c r="E43" s="89"/>
      <c r="F43" s="89"/>
      <c r="G43" s="300" t="s">
        <v>244</v>
      </c>
      <c r="H43" s="91">
        <v>1.7</v>
      </c>
      <c r="I43" s="141" t="s">
        <v>219</v>
      </c>
      <c r="J43" s="385"/>
      <c r="K43" s="386"/>
      <c r="L43" s="452"/>
      <c r="M43" s="452"/>
      <c r="N43" s="387"/>
      <c r="O43" s="387"/>
      <c r="P43" s="388"/>
    </row>
    <row r="44" spans="1:16" x14ac:dyDescent="0.25">
      <c r="A44" s="100"/>
      <c r="B44" s="102" t="s">
        <v>13</v>
      </c>
      <c r="C44" s="250">
        <f>(C42*C42+3*C42*H23)/(3*(C42+2*H23))</f>
        <v>0.83663834893208555</v>
      </c>
      <c r="D44" s="89"/>
      <c r="E44" s="89"/>
      <c r="F44" s="89"/>
      <c r="G44" s="301" t="s">
        <v>38</v>
      </c>
      <c r="H44" s="91">
        <v>250</v>
      </c>
      <c r="I44" s="141" t="s">
        <v>39</v>
      </c>
      <c r="J44" s="389"/>
      <c r="K44" s="390"/>
      <c r="L44" s="390"/>
      <c r="M44" s="390"/>
      <c r="N44" s="390"/>
      <c r="O44" s="390"/>
      <c r="P44" s="391"/>
    </row>
    <row r="45" spans="1:16" x14ac:dyDescent="0.25">
      <c r="A45" s="100"/>
      <c r="B45" s="89" t="s">
        <v>145</v>
      </c>
      <c r="C45" s="89">
        <f>H43</f>
        <v>1.7</v>
      </c>
      <c r="D45" s="89"/>
      <c r="E45" s="89"/>
      <c r="F45" s="89"/>
      <c r="G45" s="301" t="s">
        <v>40</v>
      </c>
      <c r="H45" s="91">
        <v>4200</v>
      </c>
      <c r="I45" s="141" t="s">
        <v>39</v>
      </c>
      <c r="J45" s="389"/>
      <c r="K45" s="390"/>
      <c r="L45" s="390"/>
      <c r="M45" s="390"/>
      <c r="N45" s="390"/>
      <c r="O45" s="390"/>
      <c r="P45" s="391"/>
    </row>
    <row r="46" spans="1:16" x14ac:dyDescent="0.25">
      <c r="A46" s="100"/>
      <c r="B46" s="102" t="s">
        <v>15</v>
      </c>
      <c r="C46" s="260">
        <f>C45*C44*C43</f>
        <v>3.6544933355397142</v>
      </c>
      <c r="D46" s="89"/>
      <c r="E46" s="89"/>
      <c r="F46" s="89"/>
      <c r="G46" s="302" t="s">
        <v>320</v>
      </c>
      <c r="H46" s="92">
        <v>2.4</v>
      </c>
      <c r="I46" s="141" t="s">
        <v>45</v>
      </c>
      <c r="J46" s="389"/>
      <c r="K46" s="390"/>
      <c r="L46" s="390"/>
      <c r="M46" s="390"/>
      <c r="N46" s="390"/>
      <c r="O46" s="390"/>
      <c r="P46" s="391"/>
    </row>
    <row r="47" spans="1:16" x14ac:dyDescent="0.25">
      <c r="A47" s="100"/>
      <c r="B47" s="105" t="s">
        <v>321</v>
      </c>
      <c r="C47" s="94">
        <v>2.1299999999999999E-2</v>
      </c>
      <c r="D47" s="186" t="s">
        <v>220</v>
      </c>
      <c r="E47" s="89"/>
      <c r="F47" s="89"/>
      <c r="G47" s="308" t="s">
        <v>327</v>
      </c>
      <c r="H47" s="344">
        <v>11.2</v>
      </c>
      <c r="I47" s="141" t="s">
        <v>359</v>
      </c>
      <c r="J47" s="389"/>
      <c r="K47" s="390"/>
      <c r="L47" s="390"/>
      <c r="M47" s="390"/>
      <c r="N47" s="390"/>
      <c r="O47" s="390"/>
      <c r="P47" s="391"/>
    </row>
    <row r="48" spans="1:16" x14ac:dyDescent="0.25">
      <c r="A48" s="166"/>
      <c r="B48" s="105" t="s">
        <v>17</v>
      </c>
      <c r="C48" s="259">
        <v>0.75</v>
      </c>
      <c r="D48" s="187" t="s">
        <v>221</v>
      </c>
      <c r="E48" s="89"/>
      <c r="F48" s="89"/>
      <c r="G48" s="301" t="s">
        <v>121</v>
      </c>
      <c r="H48" s="246">
        <v>1.5</v>
      </c>
      <c r="I48" s="141" t="s">
        <v>124</v>
      </c>
      <c r="J48" s="389"/>
      <c r="K48" s="390"/>
      <c r="L48" s="390"/>
      <c r="M48" s="390"/>
      <c r="N48" s="390"/>
      <c r="O48" s="390"/>
      <c r="P48" s="391"/>
    </row>
    <row r="49" spans="1:16" x14ac:dyDescent="0.25">
      <c r="A49" s="100"/>
      <c r="B49" s="105" t="s">
        <v>17</v>
      </c>
      <c r="C49" s="188">
        <f>C48*C47</f>
        <v>1.5975E-2</v>
      </c>
      <c r="D49" s="138" t="s">
        <v>20</v>
      </c>
      <c r="E49" s="476">
        <f>C49*H45*(1-0.59*C49*H45/H44)*10</f>
        <v>564.70895901000006</v>
      </c>
      <c r="F49" s="476"/>
      <c r="G49" s="301" t="s">
        <v>122</v>
      </c>
      <c r="H49" s="246">
        <v>2</v>
      </c>
      <c r="I49" s="141" t="s">
        <v>123</v>
      </c>
      <c r="J49" s="389"/>
      <c r="K49" s="390"/>
      <c r="L49" s="390"/>
      <c r="M49" s="390"/>
      <c r="N49" s="390"/>
      <c r="O49" s="390"/>
      <c r="P49" s="391"/>
    </row>
    <row r="50" spans="1:16" x14ac:dyDescent="0.25">
      <c r="A50" s="100"/>
      <c r="B50" s="105" t="s">
        <v>108</v>
      </c>
      <c r="C50" s="143">
        <f>MIN((14.1/H45),(0.0012))</f>
        <v>1.1999999999999999E-3</v>
      </c>
      <c r="D50" s="105" t="s">
        <v>19</v>
      </c>
      <c r="E50" s="89"/>
      <c r="F50" s="89"/>
      <c r="G50" s="193" t="s">
        <v>21</v>
      </c>
      <c r="H50" s="91">
        <v>0.85</v>
      </c>
      <c r="I50" s="141" t="s">
        <v>209</v>
      </c>
      <c r="J50" s="389"/>
      <c r="K50" s="390"/>
      <c r="L50" s="390"/>
      <c r="M50" s="390"/>
      <c r="N50" s="390"/>
      <c r="O50" s="390"/>
      <c r="P50" s="391"/>
    </row>
    <row r="51" spans="1:16" x14ac:dyDescent="0.25">
      <c r="A51" s="100"/>
      <c r="B51" s="105"/>
      <c r="C51" s="130"/>
      <c r="D51" s="105" t="s">
        <v>21</v>
      </c>
      <c r="E51" s="114">
        <f>H51</f>
        <v>0.9</v>
      </c>
      <c r="F51" s="89"/>
      <c r="G51" s="193" t="s">
        <v>21</v>
      </c>
      <c r="H51" s="92">
        <v>0.9</v>
      </c>
      <c r="I51" s="141" t="s">
        <v>211</v>
      </c>
      <c r="J51" s="389"/>
      <c r="K51" s="390"/>
      <c r="L51" s="390"/>
      <c r="M51" s="390"/>
      <c r="N51" s="390"/>
      <c r="O51" s="390"/>
      <c r="P51" s="391"/>
    </row>
    <row r="52" spans="1:16" x14ac:dyDescent="0.25">
      <c r="A52" s="477"/>
      <c r="B52" s="184" t="s">
        <v>222</v>
      </c>
      <c r="C52" s="130"/>
      <c r="D52" s="135" t="s">
        <v>146</v>
      </c>
      <c r="E52" s="297">
        <f>C38</f>
        <v>2.3000000000000003</v>
      </c>
      <c r="F52" s="73"/>
      <c r="G52" s="303" t="s">
        <v>108</v>
      </c>
      <c r="H52" s="247" t="s">
        <v>212</v>
      </c>
      <c r="I52" s="141" t="s">
        <v>213</v>
      </c>
      <c r="J52" s="389"/>
      <c r="K52" s="390"/>
      <c r="L52" s="390"/>
      <c r="M52" s="390"/>
      <c r="N52" s="390"/>
      <c r="O52" s="390"/>
      <c r="P52" s="391"/>
    </row>
    <row r="53" spans="1:16" x14ac:dyDescent="0.25">
      <c r="A53" s="477"/>
      <c r="B53" s="89"/>
      <c r="C53" s="130"/>
      <c r="D53" s="277" t="s">
        <v>330</v>
      </c>
      <c r="E53" s="137">
        <f>SQRT(C46/(E51*E52*E49))</f>
        <v>5.5913422363767874E-2</v>
      </c>
      <c r="F53" s="89"/>
      <c r="G53" s="304" t="s">
        <v>216</v>
      </c>
      <c r="H53" s="93">
        <v>5</v>
      </c>
      <c r="I53" s="141" t="s">
        <v>207</v>
      </c>
      <c r="J53" s="389"/>
      <c r="K53" s="390"/>
      <c r="L53" s="390"/>
      <c r="M53" s="390"/>
      <c r="N53" s="390"/>
      <c r="O53" s="390"/>
      <c r="P53" s="391"/>
    </row>
    <row r="54" spans="1:16" x14ac:dyDescent="0.25">
      <c r="A54" s="477"/>
      <c r="B54" s="89"/>
      <c r="C54" s="89"/>
      <c r="D54" s="102" t="s">
        <v>22</v>
      </c>
      <c r="E54" s="137">
        <f>H53/100</f>
        <v>0.05</v>
      </c>
      <c r="F54" s="141"/>
      <c r="G54" s="304" t="s">
        <v>218</v>
      </c>
      <c r="H54" s="298">
        <v>7</v>
      </c>
      <c r="I54" s="141" t="s">
        <v>207</v>
      </c>
      <c r="J54" s="389"/>
      <c r="K54" s="390"/>
      <c r="L54" s="390"/>
      <c r="M54" s="390"/>
      <c r="N54" s="390"/>
      <c r="O54" s="390"/>
      <c r="P54" s="391"/>
    </row>
    <row r="55" spans="1:16" ht="13.8" thickBot="1" x14ac:dyDescent="0.3">
      <c r="A55" s="477"/>
      <c r="B55" s="89"/>
      <c r="C55" s="89"/>
      <c r="D55" s="277" t="s">
        <v>23</v>
      </c>
      <c r="E55" s="137">
        <f>SUM(E53:E54)</f>
        <v>0.10591342236376788</v>
      </c>
      <c r="F55" s="89"/>
      <c r="G55" s="305" t="s">
        <v>323</v>
      </c>
      <c r="H55" s="307">
        <v>0.85</v>
      </c>
      <c r="I55" s="346" t="s">
        <v>353</v>
      </c>
      <c r="J55" s="389"/>
      <c r="K55" s="390"/>
      <c r="L55" s="390"/>
      <c r="M55" s="390"/>
      <c r="N55" s="390"/>
      <c r="O55" s="390"/>
      <c r="P55" s="391"/>
    </row>
    <row r="56" spans="1:16" x14ac:dyDescent="0.25">
      <c r="A56" s="477"/>
      <c r="B56" s="184" t="s">
        <v>217</v>
      </c>
      <c r="C56" s="89"/>
      <c r="D56" s="277" t="s">
        <v>111</v>
      </c>
      <c r="E56" s="297">
        <f>H31</f>
        <v>0.4</v>
      </c>
      <c r="F56" s="189" t="s">
        <v>151</v>
      </c>
      <c r="G56" s="89"/>
      <c r="H56" s="89"/>
      <c r="I56" s="89"/>
      <c r="J56" s="389"/>
      <c r="K56" s="390"/>
      <c r="L56" s="390"/>
      <c r="M56" s="390"/>
      <c r="N56" s="390"/>
      <c r="O56" s="390"/>
      <c r="P56" s="391"/>
    </row>
    <row r="57" spans="1:16" x14ac:dyDescent="0.25">
      <c r="A57" s="477"/>
      <c r="B57" s="89"/>
      <c r="C57" s="89"/>
      <c r="D57" s="277" t="s">
        <v>322</v>
      </c>
      <c r="E57" s="137">
        <f>E56-E54</f>
        <v>0.35000000000000003</v>
      </c>
      <c r="F57" s="89"/>
      <c r="G57" s="89"/>
      <c r="H57" s="89"/>
      <c r="I57" s="89"/>
      <c r="J57" s="389"/>
      <c r="K57" s="390"/>
      <c r="L57" s="390"/>
      <c r="M57" s="390"/>
      <c r="N57" s="390"/>
      <c r="O57" s="390"/>
      <c r="P57" s="391"/>
    </row>
    <row r="58" spans="1:16" x14ac:dyDescent="0.25">
      <c r="A58" s="95" t="s">
        <v>126</v>
      </c>
      <c r="B58" s="96" t="s">
        <v>152</v>
      </c>
      <c r="C58" s="89"/>
      <c r="D58" s="89"/>
      <c r="E58" s="89"/>
      <c r="F58" s="89"/>
      <c r="G58" s="89"/>
      <c r="H58" s="89"/>
      <c r="I58" s="89"/>
      <c r="J58" s="389"/>
      <c r="K58" s="390"/>
      <c r="L58" s="390"/>
      <c r="M58" s="390"/>
      <c r="N58" s="390"/>
      <c r="O58" s="390"/>
      <c r="P58" s="391"/>
    </row>
    <row r="59" spans="1:16" x14ac:dyDescent="0.25">
      <c r="A59" s="100"/>
      <c r="B59" s="89"/>
      <c r="C59" s="89"/>
      <c r="D59" s="89"/>
      <c r="E59" s="89"/>
      <c r="F59" s="89"/>
      <c r="G59" s="89"/>
      <c r="H59" s="89"/>
      <c r="I59" s="89"/>
      <c r="J59" s="389"/>
      <c r="K59" s="390"/>
      <c r="L59" s="390"/>
      <c r="M59" s="390"/>
      <c r="N59" s="390"/>
      <c r="O59" s="390"/>
      <c r="P59" s="391"/>
    </row>
    <row r="60" spans="1:16" x14ac:dyDescent="0.25">
      <c r="A60" s="100"/>
      <c r="B60" s="89"/>
      <c r="C60" s="102" t="s">
        <v>42</v>
      </c>
      <c r="D60" s="136">
        <f>E57</f>
        <v>0.35000000000000003</v>
      </c>
      <c r="E60" s="130"/>
      <c r="F60" s="89"/>
      <c r="G60" s="89"/>
      <c r="H60" s="89"/>
      <c r="I60" s="89"/>
      <c r="J60" s="389"/>
      <c r="K60" s="390"/>
      <c r="L60" s="390"/>
      <c r="M60" s="390"/>
      <c r="N60" s="390"/>
      <c r="O60" s="390"/>
      <c r="P60" s="391"/>
    </row>
    <row r="61" spans="1:16" x14ac:dyDescent="0.25">
      <c r="A61" s="100"/>
      <c r="B61" s="89"/>
      <c r="C61" s="102" t="s">
        <v>10</v>
      </c>
      <c r="D61" s="261">
        <f>G25-B32</f>
        <v>2.3180000000000001</v>
      </c>
      <c r="E61" s="130"/>
      <c r="F61" s="89"/>
      <c r="G61" s="89"/>
      <c r="H61" s="89"/>
      <c r="I61" s="89"/>
      <c r="J61" s="389"/>
      <c r="K61" s="390"/>
      <c r="L61" s="390"/>
      <c r="M61" s="390"/>
      <c r="N61" s="390"/>
      <c r="O61" s="390"/>
      <c r="P61" s="391"/>
    </row>
    <row r="62" spans="1:16" x14ac:dyDescent="0.25">
      <c r="A62" s="100"/>
      <c r="B62" s="89"/>
      <c r="C62" s="102" t="s">
        <v>145</v>
      </c>
      <c r="D62" s="130">
        <f>C45</f>
        <v>1.7</v>
      </c>
      <c r="E62" s="130"/>
      <c r="F62" s="89"/>
      <c r="G62" s="89"/>
      <c r="H62" s="89"/>
      <c r="I62" s="89"/>
      <c r="J62" s="389"/>
      <c r="K62" s="390"/>
      <c r="L62" s="390"/>
      <c r="M62" s="390"/>
      <c r="N62" s="390"/>
      <c r="O62" s="390"/>
      <c r="P62" s="391"/>
    </row>
    <row r="63" spans="1:16" x14ac:dyDescent="0.25">
      <c r="A63" s="100"/>
      <c r="B63" s="89"/>
      <c r="C63" s="102" t="s">
        <v>11</v>
      </c>
      <c r="D63" s="438">
        <f>0.5*B23*B21*D61*(D61+(2*H23))</f>
        <v>2.5694518603242842</v>
      </c>
      <c r="E63" s="438"/>
      <c r="F63" s="89"/>
      <c r="G63" s="89"/>
      <c r="H63" s="89"/>
      <c r="I63" s="89"/>
      <c r="J63" s="389"/>
      <c r="K63" s="390"/>
      <c r="L63" s="390"/>
      <c r="M63" s="390"/>
      <c r="N63" s="390"/>
      <c r="O63" s="390"/>
      <c r="P63" s="391"/>
    </row>
    <row r="64" spans="1:16" x14ac:dyDescent="0.25">
      <c r="A64" s="100"/>
      <c r="B64" s="89"/>
      <c r="C64" s="102" t="s">
        <v>24</v>
      </c>
      <c r="D64" s="438">
        <f>D63*D62</f>
        <v>4.3680681625512827</v>
      </c>
      <c r="E64" s="438"/>
      <c r="F64" s="89"/>
      <c r="G64" s="89"/>
      <c r="H64" s="89"/>
      <c r="I64" s="89"/>
      <c r="J64" s="389"/>
      <c r="K64" s="390"/>
      <c r="L64" s="390"/>
      <c r="M64" s="390"/>
      <c r="N64" s="390"/>
      <c r="O64" s="390"/>
      <c r="P64" s="391"/>
    </row>
    <row r="65" spans="1:16" x14ac:dyDescent="0.25">
      <c r="A65" s="100"/>
      <c r="B65" s="89"/>
      <c r="C65" s="105" t="s">
        <v>21</v>
      </c>
      <c r="D65" s="130">
        <f>H50</f>
        <v>0.85</v>
      </c>
      <c r="E65" s="130"/>
      <c r="F65" s="89"/>
      <c r="G65" s="89"/>
      <c r="H65" s="89"/>
      <c r="I65" s="89"/>
      <c r="J65" s="389"/>
      <c r="K65" s="390"/>
      <c r="L65" s="390"/>
      <c r="M65" s="390"/>
      <c r="N65" s="390"/>
      <c r="O65" s="390"/>
      <c r="P65" s="391"/>
    </row>
    <row r="66" spans="1:16" x14ac:dyDescent="0.25">
      <c r="A66" s="100"/>
      <c r="B66" s="89"/>
      <c r="C66" s="306" t="s">
        <v>324</v>
      </c>
      <c r="D66" s="130">
        <f>H55</f>
        <v>0.85</v>
      </c>
      <c r="E66" s="130"/>
      <c r="F66" s="89"/>
      <c r="G66" s="89"/>
      <c r="H66" s="89"/>
      <c r="I66" s="89"/>
      <c r="J66" s="389"/>
      <c r="K66" s="390"/>
      <c r="L66" s="390"/>
      <c r="M66" s="390"/>
      <c r="N66" s="390"/>
      <c r="O66" s="390"/>
      <c r="P66" s="391"/>
    </row>
    <row r="67" spans="1:16" x14ac:dyDescent="0.25">
      <c r="A67" s="100"/>
      <c r="B67" s="89"/>
      <c r="C67" s="105" t="s">
        <v>43</v>
      </c>
      <c r="D67" s="438">
        <f>(0.53*D65*D66)*(SQRT(H44))*E52*100*E57*100/1000</f>
        <v>48.739335714054072</v>
      </c>
      <c r="E67" s="438"/>
      <c r="F67" s="89"/>
      <c r="G67" s="89"/>
      <c r="H67" s="89"/>
      <c r="I67" s="89"/>
      <c r="J67" s="389"/>
      <c r="K67" s="390"/>
      <c r="L67" s="390"/>
      <c r="M67" s="390"/>
      <c r="N67" s="390"/>
      <c r="O67" s="390"/>
      <c r="P67" s="391"/>
    </row>
    <row r="68" spans="1:16" x14ac:dyDescent="0.25">
      <c r="A68" s="100"/>
      <c r="B68" s="89"/>
      <c r="C68" s="89"/>
      <c r="D68" s="4"/>
      <c r="E68" s="89"/>
      <c r="F68" s="89"/>
      <c r="G68" s="89"/>
      <c r="H68" s="89"/>
      <c r="I68" s="89"/>
      <c r="J68" s="389"/>
      <c r="K68" s="390"/>
      <c r="L68" s="390"/>
      <c r="M68" s="390"/>
      <c r="N68" s="390"/>
      <c r="O68" s="390"/>
      <c r="P68" s="391"/>
    </row>
    <row r="69" spans="1:16" ht="15" x14ac:dyDescent="0.25">
      <c r="A69" s="100"/>
      <c r="B69" s="89"/>
      <c r="C69" s="68" t="s">
        <v>26</v>
      </c>
      <c r="D69" s="69" t="str">
        <f>IF(D64&lt;D67,"&gt;","&lt;")</f>
        <v>&gt;</v>
      </c>
      <c r="E69" s="70" t="s">
        <v>25</v>
      </c>
      <c r="F69" s="288" t="str">
        <f>IF(D64&lt;D67,"Cumple", "No cumple")</f>
        <v>Cumple</v>
      </c>
      <c r="G69" s="89"/>
      <c r="H69" s="89"/>
      <c r="I69" s="89"/>
      <c r="J69" s="389"/>
      <c r="K69" s="390"/>
      <c r="L69" s="390"/>
      <c r="M69" s="390"/>
      <c r="N69" s="390"/>
      <c r="O69" s="390"/>
      <c r="P69" s="391"/>
    </row>
    <row r="70" spans="1:16" ht="13.8" thickBot="1" x14ac:dyDescent="0.3">
      <c r="A70" s="111"/>
      <c r="B70" s="112"/>
      <c r="C70" s="112"/>
      <c r="D70" s="112"/>
      <c r="E70" s="112"/>
      <c r="F70" s="112"/>
      <c r="G70" s="112"/>
      <c r="H70" s="112"/>
      <c r="I70" s="112"/>
      <c r="J70" s="389"/>
      <c r="K70" s="390"/>
      <c r="L70" s="390"/>
      <c r="M70" s="390"/>
      <c r="N70" s="390"/>
      <c r="O70" s="390"/>
      <c r="P70" s="391"/>
    </row>
    <row r="71" spans="1:16" ht="13.8" thickBot="1" x14ac:dyDescent="0.3">
      <c r="A71" s="150" t="s">
        <v>118</v>
      </c>
      <c r="B71" s="182" t="s">
        <v>259</v>
      </c>
      <c r="C71" s="183"/>
      <c r="D71" s="183"/>
      <c r="E71" s="183"/>
      <c r="F71" s="183"/>
      <c r="G71" s="183"/>
      <c r="H71" s="183"/>
      <c r="I71" s="183"/>
      <c r="J71" s="389"/>
      <c r="K71" s="390"/>
      <c r="L71" s="390"/>
      <c r="M71" s="390"/>
      <c r="N71" s="390"/>
      <c r="O71" s="390"/>
      <c r="P71" s="391"/>
    </row>
    <row r="72" spans="1:16" x14ac:dyDescent="0.25">
      <c r="A72" s="100"/>
      <c r="B72" s="41"/>
      <c r="C72" s="42" t="s">
        <v>142</v>
      </c>
      <c r="D72" s="43"/>
      <c r="E72" s="44"/>
      <c r="F72" s="26" t="s">
        <v>27</v>
      </c>
      <c r="G72" s="31" t="s">
        <v>137</v>
      </c>
      <c r="H72" s="36" t="s">
        <v>28</v>
      </c>
      <c r="I72" s="347" t="s">
        <v>29</v>
      </c>
      <c r="J72" s="389"/>
      <c r="K72" s="390"/>
      <c r="L72" s="390"/>
      <c r="M72" s="390"/>
      <c r="N72" s="390"/>
      <c r="O72" s="390"/>
      <c r="P72" s="391"/>
    </row>
    <row r="73" spans="1:16" ht="13.8" thickBot="1" x14ac:dyDescent="0.3">
      <c r="A73" s="100"/>
      <c r="B73" s="45" t="s">
        <v>143</v>
      </c>
      <c r="C73" s="46" t="s">
        <v>144</v>
      </c>
      <c r="D73" s="47"/>
      <c r="E73" s="48"/>
      <c r="F73" s="27" t="s">
        <v>12</v>
      </c>
      <c r="G73" s="32" t="s">
        <v>138</v>
      </c>
      <c r="H73" s="37" t="s">
        <v>8</v>
      </c>
      <c r="I73" s="348" t="s">
        <v>16</v>
      </c>
      <c r="J73" s="389"/>
      <c r="K73" s="390"/>
      <c r="L73" s="390"/>
      <c r="M73" s="390"/>
      <c r="N73" s="390"/>
      <c r="O73" s="390"/>
      <c r="P73" s="391"/>
    </row>
    <row r="74" spans="1:16" x14ac:dyDescent="0.25">
      <c r="A74" s="100"/>
      <c r="B74" s="50" t="s">
        <v>30</v>
      </c>
      <c r="C74" s="49">
        <f>G25-B32</f>
        <v>2.3180000000000001</v>
      </c>
      <c r="D74" s="49">
        <f>(E56+H36)*0.5</f>
        <v>0.35</v>
      </c>
      <c r="E74" s="49">
        <f>H46</f>
        <v>2.4</v>
      </c>
      <c r="F74" s="28">
        <f>E74*D74*C74</f>
        <v>1.94712</v>
      </c>
      <c r="G74" s="33" t="s">
        <v>139</v>
      </c>
      <c r="H74" s="38">
        <f>C36+(2*(E56-H36)*(E56-H36)+3*H36*(2*E56-H36))/(3*(E56+H36))</f>
        <v>0.7238095238095239</v>
      </c>
      <c r="I74" s="349">
        <f>H74*F74</f>
        <v>1.4093440000000002</v>
      </c>
      <c r="J74" s="389"/>
      <c r="K74" s="390"/>
      <c r="L74" s="390"/>
      <c r="M74" s="390"/>
      <c r="N74" s="390"/>
      <c r="O74" s="390"/>
      <c r="P74" s="391"/>
    </row>
    <row r="75" spans="1:16" x14ac:dyDescent="0.25">
      <c r="A75" s="100"/>
      <c r="B75" s="51" t="s">
        <v>31</v>
      </c>
      <c r="C75" s="49">
        <f>C36+E56+D36</f>
        <v>2.3000000000000003</v>
      </c>
      <c r="D75" s="49">
        <f>B32</f>
        <v>0.38200000000000006</v>
      </c>
      <c r="E75" s="49">
        <f>H46</f>
        <v>2.4</v>
      </c>
      <c r="F75" s="29">
        <f>E75*D75*C75</f>
        <v>2.1086400000000003</v>
      </c>
      <c r="G75" s="33" t="s">
        <v>140</v>
      </c>
      <c r="H75" s="39">
        <f>C38/2</f>
        <v>1.1500000000000001</v>
      </c>
      <c r="I75" s="349">
        <f>H75*F75</f>
        <v>2.4249360000000006</v>
      </c>
      <c r="J75" s="389"/>
      <c r="K75" s="390"/>
      <c r="L75" s="390"/>
      <c r="M75" s="390"/>
      <c r="N75" s="390"/>
      <c r="O75" s="390"/>
      <c r="P75" s="391"/>
    </row>
    <row r="76" spans="1:16" x14ac:dyDescent="0.25">
      <c r="A76" s="100"/>
      <c r="B76" s="51" t="s">
        <v>32</v>
      </c>
      <c r="C76" s="49">
        <f>H31</f>
        <v>0.4</v>
      </c>
      <c r="D76" s="49">
        <f>H32</f>
        <v>0.5</v>
      </c>
      <c r="E76" s="49">
        <f>H46</f>
        <v>2.4</v>
      </c>
      <c r="F76" s="29">
        <f>E76*D76*C76</f>
        <v>0.48</v>
      </c>
      <c r="G76" s="33" t="s">
        <v>140</v>
      </c>
      <c r="H76" s="39">
        <f>C36+H31/2</f>
        <v>0.7</v>
      </c>
      <c r="I76" s="349">
        <f>H76*F76</f>
        <v>0.33599999999999997</v>
      </c>
      <c r="J76" s="389"/>
      <c r="K76" s="390"/>
      <c r="L76" s="390"/>
      <c r="M76" s="390"/>
      <c r="N76" s="390"/>
      <c r="O76" s="390"/>
      <c r="P76" s="391"/>
    </row>
    <row r="77" spans="1:16" x14ac:dyDescent="0.25">
      <c r="A77" s="100"/>
      <c r="B77" s="51" t="s">
        <v>33</v>
      </c>
      <c r="C77" s="49">
        <f>C36</f>
        <v>0.5</v>
      </c>
      <c r="D77" s="49">
        <f>C30</f>
        <v>0.31799999999999989</v>
      </c>
      <c r="E77" s="49">
        <f>$B$21</f>
        <v>2.2999999999999998</v>
      </c>
      <c r="F77" s="29">
        <f>E77*D77*C77</f>
        <v>0.36569999999999986</v>
      </c>
      <c r="G77" s="33" t="s">
        <v>140</v>
      </c>
      <c r="H77" s="39">
        <f>C36/2</f>
        <v>0.25</v>
      </c>
      <c r="I77" s="349">
        <f>H77*F77</f>
        <v>9.1424999999999965E-2</v>
      </c>
      <c r="J77" s="389"/>
      <c r="K77" s="390"/>
      <c r="L77" s="390"/>
      <c r="M77" s="390"/>
      <c r="N77" s="390"/>
      <c r="O77" s="390"/>
      <c r="P77" s="391"/>
    </row>
    <row r="78" spans="1:16" ht="13.8" thickBot="1" x14ac:dyDescent="0.3">
      <c r="A78" s="100"/>
      <c r="B78" s="52" t="s">
        <v>66</v>
      </c>
      <c r="C78" s="49">
        <f>H24-B32</f>
        <v>2.3180000000000001</v>
      </c>
      <c r="D78" s="49">
        <f>D36</f>
        <v>1.4000000000000001</v>
      </c>
      <c r="E78" s="49">
        <f>$B$21</f>
        <v>2.2999999999999998</v>
      </c>
      <c r="F78" s="30">
        <f>E78*D78*C78</f>
        <v>7.463960000000001</v>
      </c>
      <c r="G78" s="33" t="s">
        <v>140</v>
      </c>
      <c r="H78" s="40">
        <f>C36+E56+D36/2</f>
        <v>1.6</v>
      </c>
      <c r="I78" s="349">
        <f>H78*F78</f>
        <v>11.942336000000003</v>
      </c>
      <c r="J78" s="389"/>
      <c r="K78" s="390"/>
      <c r="L78" s="390"/>
      <c r="M78" s="390"/>
      <c r="N78" s="390"/>
      <c r="O78" s="390"/>
      <c r="P78" s="391"/>
    </row>
    <row r="79" spans="1:16" ht="13.8" thickBot="1" x14ac:dyDescent="0.3">
      <c r="A79" s="100"/>
      <c r="B79" s="54" t="s">
        <v>114</v>
      </c>
      <c r="C79" s="55"/>
      <c r="D79" s="55"/>
      <c r="E79" s="55"/>
      <c r="F79" s="53">
        <f>SUM(F74:F78)</f>
        <v>12.36542</v>
      </c>
      <c r="G79" s="56"/>
      <c r="H79" s="57"/>
      <c r="I79" s="350">
        <f>SUM(I74:I78)</f>
        <v>16.204041000000004</v>
      </c>
      <c r="J79" s="389"/>
      <c r="K79" s="390"/>
      <c r="L79" s="390"/>
      <c r="M79" s="390"/>
      <c r="N79" s="390"/>
      <c r="O79" s="390"/>
      <c r="P79" s="391"/>
    </row>
    <row r="80" spans="1:16" x14ac:dyDescent="0.25">
      <c r="A80" s="100"/>
      <c r="B80" s="89"/>
      <c r="C80" s="89"/>
      <c r="D80" s="89"/>
      <c r="E80" s="89"/>
      <c r="F80" s="89"/>
      <c r="G80" s="89"/>
      <c r="H80" s="89"/>
      <c r="I80" s="89"/>
      <c r="J80" s="389"/>
      <c r="K80" s="390"/>
      <c r="L80" s="390"/>
      <c r="M80" s="390"/>
      <c r="N80" s="390"/>
      <c r="O80" s="390"/>
      <c r="P80" s="391"/>
    </row>
    <row r="81" spans="1:16" x14ac:dyDescent="0.25">
      <c r="A81" s="95" t="s">
        <v>125</v>
      </c>
      <c r="B81" s="146" t="s">
        <v>115</v>
      </c>
      <c r="C81" s="89"/>
      <c r="D81" s="89"/>
      <c r="E81" s="89"/>
      <c r="F81" s="89"/>
      <c r="G81" s="89"/>
      <c r="H81" s="89"/>
      <c r="I81" s="89"/>
      <c r="J81" s="384"/>
      <c r="K81" s="392" t="s">
        <v>49</v>
      </c>
      <c r="L81" s="382"/>
      <c r="M81" s="382"/>
      <c r="N81" s="382"/>
      <c r="O81" s="382"/>
      <c r="P81" s="383"/>
    </row>
    <row r="82" spans="1:16" x14ac:dyDescent="0.25">
      <c r="A82" s="100"/>
      <c r="B82" s="131" t="s">
        <v>193</v>
      </c>
      <c r="C82" s="261">
        <f>H24</f>
        <v>2.7</v>
      </c>
      <c r="D82" s="104"/>
      <c r="E82" s="135" t="s">
        <v>229</v>
      </c>
      <c r="F82" s="438">
        <f>H26</f>
        <v>3.4044398009950601</v>
      </c>
      <c r="G82" s="438"/>
      <c r="H82" s="248" t="s">
        <v>203</v>
      </c>
      <c r="I82" s="351" t="s">
        <v>230</v>
      </c>
      <c r="J82" s="384"/>
      <c r="K82" s="382"/>
      <c r="L82" s="382"/>
      <c r="M82" s="382"/>
      <c r="N82" s="382"/>
      <c r="O82" s="382"/>
      <c r="P82" s="383"/>
    </row>
    <row r="83" spans="1:16" ht="27" customHeight="1" x14ac:dyDescent="0.25">
      <c r="A83" s="100"/>
      <c r="B83" s="89"/>
      <c r="C83" s="89"/>
      <c r="D83" s="89"/>
      <c r="E83" s="135" t="s">
        <v>228</v>
      </c>
      <c r="F83" s="136">
        <f>H29</f>
        <v>0.9655063291139242</v>
      </c>
      <c r="G83" s="130"/>
      <c r="H83" s="89"/>
      <c r="I83" s="89"/>
      <c r="J83" s="384"/>
      <c r="K83" s="393" t="s">
        <v>48</v>
      </c>
      <c r="L83" s="474" t="s">
        <v>53</v>
      </c>
      <c r="M83" s="474"/>
      <c r="N83" s="393" t="s">
        <v>54</v>
      </c>
      <c r="O83" s="393"/>
      <c r="P83" s="383"/>
    </row>
    <row r="84" spans="1:16" x14ac:dyDescent="0.25">
      <c r="A84" s="100"/>
      <c r="B84" s="89"/>
      <c r="C84" s="89"/>
      <c r="D84" s="89"/>
      <c r="E84" s="135" t="s">
        <v>203</v>
      </c>
      <c r="F84" s="130">
        <f>H49</f>
        <v>2</v>
      </c>
      <c r="G84" s="130"/>
      <c r="H84" s="89"/>
      <c r="I84" s="89"/>
      <c r="J84" s="394" t="s">
        <v>50</v>
      </c>
      <c r="K84" s="395">
        <f>(4*C38-6*F87)*F92/(C38*C38)</f>
        <v>6.8543794044779709</v>
      </c>
      <c r="L84" s="475">
        <f>2*F92/C38</f>
        <v>10.752539130434782</v>
      </c>
      <c r="M84" s="475"/>
      <c r="N84" s="467">
        <f>2*F92/(3*F87)</f>
        <v>7.891575609111058</v>
      </c>
      <c r="O84" s="382"/>
      <c r="P84" s="383"/>
    </row>
    <row r="85" spans="1:16" x14ac:dyDescent="0.25">
      <c r="A85" s="100"/>
      <c r="B85" s="89"/>
      <c r="C85" s="89" t="s">
        <v>226</v>
      </c>
      <c r="D85" s="89"/>
      <c r="E85" s="102" t="s">
        <v>227</v>
      </c>
      <c r="F85" s="433">
        <f>H39</f>
        <v>3.2870081749480788</v>
      </c>
      <c r="G85" s="433"/>
      <c r="H85" s="89"/>
      <c r="I85" s="89"/>
      <c r="J85" s="394" t="s">
        <v>52</v>
      </c>
      <c r="K85" s="395">
        <f>(6*F87-2*C38)*F92/(C38^2)</f>
        <v>3.8981597259568113</v>
      </c>
      <c r="L85" s="466">
        <v>0</v>
      </c>
      <c r="M85" s="466"/>
      <c r="N85" s="467"/>
      <c r="O85" s="382"/>
      <c r="P85" s="383"/>
    </row>
    <row r="86" spans="1:16" x14ac:dyDescent="0.25">
      <c r="A86" s="95" t="s">
        <v>126</v>
      </c>
      <c r="B86" s="96" t="s">
        <v>147</v>
      </c>
      <c r="C86" s="89"/>
      <c r="D86" s="89"/>
      <c r="E86" s="89"/>
      <c r="F86" s="89"/>
      <c r="G86" s="89"/>
      <c r="H86" s="89"/>
      <c r="I86" s="89"/>
      <c r="J86" s="384"/>
      <c r="K86" s="382"/>
      <c r="L86" s="382"/>
      <c r="M86" s="382"/>
      <c r="N86" s="382"/>
      <c r="O86" s="382"/>
      <c r="P86" s="383"/>
    </row>
    <row r="87" spans="1:16" x14ac:dyDescent="0.25">
      <c r="A87" s="100"/>
      <c r="B87" s="89"/>
      <c r="C87" s="89"/>
      <c r="D87" s="89"/>
      <c r="E87" s="102" t="s">
        <v>41</v>
      </c>
      <c r="F87" s="136">
        <f>(I79-F85)/F79</f>
        <v>1.0446093076540808</v>
      </c>
      <c r="G87" s="89"/>
      <c r="H87" s="89"/>
      <c r="I87" s="89"/>
      <c r="J87" s="384"/>
      <c r="K87" s="382"/>
      <c r="L87" s="382"/>
      <c r="M87" s="382"/>
      <c r="N87" s="382"/>
      <c r="O87" s="382"/>
      <c r="P87" s="383"/>
    </row>
    <row r="88" spans="1:16" x14ac:dyDescent="0.25">
      <c r="A88" s="100"/>
      <c r="B88" s="89"/>
      <c r="C88" s="89"/>
      <c r="D88" s="89"/>
      <c r="E88" s="89"/>
      <c r="F88" s="89"/>
      <c r="G88" s="89"/>
      <c r="H88" s="89"/>
      <c r="I88" s="89"/>
      <c r="J88" s="384"/>
      <c r="K88" s="382"/>
      <c r="L88" s="382"/>
      <c r="M88" s="382"/>
      <c r="N88" s="382"/>
      <c r="O88" s="382"/>
      <c r="P88" s="383"/>
    </row>
    <row r="89" spans="1:16" x14ac:dyDescent="0.25">
      <c r="A89" s="100"/>
      <c r="B89" s="89"/>
      <c r="C89" s="89"/>
      <c r="D89" s="89"/>
      <c r="E89" s="102" t="s">
        <v>46</v>
      </c>
      <c r="F89" s="136">
        <f>C38/3</f>
        <v>0.76666666666666672</v>
      </c>
      <c r="G89" s="89"/>
      <c r="H89" s="89"/>
      <c r="I89" s="89"/>
      <c r="J89" s="384"/>
      <c r="K89" s="382"/>
      <c r="L89" s="382"/>
      <c r="M89" s="382"/>
      <c r="N89" s="382"/>
      <c r="O89" s="382"/>
      <c r="P89" s="383"/>
    </row>
    <row r="90" spans="1:16" x14ac:dyDescent="0.25">
      <c r="A90" s="100"/>
      <c r="B90" s="89"/>
      <c r="C90" s="89"/>
      <c r="D90" s="89"/>
      <c r="E90" s="89"/>
      <c r="F90" s="89"/>
      <c r="G90" s="162" t="str">
        <f>IF(F87&gt;F89,"En el tercio medio",IF(F87&lt;F89,"Fuera del tercio medio","En el borde del tercio medio"))</f>
        <v>En el tercio medio</v>
      </c>
      <c r="H90" s="89"/>
      <c r="I90" s="89"/>
      <c r="J90" s="384"/>
      <c r="K90" s="382"/>
      <c r="L90" s="382"/>
      <c r="M90" s="382"/>
      <c r="N90" s="382"/>
      <c r="O90" s="382"/>
      <c r="P90" s="383"/>
    </row>
    <row r="91" spans="1:16" x14ac:dyDescent="0.25">
      <c r="A91" s="100"/>
      <c r="B91" s="89"/>
      <c r="C91" s="89"/>
      <c r="D91" s="129"/>
      <c r="E91" s="129" t="s">
        <v>55</v>
      </c>
      <c r="F91" s="89"/>
      <c r="G91" s="89"/>
      <c r="H91" s="173" t="s">
        <v>141</v>
      </c>
      <c r="I91" s="89"/>
      <c r="J91" s="384"/>
      <c r="K91" s="382"/>
      <c r="L91" s="382"/>
      <c r="M91" s="382"/>
      <c r="N91" s="382"/>
      <c r="O91" s="382"/>
      <c r="P91" s="383"/>
    </row>
    <row r="92" spans="1:16" x14ac:dyDescent="0.25">
      <c r="A92" s="100"/>
      <c r="B92" s="89"/>
      <c r="C92" s="89"/>
      <c r="D92" s="101"/>
      <c r="E92" s="174" t="s">
        <v>56</v>
      </c>
      <c r="F92" s="437">
        <f>F79</f>
        <v>12.36542</v>
      </c>
      <c r="G92" s="437"/>
      <c r="H92" s="174" t="s">
        <v>326</v>
      </c>
      <c r="I92" s="352">
        <f>H47</f>
        <v>11.2</v>
      </c>
      <c r="J92" s="384"/>
      <c r="K92" s="382"/>
      <c r="L92" s="382"/>
      <c r="M92" s="382"/>
      <c r="N92" s="382"/>
      <c r="O92" s="382"/>
      <c r="P92" s="383"/>
    </row>
    <row r="93" spans="1:16" x14ac:dyDescent="0.25">
      <c r="A93" s="100"/>
      <c r="B93" s="89"/>
      <c r="C93" s="89"/>
      <c r="D93" s="89"/>
      <c r="E93" s="58" t="s">
        <v>50</v>
      </c>
      <c r="F93" s="59">
        <f>HLOOKUP(G90,K83:N85,2,FALSE)</f>
        <v>6.8543794044779709</v>
      </c>
      <c r="G93" s="11" t="s">
        <v>148</v>
      </c>
      <c r="H93" s="60" t="s">
        <v>326</v>
      </c>
      <c r="I93" s="288" t="str">
        <f>IF(F93&lt;I92,"Cumple", "No cumple")</f>
        <v>Cumple</v>
      </c>
      <c r="J93" s="384"/>
      <c r="K93" s="382"/>
      <c r="L93" s="382"/>
      <c r="M93" s="382"/>
      <c r="N93" s="382"/>
      <c r="O93" s="382"/>
      <c r="P93" s="383"/>
    </row>
    <row r="94" spans="1:16" x14ac:dyDescent="0.25">
      <c r="A94" s="100"/>
      <c r="B94" s="89"/>
      <c r="C94" s="89"/>
      <c r="D94" s="89"/>
      <c r="E94" s="58" t="s">
        <v>52</v>
      </c>
      <c r="F94" s="59">
        <f>HLOOKUP(G90,J83:N85,3,FALSE)</f>
        <v>3.8981597259568113</v>
      </c>
      <c r="G94" s="13" t="s">
        <v>148</v>
      </c>
      <c r="H94" s="60" t="s">
        <v>326</v>
      </c>
      <c r="I94" s="288" t="str">
        <f>IF(F94&lt;I92,"Cumple", "No cumple")</f>
        <v>Cumple</v>
      </c>
      <c r="J94" s="384"/>
      <c r="K94" s="382"/>
      <c r="L94" s="382"/>
      <c r="M94" s="382"/>
      <c r="N94" s="382"/>
      <c r="O94" s="382"/>
      <c r="P94" s="383"/>
    </row>
    <row r="95" spans="1:16" ht="13.8" thickBot="1" x14ac:dyDescent="0.3">
      <c r="A95" s="100"/>
      <c r="B95" s="89"/>
      <c r="C95" s="89"/>
      <c r="D95" s="89"/>
      <c r="E95" s="174"/>
      <c r="F95" s="177"/>
      <c r="G95" s="89"/>
      <c r="H95" s="97" t="s">
        <v>317</v>
      </c>
      <c r="I95" s="89"/>
      <c r="J95" s="384"/>
      <c r="K95" s="382"/>
      <c r="L95" s="382"/>
      <c r="M95" s="382"/>
      <c r="N95" s="382"/>
      <c r="O95" s="382"/>
      <c r="P95" s="383"/>
    </row>
    <row r="96" spans="1:16" x14ac:dyDescent="0.25">
      <c r="A96" s="100"/>
      <c r="B96" s="89"/>
      <c r="C96" s="89"/>
      <c r="D96" s="89"/>
      <c r="E96" s="89"/>
      <c r="F96" s="89"/>
      <c r="G96" s="102" t="s">
        <v>58</v>
      </c>
      <c r="H96" s="180"/>
      <c r="I96" s="101" t="s">
        <v>57</v>
      </c>
      <c r="J96" s="384"/>
      <c r="K96" s="382"/>
      <c r="L96" s="382"/>
      <c r="M96" s="382"/>
      <c r="N96" s="382"/>
      <c r="O96" s="382"/>
      <c r="P96" s="383"/>
    </row>
    <row r="97" spans="1:16" x14ac:dyDescent="0.25">
      <c r="A97" s="100"/>
      <c r="B97" s="89"/>
      <c r="C97" s="89"/>
      <c r="D97" s="89"/>
      <c r="E97" s="89"/>
      <c r="F97" s="89"/>
      <c r="G97" s="89"/>
      <c r="H97" s="181"/>
      <c r="I97" s="89"/>
      <c r="J97" s="384"/>
      <c r="K97" s="382"/>
      <c r="L97" s="382"/>
      <c r="M97" s="382"/>
      <c r="N97" s="382"/>
      <c r="O97" s="382"/>
      <c r="P97" s="383"/>
    </row>
    <row r="98" spans="1:16" x14ac:dyDescent="0.25">
      <c r="A98" s="100"/>
      <c r="B98" s="89"/>
      <c r="C98" s="89"/>
      <c r="D98" s="89"/>
      <c r="E98" s="89"/>
      <c r="F98" s="89"/>
      <c r="G98" s="178" t="s">
        <v>59</v>
      </c>
      <c r="H98" s="122"/>
      <c r="I98" s="89"/>
      <c r="J98" s="384"/>
      <c r="K98" s="382"/>
      <c r="L98" s="382"/>
      <c r="M98" s="382"/>
      <c r="N98" s="382"/>
      <c r="O98" s="382"/>
      <c r="P98" s="383"/>
    </row>
    <row r="99" spans="1:16" x14ac:dyDescent="0.25">
      <c r="A99" s="100"/>
      <c r="B99" s="89"/>
      <c r="C99" s="89"/>
      <c r="D99" s="89"/>
      <c r="E99" s="89"/>
      <c r="F99" s="89"/>
      <c r="G99" s="89"/>
      <c r="H99" s="110" t="s">
        <v>60</v>
      </c>
      <c r="I99" s="89"/>
      <c r="J99" s="384"/>
      <c r="K99" s="382"/>
      <c r="L99" s="382"/>
      <c r="M99" s="382"/>
      <c r="N99" s="382"/>
      <c r="O99" s="382"/>
      <c r="P99" s="383"/>
    </row>
    <row r="100" spans="1:16" x14ac:dyDescent="0.25">
      <c r="A100" s="100"/>
      <c r="B100" s="89"/>
      <c r="C100" s="89"/>
      <c r="D100" s="89"/>
      <c r="E100" s="89"/>
      <c r="F100" s="89"/>
      <c r="G100" s="89"/>
      <c r="H100" s="89"/>
      <c r="I100" s="353" t="s">
        <v>153</v>
      </c>
      <c r="J100" s="384"/>
      <c r="K100" s="382"/>
      <c r="L100" s="382"/>
      <c r="M100" s="382"/>
      <c r="N100" s="382"/>
      <c r="O100" s="382"/>
      <c r="P100" s="383"/>
    </row>
    <row r="101" spans="1:16" x14ac:dyDescent="0.25">
      <c r="A101" s="100"/>
      <c r="B101" s="89"/>
      <c r="C101" s="89"/>
      <c r="D101" s="89"/>
      <c r="E101" s="89"/>
      <c r="F101" s="89"/>
      <c r="G101" s="89"/>
      <c r="H101" s="35" t="s">
        <v>62</v>
      </c>
      <c r="I101" s="354" t="s">
        <v>63</v>
      </c>
      <c r="J101" s="384"/>
      <c r="K101" s="382"/>
      <c r="L101" s="382"/>
      <c r="M101" s="382"/>
      <c r="N101" s="382"/>
      <c r="O101" s="382"/>
      <c r="P101" s="383"/>
    </row>
    <row r="102" spans="1:16" x14ac:dyDescent="0.25">
      <c r="A102" s="100"/>
      <c r="B102" s="89"/>
      <c r="C102" s="89"/>
      <c r="D102" s="89"/>
      <c r="E102" s="89"/>
      <c r="F102" s="89"/>
      <c r="G102" s="89"/>
      <c r="H102" s="62">
        <v>0</v>
      </c>
      <c r="I102" s="355">
        <f>F93</f>
        <v>6.8543794044779709</v>
      </c>
      <c r="J102" s="384"/>
      <c r="K102" s="382"/>
      <c r="L102" s="382"/>
      <c r="M102" s="382"/>
      <c r="N102" s="382"/>
      <c r="O102" s="382"/>
      <c r="P102" s="383"/>
    </row>
    <row r="103" spans="1:16" x14ac:dyDescent="0.25">
      <c r="A103" s="100"/>
      <c r="B103" s="89"/>
      <c r="C103" s="89"/>
      <c r="D103" s="89"/>
      <c r="E103" s="89"/>
      <c r="F103" s="89"/>
      <c r="G103" s="89"/>
      <c r="H103" s="34">
        <f>F89</f>
        <v>0.76666666666666672</v>
      </c>
      <c r="I103" s="356">
        <f>I102+(I111-I102)/(H111-H102)*H103</f>
        <v>5.8689728449709175</v>
      </c>
      <c r="J103" s="384"/>
      <c r="K103" s="382"/>
      <c r="L103" s="382"/>
      <c r="M103" s="382"/>
      <c r="N103" s="382"/>
      <c r="O103" s="382"/>
      <c r="P103" s="383"/>
    </row>
    <row r="104" spans="1:16" x14ac:dyDescent="0.25">
      <c r="A104" s="100"/>
      <c r="B104" s="89"/>
      <c r="C104" s="89"/>
      <c r="D104" s="89"/>
      <c r="E104" s="89"/>
      <c r="F104" s="89"/>
      <c r="G104" s="89"/>
      <c r="H104" s="79">
        <f>F87</f>
        <v>1.0446093076540808</v>
      </c>
      <c r="I104" s="356">
        <f>I102+(I111-I102)/(H111-H102)*H104</f>
        <v>5.5117295820199894</v>
      </c>
      <c r="J104" s="384"/>
      <c r="K104" s="382"/>
      <c r="L104" s="382"/>
      <c r="M104" s="382"/>
      <c r="N104" s="382"/>
      <c r="O104" s="382"/>
      <c r="P104" s="383"/>
    </row>
    <row r="105" spans="1:16" x14ac:dyDescent="0.25">
      <c r="A105" s="100"/>
      <c r="B105" s="89"/>
      <c r="C105" s="89"/>
      <c r="D105" s="89"/>
      <c r="E105" s="89"/>
      <c r="F105" s="89"/>
      <c r="G105" s="89"/>
      <c r="H105" s="78">
        <f>C36-E189</f>
        <v>0.18799999999999994</v>
      </c>
      <c r="I105" s="309">
        <f>I102+(I111-I102)/(H111-H102)*H105</f>
        <v>6.6127405785814588</v>
      </c>
      <c r="J105" s="448" t="s">
        <v>176</v>
      </c>
      <c r="K105" s="449"/>
      <c r="L105" s="449"/>
      <c r="M105" s="449"/>
      <c r="N105" s="449"/>
      <c r="O105" s="449"/>
      <c r="P105" s="450"/>
    </row>
    <row r="106" spans="1:16" x14ac:dyDescent="0.25">
      <c r="A106" s="100"/>
      <c r="B106" s="89"/>
      <c r="C106" s="89"/>
      <c r="D106" s="89"/>
      <c r="E106" s="89"/>
      <c r="F106" s="89"/>
      <c r="G106" s="89"/>
      <c r="H106" s="61">
        <f>C36</f>
        <v>0.5</v>
      </c>
      <c r="I106" s="310">
        <f>I102+(I111-I102)/(H111-H102)*H106</f>
        <v>6.2117229526255446</v>
      </c>
      <c r="J106" s="434" t="s">
        <v>177</v>
      </c>
      <c r="K106" s="435"/>
      <c r="L106" s="435"/>
      <c r="M106" s="435"/>
      <c r="N106" s="435"/>
      <c r="O106" s="435"/>
      <c r="P106" s="436"/>
    </row>
    <row r="107" spans="1:16" x14ac:dyDescent="0.25">
      <c r="A107" s="100"/>
      <c r="B107" s="89"/>
      <c r="C107" s="122"/>
      <c r="D107" s="109">
        <f>C38</f>
        <v>2.3000000000000003</v>
      </c>
      <c r="E107" s="89"/>
      <c r="F107" s="89"/>
      <c r="G107" s="123"/>
      <c r="H107" s="34">
        <f>H106+E56/2</f>
        <v>0.7</v>
      </c>
      <c r="I107" s="356">
        <f>I102+(I111-I102)/(H111-H102)*H107</f>
        <v>5.9546603718845743</v>
      </c>
      <c r="J107" s="396"/>
      <c r="K107" s="397"/>
      <c r="L107" s="397"/>
      <c r="M107" s="397"/>
      <c r="N107" s="397"/>
      <c r="O107" s="397"/>
      <c r="P107" s="398"/>
    </row>
    <row r="108" spans="1:16" x14ac:dyDescent="0.25">
      <c r="A108" s="100"/>
      <c r="B108" s="110" t="s">
        <v>64</v>
      </c>
      <c r="C108" s="175">
        <f>F89</f>
        <v>0.76666666666666672</v>
      </c>
      <c r="D108" s="89"/>
      <c r="E108" s="89"/>
      <c r="F108" s="89"/>
      <c r="G108" s="123"/>
      <c r="H108" s="34">
        <f>C38/2</f>
        <v>1.1500000000000001</v>
      </c>
      <c r="I108" s="356">
        <f>I102+(I111-I102)/(H111-H102)*H108</f>
        <v>5.3762695652173909</v>
      </c>
      <c r="J108" s="396"/>
      <c r="K108" s="397"/>
      <c r="L108" s="397"/>
      <c r="M108" s="397"/>
      <c r="N108" s="397"/>
      <c r="O108" s="397"/>
      <c r="P108" s="398"/>
    </row>
    <row r="109" spans="1:16" x14ac:dyDescent="0.25">
      <c r="A109" s="100"/>
      <c r="B109" s="110" t="s">
        <v>59</v>
      </c>
      <c r="C109" s="176">
        <f>F87</f>
        <v>1.0446093076540808</v>
      </c>
      <c r="D109" s="89"/>
      <c r="E109" s="89"/>
      <c r="F109" s="89"/>
      <c r="G109" s="123"/>
      <c r="H109" s="61">
        <f>C36+E56</f>
        <v>0.9</v>
      </c>
      <c r="I109" s="310">
        <f>I102+(I111-I102)/(H111-H102)*H109</f>
        <v>5.697597791143604</v>
      </c>
      <c r="J109" s="445" t="s">
        <v>178</v>
      </c>
      <c r="K109" s="446"/>
      <c r="L109" s="446"/>
      <c r="M109" s="446"/>
      <c r="N109" s="446"/>
      <c r="O109" s="446"/>
      <c r="P109" s="447"/>
    </row>
    <row r="110" spans="1:16" x14ac:dyDescent="0.25">
      <c r="A110" s="100"/>
      <c r="B110" s="89"/>
      <c r="C110" s="122"/>
      <c r="D110" s="89"/>
      <c r="E110" s="89"/>
      <c r="F110" s="89"/>
      <c r="G110" s="123"/>
      <c r="H110" s="78">
        <f>C36+E56+E189</f>
        <v>1.2120000000000002</v>
      </c>
      <c r="I110" s="309">
        <f>I102+(I111-I102)/(H111-H102)*H110</f>
        <v>5.2965801651876898</v>
      </c>
      <c r="J110" s="445" t="s">
        <v>247</v>
      </c>
      <c r="K110" s="446"/>
      <c r="L110" s="446"/>
      <c r="M110" s="446"/>
      <c r="N110" s="446"/>
      <c r="O110" s="446"/>
      <c r="P110" s="447"/>
    </row>
    <row r="111" spans="1:16" x14ac:dyDescent="0.25">
      <c r="A111" s="100"/>
      <c r="B111" s="159">
        <f>H102</f>
        <v>0</v>
      </c>
      <c r="C111" s="161" t="s">
        <v>8</v>
      </c>
      <c r="D111" s="89"/>
      <c r="E111" s="89"/>
      <c r="F111" s="179">
        <f>H111</f>
        <v>2.3000000000000003</v>
      </c>
      <c r="G111" s="141" t="s">
        <v>8</v>
      </c>
      <c r="H111" s="62">
        <f>C38</f>
        <v>2.3000000000000003</v>
      </c>
      <c r="I111" s="355">
        <f>F94</f>
        <v>3.8981597259568113</v>
      </c>
      <c r="J111" s="389"/>
      <c r="K111" s="390"/>
      <c r="L111" s="390"/>
      <c r="M111" s="390"/>
      <c r="N111" s="390"/>
      <c r="O111" s="390"/>
      <c r="P111" s="391"/>
    </row>
    <row r="112" spans="1:16" x14ac:dyDescent="0.25">
      <c r="A112" s="100"/>
      <c r="B112" s="89"/>
      <c r="C112" s="89"/>
      <c r="D112" s="89"/>
      <c r="E112" s="89"/>
      <c r="F112" s="89"/>
      <c r="G112" s="89"/>
      <c r="H112" s="145"/>
      <c r="I112" s="145"/>
      <c r="J112" s="389"/>
      <c r="K112" s="390"/>
      <c r="L112" s="390"/>
      <c r="M112" s="390"/>
      <c r="N112" s="390"/>
      <c r="O112" s="390"/>
      <c r="P112" s="391"/>
    </row>
    <row r="113" spans="1:16" x14ac:dyDescent="0.25">
      <c r="A113" s="100"/>
      <c r="B113" s="11"/>
      <c r="C113" s="11"/>
      <c r="D113" s="11"/>
      <c r="E113" s="12" t="s">
        <v>47</v>
      </c>
      <c r="F113" s="76">
        <f>I79/F85</f>
        <v>4.9297233646995604</v>
      </c>
      <c r="G113" s="289" t="str">
        <f>IF(F113&gt;2,"Es amplio &gt; 2",Es bajo &lt; 2 )</f>
        <v>Es amplio &gt; 2</v>
      </c>
      <c r="H113" s="89"/>
      <c r="I113" s="89"/>
      <c r="J113" s="389"/>
      <c r="K113" s="390"/>
      <c r="L113" s="390"/>
      <c r="M113" s="390"/>
      <c r="N113" s="390"/>
      <c r="O113" s="390"/>
      <c r="P113" s="391"/>
    </row>
    <row r="114" spans="1:16" ht="13.8" thickBot="1" x14ac:dyDescent="0.3">
      <c r="A114" s="111"/>
      <c r="B114" s="112"/>
      <c r="C114" s="112"/>
      <c r="D114" s="112"/>
      <c r="E114" s="112"/>
      <c r="F114" s="112"/>
      <c r="G114" s="112"/>
      <c r="H114" s="112"/>
      <c r="I114" s="112"/>
      <c r="J114" s="389"/>
      <c r="K114" s="390"/>
      <c r="L114" s="390"/>
      <c r="M114" s="390"/>
      <c r="N114" s="390"/>
      <c r="O114" s="390"/>
      <c r="P114" s="391"/>
    </row>
    <row r="115" spans="1:16" x14ac:dyDescent="0.25">
      <c r="A115" s="150" t="s">
        <v>119</v>
      </c>
      <c r="B115" s="167" t="s">
        <v>116</v>
      </c>
      <c r="C115" s="107"/>
      <c r="D115" s="107"/>
      <c r="E115" s="168"/>
      <c r="F115" s="107"/>
      <c r="G115" s="169" t="s">
        <v>157</v>
      </c>
      <c r="H115" s="107"/>
      <c r="I115" s="107"/>
      <c r="J115" s="389"/>
      <c r="K115" s="390"/>
      <c r="L115" s="390"/>
      <c r="M115" s="390"/>
      <c r="N115" s="390"/>
      <c r="O115" s="390"/>
      <c r="P115" s="391"/>
    </row>
    <row r="116" spans="1:16" x14ac:dyDescent="0.25">
      <c r="A116" s="95" t="s">
        <v>125</v>
      </c>
      <c r="B116" s="96" t="s">
        <v>149</v>
      </c>
      <c r="C116" s="89"/>
      <c r="D116" s="89"/>
      <c r="E116" s="89"/>
      <c r="F116" s="89"/>
      <c r="G116" s="89"/>
      <c r="H116" s="89"/>
      <c r="I116" s="89"/>
      <c r="J116" s="389"/>
      <c r="K116" s="390"/>
      <c r="L116" s="390"/>
      <c r="M116" s="390"/>
      <c r="N116" s="390"/>
      <c r="O116" s="390"/>
      <c r="P116" s="391"/>
    </row>
    <row r="117" spans="1:16" hidden="1" x14ac:dyDescent="0.25">
      <c r="A117" s="100"/>
      <c r="B117" s="105" t="s">
        <v>5</v>
      </c>
      <c r="C117" s="262">
        <f>B20</f>
        <v>29</v>
      </c>
      <c r="D117" s="89"/>
      <c r="E117" s="89"/>
      <c r="F117" s="89"/>
      <c r="G117" s="141" t="s">
        <v>231</v>
      </c>
      <c r="H117" s="89"/>
      <c r="I117" s="89"/>
      <c r="J117" s="389"/>
      <c r="K117" s="390"/>
      <c r="L117" s="390"/>
      <c r="M117" s="390"/>
      <c r="N117" s="390"/>
      <c r="O117" s="390"/>
      <c r="P117" s="391"/>
    </row>
    <row r="118" spans="1:16" hidden="1" x14ac:dyDescent="0.25">
      <c r="A118" s="100"/>
      <c r="B118" s="102" t="s">
        <v>6</v>
      </c>
      <c r="C118" s="114">
        <f>B23</f>
        <v>0.3469740313698873</v>
      </c>
      <c r="D118" s="89"/>
      <c r="E118" s="89"/>
      <c r="F118" s="89"/>
      <c r="G118" s="89"/>
      <c r="H118" s="89"/>
      <c r="I118" s="89"/>
      <c r="J118" s="389"/>
      <c r="K118" s="390"/>
      <c r="L118" s="390"/>
      <c r="M118" s="390"/>
      <c r="N118" s="390"/>
      <c r="O118" s="390"/>
      <c r="P118" s="391"/>
    </row>
    <row r="119" spans="1:16" hidden="1" x14ac:dyDescent="0.25">
      <c r="A119" s="100"/>
      <c r="B119" s="102" t="s">
        <v>7</v>
      </c>
      <c r="C119" s="114">
        <f>B24</f>
        <v>2.882060066719986</v>
      </c>
      <c r="D119" s="89"/>
      <c r="E119" s="89"/>
      <c r="F119" s="89"/>
      <c r="G119" s="89"/>
      <c r="H119" s="89"/>
      <c r="I119" s="89"/>
      <c r="J119" s="389"/>
      <c r="K119" s="390"/>
      <c r="L119" s="390"/>
      <c r="M119" s="390"/>
      <c r="N119" s="390"/>
      <c r="O119" s="390"/>
      <c r="P119" s="391"/>
    </row>
    <row r="120" spans="1:16" hidden="1" x14ac:dyDescent="0.25">
      <c r="A120" s="100"/>
      <c r="B120" s="102" t="s">
        <v>5</v>
      </c>
      <c r="C120" s="114">
        <f>B22</f>
        <v>0.55430905145276899</v>
      </c>
      <c r="D120" s="89" t="s">
        <v>61</v>
      </c>
      <c r="E120" s="89"/>
      <c r="F120" s="89"/>
      <c r="G120" s="89"/>
      <c r="H120" s="89"/>
      <c r="I120" s="89"/>
      <c r="J120" s="389"/>
      <c r="K120" s="390"/>
      <c r="L120" s="390"/>
      <c r="M120" s="390"/>
      <c r="N120" s="390"/>
      <c r="O120" s="390"/>
      <c r="P120" s="391"/>
    </row>
    <row r="121" spans="1:16" hidden="1" x14ac:dyDescent="0.25">
      <c r="A121" s="100"/>
      <c r="B121" s="148" t="s">
        <v>325</v>
      </c>
      <c r="C121" s="114">
        <f>TAN(RADIANS(C117))</f>
        <v>0.55430905145276899</v>
      </c>
      <c r="D121" s="89"/>
      <c r="E121" s="89"/>
      <c r="F121" s="89"/>
      <c r="G121" s="89"/>
      <c r="H121" s="89"/>
      <c r="I121" s="89"/>
      <c r="J121" s="389"/>
      <c r="K121" s="390"/>
      <c r="L121" s="390"/>
      <c r="M121" s="390"/>
      <c r="N121" s="390"/>
      <c r="O121" s="390"/>
      <c r="P121" s="391"/>
    </row>
    <row r="122" spans="1:16" hidden="1" x14ac:dyDescent="0.25">
      <c r="A122" s="100"/>
      <c r="B122" s="102" t="s">
        <v>121</v>
      </c>
      <c r="C122" s="130">
        <f>H48</f>
        <v>1.5</v>
      </c>
      <c r="D122" s="89"/>
      <c r="E122" s="89"/>
      <c r="F122" s="89"/>
      <c r="G122" s="89"/>
      <c r="H122" s="89"/>
      <c r="I122" s="89"/>
      <c r="J122" s="389"/>
      <c r="K122" s="390"/>
      <c r="L122" s="390"/>
      <c r="M122" s="390"/>
      <c r="N122" s="390"/>
      <c r="O122" s="390"/>
      <c r="P122" s="391"/>
    </row>
    <row r="123" spans="1:16" x14ac:dyDescent="0.25">
      <c r="A123" s="100"/>
      <c r="B123" s="89"/>
      <c r="C123" s="89"/>
      <c r="D123" s="102" t="s">
        <v>154</v>
      </c>
      <c r="E123" s="263">
        <f>(I106+I109)*0.5*E56*C120</f>
        <v>1.3202888569850926</v>
      </c>
      <c r="F123" s="89"/>
      <c r="G123" s="89"/>
      <c r="H123" s="89"/>
      <c r="I123" s="89"/>
      <c r="J123" s="389"/>
      <c r="K123" s="390"/>
      <c r="L123" s="390"/>
      <c r="M123" s="390"/>
      <c r="N123" s="390"/>
      <c r="O123" s="390"/>
      <c r="P123" s="391"/>
    </row>
    <row r="124" spans="1:16" x14ac:dyDescent="0.25">
      <c r="A124" s="100"/>
      <c r="B124" s="89"/>
      <c r="C124" s="89"/>
      <c r="D124" s="89"/>
      <c r="E124" s="251"/>
      <c r="F124" s="89"/>
      <c r="G124" s="89"/>
      <c r="H124" s="89"/>
      <c r="I124" s="89"/>
      <c r="J124" s="389"/>
      <c r="K124" s="390"/>
      <c r="L124" s="390"/>
      <c r="M124" s="390"/>
      <c r="N124" s="390"/>
      <c r="O124" s="390"/>
      <c r="P124" s="391"/>
    </row>
    <row r="125" spans="1:16" x14ac:dyDescent="0.25">
      <c r="A125" s="100"/>
      <c r="B125" s="89"/>
      <c r="C125" s="89"/>
      <c r="D125" s="102" t="s">
        <v>155</v>
      </c>
      <c r="E125" s="263">
        <f>(((0.5*(I102+I106))*C36)+((0.5*(I109+I111))*D36))*C120</f>
        <v>5.5339753740300059</v>
      </c>
      <c r="F125" s="89"/>
      <c r="G125" s="89"/>
      <c r="H125" s="89"/>
      <c r="I125" s="89"/>
      <c r="J125" s="389"/>
      <c r="K125" s="390"/>
      <c r="L125" s="390"/>
      <c r="M125" s="390"/>
      <c r="N125" s="390"/>
      <c r="O125" s="390"/>
      <c r="P125" s="391"/>
    </row>
    <row r="126" spans="1:16" x14ac:dyDescent="0.25">
      <c r="A126" s="100"/>
      <c r="B126" s="89"/>
      <c r="C126" s="89"/>
      <c r="D126" s="89"/>
      <c r="E126" s="264"/>
      <c r="F126" s="89"/>
      <c r="G126" s="89"/>
      <c r="H126" s="89"/>
      <c r="I126" s="89"/>
      <c r="J126" s="389"/>
      <c r="K126" s="390"/>
      <c r="L126" s="390"/>
      <c r="M126" s="390"/>
      <c r="N126" s="390"/>
      <c r="O126" s="390"/>
      <c r="P126" s="391"/>
    </row>
    <row r="127" spans="1:16" ht="13.8" thickBot="1" x14ac:dyDescent="0.3">
      <c r="A127" s="100"/>
      <c r="B127" s="170"/>
      <c r="C127" s="170"/>
      <c r="D127" s="171" t="s">
        <v>156</v>
      </c>
      <c r="E127" s="265">
        <f>(0.5*C119*B21*(A31*A31))+(0.5*C119*B21*(H32*H32))</f>
        <v>2.4526331167787077</v>
      </c>
      <c r="F127" s="89"/>
      <c r="G127" s="89"/>
      <c r="H127" s="89"/>
      <c r="I127" s="89"/>
      <c r="J127" s="389"/>
      <c r="K127" s="390"/>
      <c r="L127" s="390"/>
      <c r="M127" s="390"/>
      <c r="N127" s="390"/>
      <c r="O127" s="390"/>
      <c r="P127" s="391"/>
    </row>
    <row r="128" spans="1:16" ht="14.4" thickTop="1" thickBot="1" x14ac:dyDescent="0.3">
      <c r="A128" s="100"/>
      <c r="B128" s="267" t="s">
        <v>232</v>
      </c>
      <c r="C128" s="172"/>
      <c r="D128" s="172"/>
      <c r="E128" s="266">
        <f>SUM(E123:E127)</f>
        <v>9.3068973477938055</v>
      </c>
      <c r="F128" s="89"/>
      <c r="G128" s="89"/>
      <c r="H128" s="89"/>
      <c r="I128" s="89"/>
      <c r="J128" s="389"/>
      <c r="K128" s="390"/>
      <c r="L128" s="390"/>
      <c r="M128" s="390"/>
      <c r="N128" s="390"/>
      <c r="O128" s="390"/>
      <c r="P128" s="391"/>
    </row>
    <row r="129" spans="1:18" ht="13.8" thickTop="1" x14ac:dyDescent="0.25">
      <c r="A129" s="127"/>
      <c r="B129" s="125"/>
      <c r="C129" s="125"/>
      <c r="D129" s="125"/>
      <c r="E129" s="81"/>
      <c r="F129" s="125"/>
      <c r="G129" s="125"/>
      <c r="H129" s="125"/>
      <c r="I129" s="125"/>
      <c r="J129" s="389"/>
      <c r="K129" s="390"/>
      <c r="L129" s="390"/>
      <c r="M129" s="390"/>
      <c r="N129" s="390"/>
      <c r="O129" s="390"/>
      <c r="P129" s="391"/>
    </row>
    <row r="130" spans="1:18" x14ac:dyDescent="0.25">
      <c r="A130" s="100"/>
      <c r="B130" s="13"/>
      <c r="C130" s="13"/>
      <c r="D130" s="13"/>
      <c r="E130" s="74" t="s">
        <v>67</v>
      </c>
      <c r="F130" s="14">
        <f>E128</f>
        <v>9.3068973477938055</v>
      </c>
      <c r="G130" s="75">
        <f>F130/F131</f>
        <v>2.7337529496258259</v>
      </c>
      <c r="H130" s="288" t="str">
        <f>IF(G130&gt;=1.5,"Aceptable &gt; 1.5","No aceptable &lt; 1.5")</f>
        <v>Aceptable &gt; 1.5</v>
      </c>
      <c r="I130" s="89"/>
      <c r="J130" s="389"/>
      <c r="K130" s="390"/>
      <c r="L130" s="390"/>
      <c r="M130" s="390"/>
      <c r="N130" s="390"/>
      <c r="O130" s="390"/>
      <c r="P130" s="391"/>
    </row>
    <row r="131" spans="1:18" ht="13.5" customHeight="1" x14ac:dyDescent="0.25">
      <c r="A131" s="86"/>
      <c r="B131" s="13"/>
      <c r="C131" s="13"/>
      <c r="D131" s="13"/>
      <c r="E131" s="13"/>
      <c r="F131" s="15">
        <f>F82</f>
        <v>3.4044398009950601</v>
      </c>
      <c r="G131" s="13"/>
      <c r="H131" s="453" t="str">
        <f>IF(G130&gt;=1.5,"No es necesario usar el puntal ó uña de anclaje","Es necesario usar el puntal ó uña de anclaje")</f>
        <v>No es necesario usar el puntal ó uña de anclaje</v>
      </c>
      <c r="I131" s="453"/>
      <c r="J131" s="389"/>
      <c r="K131" s="390"/>
      <c r="L131" s="390"/>
      <c r="M131" s="390"/>
      <c r="N131" s="390"/>
      <c r="O131" s="390"/>
      <c r="P131" s="391"/>
    </row>
    <row r="132" spans="1:18" ht="13.8" thickBot="1" x14ac:dyDescent="0.3">
      <c r="A132" s="111"/>
      <c r="B132" s="112"/>
      <c r="C132" s="112"/>
      <c r="D132" s="112"/>
      <c r="E132" s="112"/>
      <c r="F132" s="112"/>
      <c r="G132" s="112"/>
      <c r="H132" s="454"/>
      <c r="I132" s="454"/>
      <c r="J132" s="389"/>
      <c r="K132" s="390"/>
      <c r="L132" s="390"/>
      <c r="M132" s="390"/>
      <c r="N132" s="390"/>
      <c r="O132" s="390"/>
      <c r="P132" s="391"/>
    </row>
    <row r="133" spans="1:18" x14ac:dyDescent="0.25">
      <c r="A133" s="332" t="s">
        <v>120</v>
      </c>
      <c r="B133" s="108" t="s">
        <v>70</v>
      </c>
      <c r="C133" s="107"/>
      <c r="D133" s="107"/>
      <c r="E133" s="325"/>
      <c r="F133" s="325"/>
      <c r="G133" s="325"/>
      <c r="H133" s="326"/>
      <c r="I133" s="357"/>
      <c r="J133" s="389"/>
      <c r="K133" s="390"/>
      <c r="L133" s="390"/>
      <c r="M133" s="390"/>
      <c r="N133" s="390"/>
      <c r="O133" s="390"/>
      <c r="P133" s="391"/>
    </row>
    <row r="134" spans="1:18" x14ac:dyDescent="0.25">
      <c r="A134" s="95" t="s">
        <v>168</v>
      </c>
      <c r="B134" s="151" t="s">
        <v>127</v>
      </c>
      <c r="C134" s="89"/>
      <c r="D134" s="89"/>
      <c r="E134" s="327"/>
      <c r="F134" s="327"/>
      <c r="G134" s="327"/>
      <c r="H134" s="327"/>
      <c r="I134" s="327"/>
      <c r="J134" s="389"/>
      <c r="K134" s="390"/>
      <c r="L134" s="390"/>
      <c r="M134" s="390"/>
      <c r="N134" s="390"/>
      <c r="O134" s="390"/>
      <c r="P134" s="391"/>
    </row>
    <row r="135" spans="1:18" x14ac:dyDescent="0.25">
      <c r="A135" s="128"/>
      <c r="B135" s="147" t="s">
        <v>167</v>
      </c>
      <c r="C135" s="89"/>
      <c r="D135" s="89"/>
      <c r="E135" s="327"/>
      <c r="F135" s="366" t="s">
        <v>358</v>
      </c>
      <c r="G135" s="327"/>
      <c r="H135" s="327"/>
      <c r="I135" s="327"/>
      <c r="J135" s="384"/>
      <c r="K135" s="399" t="s">
        <v>249</v>
      </c>
      <c r="L135" s="400" t="s">
        <v>251</v>
      </c>
      <c r="M135" s="400" t="s">
        <v>251</v>
      </c>
      <c r="N135" s="399" t="s">
        <v>253</v>
      </c>
      <c r="O135" s="399" t="s">
        <v>254</v>
      </c>
      <c r="P135" s="401" t="s">
        <v>255</v>
      </c>
      <c r="Q135" s="402" t="s">
        <v>331</v>
      </c>
    </row>
    <row r="136" spans="1:18" x14ac:dyDescent="0.25">
      <c r="A136" s="95" t="s">
        <v>125</v>
      </c>
      <c r="B136" s="133" t="s">
        <v>160</v>
      </c>
      <c r="C136" s="89"/>
      <c r="D136" s="89"/>
      <c r="E136" s="327"/>
      <c r="F136" s="458" t="s">
        <v>357</v>
      </c>
      <c r="G136" s="458"/>
      <c r="H136" s="458"/>
      <c r="I136" s="327"/>
      <c r="J136" s="384"/>
      <c r="K136" s="399" t="s">
        <v>250</v>
      </c>
      <c r="L136" s="399" t="s">
        <v>252</v>
      </c>
      <c r="M136" s="399" t="s">
        <v>99</v>
      </c>
      <c r="N136" s="399" t="s">
        <v>98</v>
      </c>
      <c r="O136" s="399" t="s">
        <v>99</v>
      </c>
      <c r="P136" s="401" t="s">
        <v>100</v>
      </c>
      <c r="Q136" s="402" t="s">
        <v>332</v>
      </c>
      <c r="R136" s="402" t="s">
        <v>333</v>
      </c>
    </row>
    <row r="137" spans="1:18" hidden="1" x14ac:dyDescent="0.25">
      <c r="A137" s="95"/>
      <c r="B137" s="133"/>
      <c r="C137" s="89"/>
      <c r="D137" s="102" t="s">
        <v>38</v>
      </c>
      <c r="E137" s="455">
        <f>H44</f>
        <v>250</v>
      </c>
      <c r="F137" s="455"/>
      <c r="G137" s="327"/>
      <c r="H137" s="327"/>
      <c r="I137" s="327"/>
      <c r="J137" s="384"/>
      <c r="K137" s="400" t="s">
        <v>74</v>
      </c>
      <c r="L137" s="400" t="s">
        <v>75</v>
      </c>
      <c r="M137" s="400">
        <v>6.4</v>
      </c>
      <c r="N137" s="400">
        <v>0.32</v>
      </c>
      <c r="O137" s="403">
        <v>20</v>
      </c>
      <c r="P137" s="404">
        <v>0.25</v>
      </c>
      <c r="Q137" s="378">
        <v>1.1999999999999999E-3</v>
      </c>
      <c r="R137" s="378">
        <v>2E-3</v>
      </c>
    </row>
    <row r="138" spans="1:18" hidden="1" x14ac:dyDescent="0.25">
      <c r="A138" s="100"/>
      <c r="B138" s="105" t="s">
        <v>21</v>
      </c>
      <c r="C138" s="130">
        <f>E51</f>
        <v>0.9</v>
      </c>
      <c r="D138" s="102" t="s">
        <v>40</v>
      </c>
      <c r="E138" s="455">
        <f>H45</f>
        <v>4200</v>
      </c>
      <c r="F138" s="455"/>
      <c r="H138" s="327"/>
      <c r="I138" s="327"/>
      <c r="J138" s="384"/>
      <c r="K138" s="400" t="s">
        <v>76</v>
      </c>
      <c r="L138" s="405" t="s">
        <v>77</v>
      </c>
      <c r="M138" s="400">
        <v>9.5</v>
      </c>
      <c r="N138" s="400">
        <v>0.71</v>
      </c>
      <c r="O138" s="403">
        <f t="shared" ref="O138:O144" si="0">O137+10</f>
        <v>30</v>
      </c>
      <c r="P138" s="404">
        <v>0.56000000000000005</v>
      </c>
      <c r="Q138" s="378">
        <v>1.1999999999999999E-3</v>
      </c>
      <c r="R138" s="378">
        <v>2E-3</v>
      </c>
    </row>
    <row r="139" spans="1:18" ht="13.8" hidden="1" x14ac:dyDescent="0.3">
      <c r="A139" s="100"/>
      <c r="B139" s="277" t="s">
        <v>329</v>
      </c>
      <c r="C139" s="136">
        <v>1</v>
      </c>
      <c r="D139" s="316" t="s">
        <v>320</v>
      </c>
      <c r="E139" s="328">
        <f>H46</f>
        <v>2.4</v>
      </c>
      <c r="F139" s="327"/>
      <c r="G139" s="327"/>
      <c r="H139" s="327"/>
      <c r="I139" s="327"/>
      <c r="J139" s="384"/>
      <c r="K139" s="400" t="s">
        <v>78</v>
      </c>
      <c r="L139" s="400" t="s">
        <v>79</v>
      </c>
      <c r="M139" s="400">
        <v>12.7</v>
      </c>
      <c r="N139" s="400">
        <v>1.29</v>
      </c>
      <c r="O139" s="403">
        <f t="shared" si="0"/>
        <v>40</v>
      </c>
      <c r="P139" s="404">
        <v>0.99399999999999999</v>
      </c>
      <c r="Q139" s="378">
        <v>1.1999999999999999E-3</v>
      </c>
      <c r="R139" s="378">
        <v>2E-3</v>
      </c>
    </row>
    <row r="140" spans="1:18" hidden="1" x14ac:dyDescent="0.25">
      <c r="A140" s="100"/>
      <c r="B140" s="277" t="s">
        <v>344</v>
      </c>
      <c r="C140" s="136">
        <f>E57</f>
        <v>0.35000000000000003</v>
      </c>
      <c r="D140" s="89"/>
      <c r="E140" s="327"/>
      <c r="F140" s="327"/>
      <c r="G140" s="327"/>
      <c r="H140" s="327"/>
      <c r="I140" s="327"/>
      <c r="J140" s="384"/>
      <c r="K140" s="400" t="s">
        <v>80</v>
      </c>
      <c r="L140" s="400" t="s">
        <v>81</v>
      </c>
      <c r="M140" s="400">
        <v>15.9</v>
      </c>
      <c r="N140" s="400">
        <v>1.99</v>
      </c>
      <c r="O140" s="403">
        <f t="shared" si="0"/>
        <v>50</v>
      </c>
      <c r="P140" s="404">
        <v>1.552</v>
      </c>
      <c r="Q140" s="378">
        <v>1.1999999999999999E-3</v>
      </c>
      <c r="R140" s="378">
        <v>2E-3</v>
      </c>
    </row>
    <row r="141" spans="1:18" hidden="1" x14ac:dyDescent="0.25">
      <c r="A141" s="100"/>
      <c r="B141" s="277" t="s">
        <v>22</v>
      </c>
      <c r="C141" s="136">
        <f>E54</f>
        <v>0.05</v>
      </c>
      <c r="D141" s="320" t="s">
        <v>340</v>
      </c>
      <c r="E141" s="456">
        <f>C143/(C138*C139*(C140^2))</f>
        <v>33.147331841630056</v>
      </c>
      <c r="F141" s="456"/>
      <c r="G141" s="327"/>
      <c r="H141" s="327"/>
      <c r="I141" s="327"/>
      <c r="J141" s="384"/>
      <c r="K141" s="400" t="s">
        <v>82</v>
      </c>
      <c r="L141" s="400" t="s">
        <v>83</v>
      </c>
      <c r="M141" s="400">
        <v>19.100000000000001</v>
      </c>
      <c r="N141" s="400">
        <v>2.84</v>
      </c>
      <c r="O141" s="403">
        <f t="shared" si="0"/>
        <v>60</v>
      </c>
      <c r="P141" s="404">
        <v>2.2349999999999999</v>
      </c>
      <c r="Q141" s="378">
        <v>1.5E-3</v>
      </c>
      <c r="R141" s="378">
        <v>2.5000000000000001E-3</v>
      </c>
    </row>
    <row r="142" spans="1:18" hidden="1" x14ac:dyDescent="0.25">
      <c r="A142" s="100"/>
      <c r="B142" s="277" t="s">
        <v>10</v>
      </c>
      <c r="C142" s="136">
        <f>SUM(C140:C141)</f>
        <v>0.4</v>
      </c>
      <c r="D142" s="321" t="s">
        <v>341</v>
      </c>
      <c r="E142" s="327"/>
      <c r="F142" s="327"/>
      <c r="G142" s="327"/>
      <c r="H142" s="327"/>
      <c r="I142" s="327"/>
      <c r="J142" s="384"/>
      <c r="K142" s="400" t="s">
        <v>84</v>
      </c>
      <c r="L142" s="400" t="s">
        <v>85</v>
      </c>
      <c r="M142" s="400">
        <v>22.2</v>
      </c>
      <c r="N142" s="400">
        <v>3.87</v>
      </c>
      <c r="O142" s="403">
        <f t="shared" si="0"/>
        <v>70</v>
      </c>
      <c r="P142" s="404">
        <v>3.0419999999999998</v>
      </c>
      <c r="Q142" s="378">
        <v>1.5E-3</v>
      </c>
      <c r="R142" s="378">
        <v>2.5000000000000001E-3</v>
      </c>
    </row>
    <row r="143" spans="1:18" hidden="1" x14ac:dyDescent="0.25">
      <c r="A143" s="100"/>
      <c r="B143" s="102" t="s">
        <v>15</v>
      </c>
      <c r="C143" s="139">
        <f>C46</f>
        <v>3.6544933355397142</v>
      </c>
      <c r="D143" s="89"/>
      <c r="E143" s="327"/>
      <c r="F143" s="327"/>
      <c r="G143" s="327"/>
      <c r="H143" s="327"/>
      <c r="I143" s="327"/>
      <c r="J143" s="384"/>
      <c r="K143" s="400" t="s">
        <v>86</v>
      </c>
      <c r="L143" s="400" t="s">
        <v>87</v>
      </c>
      <c r="M143" s="400">
        <v>25.4</v>
      </c>
      <c r="N143" s="400">
        <v>5.0999999999999996</v>
      </c>
      <c r="O143" s="403">
        <f t="shared" si="0"/>
        <v>80</v>
      </c>
      <c r="P143" s="404">
        <v>3.9729999999999999</v>
      </c>
      <c r="Q143" s="378">
        <v>1.5E-3</v>
      </c>
      <c r="R143" s="378">
        <v>2.5000000000000001E-3</v>
      </c>
    </row>
    <row r="144" spans="1:18" hidden="1" x14ac:dyDescent="0.25">
      <c r="A144" s="336"/>
      <c r="B144" s="105"/>
      <c r="C144" s="312"/>
      <c r="D144" s="321" t="s">
        <v>345</v>
      </c>
      <c r="E144" s="330">
        <f>VLOOKUP(E151,K136:R148,7,FALSE)</f>
        <v>1.1999999999999999E-3</v>
      </c>
      <c r="F144" s="89"/>
      <c r="G144" s="89"/>
      <c r="H144" s="89"/>
      <c r="I144" s="89"/>
      <c r="J144" s="384"/>
      <c r="K144" s="400" t="s">
        <v>88</v>
      </c>
      <c r="L144" s="406" t="s">
        <v>89</v>
      </c>
      <c r="M144" s="400">
        <v>28.7</v>
      </c>
      <c r="N144" s="400">
        <v>6.45</v>
      </c>
      <c r="O144" s="403">
        <f t="shared" si="0"/>
        <v>90</v>
      </c>
      <c r="P144" s="404">
        <v>5.0599999999999996</v>
      </c>
      <c r="Q144" s="378">
        <v>1.5E-3</v>
      </c>
      <c r="R144" s="378">
        <v>2.5000000000000001E-3</v>
      </c>
    </row>
    <row r="145" spans="1:18" x14ac:dyDescent="0.25">
      <c r="A145" s="100"/>
      <c r="B145" s="89"/>
      <c r="C145" s="89"/>
      <c r="D145" s="277" t="s">
        <v>72</v>
      </c>
      <c r="E145" s="338">
        <v>3.62</v>
      </c>
      <c r="F145" s="277" t="s">
        <v>347</v>
      </c>
      <c r="G145" s="333">
        <f>0.0018*100*100*C142</f>
        <v>7.2</v>
      </c>
      <c r="H145" s="277" t="s">
        <v>349</v>
      </c>
      <c r="I145" s="331">
        <f>I146*1.3</f>
        <v>3.6194137772182691</v>
      </c>
      <c r="J145" s="384"/>
      <c r="K145" s="400" t="s">
        <v>90</v>
      </c>
      <c r="L145" s="405" t="s">
        <v>91</v>
      </c>
      <c r="M145" s="400">
        <v>32.299999999999997</v>
      </c>
      <c r="N145" s="400">
        <v>8.19</v>
      </c>
      <c r="O145" s="400">
        <v>101.3</v>
      </c>
      <c r="P145" s="404">
        <v>6.4039999999999999</v>
      </c>
      <c r="Q145" s="378">
        <v>1.5E-3</v>
      </c>
      <c r="R145" s="378">
        <v>2.5000000000000001E-3</v>
      </c>
    </row>
    <row r="146" spans="1:18" ht="13.8" thickBot="1" x14ac:dyDescent="0.3">
      <c r="A146" s="100"/>
      <c r="B146" s="89"/>
      <c r="C146" s="89"/>
      <c r="E146" s="337"/>
      <c r="F146" s="334" t="s">
        <v>348</v>
      </c>
      <c r="G146" s="335">
        <f>(14.1/E138)*100*100*(C142-C141)</f>
        <v>11.750000000000004</v>
      </c>
      <c r="H146" s="277" t="s">
        <v>350</v>
      </c>
      <c r="I146" s="358">
        <f>0.85*E137*(C139*100)*((C140*100)/E138*(1-SQRT(1-((2*C143*100000)/(0.85*C138*E137*C139*100*(10000*C140^2))))))</f>
        <v>2.7841644440140532</v>
      </c>
      <c r="J146" s="384"/>
      <c r="K146" s="400" t="s">
        <v>92</v>
      </c>
      <c r="L146" s="400" t="s">
        <v>93</v>
      </c>
      <c r="M146" s="400">
        <v>35.799999999999997</v>
      </c>
      <c r="N146" s="400">
        <v>10.06</v>
      </c>
      <c r="O146" s="400">
        <v>112.5</v>
      </c>
      <c r="P146" s="404">
        <v>7.907</v>
      </c>
      <c r="Q146" s="378">
        <v>1.5E-3</v>
      </c>
      <c r="R146" s="378">
        <v>2.5000000000000001E-3</v>
      </c>
    </row>
    <row r="147" spans="1:18" x14ac:dyDescent="0.25">
      <c r="A147" s="100"/>
      <c r="B147" s="152" t="s">
        <v>241</v>
      </c>
      <c r="C147" s="155"/>
      <c r="D147" s="156"/>
      <c r="E147" s="157"/>
      <c r="F147" s="156"/>
      <c r="G147" s="158"/>
      <c r="H147" s="155"/>
      <c r="I147" s="155"/>
      <c r="J147" s="384"/>
      <c r="K147" s="405" t="s">
        <v>94</v>
      </c>
      <c r="L147" s="400" t="s">
        <v>95</v>
      </c>
      <c r="M147" s="403">
        <v>43</v>
      </c>
      <c r="N147" s="400">
        <v>14.52</v>
      </c>
      <c r="O147" s="400">
        <v>135.1</v>
      </c>
      <c r="P147" s="404">
        <v>11.38</v>
      </c>
      <c r="Q147" s="378">
        <v>1.5E-3</v>
      </c>
      <c r="R147" s="378">
        <v>2.5000000000000001E-3</v>
      </c>
    </row>
    <row r="148" spans="1:18" ht="13.8" thickBot="1" x14ac:dyDescent="0.3">
      <c r="A148" s="100"/>
      <c r="B148" s="153" t="s">
        <v>243</v>
      </c>
      <c r="C148" s="148"/>
      <c r="D148" s="159"/>
      <c r="E148" s="141"/>
      <c r="F148" s="148"/>
      <c r="G148" s="159"/>
      <c r="H148" s="141"/>
      <c r="I148" s="89"/>
      <c r="J148" s="384"/>
      <c r="K148" s="405" t="s">
        <v>96</v>
      </c>
      <c r="L148" s="400" t="s">
        <v>97</v>
      </c>
      <c r="M148" s="400">
        <v>57.3</v>
      </c>
      <c r="N148" s="400">
        <v>25.81</v>
      </c>
      <c r="O148" s="400">
        <v>180.1</v>
      </c>
      <c r="P148" s="404">
        <v>20.239999999999998</v>
      </c>
      <c r="Q148" s="378">
        <v>1.5E-3</v>
      </c>
      <c r="R148" s="378">
        <v>2.5000000000000001E-3</v>
      </c>
    </row>
    <row r="149" spans="1:18" ht="13.8" thickBot="1" x14ac:dyDescent="0.3">
      <c r="A149" s="100"/>
      <c r="B149" s="154" t="s">
        <v>238</v>
      </c>
      <c r="C149" s="160" t="s">
        <v>239</v>
      </c>
      <c r="D149" s="270">
        <f>ROUND(C143/2,2)</f>
        <v>1.83</v>
      </c>
      <c r="E149" s="80">
        <f>ROUND((((0.5*B23*B21*((C42-I149)^4))+(3*B23*B21*((C42-I149)^2)*H23^2))/((C42-I149)+2*H23))*0.5667,2)</f>
        <v>1.83</v>
      </c>
      <c r="F149" s="288" t="str">
        <f>IF(E149=D149,"Cumple", "No cumple")</f>
        <v>Cumple</v>
      </c>
      <c r="G149" s="89"/>
      <c r="H149" s="102" t="s">
        <v>240</v>
      </c>
      <c r="I149" s="359">
        <v>0.224</v>
      </c>
      <c r="J149" s="384"/>
      <c r="K149" s="382"/>
      <c r="L149" s="382"/>
      <c r="M149" s="382"/>
      <c r="N149" s="382"/>
      <c r="O149" s="382"/>
      <c r="P149" s="383"/>
    </row>
    <row r="150" spans="1:18" ht="13.8" thickBot="1" x14ac:dyDescent="0.3">
      <c r="A150" s="85"/>
      <c r="B150" s="285" t="s">
        <v>242</v>
      </c>
      <c r="C150" s="286">
        <f>ROUND(I149+C140,1)</f>
        <v>0.6</v>
      </c>
      <c r="D150" s="271"/>
      <c r="E150" s="163"/>
      <c r="F150" s="163"/>
      <c r="G150" s="163"/>
      <c r="H150" s="287" t="s">
        <v>318</v>
      </c>
      <c r="I150" s="360"/>
      <c r="J150" s="384"/>
      <c r="K150" s="382"/>
      <c r="L150" s="382"/>
      <c r="M150" s="407"/>
      <c r="N150" s="382"/>
      <c r="O150" s="382"/>
      <c r="P150" s="383"/>
    </row>
    <row r="151" spans="1:18" x14ac:dyDescent="0.25">
      <c r="A151" s="100"/>
      <c r="B151" s="89"/>
      <c r="C151" s="18"/>
      <c r="D151" s="19" t="s">
        <v>73</v>
      </c>
      <c r="E151" s="329" t="s">
        <v>76</v>
      </c>
      <c r="F151" s="19" t="s">
        <v>72</v>
      </c>
      <c r="G151" s="273">
        <f>VLOOKUP(E151,$K$137:$P$148,4,FALSE)</f>
        <v>0.71</v>
      </c>
      <c r="H151" s="102"/>
      <c r="I151" s="4"/>
      <c r="J151" s="384"/>
      <c r="K151" s="382"/>
      <c r="L151" s="382"/>
      <c r="M151" s="408"/>
      <c r="N151" s="382"/>
      <c r="O151" s="382"/>
      <c r="P151" s="383"/>
    </row>
    <row r="152" spans="1:18" x14ac:dyDescent="0.25">
      <c r="A152" s="100"/>
      <c r="B152" s="89"/>
      <c r="C152" s="89"/>
      <c r="D152" s="89"/>
      <c r="E152" s="89"/>
      <c r="F152" s="89"/>
      <c r="G152" s="89"/>
      <c r="H152" s="89"/>
      <c r="I152" s="89"/>
      <c r="J152" s="384"/>
      <c r="K152" s="382"/>
      <c r="L152" s="382"/>
      <c r="M152" s="408"/>
      <c r="N152" s="382"/>
      <c r="O152" s="382"/>
      <c r="P152" s="383"/>
    </row>
    <row r="153" spans="1:18" x14ac:dyDescent="0.25">
      <c r="A153" s="100"/>
      <c r="B153" s="89"/>
      <c r="C153" s="4"/>
      <c r="D153" s="63" t="s">
        <v>163</v>
      </c>
      <c r="E153" s="278">
        <f>ROUND((E145/G151),0)+1</f>
        <v>6</v>
      </c>
      <c r="F153" s="192"/>
      <c r="G153" s="89"/>
      <c r="H153" s="89"/>
      <c r="I153" s="89"/>
      <c r="J153" s="384"/>
      <c r="K153" s="382"/>
      <c r="L153" s="382"/>
      <c r="M153" s="408"/>
      <c r="N153" s="382"/>
      <c r="O153" s="382"/>
      <c r="P153" s="383"/>
    </row>
    <row r="154" spans="1:18" ht="13.8" thickBot="1" x14ac:dyDescent="0.3">
      <c r="A154" s="100"/>
      <c r="B154" s="89"/>
      <c r="C154" s="89"/>
      <c r="D154" s="89"/>
      <c r="E154" s="89"/>
      <c r="F154" s="89"/>
      <c r="G154" s="89"/>
      <c r="H154" s="89"/>
      <c r="I154" s="89"/>
      <c r="J154" s="384"/>
      <c r="K154" s="382"/>
      <c r="L154" s="382"/>
      <c r="M154" s="382"/>
      <c r="N154" s="382"/>
      <c r="O154" s="382"/>
      <c r="P154" s="383"/>
    </row>
    <row r="155" spans="1:18" ht="13.8" thickBot="1" x14ac:dyDescent="0.3">
      <c r="A155" s="100"/>
      <c r="B155" s="89"/>
      <c r="C155" s="89" t="s">
        <v>334</v>
      </c>
      <c r="D155" s="144" t="s">
        <v>179</v>
      </c>
      <c r="E155" s="16" t="s">
        <v>103</v>
      </c>
      <c r="F155" s="17" t="str">
        <f>E151</f>
        <v>Nº3</v>
      </c>
      <c r="G155" s="17" t="s">
        <v>102</v>
      </c>
      <c r="H155" s="272">
        <f>ROUND(100/E153,0)</f>
        <v>17</v>
      </c>
      <c r="I155" s="89"/>
      <c r="J155" s="384"/>
      <c r="K155" s="382"/>
      <c r="L155" s="382"/>
      <c r="M155" s="382"/>
      <c r="N155" s="382"/>
      <c r="O155" s="409"/>
      <c r="P155" s="383"/>
    </row>
    <row r="156" spans="1:18" x14ac:dyDescent="0.25">
      <c r="A156" s="100"/>
      <c r="B156" s="89"/>
      <c r="C156" s="89"/>
      <c r="D156" s="89"/>
      <c r="E156" s="89"/>
      <c r="F156" s="89"/>
      <c r="G156" s="89"/>
      <c r="H156" s="89"/>
      <c r="I156" s="89"/>
      <c r="J156" s="384"/>
      <c r="K156" s="382"/>
      <c r="L156" s="382"/>
      <c r="M156" s="382"/>
      <c r="N156" s="382"/>
      <c r="O156" s="409"/>
      <c r="P156" s="383"/>
    </row>
    <row r="157" spans="1:18" x14ac:dyDescent="0.25">
      <c r="A157" s="95" t="s">
        <v>126</v>
      </c>
      <c r="B157" s="146" t="s">
        <v>161</v>
      </c>
      <c r="C157" s="89"/>
      <c r="D157" s="89"/>
      <c r="E157" s="89"/>
      <c r="F157" s="89"/>
      <c r="G157" s="89"/>
      <c r="H157" s="89"/>
      <c r="I157" s="89"/>
      <c r="J157" s="384"/>
      <c r="K157" s="382"/>
      <c r="L157" s="382"/>
      <c r="M157" s="382"/>
      <c r="N157" s="382"/>
      <c r="O157" s="382"/>
      <c r="P157" s="383"/>
    </row>
    <row r="158" spans="1:18" x14ac:dyDescent="0.25">
      <c r="A158" s="100"/>
      <c r="B158" s="89"/>
      <c r="C158" s="89"/>
      <c r="D158" s="105" t="s">
        <v>18</v>
      </c>
      <c r="E158" s="312">
        <f>VLOOKUP(E162,K137:R148,7,FALSE)</f>
        <v>1.1999999999999999E-3</v>
      </c>
      <c r="F158" s="89"/>
      <c r="G158" s="89"/>
      <c r="H158" s="89"/>
      <c r="I158" s="89"/>
      <c r="J158" s="384"/>
      <c r="K158" s="382"/>
      <c r="L158" s="382"/>
      <c r="M158" s="382"/>
      <c r="N158" s="382"/>
      <c r="O158" s="382"/>
      <c r="P158" s="383"/>
    </row>
    <row r="159" spans="1:18" hidden="1" x14ac:dyDescent="0.25">
      <c r="A159" s="100"/>
      <c r="B159" s="89"/>
      <c r="C159" s="89"/>
      <c r="D159" s="89"/>
      <c r="E159" s="89"/>
      <c r="F159" s="89"/>
      <c r="G159" s="89"/>
      <c r="H159" s="89"/>
      <c r="I159" s="89"/>
      <c r="J159" s="384"/>
      <c r="K159" s="382"/>
      <c r="L159" s="382"/>
      <c r="M159" s="382"/>
      <c r="N159" s="382"/>
      <c r="O159" s="382"/>
      <c r="P159" s="383"/>
    </row>
    <row r="160" spans="1:18" x14ac:dyDescent="0.25">
      <c r="A160" s="100"/>
      <c r="B160" s="89"/>
      <c r="C160" s="89"/>
      <c r="D160" s="102" t="s">
        <v>72</v>
      </c>
      <c r="E160" s="318">
        <f>E158*(C140*100)*(C139*100)</f>
        <v>4.1999999999999993</v>
      </c>
      <c r="F160" s="89"/>
      <c r="G160" s="89"/>
      <c r="H160" s="89"/>
      <c r="I160" s="89"/>
      <c r="J160" s="384"/>
      <c r="K160" s="382"/>
      <c r="L160" s="382"/>
      <c r="M160" s="382"/>
      <c r="N160" s="382"/>
      <c r="O160" s="382"/>
      <c r="P160" s="383"/>
    </row>
    <row r="161" spans="1:16" x14ac:dyDescent="0.25">
      <c r="A161" s="100"/>
      <c r="B161" s="89"/>
      <c r="C161" s="89"/>
      <c r="D161" s="89"/>
      <c r="E161" s="89"/>
      <c r="F161" s="89"/>
      <c r="G161" s="89"/>
      <c r="H161" s="89"/>
      <c r="I161" s="89"/>
      <c r="J161" s="384"/>
      <c r="K161" s="382"/>
      <c r="L161" s="382"/>
      <c r="M161" s="382"/>
      <c r="N161" s="382"/>
      <c r="O161" s="382"/>
      <c r="P161" s="383"/>
    </row>
    <row r="162" spans="1:16" x14ac:dyDescent="0.25">
      <c r="A162" s="100"/>
      <c r="B162" s="89"/>
      <c r="C162" s="18"/>
      <c r="D162" s="19" t="s">
        <v>73</v>
      </c>
      <c r="E162" s="329" t="s">
        <v>78</v>
      </c>
      <c r="F162" s="19" t="s">
        <v>72</v>
      </c>
      <c r="G162" s="274">
        <f>VLOOKUP(E162,$K$137:$P$148,4,FALSE)</f>
        <v>1.29</v>
      </c>
      <c r="H162" s="89"/>
      <c r="I162" s="4"/>
      <c r="J162" s="384"/>
      <c r="K162" s="382"/>
      <c r="L162" s="382"/>
      <c r="M162" s="382"/>
      <c r="N162" s="382"/>
      <c r="O162" s="382"/>
      <c r="P162" s="383"/>
    </row>
    <row r="163" spans="1:16" x14ac:dyDescent="0.25">
      <c r="A163" s="100"/>
      <c r="B163" s="89"/>
      <c r="C163" s="89"/>
      <c r="D163" s="89"/>
      <c r="E163" s="89"/>
      <c r="F163" s="89"/>
      <c r="G163" s="89"/>
      <c r="H163" s="89"/>
      <c r="I163" s="89"/>
      <c r="J163" s="384"/>
      <c r="K163" s="382"/>
      <c r="L163" s="382"/>
      <c r="M163" s="382"/>
      <c r="N163" s="382"/>
      <c r="O163" s="382"/>
      <c r="P163" s="383"/>
    </row>
    <row r="164" spans="1:16" x14ac:dyDescent="0.25">
      <c r="A164" s="100"/>
      <c r="B164" s="89"/>
      <c r="C164" s="4"/>
      <c r="D164" s="63" t="s">
        <v>164</v>
      </c>
      <c r="E164" s="278">
        <f>ROUND(E160/G162,0)+1</f>
        <v>4</v>
      </c>
      <c r="F164" s="192"/>
      <c r="G164" s="89"/>
      <c r="H164" s="89"/>
      <c r="I164" s="89"/>
      <c r="J164" s="384"/>
      <c r="K164" s="382"/>
      <c r="L164" s="382"/>
      <c r="M164" s="382"/>
      <c r="N164" s="382"/>
      <c r="O164" s="382"/>
      <c r="P164" s="383"/>
    </row>
    <row r="165" spans="1:16" ht="13.8" thickBot="1" x14ac:dyDescent="0.3">
      <c r="A165" s="100"/>
      <c r="B165" s="89"/>
      <c r="C165" s="89"/>
      <c r="D165" s="89"/>
      <c r="E165" s="89"/>
      <c r="F165" s="89"/>
      <c r="G165" s="89"/>
      <c r="H165" s="89"/>
      <c r="I165" s="89"/>
      <c r="J165" s="384"/>
      <c r="K165" s="382"/>
      <c r="L165" s="382"/>
      <c r="M165" s="382"/>
      <c r="N165" s="382"/>
      <c r="O165" s="382"/>
      <c r="P165" s="383"/>
    </row>
    <row r="166" spans="1:16" ht="13.8" thickBot="1" x14ac:dyDescent="0.3">
      <c r="A166" s="100"/>
      <c r="B166" s="89"/>
      <c r="C166" s="89"/>
      <c r="D166" s="144" t="s">
        <v>183</v>
      </c>
      <c r="E166" s="20" t="s">
        <v>103</v>
      </c>
      <c r="F166" s="21" t="str">
        <f>E162</f>
        <v>Nº4</v>
      </c>
      <c r="G166" s="21" t="s">
        <v>102</v>
      </c>
      <c r="H166" s="279">
        <f>MIN(30,(ROUND(100/E164,0)))</f>
        <v>25</v>
      </c>
      <c r="I166" s="97"/>
      <c r="J166" s="384"/>
      <c r="K166" s="382"/>
      <c r="L166" s="382"/>
      <c r="M166" s="382"/>
      <c r="N166" s="382"/>
      <c r="O166" s="382"/>
      <c r="P166" s="383"/>
    </row>
    <row r="167" spans="1:16" x14ac:dyDescent="0.25">
      <c r="A167" s="100"/>
      <c r="B167" s="89"/>
      <c r="C167" s="89"/>
      <c r="D167" s="89"/>
      <c r="E167" s="89"/>
      <c r="F167" s="89"/>
      <c r="G167" s="89"/>
      <c r="H167" s="89"/>
      <c r="I167" s="89"/>
      <c r="J167" s="384"/>
      <c r="K167" s="382"/>
      <c r="L167" s="382"/>
      <c r="M167" s="382"/>
      <c r="N167" s="382"/>
      <c r="O167" s="382"/>
      <c r="P167" s="383"/>
    </row>
    <row r="168" spans="1:16" x14ac:dyDescent="0.25">
      <c r="A168" s="95"/>
      <c r="B168" s="147" t="s">
        <v>104</v>
      </c>
      <c r="C168" s="89"/>
      <c r="D168" s="89"/>
      <c r="E168" s="89"/>
      <c r="F168" s="89"/>
      <c r="G168" s="89"/>
      <c r="H168" s="89"/>
      <c r="I168" s="89"/>
      <c r="J168" s="384"/>
      <c r="K168" s="382"/>
      <c r="L168" s="382"/>
      <c r="M168" s="382"/>
      <c r="N168" s="382"/>
      <c r="O168" s="382"/>
      <c r="P168" s="383"/>
    </row>
    <row r="169" spans="1:16" x14ac:dyDescent="0.25">
      <c r="A169" s="100"/>
      <c r="B169" s="89"/>
      <c r="C169" s="89"/>
      <c r="D169" s="105" t="s">
        <v>18</v>
      </c>
      <c r="E169" s="312">
        <f>E158</f>
        <v>1.1999999999999999E-3</v>
      </c>
      <c r="F169" s="317" t="s">
        <v>246</v>
      </c>
      <c r="G169" s="306" t="s">
        <v>338</v>
      </c>
      <c r="H169" s="319">
        <f>1*E171/2</f>
        <v>2.1</v>
      </c>
      <c r="I169" s="89"/>
      <c r="J169" s="384"/>
      <c r="K169" s="382"/>
      <c r="L169" s="382"/>
      <c r="M169" s="382"/>
      <c r="N169" s="382"/>
      <c r="O169" s="382"/>
      <c r="P169" s="383"/>
    </row>
    <row r="170" spans="1:16" x14ac:dyDescent="0.25">
      <c r="A170" s="100"/>
      <c r="B170" s="89"/>
      <c r="C170" s="89"/>
      <c r="D170" s="89"/>
      <c r="E170" s="89"/>
      <c r="F170" s="89"/>
      <c r="G170" s="306" t="s">
        <v>339</v>
      </c>
      <c r="H170" s="318">
        <f>1*E171/2</f>
        <v>2.1</v>
      </c>
      <c r="I170" s="89"/>
      <c r="J170" s="384"/>
      <c r="K170" s="382"/>
      <c r="L170" s="382"/>
      <c r="M170" s="382"/>
      <c r="N170" s="382"/>
      <c r="O170" s="382"/>
      <c r="P170" s="383"/>
    </row>
    <row r="171" spans="1:16" x14ac:dyDescent="0.25">
      <c r="A171" s="100"/>
      <c r="B171" s="89"/>
      <c r="C171" s="89"/>
      <c r="D171" s="102" t="s">
        <v>72</v>
      </c>
      <c r="E171" s="331">
        <f>E169*C139*C140*10000</f>
        <v>4.2</v>
      </c>
      <c r="F171" s="89"/>
      <c r="G171" s="89"/>
      <c r="H171" s="89"/>
      <c r="I171" s="89"/>
      <c r="J171" s="384"/>
      <c r="K171" s="382"/>
      <c r="L171" s="382"/>
      <c r="M171" s="382"/>
      <c r="N171" s="382"/>
      <c r="O171" s="382"/>
      <c r="P171" s="383"/>
    </row>
    <row r="172" spans="1:16" x14ac:dyDescent="0.25">
      <c r="A172" s="100"/>
      <c r="B172" s="89"/>
      <c r="C172" s="89"/>
      <c r="D172" s="89"/>
      <c r="E172" s="89"/>
      <c r="F172" s="89"/>
      <c r="G172" s="89"/>
      <c r="H172" s="89"/>
      <c r="I172" s="89"/>
      <c r="J172" s="384"/>
      <c r="K172" s="382"/>
      <c r="L172" s="382"/>
      <c r="M172" s="382"/>
      <c r="N172" s="382"/>
      <c r="O172" s="382"/>
      <c r="P172" s="383"/>
    </row>
    <row r="173" spans="1:16" x14ac:dyDescent="0.25">
      <c r="A173" s="100"/>
      <c r="B173" s="89"/>
      <c r="C173" s="18"/>
      <c r="D173" s="19" t="s">
        <v>73</v>
      </c>
      <c r="E173" s="149" t="s">
        <v>78</v>
      </c>
      <c r="F173" s="19" t="s">
        <v>72</v>
      </c>
      <c r="G173" s="274">
        <f>VLOOKUP(E173,$K$137:$P$148,4,FALSE)</f>
        <v>1.29</v>
      </c>
      <c r="H173" s="89"/>
      <c r="I173" s="89"/>
      <c r="J173" s="384"/>
      <c r="K173" s="382"/>
      <c r="L173" s="382"/>
      <c r="M173" s="382"/>
      <c r="N173" s="382"/>
      <c r="O173" s="382"/>
      <c r="P173" s="383"/>
    </row>
    <row r="174" spans="1:16" x14ac:dyDescent="0.25">
      <c r="A174" s="95" t="s">
        <v>125</v>
      </c>
      <c r="B174" s="96" t="s">
        <v>159</v>
      </c>
      <c r="C174" s="89"/>
      <c r="D174" s="102"/>
      <c r="E174" s="110"/>
      <c r="F174" s="102"/>
      <c r="G174" s="102"/>
      <c r="H174" s="89"/>
      <c r="I174" s="89"/>
      <c r="J174" s="384"/>
      <c r="K174" s="382"/>
      <c r="L174" s="382"/>
      <c r="M174" s="382"/>
      <c r="N174" s="382"/>
      <c r="O174" s="382"/>
      <c r="P174" s="383"/>
    </row>
    <row r="175" spans="1:16" x14ac:dyDescent="0.25">
      <c r="A175" s="100"/>
      <c r="B175" s="89"/>
      <c r="C175" s="5"/>
      <c r="D175" s="64" t="s">
        <v>165</v>
      </c>
      <c r="E175" s="22">
        <f>ROUND(H169/G173,0)+1</f>
        <v>3</v>
      </c>
      <c r="F175" s="23" t="s">
        <v>101</v>
      </c>
      <c r="G175" s="102"/>
      <c r="H175" s="89"/>
      <c r="I175" s="89"/>
      <c r="J175" s="384"/>
      <c r="K175" s="382"/>
      <c r="L175" s="382"/>
      <c r="M175" s="382"/>
      <c r="N175" s="382"/>
      <c r="O175" s="382"/>
      <c r="P175" s="383"/>
    </row>
    <row r="176" spans="1:16" ht="13.8" thickBot="1" x14ac:dyDescent="0.3">
      <c r="A176" s="100"/>
      <c r="B176" s="89"/>
      <c r="C176" s="89"/>
      <c r="D176" s="102"/>
      <c r="E176" s="89"/>
      <c r="F176" s="102"/>
      <c r="G176" s="102"/>
      <c r="H176" s="89"/>
      <c r="I176" s="89"/>
      <c r="J176" s="384"/>
      <c r="K176" s="382"/>
      <c r="L176" s="382"/>
      <c r="M176" s="382"/>
      <c r="N176" s="382"/>
      <c r="O176" s="382"/>
      <c r="P176" s="383"/>
    </row>
    <row r="177" spans="1:16" ht="13.8" thickBot="1" x14ac:dyDescent="0.3">
      <c r="A177" s="100"/>
      <c r="B177" s="89"/>
      <c r="C177" s="89"/>
      <c r="D177" s="144" t="s">
        <v>181</v>
      </c>
      <c r="E177" s="16" t="s">
        <v>103</v>
      </c>
      <c r="F177" s="17" t="str">
        <f>E173</f>
        <v>Nº4</v>
      </c>
      <c r="G177" s="17" t="s">
        <v>102</v>
      </c>
      <c r="H177" s="272">
        <f>MIN(30,(ROUND(100/E175,0)))</f>
        <v>30</v>
      </c>
      <c r="I177" s="89"/>
      <c r="J177" s="384"/>
      <c r="K177" s="382"/>
      <c r="L177" s="382"/>
      <c r="M177" s="382"/>
      <c r="N177" s="382"/>
      <c r="O177" s="382"/>
      <c r="P177" s="383"/>
    </row>
    <row r="178" spans="1:16" x14ac:dyDescent="0.25">
      <c r="A178" s="95" t="s">
        <v>126</v>
      </c>
      <c r="B178" s="96" t="s">
        <v>158</v>
      </c>
      <c r="C178" s="89"/>
      <c r="D178" s="89"/>
      <c r="E178" s="89"/>
      <c r="F178" s="89"/>
      <c r="G178" s="89"/>
      <c r="H178" s="89"/>
      <c r="I178" s="89"/>
      <c r="J178" s="384"/>
      <c r="K178" s="382"/>
      <c r="L178" s="382"/>
      <c r="M178" s="382"/>
      <c r="N178" s="382"/>
      <c r="O178" s="382"/>
      <c r="P178" s="383"/>
    </row>
    <row r="179" spans="1:16" x14ac:dyDescent="0.25">
      <c r="A179" s="100"/>
      <c r="B179" s="89"/>
      <c r="C179" s="89"/>
      <c r="D179" s="148" t="s">
        <v>166</v>
      </c>
      <c r="E179" s="22">
        <f>ROUND(H170/G173,0)+1</f>
        <v>3</v>
      </c>
      <c r="F179" s="23" t="s">
        <v>101</v>
      </c>
      <c r="G179" s="89"/>
      <c r="H179" s="89"/>
      <c r="I179" s="89"/>
      <c r="J179" s="384"/>
      <c r="K179" s="382"/>
      <c r="L179" s="382"/>
      <c r="M179" s="382"/>
      <c r="N179" s="382"/>
      <c r="O179" s="382"/>
      <c r="P179" s="383"/>
    </row>
    <row r="180" spans="1:16" ht="13.8" thickBot="1" x14ac:dyDescent="0.3">
      <c r="A180" s="100"/>
      <c r="B180" s="89"/>
      <c r="C180" s="89"/>
      <c r="D180" s="89"/>
      <c r="E180" s="89"/>
      <c r="F180" s="89"/>
      <c r="G180" s="89"/>
      <c r="H180" s="89"/>
      <c r="I180" s="89"/>
      <c r="J180" s="384"/>
      <c r="K180" s="382"/>
      <c r="L180" s="382"/>
      <c r="M180" s="382"/>
      <c r="N180" s="382"/>
      <c r="O180" s="382"/>
      <c r="P180" s="383"/>
    </row>
    <row r="181" spans="1:16" ht="13.8" thickBot="1" x14ac:dyDescent="0.3">
      <c r="A181" s="100"/>
      <c r="B181" s="89"/>
      <c r="C181" s="89"/>
      <c r="D181" s="144" t="s">
        <v>180</v>
      </c>
      <c r="E181" s="16" t="s">
        <v>103</v>
      </c>
      <c r="F181" s="17" t="str">
        <f>E173</f>
        <v>Nº4</v>
      </c>
      <c r="G181" s="17" t="s">
        <v>102</v>
      </c>
      <c r="H181" s="272">
        <f>MIN(30,ROUND(100/E179,0))</f>
        <v>30</v>
      </c>
      <c r="I181" s="89"/>
      <c r="J181" s="384"/>
      <c r="K181" s="382"/>
      <c r="L181" s="382"/>
      <c r="M181" s="382"/>
      <c r="N181" s="382"/>
      <c r="O181" s="382"/>
      <c r="P181" s="383"/>
    </row>
    <row r="182" spans="1:16" ht="13.8" thickBot="1" x14ac:dyDescent="0.3">
      <c r="A182" s="111"/>
      <c r="B182" s="112"/>
      <c r="C182" s="112"/>
      <c r="D182" s="112"/>
      <c r="E182" s="112"/>
      <c r="F182" s="112"/>
      <c r="G182" s="112"/>
      <c r="H182" s="112"/>
      <c r="I182" s="112"/>
      <c r="J182" s="384"/>
      <c r="K182" s="382"/>
      <c r="L182" s="382"/>
      <c r="M182" s="382"/>
      <c r="N182" s="382"/>
      <c r="O182" s="382"/>
      <c r="P182" s="383"/>
    </row>
    <row r="183" spans="1:16" x14ac:dyDescent="0.25">
      <c r="A183" s="340" t="s">
        <v>169</v>
      </c>
      <c r="B183" s="284" t="s">
        <v>128</v>
      </c>
      <c r="C183" s="107"/>
      <c r="D183" s="107"/>
      <c r="E183" s="107"/>
      <c r="F183" s="107"/>
      <c r="G183" s="107"/>
      <c r="H183" s="107"/>
      <c r="I183" s="107"/>
      <c r="J183" s="384"/>
      <c r="K183" s="382"/>
      <c r="L183" s="382"/>
      <c r="M183" s="382"/>
      <c r="N183" s="382"/>
      <c r="O183" s="382"/>
      <c r="P183" s="383"/>
    </row>
    <row r="184" spans="1:16" x14ac:dyDescent="0.25">
      <c r="A184" s="95"/>
      <c r="B184" s="132" t="s">
        <v>129</v>
      </c>
      <c r="C184" s="134"/>
      <c r="D184" s="89"/>
      <c r="E184" s="89"/>
      <c r="F184" s="89"/>
      <c r="G184" s="89"/>
      <c r="H184" s="89"/>
      <c r="I184" s="89"/>
      <c r="J184" s="384"/>
      <c r="K184" s="382"/>
      <c r="L184" s="382"/>
      <c r="M184" s="382"/>
      <c r="N184" s="382"/>
      <c r="O184" s="382"/>
      <c r="P184" s="383"/>
    </row>
    <row r="185" spans="1:16" x14ac:dyDescent="0.25">
      <c r="A185" s="95" t="s">
        <v>125</v>
      </c>
      <c r="B185" s="133" t="s">
        <v>170</v>
      </c>
      <c r="C185" s="134"/>
      <c r="D185" s="89"/>
      <c r="E185" s="89"/>
      <c r="F185" s="89"/>
      <c r="G185" s="89"/>
      <c r="H185" s="89"/>
      <c r="I185" s="89"/>
      <c r="J185" s="384"/>
      <c r="K185" s="382"/>
      <c r="L185" s="382"/>
      <c r="M185" s="382"/>
      <c r="N185" s="382"/>
      <c r="O185" s="382"/>
      <c r="P185" s="383"/>
    </row>
    <row r="186" spans="1:16" x14ac:dyDescent="0.25">
      <c r="A186" s="128" t="s">
        <v>172</v>
      </c>
      <c r="B186" s="129" t="s">
        <v>171</v>
      </c>
      <c r="C186" s="89"/>
      <c r="D186" s="89"/>
      <c r="E186" s="89"/>
      <c r="F186" s="89"/>
      <c r="G186" s="362" t="s">
        <v>38</v>
      </c>
      <c r="H186" s="364">
        <f>H44</f>
        <v>250</v>
      </c>
      <c r="I186" s="89"/>
      <c r="J186" s="384"/>
      <c r="K186" s="382"/>
      <c r="L186" s="382"/>
      <c r="M186" s="382"/>
      <c r="N186" s="382"/>
      <c r="O186" s="382"/>
      <c r="P186" s="383"/>
    </row>
    <row r="187" spans="1:16" hidden="1" x14ac:dyDescent="0.25">
      <c r="A187" s="100"/>
      <c r="B187" s="89"/>
      <c r="C187" s="89"/>
      <c r="D187" s="105" t="s">
        <v>21</v>
      </c>
      <c r="E187" s="114">
        <f>H51</f>
        <v>0.9</v>
      </c>
      <c r="F187" s="89"/>
      <c r="G187" s="102" t="s">
        <v>40</v>
      </c>
      <c r="H187" s="268">
        <f>H45</f>
        <v>4200</v>
      </c>
      <c r="I187" s="89"/>
      <c r="J187" s="384"/>
      <c r="K187" s="382"/>
      <c r="L187" s="382"/>
      <c r="M187" s="382"/>
      <c r="N187" s="382"/>
      <c r="O187" s="382"/>
      <c r="P187" s="383"/>
    </row>
    <row r="188" spans="1:16" ht="13.8" hidden="1" x14ac:dyDescent="0.3">
      <c r="A188" s="100"/>
      <c r="B188" s="89"/>
      <c r="C188" s="89"/>
      <c r="D188" s="277" t="s">
        <v>329</v>
      </c>
      <c r="E188" s="137">
        <v>1</v>
      </c>
      <c r="F188" s="89"/>
      <c r="G188" s="316" t="s">
        <v>320</v>
      </c>
      <c r="H188" s="269">
        <f>H46</f>
        <v>2.4</v>
      </c>
      <c r="I188" s="89"/>
      <c r="J188" s="384"/>
      <c r="K188" s="382"/>
      <c r="L188" s="382"/>
      <c r="M188" s="382"/>
      <c r="N188" s="382"/>
      <c r="O188" s="382"/>
      <c r="P188" s="383"/>
    </row>
    <row r="189" spans="1:16" hidden="1" x14ac:dyDescent="0.25">
      <c r="A189" s="100"/>
      <c r="B189" s="89"/>
      <c r="C189" s="89"/>
      <c r="D189" s="277" t="s">
        <v>344</v>
      </c>
      <c r="E189" s="137">
        <f>E191-E190</f>
        <v>0.31200000000000006</v>
      </c>
      <c r="F189" s="89"/>
      <c r="G189" s="102" t="s">
        <v>22</v>
      </c>
      <c r="H189" s="141" t="s">
        <v>210</v>
      </c>
      <c r="I189" s="89"/>
      <c r="J189" s="384"/>
      <c r="K189" s="382"/>
      <c r="L189" s="382"/>
      <c r="M189" s="382"/>
      <c r="N189" s="382"/>
      <c r="O189" s="382"/>
      <c r="P189" s="383"/>
    </row>
    <row r="190" spans="1:16" hidden="1" x14ac:dyDescent="0.25">
      <c r="A190" s="100"/>
      <c r="B190" s="89"/>
      <c r="C190" s="89"/>
      <c r="D190" s="277" t="s">
        <v>22</v>
      </c>
      <c r="E190" s="137">
        <f>H54/100</f>
        <v>7.0000000000000007E-2</v>
      </c>
      <c r="F190" s="141"/>
      <c r="G190" s="89"/>
      <c r="H190" s="320" t="s">
        <v>340</v>
      </c>
      <c r="I190" s="323">
        <f>E192/(E187*E188*E189*E189)</f>
        <v>18.878611774346734</v>
      </c>
      <c r="J190" s="384"/>
      <c r="K190" s="382"/>
      <c r="L190" s="382"/>
      <c r="M190" s="382"/>
      <c r="N190" s="382"/>
      <c r="O190" s="382"/>
      <c r="P190" s="383"/>
    </row>
    <row r="191" spans="1:16" hidden="1" x14ac:dyDescent="0.25">
      <c r="A191" s="100"/>
      <c r="B191" s="89"/>
      <c r="C191" s="89"/>
      <c r="D191" s="277" t="s">
        <v>71</v>
      </c>
      <c r="E191" s="137">
        <f>B32</f>
        <v>0.38200000000000006</v>
      </c>
      <c r="F191" s="89"/>
      <c r="G191" s="89"/>
      <c r="H191" s="321" t="s">
        <v>341</v>
      </c>
      <c r="I191" s="322"/>
      <c r="J191" s="384"/>
      <c r="K191" s="382"/>
      <c r="L191" s="382"/>
      <c r="M191" s="382"/>
      <c r="N191" s="382"/>
      <c r="O191" s="382"/>
      <c r="P191" s="383"/>
    </row>
    <row r="192" spans="1:16" hidden="1" x14ac:dyDescent="0.25">
      <c r="A192" s="100"/>
      <c r="B192" s="89"/>
      <c r="C192" s="89"/>
      <c r="D192" s="102" t="s">
        <v>15</v>
      </c>
      <c r="E192" s="139">
        <f>(1.4*((H46*B32*E188)+(B21*C30*E188))*(C36^2)*0.5)+1.7*(((I102-I106)*(C36*0.5)*(C36/3))+((I106*C36)*(C36/2)))</f>
        <v>1.6539476261058084</v>
      </c>
      <c r="F192" s="89"/>
      <c r="G192" s="89"/>
      <c r="H192" s="89"/>
      <c r="I192" s="89"/>
      <c r="J192" s="384"/>
      <c r="K192" s="382"/>
      <c r="L192" s="382"/>
      <c r="M192" s="382"/>
      <c r="N192" s="382"/>
      <c r="O192" s="382"/>
      <c r="P192" s="383"/>
    </row>
    <row r="193" spans="1:16" ht="13.8" x14ac:dyDescent="0.3">
      <c r="A193" s="100"/>
      <c r="B193" s="89"/>
      <c r="C193" s="89"/>
      <c r="D193" s="89"/>
      <c r="E193" s="89"/>
      <c r="F193" s="105" t="s">
        <v>351</v>
      </c>
      <c r="G193" s="143">
        <f>E194/(E188*100*E189*100)</f>
        <v>4.5150534410422981E-4</v>
      </c>
      <c r="H193" s="89"/>
      <c r="I193" s="89"/>
      <c r="J193" s="384"/>
      <c r="K193" s="382"/>
      <c r="L193" s="382"/>
      <c r="M193" s="382"/>
      <c r="N193" s="382"/>
      <c r="O193" s="382"/>
      <c r="P193" s="383"/>
    </row>
    <row r="194" spans="1:16" x14ac:dyDescent="0.25">
      <c r="A194" s="100"/>
      <c r="B194" s="89"/>
      <c r="C194" s="4"/>
      <c r="D194" s="277" t="s">
        <v>352</v>
      </c>
      <c r="E194" s="140">
        <f>0.85*H186*(E188*100)*(E189*100)/H187*(1-SQRT(1-((2*E192*100000)/(0.85*E187*H186*E188*100*(10000*(E189^2))))))</f>
        <v>1.4086966736051971</v>
      </c>
      <c r="F194" s="105" t="s">
        <v>108</v>
      </c>
      <c r="G194" s="313">
        <v>1.8E-3</v>
      </c>
      <c r="H194" s="89"/>
      <c r="I194" s="89"/>
      <c r="J194" s="384"/>
      <c r="K194" s="410"/>
      <c r="L194" s="382"/>
      <c r="M194" s="382"/>
      <c r="N194" s="382"/>
      <c r="O194" s="382"/>
      <c r="P194" s="383"/>
    </row>
    <row r="195" spans="1:16" x14ac:dyDescent="0.25">
      <c r="A195" s="100"/>
      <c r="B195" s="89"/>
      <c r="C195" s="89"/>
      <c r="D195" s="102" t="s">
        <v>72</v>
      </c>
      <c r="E195" s="140">
        <f>IF(G193&lt;G194,G194*E188*100*E189*100,E194)</f>
        <v>5.6160000000000005</v>
      </c>
      <c r="F195" s="89"/>
      <c r="G195" s="89"/>
      <c r="H195" s="89"/>
      <c r="I195" s="89"/>
      <c r="J195" s="384"/>
      <c r="K195" s="382"/>
      <c r="L195" s="382"/>
      <c r="M195" s="382"/>
      <c r="N195" s="382"/>
      <c r="O195" s="382"/>
      <c r="P195" s="383"/>
    </row>
    <row r="196" spans="1:16" x14ac:dyDescent="0.25">
      <c r="A196" s="100"/>
      <c r="B196" s="89"/>
      <c r="C196" s="89"/>
      <c r="D196" s="102"/>
      <c r="E196" s="130"/>
      <c r="F196" s="89"/>
      <c r="G196" s="89"/>
      <c r="H196" s="89"/>
      <c r="I196" s="89"/>
      <c r="J196" s="384"/>
      <c r="K196" s="382"/>
      <c r="L196" s="382"/>
      <c r="M196" s="407"/>
      <c r="N196" s="382"/>
      <c r="O196" s="382"/>
      <c r="P196" s="383"/>
    </row>
    <row r="197" spans="1:16" x14ac:dyDescent="0.25">
      <c r="A197" s="100"/>
      <c r="B197" s="89"/>
      <c r="C197" s="18"/>
      <c r="D197" s="19" t="s">
        <v>73</v>
      </c>
      <c r="E197" s="149" t="s">
        <v>78</v>
      </c>
      <c r="F197" s="67" t="s">
        <v>72</v>
      </c>
      <c r="G197" s="276">
        <f>VLOOKUP(E197,$K$137:$P$148,4,FALSE)</f>
        <v>1.29</v>
      </c>
      <c r="H197" s="277"/>
      <c r="I197" s="4"/>
      <c r="J197" s="384"/>
      <c r="K197" s="382"/>
      <c r="L197" s="382"/>
      <c r="M197" s="408"/>
      <c r="N197" s="382"/>
      <c r="O197" s="382"/>
      <c r="P197" s="383"/>
    </row>
    <row r="198" spans="1:16" x14ac:dyDescent="0.25">
      <c r="A198" s="100"/>
      <c r="B198" s="89"/>
      <c r="C198" s="89"/>
      <c r="D198" s="89"/>
      <c r="E198" s="4"/>
      <c r="F198" s="89"/>
      <c r="G198" s="89"/>
      <c r="H198" s="89"/>
      <c r="I198" s="89"/>
      <c r="J198" s="384"/>
      <c r="K198" s="382"/>
      <c r="L198" s="382"/>
      <c r="M198" s="408"/>
      <c r="N198" s="382"/>
      <c r="O198" s="382"/>
      <c r="P198" s="383"/>
    </row>
    <row r="199" spans="1:16" x14ac:dyDescent="0.25">
      <c r="A199" s="100"/>
      <c r="B199" s="89"/>
      <c r="C199" s="89"/>
      <c r="D199" s="131" t="s">
        <v>162</v>
      </c>
      <c r="E199" s="22">
        <f>ROUND((E195/G197),0)+1</f>
        <v>5</v>
      </c>
      <c r="F199" s="23" t="s">
        <v>101</v>
      </c>
      <c r="G199" s="89"/>
      <c r="H199" s="89"/>
      <c r="I199" s="89"/>
      <c r="J199" s="384"/>
      <c r="K199" s="382"/>
      <c r="L199" s="382"/>
      <c r="M199" s="408"/>
      <c r="N199" s="382"/>
      <c r="O199" s="382"/>
      <c r="P199" s="383"/>
    </row>
    <row r="200" spans="1:16" ht="13.8" thickBot="1" x14ac:dyDescent="0.3">
      <c r="A200" s="100"/>
      <c r="B200" s="89"/>
      <c r="C200" s="89"/>
      <c r="D200" s="89"/>
      <c r="E200" s="4"/>
      <c r="F200" s="89"/>
      <c r="G200" s="89"/>
      <c r="H200" s="89"/>
      <c r="I200" s="89"/>
      <c r="J200" s="384"/>
      <c r="K200" s="382"/>
      <c r="L200" s="382"/>
      <c r="M200" s="382"/>
      <c r="N200" s="382"/>
      <c r="O200" s="382"/>
      <c r="P200" s="383"/>
    </row>
    <row r="201" spans="1:16" ht="13.8" thickBot="1" x14ac:dyDescent="0.3">
      <c r="A201" s="100"/>
      <c r="B201" s="89"/>
      <c r="C201" s="89"/>
      <c r="D201" s="144" t="s">
        <v>184</v>
      </c>
      <c r="E201" s="20" t="s">
        <v>103</v>
      </c>
      <c r="F201" s="21" t="str">
        <f>E197</f>
        <v>Nº4</v>
      </c>
      <c r="G201" s="21" t="s">
        <v>102</v>
      </c>
      <c r="H201" s="275">
        <f>ROUND(100/E199,0)</f>
        <v>20</v>
      </c>
      <c r="I201" s="97"/>
      <c r="J201" s="384"/>
      <c r="K201" s="382"/>
      <c r="L201" s="382"/>
      <c r="M201" s="382"/>
      <c r="N201" s="382"/>
      <c r="O201" s="382"/>
      <c r="P201" s="383"/>
    </row>
    <row r="202" spans="1:16" x14ac:dyDescent="0.25">
      <c r="A202" s="100"/>
      <c r="B202" s="89"/>
      <c r="C202" s="89"/>
      <c r="D202" s="89"/>
      <c r="E202" s="97"/>
      <c r="F202" s="98"/>
      <c r="G202" s="98"/>
      <c r="H202" s="99"/>
      <c r="I202" s="97"/>
      <c r="J202" s="384"/>
      <c r="K202" s="382"/>
      <c r="L202" s="382"/>
      <c r="M202" s="382"/>
      <c r="N202" s="382"/>
      <c r="O202" s="382"/>
      <c r="P202" s="383"/>
    </row>
    <row r="203" spans="1:16" x14ac:dyDescent="0.25">
      <c r="A203" s="128" t="s">
        <v>173</v>
      </c>
      <c r="B203" s="129" t="s">
        <v>174</v>
      </c>
      <c r="C203" s="89"/>
      <c r="D203" s="105" t="s">
        <v>108</v>
      </c>
      <c r="E203" s="312">
        <f>G194</f>
        <v>1.8E-3</v>
      </c>
      <c r="F203" s="102" t="s">
        <v>72</v>
      </c>
      <c r="G203" s="140">
        <f>E203*E188*100*E189*100</f>
        <v>5.6160000000000005</v>
      </c>
      <c r="H203" s="99"/>
      <c r="I203" s="97"/>
      <c r="J203" s="384"/>
      <c r="K203" s="382"/>
      <c r="L203" s="382"/>
      <c r="M203" s="382"/>
      <c r="N203" s="382"/>
      <c r="O203" s="382"/>
      <c r="P203" s="383"/>
    </row>
    <row r="204" spans="1:16" x14ac:dyDescent="0.25">
      <c r="A204" s="128"/>
      <c r="B204" s="129"/>
      <c r="C204" s="18"/>
      <c r="D204" s="19" t="s">
        <v>73</v>
      </c>
      <c r="E204" s="149" t="s">
        <v>78</v>
      </c>
      <c r="F204" s="67" t="s">
        <v>72</v>
      </c>
      <c r="G204" s="276">
        <f>VLOOKUP(E204,$K$137:$P$148,4,FALSE)</f>
        <v>1.29</v>
      </c>
      <c r="H204" s="277"/>
      <c r="I204" s="97"/>
      <c r="J204" s="384"/>
      <c r="K204" s="382"/>
      <c r="L204" s="382"/>
      <c r="M204" s="382"/>
      <c r="N204" s="382"/>
      <c r="O204" s="382"/>
      <c r="P204" s="383"/>
    </row>
    <row r="205" spans="1:16" x14ac:dyDescent="0.25">
      <c r="A205" s="128"/>
      <c r="B205" s="89"/>
      <c r="C205" s="4"/>
      <c r="D205" s="63" t="s">
        <v>248</v>
      </c>
      <c r="E205" s="22">
        <f>ROUND((G203/G204),0)+1</f>
        <v>5</v>
      </c>
      <c r="F205" s="23" t="s">
        <v>101</v>
      </c>
      <c r="G205" s="114"/>
      <c r="H205" s="99"/>
      <c r="I205" s="97"/>
      <c r="J205" s="384"/>
      <c r="K205" s="382"/>
      <c r="L205" s="382"/>
      <c r="M205" s="382"/>
      <c r="N205" s="382"/>
      <c r="O205" s="382"/>
      <c r="P205" s="383"/>
    </row>
    <row r="206" spans="1:16" ht="13.8" thickBot="1" x14ac:dyDescent="0.3">
      <c r="A206" s="128"/>
      <c r="B206" s="129"/>
      <c r="C206" s="89"/>
      <c r="D206" s="105"/>
      <c r="E206" s="130"/>
      <c r="F206" s="102"/>
      <c r="G206" s="114"/>
      <c r="H206" s="99"/>
      <c r="I206" s="97"/>
      <c r="J206" s="384"/>
      <c r="K206" s="382"/>
      <c r="L206" s="382"/>
      <c r="M206" s="382"/>
      <c r="N206" s="382"/>
      <c r="O206" s="382"/>
      <c r="P206" s="383"/>
    </row>
    <row r="207" spans="1:16" ht="13.8" thickBot="1" x14ac:dyDescent="0.3">
      <c r="A207" s="86"/>
      <c r="B207" s="66" t="s">
        <v>186</v>
      </c>
      <c r="C207" s="65"/>
      <c r="D207" s="144" t="s">
        <v>185</v>
      </c>
      <c r="E207" s="20" t="s">
        <v>103</v>
      </c>
      <c r="F207" s="21" t="str">
        <f>E204</f>
        <v>Nº4</v>
      </c>
      <c r="G207" s="21" t="s">
        <v>102</v>
      </c>
      <c r="H207" s="275">
        <f>ROUND(100/E205,0)</f>
        <v>20</v>
      </c>
      <c r="I207" s="97"/>
      <c r="J207" s="384"/>
      <c r="K207" s="382"/>
      <c r="L207" s="382"/>
      <c r="M207" s="382"/>
      <c r="N207" s="382"/>
      <c r="O207" s="382"/>
      <c r="P207" s="383"/>
    </row>
    <row r="208" spans="1:16" x14ac:dyDescent="0.25">
      <c r="A208" s="100"/>
      <c r="B208" s="89"/>
      <c r="C208" s="89"/>
      <c r="D208" s="89"/>
      <c r="E208" s="97"/>
      <c r="F208" s="98"/>
      <c r="G208" s="98"/>
      <c r="H208" s="99"/>
      <c r="I208" s="97"/>
      <c r="J208" s="384"/>
      <c r="K208" s="382"/>
      <c r="L208" s="382"/>
      <c r="M208" s="382"/>
      <c r="N208" s="382"/>
      <c r="O208" s="382"/>
      <c r="P208" s="383"/>
    </row>
    <row r="209" spans="1:16" x14ac:dyDescent="0.25">
      <c r="A209" s="95" t="s">
        <v>126</v>
      </c>
      <c r="B209" s="96" t="s">
        <v>175</v>
      </c>
      <c r="C209" s="89"/>
      <c r="D209" s="89"/>
      <c r="E209" s="97"/>
      <c r="F209" s="98"/>
      <c r="G209" s="98"/>
      <c r="H209" s="99"/>
      <c r="I209" s="97"/>
      <c r="J209" s="384"/>
      <c r="K209" s="382"/>
      <c r="L209" s="382"/>
      <c r="M209" s="382"/>
      <c r="N209" s="382"/>
      <c r="O209" s="382"/>
      <c r="P209" s="383"/>
    </row>
    <row r="210" spans="1:16" x14ac:dyDescent="0.25">
      <c r="A210" s="100"/>
      <c r="B210" s="89"/>
      <c r="C210" s="101" t="s">
        <v>105</v>
      </c>
      <c r="D210" s="89"/>
      <c r="E210" s="89"/>
      <c r="F210" s="89"/>
      <c r="G210" s="89"/>
      <c r="H210" s="89"/>
      <c r="I210" s="89"/>
      <c r="J210" s="384"/>
      <c r="K210" s="382"/>
      <c r="L210" s="382"/>
      <c r="M210" s="382"/>
      <c r="N210" s="382"/>
      <c r="O210" s="382"/>
      <c r="P210" s="383"/>
    </row>
    <row r="211" spans="1:16" hidden="1" x14ac:dyDescent="0.25">
      <c r="A211" s="100"/>
      <c r="B211" s="89"/>
      <c r="C211" s="89"/>
      <c r="D211" s="277" t="s">
        <v>335</v>
      </c>
      <c r="E211" s="280">
        <f>E189</f>
        <v>0.31200000000000006</v>
      </c>
      <c r="F211" s="89"/>
      <c r="G211" s="103"/>
      <c r="H211" s="89"/>
      <c r="I211" s="89"/>
      <c r="J211" s="384"/>
      <c r="K211" s="382"/>
      <c r="L211" s="382"/>
      <c r="M211" s="382"/>
      <c r="N211" s="382"/>
      <c r="O211" s="382"/>
      <c r="P211" s="383"/>
    </row>
    <row r="212" spans="1:16" hidden="1" x14ac:dyDescent="0.25">
      <c r="A212" s="100"/>
      <c r="B212" s="89"/>
      <c r="C212" s="89"/>
      <c r="D212" s="89"/>
      <c r="E212" s="89"/>
      <c r="F212" s="89"/>
      <c r="G212" s="103"/>
      <c r="H212" s="89"/>
      <c r="I212" s="89"/>
      <c r="J212" s="384"/>
      <c r="K212" s="382"/>
      <c r="L212" s="382"/>
      <c r="M212" s="382"/>
      <c r="N212" s="382"/>
      <c r="O212" s="382"/>
      <c r="P212" s="383"/>
    </row>
    <row r="213" spans="1:16" hidden="1" x14ac:dyDescent="0.25">
      <c r="A213" s="100"/>
      <c r="B213" s="89"/>
      <c r="C213" s="89"/>
      <c r="D213" s="102" t="s">
        <v>106</v>
      </c>
      <c r="E213" s="280">
        <f>C36-E211</f>
        <v>0.18799999999999994</v>
      </c>
      <c r="F213" s="89"/>
      <c r="G213" s="103"/>
      <c r="H213" s="89"/>
      <c r="I213" s="89"/>
      <c r="J213" s="384"/>
      <c r="K213" s="382"/>
      <c r="L213" s="382"/>
      <c r="M213" s="382"/>
      <c r="N213" s="382"/>
      <c r="O213" s="382"/>
      <c r="P213" s="383"/>
    </row>
    <row r="214" spans="1:16" hidden="1" x14ac:dyDescent="0.25">
      <c r="A214" s="100"/>
      <c r="B214" s="89"/>
      <c r="C214" s="89"/>
      <c r="D214" s="89"/>
      <c r="E214" s="89"/>
      <c r="F214" s="89"/>
      <c r="G214" s="103"/>
      <c r="H214" s="89"/>
      <c r="I214" s="89"/>
      <c r="J214" s="384"/>
      <c r="K214" s="382"/>
      <c r="L214" s="382"/>
      <c r="M214" s="382"/>
      <c r="N214" s="382"/>
      <c r="O214" s="382"/>
      <c r="P214" s="383"/>
    </row>
    <row r="215" spans="1:16" x14ac:dyDescent="0.25">
      <c r="A215" s="100"/>
      <c r="B215" s="89"/>
      <c r="C215" s="89"/>
      <c r="D215" s="102" t="s">
        <v>24</v>
      </c>
      <c r="E215" s="251">
        <f>-H42*((H46*B32*E188*E213)+(B21*C30*E188*E213))+(H43*((I102-I105)*(0.5*E213)+(I105*E213)))</f>
        <v>1.7182395332928964</v>
      </c>
      <c r="F215" s="89"/>
      <c r="G215" s="103"/>
      <c r="H215" s="89"/>
      <c r="I215" s="89"/>
      <c r="J215" s="384"/>
      <c r="K215" s="382"/>
      <c r="L215" s="382"/>
      <c r="M215" s="382"/>
      <c r="N215" s="382"/>
      <c r="O215" s="382"/>
      <c r="P215" s="383"/>
    </row>
    <row r="216" spans="1:16" hidden="1" x14ac:dyDescent="0.25">
      <c r="A216" s="100"/>
      <c r="B216" s="89"/>
      <c r="C216" s="89"/>
      <c r="D216" s="89"/>
      <c r="E216" s="89"/>
      <c r="F216" s="89"/>
      <c r="G216" s="89"/>
      <c r="H216" s="89"/>
      <c r="I216" s="89"/>
      <c r="J216" s="384"/>
      <c r="K216" s="382"/>
      <c r="L216" s="382"/>
      <c r="M216" s="382"/>
      <c r="N216" s="382"/>
      <c r="O216" s="382"/>
      <c r="P216" s="383"/>
    </row>
    <row r="217" spans="1:16" x14ac:dyDescent="0.25">
      <c r="A217" s="100"/>
      <c r="B217" s="89"/>
      <c r="C217" s="101" t="s">
        <v>109</v>
      </c>
      <c r="D217" s="89"/>
      <c r="E217" s="89"/>
      <c r="F217" s="89"/>
      <c r="G217" s="89"/>
      <c r="H217" s="89"/>
      <c r="I217" s="89"/>
      <c r="J217" s="384"/>
      <c r="K217" s="382"/>
      <c r="L217" s="382"/>
      <c r="M217" s="382"/>
      <c r="N217" s="382"/>
      <c r="O217" s="382"/>
      <c r="P217" s="383"/>
    </row>
    <row r="218" spans="1:16" hidden="1" x14ac:dyDescent="0.25">
      <c r="A218" s="100"/>
      <c r="B218" s="89"/>
      <c r="C218" s="89"/>
      <c r="D218" s="89"/>
      <c r="E218" s="89"/>
      <c r="F218" s="89"/>
      <c r="G218" s="89"/>
      <c r="H218" s="89"/>
      <c r="I218" s="89"/>
      <c r="J218" s="384"/>
      <c r="K218" s="382"/>
      <c r="L218" s="382"/>
      <c r="M218" s="382"/>
      <c r="N218" s="382"/>
      <c r="O218" s="382"/>
      <c r="P218" s="383"/>
    </row>
    <row r="219" spans="1:16" hidden="1" x14ac:dyDescent="0.25">
      <c r="A219" s="100"/>
      <c r="B219" s="89"/>
      <c r="C219" s="89"/>
      <c r="D219" s="89"/>
      <c r="E219" s="105" t="s">
        <v>21</v>
      </c>
      <c r="F219" s="102">
        <f>H50</f>
        <v>0.85</v>
      </c>
      <c r="G219" s="89"/>
      <c r="H219" s="89"/>
      <c r="I219" s="89"/>
      <c r="J219" s="384"/>
      <c r="K219" s="382"/>
      <c r="L219" s="382"/>
      <c r="M219" s="382"/>
      <c r="N219" s="382"/>
      <c r="O219" s="382"/>
      <c r="P219" s="383"/>
    </row>
    <row r="220" spans="1:16" ht="15" x14ac:dyDescent="0.25">
      <c r="A220" s="100"/>
      <c r="B220" s="89"/>
      <c r="C220" s="89"/>
      <c r="D220" s="89"/>
      <c r="E220" s="106" t="s">
        <v>107</v>
      </c>
      <c r="F220" s="438">
        <f>F219*0.53*H55*(SQRT(H186))*E188*E189*10</f>
        <v>18.890276699111638</v>
      </c>
      <c r="G220" s="438"/>
      <c r="H220" s="89"/>
      <c r="I220" s="89"/>
      <c r="J220" s="384"/>
      <c r="K220" s="382"/>
      <c r="L220" s="382"/>
      <c r="M220" s="382"/>
      <c r="N220" s="382"/>
      <c r="O220" s="382"/>
      <c r="P220" s="383"/>
    </row>
    <row r="221" spans="1:16" x14ac:dyDescent="0.25">
      <c r="A221" s="100"/>
      <c r="B221" s="89"/>
      <c r="C221" s="89"/>
      <c r="D221" s="89"/>
      <c r="E221" s="457" t="str">
        <f>IF(F220&gt;E215,"Cumple","No cumple")</f>
        <v>Cumple</v>
      </c>
      <c r="F221" s="457"/>
      <c r="G221" s="457"/>
      <c r="H221" s="89"/>
      <c r="I221" s="89"/>
      <c r="J221" s="384"/>
      <c r="K221" s="382"/>
      <c r="L221" s="382"/>
      <c r="M221" s="382"/>
      <c r="N221" s="382"/>
      <c r="O221" s="382"/>
      <c r="P221" s="383"/>
    </row>
    <row r="222" spans="1:16" x14ac:dyDescent="0.25">
      <c r="A222" s="100"/>
      <c r="B222" s="89"/>
      <c r="C222" s="89"/>
      <c r="D222" s="89"/>
      <c r="E222" s="89"/>
      <c r="F222" s="89"/>
      <c r="G222" s="142"/>
      <c r="H222" s="89"/>
      <c r="I222" s="89"/>
      <c r="J222" s="384"/>
      <c r="K222" s="382"/>
      <c r="L222" s="382"/>
      <c r="M222" s="382"/>
      <c r="N222" s="382"/>
      <c r="O222" s="382"/>
      <c r="P222" s="383"/>
    </row>
    <row r="223" spans="1:16" x14ac:dyDescent="0.25">
      <c r="A223" s="100"/>
      <c r="B223" s="132" t="s">
        <v>346</v>
      </c>
      <c r="C223" s="89"/>
      <c r="D223" s="89"/>
      <c r="E223" s="89"/>
      <c r="F223" s="89"/>
      <c r="G223" s="142"/>
      <c r="H223" s="89"/>
      <c r="I223" s="89"/>
      <c r="J223" s="384"/>
      <c r="K223" s="382"/>
      <c r="L223" s="382"/>
      <c r="M223" s="382"/>
      <c r="N223" s="382"/>
      <c r="O223" s="382"/>
      <c r="P223" s="383"/>
    </row>
    <row r="224" spans="1:16" x14ac:dyDescent="0.25">
      <c r="A224" s="95" t="s">
        <v>125</v>
      </c>
      <c r="B224" s="133" t="s">
        <v>170</v>
      </c>
      <c r="C224" s="134"/>
      <c r="D224" s="89"/>
      <c r="E224" s="89"/>
      <c r="F224" s="89"/>
      <c r="G224" s="89"/>
      <c r="H224" s="89"/>
      <c r="I224" s="89"/>
      <c r="J224" s="384"/>
      <c r="K224" s="382"/>
      <c r="L224" s="382"/>
      <c r="M224" s="382"/>
      <c r="N224" s="382"/>
      <c r="O224" s="382"/>
      <c r="P224" s="383"/>
    </row>
    <row r="225" spans="1:16" x14ac:dyDescent="0.25">
      <c r="A225" s="128" t="s">
        <v>172</v>
      </c>
      <c r="B225" s="129" t="s">
        <v>171</v>
      </c>
      <c r="C225" s="89"/>
      <c r="D225" s="89"/>
      <c r="E225" s="89"/>
      <c r="F225" s="89"/>
      <c r="G225" s="362" t="s">
        <v>38</v>
      </c>
      <c r="H225" s="363">
        <f>H44</f>
        <v>250</v>
      </c>
      <c r="I225" s="89"/>
      <c r="J225" s="384"/>
      <c r="K225" s="382"/>
      <c r="L225" s="382"/>
      <c r="M225" s="382"/>
      <c r="N225" s="382"/>
      <c r="O225" s="382"/>
      <c r="P225" s="383"/>
    </row>
    <row r="226" spans="1:16" hidden="1" x14ac:dyDescent="0.25">
      <c r="A226" s="100"/>
      <c r="B226" s="89"/>
      <c r="C226" s="89"/>
      <c r="D226" s="105" t="s">
        <v>21</v>
      </c>
      <c r="E226" s="114">
        <f>H51</f>
        <v>0.9</v>
      </c>
      <c r="F226" s="89"/>
      <c r="G226" s="102" t="s">
        <v>40</v>
      </c>
      <c r="H226" s="281">
        <f>H45</f>
        <v>4200</v>
      </c>
      <c r="I226" s="89"/>
      <c r="J226" s="384"/>
      <c r="K226" s="382"/>
      <c r="L226" s="382"/>
      <c r="M226" s="382"/>
      <c r="N226" s="382"/>
      <c r="O226" s="382"/>
      <c r="P226" s="383"/>
    </row>
    <row r="227" spans="1:16" hidden="1" x14ac:dyDescent="0.25">
      <c r="A227" s="100"/>
      <c r="B227" s="89"/>
      <c r="C227" s="89"/>
      <c r="D227" s="277" t="s">
        <v>329</v>
      </c>
      <c r="E227" s="137">
        <v>1</v>
      </c>
      <c r="F227" s="89"/>
      <c r="G227" s="102" t="s">
        <v>44</v>
      </c>
      <c r="H227" s="282">
        <f>H46</f>
        <v>2.4</v>
      </c>
      <c r="I227" s="89"/>
      <c r="J227" s="384"/>
      <c r="K227" s="382"/>
      <c r="L227" s="382"/>
      <c r="M227" s="382"/>
      <c r="N227" s="382"/>
      <c r="O227" s="382"/>
      <c r="P227" s="383"/>
    </row>
    <row r="228" spans="1:16" hidden="1" x14ac:dyDescent="0.25">
      <c r="A228" s="100"/>
      <c r="B228" s="89"/>
      <c r="C228" s="89"/>
      <c r="D228" s="277" t="s">
        <v>336</v>
      </c>
      <c r="E228" s="137">
        <f>E230-E229</f>
        <v>0.31200000000000006</v>
      </c>
      <c r="F228" s="89"/>
      <c r="G228" s="102" t="s">
        <v>22</v>
      </c>
      <c r="H228" s="141" t="s">
        <v>210</v>
      </c>
      <c r="I228" s="89"/>
      <c r="J228" s="384"/>
      <c r="K228" s="382"/>
      <c r="L228" s="382"/>
      <c r="M228" s="382"/>
      <c r="N228" s="382"/>
      <c r="O228" s="382"/>
      <c r="P228" s="383"/>
    </row>
    <row r="229" spans="1:16" hidden="1" x14ac:dyDescent="0.25">
      <c r="A229" s="100"/>
      <c r="B229" s="89"/>
      <c r="C229" s="89"/>
      <c r="D229" s="277" t="s">
        <v>337</v>
      </c>
      <c r="E229" s="137">
        <f>H54/100</f>
        <v>7.0000000000000007E-2</v>
      </c>
      <c r="F229" s="89"/>
      <c r="G229" s="89"/>
      <c r="H229" s="89"/>
      <c r="I229" s="89"/>
      <c r="J229" s="384"/>
      <c r="K229" s="382"/>
      <c r="L229" s="382"/>
      <c r="M229" s="382"/>
      <c r="N229" s="382"/>
      <c r="O229" s="382"/>
      <c r="P229" s="383"/>
    </row>
    <row r="230" spans="1:16" hidden="1" x14ac:dyDescent="0.25">
      <c r="A230" s="100"/>
      <c r="B230" s="89"/>
      <c r="C230" s="89"/>
      <c r="D230" s="102" t="s">
        <v>71</v>
      </c>
      <c r="E230" s="137">
        <f>B32</f>
        <v>0.38200000000000006</v>
      </c>
      <c r="F230" s="320" t="s">
        <v>340</v>
      </c>
      <c r="G230" s="323">
        <f>E231/(E226*E227*E228*E228)</f>
        <v>0.90880929512087583</v>
      </c>
      <c r="H230" s="89"/>
      <c r="I230" s="89"/>
      <c r="J230" s="384"/>
      <c r="K230" s="382"/>
      <c r="L230" s="382"/>
      <c r="M230" s="382"/>
      <c r="N230" s="382"/>
      <c r="O230" s="382"/>
      <c r="P230" s="383"/>
    </row>
    <row r="231" spans="1:16" hidden="1" x14ac:dyDescent="0.25">
      <c r="A231" s="100"/>
      <c r="B231" s="89"/>
      <c r="C231" s="89"/>
      <c r="D231" s="102" t="s">
        <v>15</v>
      </c>
      <c r="E231" s="139">
        <f>(1.4*((H46*B32*E188)+(B21*D61*E188))*((D36^2)*0.5))-(1.7*((I109-I111)*(D36*0.5)*(2*(D36/3))+(I111*D36)*(D36/2)))</f>
        <v>7.9620418821821914E-2</v>
      </c>
      <c r="F231" s="321" t="s">
        <v>341</v>
      </c>
      <c r="G231" s="322"/>
      <c r="H231" s="89"/>
      <c r="I231" s="89"/>
      <c r="J231" s="384"/>
      <c r="K231" s="382"/>
      <c r="L231" s="382"/>
      <c r="M231" s="382"/>
      <c r="N231" s="410"/>
      <c r="O231" s="382"/>
      <c r="P231" s="383"/>
    </row>
    <row r="232" spans="1:16" ht="13.8" x14ac:dyDescent="0.3">
      <c r="A232" s="100"/>
      <c r="B232" s="89"/>
      <c r="C232" s="89"/>
      <c r="D232" s="89"/>
      <c r="E232" s="89"/>
      <c r="F232" s="105" t="s">
        <v>351</v>
      </c>
      <c r="G232" s="143">
        <f>E233/(E227*100*E228*100)</f>
        <v>2.1642945613552034E-5</v>
      </c>
      <c r="H232" s="89"/>
      <c r="I232" s="89"/>
      <c r="J232" s="384"/>
      <c r="K232" s="382"/>
      <c r="L232" s="382"/>
      <c r="M232" s="382"/>
      <c r="N232" s="382"/>
      <c r="O232" s="382"/>
      <c r="P232" s="383"/>
    </row>
    <row r="233" spans="1:16" x14ac:dyDescent="0.25">
      <c r="A233" s="100"/>
      <c r="B233" s="89"/>
      <c r="C233" s="89"/>
      <c r="D233" s="277" t="s">
        <v>352</v>
      </c>
      <c r="E233" s="140">
        <f>0.85*H225*(E227*100)*(E228*100)/H226*(1-SQRT(1-((2*E231*100000)/(0.85*E226*H225*E227*100*(10000*E228^2)))))</f>
        <v>6.7525990314282358E-2</v>
      </c>
      <c r="F233" s="105" t="s">
        <v>108</v>
      </c>
      <c r="G233" s="313">
        <v>1.8E-3</v>
      </c>
      <c r="H233" s="89"/>
      <c r="I233" s="89"/>
      <c r="J233" s="384"/>
      <c r="K233" s="382"/>
      <c r="L233" s="382"/>
      <c r="M233" s="382"/>
      <c r="N233" s="382"/>
      <c r="O233" s="382"/>
      <c r="P233" s="383"/>
    </row>
    <row r="234" spans="1:16" x14ac:dyDescent="0.25">
      <c r="A234" s="100"/>
      <c r="B234" s="89"/>
      <c r="C234" s="89"/>
      <c r="D234" s="102" t="s">
        <v>72</v>
      </c>
      <c r="E234" s="140">
        <f>IF(G232&lt;G233,G233*E227*100*E228*100,E233)</f>
        <v>5.6160000000000005</v>
      </c>
      <c r="F234" s="89"/>
      <c r="G234" s="89"/>
      <c r="H234" s="89"/>
      <c r="I234" s="89"/>
      <c r="J234" s="384"/>
      <c r="K234" s="382"/>
      <c r="L234" s="382"/>
      <c r="M234" s="382"/>
      <c r="N234" s="382"/>
      <c r="O234" s="382"/>
      <c r="P234" s="383"/>
    </row>
    <row r="235" spans="1:16" x14ac:dyDescent="0.25">
      <c r="A235" s="100"/>
      <c r="B235" s="89"/>
      <c r="C235" s="89"/>
      <c r="D235" s="89"/>
      <c r="E235" s="89"/>
      <c r="F235" s="89"/>
      <c r="G235" s="89"/>
      <c r="H235" s="89"/>
      <c r="I235" s="89"/>
      <c r="J235" s="384"/>
      <c r="K235" s="382"/>
      <c r="L235" s="382"/>
      <c r="M235" s="407"/>
      <c r="N235" s="382"/>
      <c r="O235" s="382"/>
      <c r="P235" s="383"/>
    </row>
    <row r="236" spans="1:16" x14ac:dyDescent="0.25">
      <c r="A236" s="100"/>
      <c r="B236" s="89"/>
      <c r="C236" s="18"/>
      <c r="D236" s="19" t="s">
        <v>73</v>
      </c>
      <c r="E236" s="149" t="s">
        <v>78</v>
      </c>
      <c r="F236" s="19" t="s">
        <v>72</v>
      </c>
      <c r="G236" s="273">
        <f>VLOOKUP(E236,$K$137:$P$148,4,FALSE)</f>
        <v>1.29</v>
      </c>
      <c r="H236" s="102"/>
      <c r="I236" s="89"/>
      <c r="J236" s="384"/>
      <c r="K236" s="382"/>
      <c r="L236" s="382"/>
      <c r="M236" s="408"/>
      <c r="N236" s="382"/>
      <c r="O236" s="382"/>
      <c r="P236" s="383"/>
    </row>
    <row r="237" spans="1:16" x14ac:dyDescent="0.25">
      <c r="A237" s="100"/>
      <c r="B237" s="89"/>
      <c r="C237" s="89"/>
      <c r="D237" s="89"/>
      <c r="E237" s="89"/>
      <c r="F237" s="89"/>
      <c r="G237" s="89"/>
      <c r="H237" s="89"/>
      <c r="I237" s="89"/>
      <c r="J237" s="384"/>
      <c r="K237" s="382"/>
      <c r="L237" s="382"/>
      <c r="M237" s="408"/>
      <c r="N237" s="382"/>
      <c r="O237" s="382"/>
      <c r="P237" s="383"/>
    </row>
    <row r="238" spans="1:16" x14ac:dyDescent="0.25">
      <c r="A238" s="100"/>
      <c r="B238" s="89"/>
      <c r="C238" s="4"/>
      <c r="D238" s="63" t="s">
        <v>162</v>
      </c>
      <c r="E238" s="22">
        <f>ROUND((E234/G236),0)+1</f>
        <v>5</v>
      </c>
      <c r="F238" s="23" t="s">
        <v>101</v>
      </c>
      <c r="G238" s="89"/>
      <c r="H238" s="89"/>
      <c r="I238" s="89"/>
      <c r="J238" s="384"/>
      <c r="K238" s="382"/>
      <c r="L238" s="382"/>
      <c r="M238" s="408"/>
      <c r="N238" s="382"/>
      <c r="O238" s="382"/>
      <c r="P238" s="383"/>
    </row>
    <row r="239" spans="1:16" ht="13.8" thickBot="1" x14ac:dyDescent="0.3">
      <c r="A239" s="100"/>
      <c r="B239" s="89"/>
      <c r="C239" s="89"/>
      <c r="D239" s="89"/>
      <c r="E239" s="89"/>
      <c r="F239" s="89"/>
      <c r="G239" s="89"/>
      <c r="H239" s="89"/>
      <c r="I239" s="89"/>
      <c r="J239" s="384"/>
      <c r="K239" s="382"/>
      <c r="L239" s="382"/>
      <c r="M239" s="382"/>
      <c r="N239" s="382"/>
      <c r="O239" s="382"/>
      <c r="P239" s="383"/>
    </row>
    <row r="240" spans="1:16" ht="13.8" thickBot="1" x14ac:dyDescent="0.3">
      <c r="A240" s="100"/>
      <c r="B240" s="89"/>
      <c r="C240" s="89"/>
      <c r="D240" s="144" t="s">
        <v>184</v>
      </c>
      <c r="E240" s="16" t="s">
        <v>103</v>
      </c>
      <c r="F240" s="17" t="str">
        <f>E236</f>
        <v>Nº4</v>
      </c>
      <c r="G240" s="17" t="s">
        <v>102</v>
      </c>
      <c r="H240" s="272">
        <f>ROUND(100/E238,0)</f>
        <v>20</v>
      </c>
      <c r="I240" s="89"/>
      <c r="J240" s="384"/>
      <c r="K240" s="382"/>
      <c r="L240" s="382"/>
      <c r="M240" s="382"/>
      <c r="N240" s="382"/>
      <c r="O240" s="382"/>
      <c r="P240" s="383"/>
    </row>
    <row r="241" spans="1:16" x14ac:dyDescent="0.25">
      <c r="A241" s="100"/>
      <c r="B241" s="89"/>
      <c r="C241" s="89"/>
      <c r="D241" s="89"/>
      <c r="E241" s="89"/>
      <c r="F241" s="89"/>
      <c r="G241" s="89"/>
      <c r="H241" s="89"/>
      <c r="I241" s="89"/>
      <c r="J241" s="384"/>
      <c r="K241" s="382"/>
      <c r="L241" s="382"/>
      <c r="M241" s="382"/>
      <c r="N241" s="382"/>
      <c r="O241" s="382"/>
      <c r="P241" s="383"/>
    </row>
    <row r="242" spans="1:16" x14ac:dyDescent="0.25">
      <c r="A242" s="128" t="s">
        <v>173</v>
      </c>
      <c r="B242" s="129" t="s">
        <v>174</v>
      </c>
      <c r="C242" s="89"/>
      <c r="D242" s="105" t="s">
        <v>108</v>
      </c>
      <c r="E242" s="313">
        <f>MIN((14.1/H226),(0.0018))</f>
        <v>1.8E-3</v>
      </c>
      <c r="F242" s="102" t="s">
        <v>72</v>
      </c>
      <c r="G242" s="140">
        <f>E242*E227*100*E228*100</f>
        <v>5.6160000000000005</v>
      </c>
      <c r="H242" s="89"/>
      <c r="I242" s="89"/>
      <c r="J242" s="384"/>
      <c r="K242" s="382"/>
      <c r="L242" s="382"/>
      <c r="M242" s="382"/>
      <c r="N242" s="382"/>
      <c r="O242" s="382"/>
      <c r="P242" s="383"/>
    </row>
    <row r="243" spans="1:16" x14ac:dyDescent="0.25">
      <c r="A243" s="128"/>
      <c r="B243" s="129"/>
      <c r="C243" s="18"/>
      <c r="D243" s="19" t="s">
        <v>73</v>
      </c>
      <c r="E243" s="149" t="s">
        <v>78</v>
      </c>
      <c r="F243" s="19" t="s">
        <v>72</v>
      </c>
      <c r="G243" s="273">
        <f>VLOOKUP(E243,$K$137:$P$148,4,FALSE)</f>
        <v>1.29</v>
      </c>
      <c r="H243" s="102"/>
      <c r="I243" s="89"/>
      <c r="J243" s="384"/>
      <c r="K243" s="382"/>
      <c r="L243" s="382"/>
      <c r="M243" s="382"/>
      <c r="N243" s="382"/>
      <c r="O243" s="382"/>
      <c r="P243" s="383"/>
    </row>
    <row r="244" spans="1:16" x14ac:dyDescent="0.25">
      <c r="A244" s="128"/>
      <c r="B244" s="89"/>
      <c r="C244" s="89"/>
      <c r="D244" s="131" t="s">
        <v>248</v>
      </c>
      <c r="E244" s="22">
        <f>ROUND((G242/G243),0)+1</f>
        <v>5</v>
      </c>
      <c r="F244" s="23" t="s">
        <v>101</v>
      </c>
      <c r="G244" s="114"/>
      <c r="H244" s="89"/>
      <c r="I244" s="89"/>
      <c r="J244" s="384"/>
      <c r="K244" s="382"/>
      <c r="L244" s="382"/>
      <c r="M244" s="382"/>
      <c r="N244" s="382"/>
      <c r="O244" s="382"/>
      <c r="P244" s="383"/>
    </row>
    <row r="245" spans="1:16" ht="13.8" thickBot="1" x14ac:dyDescent="0.3">
      <c r="A245" s="128"/>
      <c r="B245" s="129"/>
      <c r="C245" s="89"/>
      <c r="D245" s="105"/>
      <c r="E245" s="130"/>
      <c r="F245" s="102"/>
      <c r="G245" s="114"/>
      <c r="H245" s="89"/>
      <c r="I245" s="89"/>
      <c r="J245" s="384"/>
      <c r="K245" s="382"/>
      <c r="L245" s="382"/>
      <c r="M245" s="382"/>
      <c r="N245" s="382"/>
      <c r="O245" s="382"/>
      <c r="P245" s="383"/>
    </row>
    <row r="246" spans="1:16" ht="13.8" thickBot="1" x14ac:dyDescent="0.3">
      <c r="A246" s="86"/>
      <c r="B246" s="66" t="s">
        <v>186</v>
      </c>
      <c r="C246" s="4"/>
      <c r="D246" s="71" t="s">
        <v>185</v>
      </c>
      <c r="E246" s="16" t="s">
        <v>103</v>
      </c>
      <c r="F246" s="17" t="str">
        <f>E243</f>
        <v>Nº4</v>
      </c>
      <c r="G246" s="17" t="s">
        <v>102</v>
      </c>
      <c r="H246" s="272">
        <f>ROUND(100/E244,0)</f>
        <v>20</v>
      </c>
      <c r="I246" s="89"/>
      <c r="J246" s="384"/>
      <c r="K246" s="382"/>
      <c r="L246" s="382"/>
      <c r="M246" s="382"/>
      <c r="N246" s="382"/>
      <c r="O246" s="382"/>
      <c r="P246" s="383"/>
    </row>
    <row r="247" spans="1:16" x14ac:dyDescent="0.25">
      <c r="A247" s="100"/>
      <c r="B247" s="89"/>
      <c r="C247" s="89"/>
      <c r="D247" s="89"/>
      <c r="E247" s="89"/>
      <c r="F247" s="89"/>
      <c r="G247" s="89"/>
      <c r="H247" s="89"/>
      <c r="I247" s="89"/>
      <c r="J247" s="384"/>
      <c r="K247" s="382"/>
      <c r="L247" s="382"/>
      <c r="M247" s="382"/>
      <c r="N247" s="382"/>
      <c r="O247" s="382"/>
      <c r="P247" s="383"/>
    </row>
    <row r="248" spans="1:16" x14ac:dyDescent="0.25">
      <c r="A248" s="95" t="s">
        <v>126</v>
      </c>
      <c r="B248" s="96" t="s">
        <v>175</v>
      </c>
      <c r="C248" s="89"/>
      <c r="D248" s="89"/>
      <c r="E248" s="89"/>
      <c r="F248" s="89"/>
      <c r="G248" s="89"/>
      <c r="H248" s="89"/>
      <c r="I248" s="89"/>
      <c r="J248" s="384"/>
      <c r="K248" s="382"/>
      <c r="L248" s="382"/>
      <c r="M248" s="382"/>
      <c r="N248" s="382"/>
      <c r="O248" s="382"/>
      <c r="P248" s="383"/>
    </row>
    <row r="249" spans="1:16" x14ac:dyDescent="0.25">
      <c r="A249" s="100"/>
      <c r="B249" s="89"/>
      <c r="C249" s="101" t="s">
        <v>105</v>
      </c>
      <c r="D249" s="89"/>
      <c r="E249" s="89"/>
      <c r="F249" s="89"/>
      <c r="G249" s="89"/>
      <c r="H249" s="89"/>
      <c r="I249" s="89"/>
      <c r="J249" s="384"/>
      <c r="K249" s="382"/>
      <c r="L249" s="382"/>
      <c r="M249" s="382"/>
      <c r="N249" s="382"/>
      <c r="O249" s="382"/>
      <c r="P249" s="383"/>
    </row>
    <row r="250" spans="1:16" hidden="1" x14ac:dyDescent="0.25">
      <c r="A250" s="100"/>
      <c r="B250" s="89"/>
      <c r="C250" s="89"/>
      <c r="D250" s="277" t="s">
        <v>336</v>
      </c>
      <c r="E250" s="136">
        <f>E189</f>
        <v>0.31200000000000006</v>
      </c>
      <c r="F250" s="89"/>
      <c r="G250" s="89"/>
      <c r="H250" s="89"/>
      <c r="I250" s="89"/>
      <c r="J250" s="384"/>
      <c r="K250" s="382"/>
      <c r="L250" s="382"/>
      <c r="M250" s="382"/>
      <c r="N250" s="382"/>
      <c r="O250" s="382"/>
      <c r="P250" s="383"/>
    </row>
    <row r="251" spans="1:16" hidden="1" x14ac:dyDescent="0.25">
      <c r="A251" s="100"/>
      <c r="B251" s="89"/>
      <c r="C251" s="89"/>
      <c r="D251" s="89"/>
      <c r="E251" s="89"/>
      <c r="F251" s="89"/>
      <c r="G251" s="89"/>
      <c r="H251" s="89"/>
      <c r="I251" s="89"/>
      <c r="J251" s="384"/>
      <c r="K251" s="382"/>
      <c r="L251" s="382"/>
      <c r="M251" s="382"/>
      <c r="N251" s="382"/>
      <c r="O251" s="382"/>
      <c r="P251" s="383"/>
    </row>
    <row r="252" spans="1:16" hidden="1" x14ac:dyDescent="0.25">
      <c r="A252" s="100"/>
      <c r="B252" s="89"/>
      <c r="C252" s="89"/>
      <c r="D252" s="102" t="s">
        <v>106</v>
      </c>
      <c r="E252" s="136">
        <f>D36-E189</f>
        <v>1.0880000000000001</v>
      </c>
      <c r="F252" s="89"/>
      <c r="G252" s="89"/>
      <c r="H252" s="89"/>
      <c r="I252" s="89"/>
      <c r="J252" s="384"/>
      <c r="K252" s="382"/>
      <c r="L252" s="382"/>
      <c r="M252" s="382"/>
      <c r="N252" s="382"/>
      <c r="O252" s="382"/>
      <c r="P252" s="383"/>
    </row>
    <row r="253" spans="1:16" hidden="1" x14ac:dyDescent="0.25">
      <c r="A253" s="100"/>
      <c r="B253" s="89"/>
      <c r="C253" s="89"/>
      <c r="D253" s="89"/>
      <c r="E253" s="89"/>
      <c r="F253" s="89"/>
      <c r="G253" s="89"/>
      <c r="H253" s="89"/>
      <c r="I253" s="89"/>
      <c r="J253" s="384"/>
      <c r="K253" s="382"/>
      <c r="L253" s="382"/>
      <c r="M253" s="382"/>
      <c r="N253" s="382"/>
      <c r="O253" s="382"/>
      <c r="P253" s="383"/>
    </row>
    <row r="254" spans="1:16" x14ac:dyDescent="0.25">
      <c r="A254" s="100"/>
      <c r="B254" s="89"/>
      <c r="C254" s="89"/>
      <c r="D254" s="102" t="s">
        <v>24</v>
      </c>
      <c r="E254" s="251">
        <f>(H42*((H46*B32*E188*E252)+(B21*D61*E188*E252)))-(H43*((I110-I111)*(0.5*E252)+(I111*E252)))</f>
        <v>1.0139627886695646</v>
      </c>
      <c r="F254" s="89"/>
      <c r="G254" s="89"/>
      <c r="H254" s="89"/>
      <c r="I254" s="89"/>
      <c r="J254" s="384"/>
      <c r="K254" s="382"/>
      <c r="L254" s="382"/>
      <c r="M254" s="382"/>
      <c r="N254" s="382"/>
      <c r="O254" s="382"/>
      <c r="P254" s="383"/>
    </row>
    <row r="255" spans="1:16" hidden="1" x14ac:dyDescent="0.25">
      <c r="A255" s="100"/>
      <c r="B255" s="89"/>
      <c r="C255" s="89"/>
      <c r="D255" s="89"/>
      <c r="E255" s="89"/>
      <c r="F255" s="89"/>
      <c r="G255" s="89"/>
      <c r="H255" s="89"/>
      <c r="I255" s="89"/>
      <c r="J255" s="384"/>
      <c r="K255" s="382"/>
      <c r="L255" s="382"/>
      <c r="M255" s="382"/>
      <c r="N255" s="382"/>
      <c r="O255" s="382"/>
      <c r="P255" s="383"/>
    </row>
    <row r="256" spans="1:16" x14ac:dyDescent="0.25">
      <c r="A256" s="100"/>
      <c r="B256" s="89"/>
      <c r="C256" s="101" t="s">
        <v>109</v>
      </c>
      <c r="D256" s="89"/>
      <c r="E256" s="89"/>
      <c r="F256" s="89"/>
      <c r="G256" s="89"/>
      <c r="H256" s="89"/>
      <c r="I256" s="89"/>
      <c r="J256" s="384"/>
      <c r="K256" s="382"/>
      <c r="L256" s="382"/>
      <c r="M256" s="382"/>
      <c r="N256" s="382"/>
      <c r="O256" s="382"/>
      <c r="P256" s="383"/>
    </row>
    <row r="257" spans="1:16" x14ac:dyDescent="0.25">
      <c r="A257" s="100"/>
      <c r="B257" s="89"/>
      <c r="C257" s="89"/>
      <c r="D257" s="89"/>
      <c r="E257" s="89"/>
      <c r="F257" s="89"/>
      <c r="G257" s="89"/>
      <c r="H257" s="89"/>
      <c r="I257" s="89"/>
      <c r="J257" s="384"/>
      <c r="K257" s="382"/>
      <c r="L257" s="382"/>
      <c r="M257" s="382"/>
      <c r="N257" s="382"/>
      <c r="O257" s="382"/>
      <c r="P257" s="383"/>
    </row>
    <row r="258" spans="1:16" x14ac:dyDescent="0.25">
      <c r="A258" s="100"/>
      <c r="B258" s="89"/>
      <c r="C258" s="89"/>
      <c r="D258" s="89"/>
      <c r="E258" s="105" t="s">
        <v>21</v>
      </c>
      <c r="F258" s="102">
        <f>H50</f>
        <v>0.85</v>
      </c>
      <c r="G258" s="89"/>
      <c r="H258" s="89"/>
      <c r="I258" s="89"/>
      <c r="J258" s="384"/>
      <c r="K258" s="382"/>
      <c r="L258" s="382"/>
      <c r="M258" s="382"/>
      <c r="N258" s="382"/>
      <c r="O258" s="382"/>
      <c r="P258" s="383"/>
    </row>
    <row r="259" spans="1:16" ht="15" x14ac:dyDescent="0.25">
      <c r="A259" s="100"/>
      <c r="B259" s="89"/>
      <c r="C259" s="89"/>
      <c r="D259" s="89"/>
      <c r="E259" s="106" t="s">
        <v>107</v>
      </c>
      <c r="F259" s="438">
        <f>F258*0.53*H55*(SQRT(H225))*E227*E228*10</f>
        <v>18.890276699111638</v>
      </c>
      <c r="G259" s="438"/>
      <c r="H259" s="89"/>
      <c r="I259" s="89"/>
      <c r="J259" s="384"/>
      <c r="K259" s="382"/>
      <c r="L259" s="382"/>
      <c r="M259" s="382"/>
      <c r="N259" s="382"/>
      <c r="O259" s="382"/>
      <c r="P259" s="383"/>
    </row>
    <row r="260" spans="1:16" ht="13.8" thickBot="1" x14ac:dyDescent="0.3">
      <c r="A260" s="111"/>
      <c r="B260" s="112"/>
      <c r="C260" s="112"/>
      <c r="D260" s="112"/>
      <c r="E260" s="459" t="str">
        <f>IF(F259&gt;E254,"Cumple","No cumple")</f>
        <v>Cumple</v>
      </c>
      <c r="F260" s="459"/>
      <c r="G260" s="459"/>
      <c r="H260" s="112"/>
      <c r="I260" s="112"/>
      <c r="J260" s="384"/>
      <c r="K260" s="382"/>
      <c r="L260" s="382"/>
      <c r="M260" s="382"/>
      <c r="N260" s="382"/>
      <c r="O260" s="382"/>
      <c r="P260" s="383"/>
    </row>
    <row r="261" spans="1:16" x14ac:dyDescent="0.25">
      <c r="A261" s="100"/>
      <c r="B261" s="89"/>
      <c r="C261" s="89"/>
      <c r="D261" s="89"/>
      <c r="E261" s="89"/>
      <c r="F261" s="89"/>
      <c r="G261" s="89"/>
      <c r="H261" s="89"/>
      <c r="I261" s="89"/>
      <c r="J261" s="384"/>
      <c r="K261" s="382"/>
      <c r="L261" s="382"/>
      <c r="M261" s="382"/>
      <c r="N261" s="382"/>
      <c r="O261" s="382"/>
      <c r="P261" s="383"/>
    </row>
    <row r="262" spans="1:16" x14ac:dyDescent="0.25">
      <c r="A262" s="100"/>
      <c r="B262" s="89"/>
      <c r="C262" s="89"/>
      <c r="D262" s="89"/>
      <c r="E262" s="89"/>
      <c r="F262" s="89"/>
      <c r="G262" s="89"/>
      <c r="H262" s="89"/>
      <c r="I262" s="89"/>
      <c r="J262" s="384"/>
      <c r="K262" s="382"/>
      <c r="L262" s="382"/>
      <c r="M262" s="382"/>
      <c r="N262" s="382"/>
      <c r="O262" s="382"/>
      <c r="P262" s="383"/>
    </row>
    <row r="263" spans="1:16" x14ac:dyDescent="0.25">
      <c r="A263" s="100"/>
      <c r="B263" s="283" t="s">
        <v>182</v>
      </c>
      <c r="C263" s="89"/>
      <c r="D263" s="89"/>
      <c r="E263" s="89"/>
      <c r="F263" s="89"/>
      <c r="G263" s="89"/>
      <c r="H263" s="89"/>
      <c r="I263" s="89"/>
      <c r="J263" s="384"/>
      <c r="K263" s="382"/>
      <c r="L263" s="382"/>
      <c r="M263" s="382"/>
      <c r="N263" s="382"/>
      <c r="O263" s="382"/>
      <c r="P263" s="383"/>
    </row>
    <row r="264" spans="1:16" x14ac:dyDescent="0.25">
      <c r="A264" s="100"/>
      <c r="B264" s="89"/>
      <c r="C264" s="89"/>
      <c r="D264" s="89"/>
      <c r="E264" s="89"/>
      <c r="F264" s="89"/>
      <c r="G264" s="89"/>
      <c r="H264" s="89"/>
      <c r="I264" s="89"/>
      <c r="J264" s="384"/>
      <c r="K264" s="382"/>
      <c r="L264" s="382"/>
      <c r="M264" s="382"/>
      <c r="N264" s="382"/>
      <c r="O264" s="382"/>
      <c r="P264" s="383"/>
    </row>
    <row r="265" spans="1:16" x14ac:dyDescent="0.25">
      <c r="A265" s="100"/>
      <c r="B265" s="89"/>
      <c r="C265" s="89"/>
      <c r="D265" s="89"/>
      <c r="E265" s="104">
        <f>H36</f>
        <v>0.3</v>
      </c>
      <c r="F265" s="89"/>
      <c r="G265" s="89"/>
      <c r="H265" s="89"/>
      <c r="I265" s="89"/>
      <c r="J265" s="384"/>
      <c r="K265" s="382"/>
      <c r="L265" s="382"/>
      <c r="M265" s="382"/>
      <c r="N265" s="382"/>
      <c r="O265" s="382"/>
      <c r="P265" s="383"/>
    </row>
    <row r="266" spans="1:16" x14ac:dyDescent="0.25">
      <c r="A266" s="100"/>
      <c r="B266" s="89"/>
      <c r="C266" s="89"/>
      <c r="D266" s="89"/>
      <c r="E266" s="89"/>
      <c r="F266" s="89"/>
      <c r="G266" s="89"/>
      <c r="H266" s="89"/>
      <c r="I266" s="89"/>
      <c r="J266" s="384"/>
      <c r="K266" s="382"/>
      <c r="L266" s="382"/>
      <c r="M266" s="382"/>
      <c r="N266" s="382"/>
      <c r="O266" s="382"/>
      <c r="P266" s="383"/>
    </row>
    <row r="267" spans="1:16" x14ac:dyDescent="0.25">
      <c r="A267" s="100"/>
      <c r="B267" s="89"/>
      <c r="C267" s="89"/>
      <c r="D267" s="89"/>
      <c r="E267" s="89"/>
      <c r="F267" s="89"/>
      <c r="G267" s="89"/>
      <c r="H267" s="89"/>
      <c r="I267" s="89"/>
      <c r="J267" s="384"/>
      <c r="K267" s="382"/>
      <c r="L267" s="382"/>
      <c r="M267" s="382"/>
      <c r="N267" s="382"/>
      <c r="O267" s="382"/>
      <c r="P267" s="383"/>
    </row>
    <row r="268" spans="1:16" x14ac:dyDescent="0.25">
      <c r="A268" s="100"/>
      <c r="B268" s="89"/>
      <c r="C268" s="89"/>
      <c r="D268" s="89"/>
      <c r="E268" s="89"/>
      <c r="F268" s="89"/>
      <c r="G268" s="89"/>
      <c r="H268" s="89"/>
      <c r="I268" s="89"/>
      <c r="J268" s="384"/>
      <c r="K268" s="382"/>
      <c r="L268" s="382"/>
      <c r="M268" s="382"/>
      <c r="N268" s="382"/>
      <c r="O268" s="382"/>
      <c r="P268" s="383"/>
    </row>
    <row r="269" spans="1:16" x14ac:dyDescent="0.25">
      <c r="A269" s="100"/>
      <c r="B269" s="89"/>
      <c r="C269" s="89"/>
      <c r="D269" s="89"/>
      <c r="E269" s="89"/>
      <c r="F269" s="89"/>
      <c r="G269" s="89"/>
      <c r="H269" s="89"/>
      <c r="I269" s="89"/>
      <c r="J269" s="384"/>
      <c r="K269" s="382"/>
      <c r="L269" s="382"/>
      <c r="M269" s="382"/>
      <c r="N269" s="382"/>
      <c r="O269" s="382"/>
      <c r="P269" s="383"/>
    </row>
    <row r="270" spans="1:16" x14ac:dyDescent="0.25">
      <c r="A270" s="100"/>
      <c r="B270" s="89"/>
      <c r="C270" s="89"/>
      <c r="D270" s="89"/>
      <c r="E270" s="89"/>
      <c r="F270" s="89"/>
      <c r="G270" s="89"/>
      <c r="H270" s="89"/>
      <c r="I270" s="89"/>
      <c r="J270" s="384"/>
      <c r="K270" s="382"/>
      <c r="L270" s="382"/>
      <c r="M270" s="382"/>
      <c r="N270" s="382"/>
      <c r="O270" s="382"/>
      <c r="P270" s="383"/>
    </row>
    <row r="271" spans="1:16" x14ac:dyDescent="0.25">
      <c r="A271" s="100"/>
      <c r="B271" s="89"/>
      <c r="C271" s="89"/>
      <c r="D271" s="89"/>
      <c r="E271" s="89"/>
      <c r="F271" s="115" t="s">
        <v>180</v>
      </c>
      <c r="G271" s="116" t="str">
        <f>F181</f>
        <v>Nº4</v>
      </c>
      <c r="H271" s="117">
        <f>H181</f>
        <v>30</v>
      </c>
      <c r="I271" s="361"/>
      <c r="J271" s="384"/>
      <c r="K271" s="382"/>
      <c r="L271" s="382"/>
      <c r="M271" s="382"/>
      <c r="N271" s="382"/>
      <c r="O271" s="382"/>
      <c r="P271" s="383"/>
    </row>
    <row r="272" spans="1:16" x14ac:dyDescent="0.25">
      <c r="A272" s="100"/>
      <c r="B272" s="89"/>
      <c r="C272" s="89"/>
      <c r="D272" s="89"/>
      <c r="E272" s="89"/>
      <c r="F272" s="89"/>
      <c r="G272" s="89"/>
      <c r="H272" s="89"/>
      <c r="I272" s="121">
        <f>A280-I288-I294</f>
        <v>1.718</v>
      </c>
      <c r="J272" s="384"/>
      <c r="K272" s="382"/>
      <c r="L272" s="382"/>
      <c r="M272" s="382"/>
      <c r="N272" s="382"/>
      <c r="O272" s="382"/>
      <c r="P272" s="383"/>
    </row>
    <row r="273" spans="1:16" x14ac:dyDescent="0.25">
      <c r="A273" s="100"/>
      <c r="B273" s="89"/>
      <c r="C273" s="89"/>
      <c r="D273" s="89"/>
      <c r="E273" s="89"/>
      <c r="F273" s="89"/>
      <c r="G273" s="89"/>
      <c r="H273" s="89"/>
      <c r="I273" s="89"/>
      <c r="J273" s="384"/>
      <c r="K273" s="382"/>
      <c r="L273" s="382"/>
      <c r="M273" s="382"/>
      <c r="N273" s="382"/>
      <c r="O273" s="382"/>
      <c r="P273" s="383"/>
    </row>
    <row r="274" spans="1:16" x14ac:dyDescent="0.25">
      <c r="A274" s="100"/>
      <c r="B274" s="89"/>
      <c r="C274" s="89"/>
      <c r="D274" s="89"/>
      <c r="E274" s="89"/>
      <c r="F274" s="89"/>
      <c r="G274" s="89"/>
      <c r="H274" s="89"/>
      <c r="I274" s="89"/>
      <c r="J274" s="384"/>
      <c r="K274" s="382"/>
      <c r="L274" s="382"/>
      <c r="M274" s="382"/>
      <c r="N274" s="382"/>
      <c r="O274" s="382"/>
      <c r="P274" s="383"/>
    </row>
    <row r="275" spans="1:16" x14ac:dyDescent="0.25">
      <c r="A275" s="100"/>
      <c r="B275" s="115" t="s">
        <v>181</v>
      </c>
      <c r="C275" s="116" t="str">
        <f>F177</f>
        <v>Nº4</v>
      </c>
      <c r="D275" s="117">
        <f>H177</f>
        <v>30</v>
      </c>
      <c r="E275" s="89"/>
      <c r="F275" s="89"/>
      <c r="G275" s="89"/>
      <c r="H275" s="89"/>
      <c r="I275" s="89"/>
      <c r="J275" s="384"/>
      <c r="K275" s="382"/>
      <c r="L275" s="382"/>
      <c r="M275" s="382"/>
      <c r="N275" s="382"/>
      <c r="O275" s="382"/>
      <c r="P275" s="383"/>
    </row>
    <row r="276" spans="1:16" x14ac:dyDescent="0.25">
      <c r="A276" s="100"/>
      <c r="B276" s="89"/>
      <c r="C276" s="89"/>
      <c r="D276" s="89"/>
      <c r="E276" s="89"/>
      <c r="F276" s="89"/>
      <c r="G276" s="89"/>
      <c r="H276" s="89"/>
      <c r="I276" s="89"/>
      <c r="J276" s="384"/>
      <c r="K276" s="382"/>
      <c r="L276" s="382"/>
      <c r="M276" s="382"/>
      <c r="N276" s="382"/>
      <c r="O276" s="382"/>
      <c r="P276" s="383"/>
    </row>
    <row r="277" spans="1:16" x14ac:dyDescent="0.25">
      <c r="A277" s="100"/>
      <c r="B277" s="89"/>
      <c r="C277" s="89"/>
      <c r="D277" s="89"/>
      <c r="E277" s="89"/>
      <c r="F277" s="118" t="s">
        <v>131</v>
      </c>
      <c r="G277" s="89"/>
      <c r="H277" s="89"/>
      <c r="I277" s="89"/>
      <c r="J277" s="384"/>
      <c r="K277" s="382"/>
      <c r="L277" s="382"/>
      <c r="M277" s="382"/>
      <c r="N277" s="382"/>
      <c r="O277" s="382"/>
      <c r="P277" s="383"/>
    </row>
    <row r="278" spans="1:16" x14ac:dyDescent="0.25">
      <c r="A278" s="100"/>
      <c r="B278" s="89"/>
      <c r="C278" s="89"/>
      <c r="D278" s="89"/>
      <c r="E278" s="89"/>
      <c r="F278" s="89"/>
      <c r="G278" s="89"/>
      <c r="H278" s="89"/>
      <c r="I278" s="89"/>
      <c r="J278" s="384"/>
      <c r="K278" s="382"/>
      <c r="L278" s="382"/>
      <c r="M278" s="382"/>
      <c r="N278" s="382"/>
      <c r="O278" s="382"/>
      <c r="P278" s="383"/>
    </row>
    <row r="279" spans="1:16" x14ac:dyDescent="0.25">
      <c r="A279" s="100"/>
      <c r="B279" s="89"/>
      <c r="C279" s="89"/>
      <c r="D279" s="89"/>
      <c r="E279" s="89"/>
      <c r="F279" s="89"/>
      <c r="G279" s="89"/>
      <c r="H279" s="89"/>
      <c r="I279" s="89"/>
      <c r="J279" s="384"/>
      <c r="K279" s="382"/>
      <c r="L279" s="382"/>
      <c r="M279" s="382"/>
      <c r="N279" s="382"/>
      <c r="O279" s="382"/>
      <c r="P279" s="383"/>
    </row>
    <row r="280" spans="1:16" x14ac:dyDescent="0.25">
      <c r="A280" s="119">
        <f>G25</f>
        <v>2.7</v>
      </c>
      <c r="B280" s="89"/>
      <c r="C280" s="89"/>
      <c r="D280" s="89"/>
      <c r="E280" s="89"/>
      <c r="F280" s="89"/>
      <c r="G280" s="89"/>
      <c r="H280" s="89"/>
      <c r="I280" s="89"/>
      <c r="J280" s="384"/>
      <c r="K280" s="382"/>
      <c r="L280" s="382"/>
      <c r="M280" s="382"/>
      <c r="N280" s="382"/>
      <c r="O280" s="382"/>
      <c r="P280" s="383"/>
    </row>
    <row r="281" spans="1:16" x14ac:dyDescent="0.25">
      <c r="A281" s="100"/>
      <c r="B281" s="89"/>
      <c r="C281" s="89"/>
      <c r="D281" s="89"/>
      <c r="E281" s="89"/>
      <c r="F281" s="89"/>
      <c r="G281" s="89"/>
      <c r="H281" s="89"/>
      <c r="I281" s="89"/>
      <c r="J281" s="384"/>
      <c r="K281" s="382"/>
      <c r="L281" s="382"/>
      <c r="M281" s="382"/>
      <c r="N281" s="382"/>
      <c r="O281" s="382"/>
      <c r="P281" s="383"/>
    </row>
    <row r="282" spans="1:16" x14ac:dyDescent="0.25">
      <c r="A282" s="100"/>
      <c r="B282" s="89"/>
      <c r="C282" s="89"/>
      <c r="D282" s="89"/>
      <c r="E282" s="89"/>
      <c r="F282" s="89"/>
      <c r="G282" s="89"/>
      <c r="H282" s="89"/>
      <c r="I282" s="89"/>
      <c r="J282" s="384"/>
      <c r="K282" s="382"/>
      <c r="L282" s="382"/>
      <c r="M282" s="382"/>
      <c r="N282" s="382"/>
      <c r="O282" s="382"/>
      <c r="P282" s="383"/>
    </row>
    <row r="283" spans="1:16" x14ac:dyDescent="0.25">
      <c r="A283" s="100"/>
      <c r="B283" s="89"/>
      <c r="C283" s="89"/>
      <c r="D283" s="89"/>
      <c r="E283" s="89"/>
      <c r="F283" s="89"/>
      <c r="G283" s="89"/>
      <c r="H283" s="89"/>
      <c r="I283" s="89"/>
      <c r="J283" s="384"/>
      <c r="K283" s="382"/>
      <c r="L283" s="382"/>
      <c r="M283" s="382"/>
      <c r="N283" s="382"/>
      <c r="O283" s="382"/>
      <c r="P283" s="383"/>
    </row>
    <row r="284" spans="1:16" x14ac:dyDescent="0.25">
      <c r="A284" s="100"/>
      <c r="B284" s="115" t="s">
        <v>183</v>
      </c>
      <c r="C284" s="116" t="str">
        <f>F166</f>
        <v>Nº4</v>
      </c>
      <c r="D284" s="117">
        <f>H166</f>
        <v>25</v>
      </c>
      <c r="E284" s="89"/>
      <c r="F284" s="115" t="s">
        <v>179</v>
      </c>
      <c r="G284" s="116" t="str">
        <f>F155</f>
        <v>Nº3</v>
      </c>
      <c r="H284" s="117">
        <f>H155</f>
        <v>17</v>
      </c>
      <c r="I284" s="361"/>
      <c r="J284" s="384"/>
      <c r="K284" s="382"/>
      <c r="L284" s="382"/>
      <c r="M284" s="382"/>
      <c r="N284" s="382"/>
      <c r="O284" s="382"/>
      <c r="P284" s="383"/>
    </row>
    <row r="285" spans="1:16" x14ac:dyDescent="0.25">
      <c r="A285" s="100"/>
      <c r="B285" s="89"/>
      <c r="C285" s="89"/>
      <c r="D285" s="89"/>
      <c r="E285" s="89"/>
      <c r="F285" s="89"/>
      <c r="G285" s="89"/>
      <c r="H285" s="89"/>
      <c r="I285" s="89"/>
      <c r="J285" s="384"/>
      <c r="K285" s="382"/>
      <c r="L285" s="382"/>
      <c r="M285" s="382"/>
      <c r="N285" s="382"/>
      <c r="O285" s="382"/>
      <c r="P285" s="383"/>
    </row>
    <row r="286" spans="1:16" x14ac:dyDescent="0.25">
      <c r="A286" s="100"/>
      <c r="B286" s="89"/>
      <c r="C286" s="89"/>
      <c r="D286" s="89"/>
      <c r="E286" s="89"/>
      <c r="F286" s="89"/>
      <c r="G286" s="89"/>
      <c r="H286" s="89"/>
      <c r="I286" s="110"/>
      <c r="J286" s="384"/>
      <c r="K286" s="382"/>
      <c r="L286" s="382"/>
      <c r="M286" s="382"/>
      <c r="N286" s="382"/>
      <c r="O286" s="382"/>
      <c r="P286" s="383"/>
    </row>
    <row r="287" spans="1:16" x14ac:dyDescent="0.25">
      <c r="A287" s="100"/>
      <c r="B287" s="89"/>
      <c r="C287" s="89"/>
      <c r="D287" s="89"/>
      <c r="E287" s="89"/>
      <c r="F287" s="89"/>
      <c r="G287" s="89"/>
      <c r="H287" s="89"/>
      <c r="I287" s="121"/>
      <c r="J287" s="384"/>
      <c r="K287" s="382"/>
      <c r="L287" s="382"/>
      <c r="M287" s="382"/>
      <c r="N287" s="382"/>
      <c r="O287" s="382"/>
      <c r="P287" s="383"/>
    </row>
    <row r="288" spans="1:16" x14ac:dyDescent="0.25">
      <c r="A288" s="100"/>
      <c r="B288" s="89"/>
      <c r="C288" s="89"/>
      <c r="D288" s="89"/>
      <c r="E288" s="89"/>
      <c r="F288" s="89"/>
      <c r="G288" s="89"/>
      <c r="H288" s="120" t="s">
        <v>260</v>
      </c>
      <c r="I288" s="121">
        <f>C150</f>
        <v>0.6</v>
      </c>
      <c r="J288" s="384"/>
      <c r="K288" s="382"/>
      <c r="L288" s="382"/>
      <c r="M288" s="382"/>
      <c r="N288" s="382"/>
      <c r="O288" s="382"/>
      <c r="P288" s="383"/>
    </row>
    <row r="289" spans="1:16" x14ac:dyDescent="0.25">
      <c r="A289" s="100"/>
      <c r="B289" s="115" t="s">
        <v>184</v>
      </c>
      <c r="C289" s="116" t="str">
        <f>F201</f>
        <v>Nº4</v>
      </c>
      <c r="D289" s="117">
        <f>H201</f>
        <v>20</v>
      </c>
      <c r="E289" s="89"/>
      <c r="F289" s="89"/>
      <c r="G289" s="89"/>
      <c r="H289" s="89"/>
      <c r="I289" s="89"/>
      <c r="J289" s="384"/>
      <c r="K289" s="382"/>
      <c r="L289" s="382"/>
      <c r="M289" s="382"/>
      <c r="N289" s="382"/>
      <c r="O289" s="382"/>
      <c r="P289" s="383"/>
    </row>
    <row r="290" spans="1:16" x14ac:dyDescent="0.25">
      <c r="A290" s="100"/>
      <c r="B290" s="89"/>
      <c r="C290" s="89"/>
      <c r="D290" s="89"/>
      <c r="E290" s="89"/>
      <c r="F290" s="115" t="s">
        <v>185</v>
      </c>
      <c r="G290" s="116" t="str">
        <f>F246</f>
        <v>Nº4</v>
      </c>
      <c r="H290" s="117">
        <f>H246</f>
        <v>20</v>
      </c>
      <c r="I290" s="89"/>
      <c r="J290" s="384"/>
      <c r="K290" s="382"/>
      <c r="L290" s="382"/>
      <c r="M290" s="382"/>
      <c r="N290" s="382"/>
      <c r="O290" s="382"/>
      <c r="P290" s="383"/>
    </row>
    <row r="291" spans="1:16" x14ac:dyDescent="0.25">
      <c r="A291" s="100"/>
      <c r="B291" s="89"/>
      <c r="C291" s="89"/>
      <c r="D291" s="89"/>
      <c r="E291" s="89"/>
      <c r="F291" s="89"/>
      <c r="G291" s="89"/>
      <c r="H291" s="89"/>
      <c r="I291" s="89"/>
      <c r="J291" s="384"/>
      <c r="K291" s="382"/>
      <c r="L291" s="382"/>
      <c r="M291" s="382"/>
      <c r="N291" s="382"/>
      <c r="O291" s="382"/>
      <c r="P291" s="383"/>
    </row>
    <row r="292" spans="1:16" x14ac:dyDescent="0.25">
      <c r="A292" s="100"/>
      <c r="B292" s="89"/>
      <c r="C292" s="89"/>
      <c r="D292" s="89"/>
      <c r="E292" s="89"/>
      <c r="F292" s="89"/>
      <c r="G292" s="89"/>
      <c r="H292" s="89"/>
      <c r="I292" s="89"/>
      <c r="J292" s="384"/>
      <c r="K292" s="382"/>
      <c r="L292" s="382"/>
      <c r="M292" s="382"/>
      <c r="N292" s="382"/>
      <c r="O292" s="382"/>
      <c r="P292" s="383"/>
    </row>
    <row r="293" spans="1:16" x14ac:dyDescent="0.25">
      <c r="A293" s="100"/>
      <c r="B293" s="89"/>
      <c r="C293" s="89"/>
      <c r="D293" s="89"/>
      <c r="E293" s="89"/>
      <c r="F293" s="89"/>
      <c r="G293" s="89"/>
      <c r="H293" s="89"/>
      <c r="I293" s="89"/>
      <c r="J293" s="384"/>
      <c r="K293" s="382"/>
      <c r="L293" s="382"/>
      <c r="M293" s="382"/>
      <c r="N293" s="382"/>
      <c r="O293" s="382"/>
      <c r="P293" s="383"/>
    </row>
    <row r="294" spans="1:16" x14ac:dyDescent="0.25">
      <c r="A294" s="100"/>
      <c r="B294" s="89"/>
      <c r="C294" s="118" t="s">
        <v>130</v>
      </c>
      <c r="D294" s="89"/>
      <c r="E294" s="89"/>
      <c r="F294" s="89"/>
      <c r="G294" s="89"/>
      <c r="H294" s="118" t="s">
        <v>69</v>
      </c>
      <c r="I294" s="110">
        <f>B32</f>
        <v>0.38200000000000006</v>
      </c>
      <c r="J294" s="384"/>
      <c r="K294" s="382"/>
      <c r="L294" s="382"/>
      <c r="M294" s="382"/>
      <c r="N294" s="382"/>
      <c r="O294" s="382"/>
      <c r="P294" s="383"/>
    </row>
    <row r="295" spans="1:16" x14ac:dyDescent="0.25">
      <c r="A295" s="100"/>
      <c r="B295" s="89"/>
      <c r="C295" s="89"/>
      <c r="D295" s="89"/>
      <c r="E295" s="89"/>
      <c r="F295" s="89"/>
      <c r="G295" s="89"/>
      <c r="H295" s="89"/>
      <c r="I295" s="339">
        <f>MROUND(((H32-(H54/100))+(B32/2)),0.05)</f>
        <v>0.60000000000000009</v>
      </c>
      <c r="J295" s="384"/>
      <c r="K295" s="382"/>
      <c r="L295" s="382"/>
      <c r="M295" s="382"/>
      <c r="N295" s="382"/>
      <c r="O295" s="382"/>
      <c r="P295" s="383"/>
    </row>
    <row r="296" spans="1:16" x14ac:dyDescent="0.25">
      <c r="A296" s="100"/>
      <c r="B296" s="89"/>
      <c r="C296" s="89"/>
      <c r="D296" s="89"/>
      <c r="E296" s="89"/>
      <c r="F296" s="89"/>
      <c r="G296" s="89"/>
      <c r="H296" s="89"/>
      <c r="I296" s="89"/>
      <c r="J296" s="384"/>
      <c r="K296" s="382"/>
      <c r="L296" s="382"/>
      <c r="M296" s="382"/>
      <c r="N296" s="382"/>
      <c r="O296" s="382"/>
      <c r="P296" s="383"/>
    </row>
    <row r="297" spans="1:16" x14ac:dyDescent="0.25">
      <c r="A297" s="100"/>
      <c r="B297" s="89"/>
      <c r="C297" s="89"/>
      <c r="D297" s="118" t="s">
        <v>65</v>
      </c>
      <c r="E297" s="89"/>
      <c r="F297" s="89"/>
      <c r="G297" s="89"/>
      <c r="H297" s="89"/>
      <c r="I297" s="89"/>
      <c r="J297" s="384"/>
      <c r="K297" s="382"/>
      <c r="L297" s="382"/>
      <c r="M297" s="382"/>
      <c r="N297" s="382"/>
      <c r="O297" s="382"/>
      <c r="P297" s="383"/>
    </row>
    <row r="298" spans="1:16" x14ac:dyDescent="0.25">
      <c r="A298" s="100"/>
      <c r="B298" s="89"/>
      <c r="C298" s="89"/>
      <c r="D298" s="89"/>
      <c r="E298" s="89"/>
      <c r="F298" s="89"/>
      <c r="G298" s="89"/>
      <c r="H298" s="89"/>
      <c r="I298" s="89"/>
      <c r="J298" s="384"/>
      <c r="K298" s="382"/>
      <c r="L298" s="382"/>
      <c r="M298" s="382"/>
      <c r="N298" s="382"/>
      <c r="O298" s="382"/>
      <c r="P298" s="383"/>
    </row>
    <row r="299" spans="1:16" x14ac:dyDescent="0.25">
      <c r="A299" s="100"/>
      <c r="B299" s="115" t="s">
        <v>185</v>
      </c>
      <c r="C299" s="116" t="str">
        <f>F207</f>
        <v>Nº4</v>
      </c>
      <c r="D299" s="117">
        <f>H207</f>
        <v>20</v>
      </c>
      <c r="E299" s="89"/>
      <c r="F299" s="115" t="s">
        <v>184</v>
      </c>
      <c r="G299" s="116" t="str">
        <f>F240</f>
        <v>Nº4</v>
      </c>
      <c r="H299" s="117">
        <f>H240</f>
        <v>20</v>
      </c>
      <c r="I299" s="89"/>
      <c r="J299" s="384"/>
      <c r="K299" s="382"/>
      <c r="L299" s="382"/>
      <c r="M299" s="382"/>
      <c r="N299" s="382"/>
      <c r="O299" s="382"/>
      <c r="P299" s="383"/>
    </row>
    <row r="300" spans="1:16" x14ac:dyDescent="0.25">
      <c r="A300" s="100"/>
      <c r="B300" s="89"/>
      <c r="C300" s="89"/>
      <c r="D300" s="89"/>
      <c r="E300" s="89"/>
      <c r="F300" s="89"/>
      <c r="G300" s="89"/>
      <c r="H300" s="89"/>
      <c r="I300" s="89"/>
      <c r="J300" s="384"/>
      <c r="K300" s="382"/>
      <c r="L300" s="382"/>
      <c r="M300" s="382"/>
      <c r="N300" s="382"/>
      <c r="O300" s="382"/>
      <c r="P300" s="383"/>
    </row>
    <row r="301" spans="1:16" x14ac:dyDescent="0.25">
      <c r="A301" s="100"/>
      <c r="B301" s="89"/>
      <c r="C301" s="89"/>
      <c r="D301" s="89"/>
      <c r="E301" s="89"/>
      <c r="F301" s="89"/>
      <c r="G301" s="89"/>
      <c r="H301" s="89"/>
      <c r="I301" s="89"/>
      <c r="J301" s="384"/>
      <c r="K301" s="382"/>
      <c r="L301" s="382"/>
      <c r="M301" s="382"/>
      <c r="N301" s="382"/>
      <c r="O301" s="382"/>
      <c r="P301" s="383"/>
    </row>
    <row r="302" spans="1:16" x14ac:dyDescent="0.25">
      <c r="A302" s="100"/>
      <c r="B302" s="89"/>
      <c r="C302" s="89"/>
      <c r="D302" s="114">
        <f>C36</f>
        <v>0.5</v>
      </c>
      <c r="E302" s="121">
        <f>E56</f>
        <v>0.4</v>
      </c>
      <c r="F302" s="89"/>
      <c r="G302" s="114">
        <f>D36</f>
        <v>1.4000000000000001</v>
      </c>
      <c r="H302" s="89"/>
      <c r="I302" s="89"/>
      <c r="J302" s="384"/>
      <c r="K302" s="382"/>
      <c r="L302" s="382"/>
      <c r="M302" s="382"/>
      <c r="N302" s="382"/>
      <c r="O302" s="382"/>
      <c r="P302" s="383"/>
    </row>
    <row r="303" spans="1:16" x14ac:dyDescent="0.25">
      <c r="A303" s="100"/>
      <c r="B303" s="89"/>
      <c r="C303" s="89"/>
      <c r="D303" s="89"/>
      <c r="E303" s="89"/>
      <c r="F303" s="89"/>
      <c r="G303" s="89"/>
      <c r="H303" s="89"/>
      <c r="I303" s="89"/>
      <c r="J303" s="384"/>
      <c r="K303" s="382"/>
      <c r="L303" s="382"/>
      <c r="M303" s="382"/>
      <c r="N303" s="382"/>
      <c r="O303" s="382"/>
      <c r="P303" s="383"/>
    </row>
    <row r="304" spans="1:16" x14ac:dyDescent="0.25">
      <c r="A304" s="100"/>
      <c r="B304" s="89"/>
      <c r="C304" s="89"/>
      <c r="D304" s="89"/>
      <c r="E304" s="89"/>
      <c r="F304" s="89"/>
      <c r="G304" s="89"/>
      <c r="H304" s="89"/>
      <c r="I304" s="89"/>
      <c r="J304" s="384"/>
      <c r="K304" s="382"/>
      <c r="L304" s="382"/>
      <c r="M304" s="382"/>
      <c r="N304" s="382"/>
      <c r="O304" s="382"/>
      <c r="P304" s="383"/>
    </row>
    <row r="305" spans="1:16" x14ac:dyDescent="0.25">
      <c r="A305" s="100"/>
      <c r="B305" s="89"/>
      <c r="C305" s="89"/>
      <c r="D305" s="89"/>
      <c r="E305" s="104">
        <f>C38</f>
        <v>2.3000000000000003</v>
      </c>
      <c r="F305" s="89"/>
      <c r="G305" s="89"/>
      <c r="H305" s="89"/>
      <c r="I305" s="89"/>
      <c r="J305" s="384"/>
      <c r="K305" s="382"/>
      <c r="L305" s="382"/>
      <c r="M305" s="382"/>
      <c r="N305" s="382"/>
      <c r="O305" s="382"/>
      <c r="P305" s="383"/>
    </row>
    <row r="306" spans="1:16" ht="13.8" thickBot="1" x14ac:dyDescent="0.3">
      <c r="A306" s="111"/>
      <c r="B306" s="112"/>
      <c r="C306" s="112"/>
      <c r="D306" s="112"/>
      <c r="E306" s="112"/>
      <c r="F306" s="112"/>
      <c r="G306" s="112"/>
      <c r="H306" s="112"/>
      <c r="I306" s="112"/>
      <c r="J306" s="385"/>
      <c r="K306" s="387"/>
      <c r="L306" s="387"/>
      <c r="M306" s="387"/>
      <c r="N306" s="387"/>
      <c r="O306" s="387"/>
      <c r="P306" s="388"/>
    </row>
    <row r="307" spans="1:16" hidden="1" x14ac:dyDescent="0.25">
      <c r="A307" s="122"/>
      <c r="B307" s="89"/>
      <c r="C307" s="89"/>
      <c r="D307" s="89"/>
      <c r="E307" s="89"/>
      <c r="F307" s="89"/>
      <c r="G307" s="89"/>
      <c r="H307" s="89"/>
      <c r="I307" s="123"/>
      <c r="J307" s="411"/>
      <c r="K307" s="411"/>
      <c r="L307" s="411"/>
      <c r="M307" s="411"/>
      <c r="N307" s="411"/>
      <c r="O307" s="411"/>
      <c r="P307" s="411"/>
    </row>
    <row r="308" spans="1:16" hidden="1" x14ac:dyDescent="0.25">
      <c r="A308" s="122"/>
      <c r="B308" s="89"/>
      <c r="C308" s="89"/>
      <c r="D308" s="89"/>
      <c r="E308" s="89"/>
      <c r="F308" s="89"/>
      <c r="G308" s="89"/>
      <c r="H308" s="89"/>
      <c r="I308" s="123"/>
      <c r="J308" s="411"/>
      <c r="K308" s="411"/>
      <c r="L308" s="411"/>
      <c r="M308" s="411"/>
      <c r="N308" s="411"/>
      <c r="O308" s="411"/>
      <c r="P308" s="411"/>
    </row>
    <row r="309" spans="1:16" hidden="1" x14ac:dyDescent="0.25">
      <c r="A309" s="122"/>
      <c r="B309" s="89"/>
      <c r="C309" s="89"/>
      <c r="D309" s="89"/>
      <c r="E309" s="89"/>
      <c r="F309" s="89"/>
      <c r="G309" s="89"/>
      <c r="H309" s="89"/>
      <c r="I309" s="123"/>
      <c r="J309" s="411"/>
      <c r="K309" s="411"/>
      <c r="L309" s="411"/>
      <c r="M309" s="411"/>
      <c r="N309" s="411"/>
      <c r="O309" s="411"/>
      <c r="P309" s="411"/>
    </row>
    <row r="310" spans="1:16" hidden="1" x14ac:dyDescent="0.25">
      <c r="A310" s="124"/>
      <c r="B310" s="125"/>
      <c r="C310" s="125"/>
      <c r="D310" s="125"/>
      <c r="E310" s="125"/>
      <c r="F310" s="125"/>
      <c r="G310" s="125"/>
      <c r="H310" s="125"/>
      <c r="I310" s="126"/>
      <c r="J310" s="411"/>
      <c r="K310" s="411"/>
      <c r="L310" s="411"/>
      <c r="M310" s="411"/>
      <c r="N310" s="411"/>
      <c r="O310" s="411"/>
      <c r="P310" s="411"/>
    </row>
    <row r="311" spans="1:16" hidden="1" x14ac:dyDescent="0.25">
      <c r="A311" s="113"/>
      <c r="B311" s="113"/>
      <c r="C311" s="113"/>
      <c r="D311" s="113"/>
      <c r="E311" s="113"/>
      <c r="F311" s="113"/>
      <c r="G311" s="113"/>
      <c r="H311" s="113"/>
      <c r="I311" s="113"/>
      <c r="J311" s="411"/>
      <c r="K311" s="411"/>
      <c r="L311" s="411"/>
      <c r="M311" s="411"/>
      <c r="N311" s="411"/>
      <c r="O311" s="411"/>
      <c r="P311" s="411"/>
    </row>
    <row r="312" spans="1:16" hidden="1" x14ac:dyDescent="0.25"/>
    <row r="313" spans="1:16" hidden="1" x14ac:dyDescent="0.25"/>
    <row r="314" spans="1:16" hidden="1" x14ac:dyDescent="0.25"/>
    <row r="315" spans="1:16" hidden="1" x14ac:dyDescent="0.25"/>
    <row r="316" spans="1:16" hidden="1" x14ac:dyDescent="0.25"/>
    <row r="317" spans="1:16" hidden="1" x14ac:dyDescent="0.25"/>
    <row r="318" spans="1:16" x14ac:dyDescent="0.25"/>
    <row r="319" spans="1:16" x14ac:dyDescent="0.25"/>
    <row r="320" spans="1:16"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sheetData>
  <sheetProtection password="E11D"/>
  <mergeCells count="40">
    <mergeCell ref="E260:G260"/>
    <mergeCell ref="B1:H2"/>
    <mergeCell ref="L85:M85"/>
    <mergeCell ref="N84:N85"/>
    <mergeCell ref="D20:E20"/>
    <mergeCell ref="A28:C28"/>
    <mergeCell ref="A19:B19"/>
    <mergeCell ref="D18:E18"/>
    <mergeCell ref="L83:M83"/>
    <mergeCell ref="L84:M84"/>
    <mergeCell ref="E49:F49"/>
    <mergeCell ref="D63:E63"/>
    <mergeCell ref="D64:E64"/>
    <mergeCell ref="A52:A57"/>
    <mergeCell ref="F259:G259"/>
    <mergeCell ref="H131:I132"/>
    <mergeCell ref="E138:F138"/>
    <mergeCell ref="E141:F141"/>
    <mergeCell ref="F220:G220"/>
    <mergeCell ref="E221:G221"/>
    <mergeCell ref="E137:F137"/>
    <mergeCell ref="F136:H136"/>
    <mergeCell ref="J110:P110"/>
    <mergeCell ref="J105:P105"/>
    <mergeCell ref="J109:P109"/>
    <mergeCell ref="L34:M34"/>
    <mergeCell ref="L38:M38"/>
    <mergeCell ref="L43:M43"/>
    <mergeCell ref="B12:I15"/>
    <mergeCell ref="A4:I10"/>
    <mergeCell ref="L21:M21"/>
    <mergeCell ref="F85:G85"/>
    <mergeCell ref="J106:P106"/>
    <mergeCell ref="F92:G92"/>
    <mergeCell ref="F82:G82"/>
    <mergeCell ref="D67:E67"/>
    <mergeCell ref="B16:E16"/>
    <mergeCell ref="N29:P30"/>
    <mergeCell ref="K29:K30"/>
    <mergeCell ref="L29:M30"/>
  </mergeCells>
  <phoneticPr fontId="3" type="noConversion"/>
  <conditionalFormatting sqref="D67">
    <cfRule type="cellIs" dxfId="0" priority="1" stopIfTrue="1" operator="lessThan">
      <formula>$D$64</formula>
    </cfRule>
  </conditionalFormatting>
  <dataValidations count="1">
    <dataValidation type="list" allowBlank="1" showInputMessage="1" showErrorMessage="1" sqref="E236 E197 E162 E173:E174 E151 E204 E243" xr:uid="{00000000-0002-0000-0100-000000000000}">
      <formula1>$K$137:$K$148</formula1>
    </dataValidation>
  </dataValidations>
  <hyperlinks>
    <hyperlink ref="B16" r:id="rId1" xr:uid="{5980F400-2EB4-4D7C-8237-DD0EFD717A3A}"/>
    <hyperlink ref="F136" r:id="rId2" xr:uid="{40EB8753-07AA-4249-9E6E-BAC8F6F29912}"/>
  </hyperlinks>
  <printOptions horizontalCentered="1" verticalCentered="1"/>
  <pageMargins left="0.25" right="0.25" top="0.75" bottom="0.75" header="0.3" footer="0.3"/>
  <pageSetup paperSize="9" fitToHeight="0" orientation="portrait" horizontalDpi="300" verticalDpi="300" r:id="rId3"/>
  <headerFooter alignWithMargins="0">
    <oddFooter>&amp;C&amp;8Página &amp;P de &amp;N</oddFooter>
  </headerFooter>
  <rowBreaks count="6" manualBreakCount="6">
    <brk id="39" max="8" man="1"/>
    <brk id="70" max="8" man="1"/>
    <brk id="99" max="8" man="1"/>
    <brk id="132" max="8" man="1"/>
    <brk id="182" max="8" man="1"/>
    <brk id="260" max="8" man="1"/>
  </rowBreaks>
  <ignoredErrors>
    <ignoredError sqref="E144 E158 E169 B22" unlockedFormula="1"/>
  </ignoredError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0425-9D54-4EAF-AED2-A5CD4A8A064D}">
  <dimension ref="A1:I53"/>
  <sheetViews>
    <sheetView workbookViewId="0">
      <selection activeCell="A54" sqref="A54:XFD1048576"/>
    </sheetView>
  </sheetViews>
  <sheetFormatPr baseColWidth="10" defaultColWidth="0" defaultRowHeight="13.2" zeroHeight="1" x14ac:dyDescent="0.25"/>
  <cols>
    <col min="1" max="9" width="11.44140625" style="113" customWidth="1"/>
    <col min="10" max="16384" width="11.44140625" style="113"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sheetData>
  <pageMargins left="0.7" right="0.7" top="0.75" bottom="0.75" header="0.3" footer="0.3"/>
  <drawing r:id="rId1"/>
  <legacyDrawing r:id="rId2"/>
  <oleObjects>
    <mc:AlternateContent xmlns:mc="http://schemas.openxmlformats.org/markup-compatibility/2006">
      <mc:Choice Requires="x14">
        <oleObject progId="Word.Document.12" shapeId="6145" r:id="rId3">
          <objectPr defaultSize="0" autoPict="0" r:id="rId4">
            <anchor moveWithCells="1">
              <from>
                <xdr:col>0</xdr:col>
                <xdr:colOff>0</xdr:colOff>
                <xdr:row>0</xdr:row>
                <xdr:rowOff>0</xdr:rowOff>
              </from>
              <to>
                <xdr:col>8</xdr:col>
                <xdr:colOff>731520</xdr:colOff>
                <xdr:row>52</xdr:row>
                <xdr:rowOff>152400</xdr:rowOff>
              </to>
            </anchor>
          </objectPr>
        </oleObject>
      </mc:Choice>
      <mc:Fallback>
        <oleObject progId="Word.Document.12" shapeId="6145"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9BE8-C973-4E94-AAA3-635E59288DBD}">
  <sheetPr>
    <tabColor theme="1" tint="4.9989318521683403E-2"/>
  </sheetPr>
  <dimension ref="A1:H82"/>
  <sheetViews>
    <sheetView zoomScale="145" zoomScaleNormal="145" workbookViewId="0">
      <selection activeCell="D82" sqref="D82"/>
    </sheetView>
  </sheetViews>
  <sheetFormatPr baseColWidth="10" defaultColWidth="11.44140625" defaultRowHeight="13.2" x14ac:dyDescent="0.25"/>
  <cols>
    <col min="1" max="1" width="4" style="208" customWidth="1"/>
    <col min="2" max="2" width="13.6640625" style="207" customWidth="1"/>
    <col min="3" max="4" width="16.33203125" style="207" customWidth="1"/>
    <col min="5" max="5" width="14.44140625" style="207" customWidth="1"/>
    <col min="6" max="15" width="13.6640625" style="207" customWidth="1"/>
    <col min="16" max="16384" width="11.44140625" style="207"/>
  </cols>
  <sheetData>
    <row r="1" spans="1:8" ht="13.8" thickBot="1" x14ac:dyDescent="0.3">
      <c r="A1" s="207"/>
    </row>
    <row r="2" spans="1:8" ht="12.75" customHeight="1" x14ac:dyDescent="0.25">
      <c r="A2" s="207"/>
      <c r="B2" s="479" t="s">
        <v>263</v>
      </c>
      <c r="C2" s="480"/>
      <c r="D2" s="480"/>
      <c r="E2" s="480"/>
      <c r="F2" s="480"/>
      <c r="G2" s="481"/>
      <c r="H2" s="237"/>
    </row>
    <row r="3" spans="1:8" ht="13.5" customHeight="1" thickBot="1" x14ac:dyDescent="0.3">
      <c r="A3" s="207"/>
      <c r="B3" s="482"/>
      <c r="C3" s="483"/>
      <c r="D3" s="483"/>
      <c r="E3" s="483"/>
      <c r="F3" s="483"/>
      <c r="G3" s="484"/>
      <c r="H3" s="236"/>
    </row>
    <row r="4" spans="1:8" x14ac:dyDescent="0.25">
      <c r="A4" s="207"/>
    </row>
    <row r="5" spans="1:8" x14ac:dyDescent="0.25">
      <c r="C5" s="485" t="s">
        <v>265</v>
      </c>
      <c r="D5" s="485"/>
    </row>
    <row r="6" spans="1:8" x14ac:dyDescent="0.25">
      <c r="C6" s="211" t="s">
        <v>266</v>
      </c>
      <c r="D6" s="230">
        <v>250</v>
      </c>
    </row>
    <row r="7" spans="1:8" ht="13.8" x14ac:dyDescent="0.3">
      <c r="C7" s="211" t="s">
        <v>270</v>
      </c>
      <c r="D7" s="229">
        <v>2400</v>
      </c>
    </row>
    <row r="8" spans="1:8" x14ac:dyDescent="0.25">
      <c r="C8" s="211" t="s">
        <v>267</v>
      </c>
      <c r="D8" s="230">
        <v>2200</v>
      </c>
    </row>
    <row r="10" spans="1:8" x14ac:dyDescent="0.25">
      <c r="C10" s="486" t="s">
        <v>268</v>
      </c>
      <c r="D10" s="486"/>
    </row>
    <row r="11" spans="1:8" ht="13.8" x14ac:dyDescent="0.3">
      <c r="C11" s="210" t="s">
        <v>269</v>
      </c>
      <c r="D11" s="229">
        <v>1980</v>
      </c>
    </row>
    <row r="12" spans="1:8" ht="13.8" x14ac:dyDescent="0.3">
      <c r="C12" s="210" t="s">
        <v>271</v>
      </c>
      <c r="D12" s="226">
        <v>400</v>
      </c>
    </row>
    <row r="13" spans="1:8" ht="13.8" x14ac:dyDescent="0.3">
      <c r="C13" s="210" t="s">
        <v>272</v>
      </c>
      <c r="D13" s="228">
        <v>1.5</v>
      </c>
    </row>
    <row r="14" spans="1:8" ht="13.8" x14ac:dyDescent="0.3">
      <c r="C14" s="214" t="s">
        <v>273</v>
      </c>
      <c r="D14" s="292">
        <f>TAN(RADIANS(D12))</f>
        <v>0.8390996311772797</v>
      </c>
      <c r="E14" s="245"/>
      <c r="F14" s="244"/>
    </row>
    <row r="15" spans="1:8" x14ac:dyDescent="0.25">
      <c r="C15" s="208"/>
    </row>
    <row r="16" spans="1:8" x14ac:dyDescent="0.25">
      <c r="C16" s="486" t="s">
        <v>276</v>
      </c>
      <c r="D16" s="486"/>
    </row>
    <row r="17" spans="3:5" x14ac:dyDescent="0.25">
      <c r="C17" s="211" t="s">
        <v>189</v>
      </c>
      <c r="D17" s="227">
        <v>250</v>
      </c>
    </row>
    <row r="18" spans="3:5" ht="13.8" x14ac:dyDescent="0.3">
      <c r="C18" s="210" t="s">
        <v>274</v>
      </c>
      <c r="D18" s="226">
        <v>20</v>
      </c>
    </row>
    <row r="19" spans="3:5" x14ac:dyDescent="0.25">
      <c r="C19" s="208"/>
    </row>
    <row r="20" spans="3:5" ht="28.5" customHeight="1" x14ac:dyDescent="0.25">
      <c r="C20" s="487" t="s">
        <v>275</v>
      </c>
      <c r="D20" s="487"/>
      <c r="E20" s="212"/>
    </row>
    <row r="21" spans="3:5" x14ac:dyDescent="0.25">
      <c r="C21" s="488" t="s">
        <v>277</v>
      </c>
      <c r="D21" s="488"/>
    </row>
    <row r="22" spans="3:5" x14ac:dyDescent="0.25">
      <c r="C22" s="213" t="s">
        <v>278</v>
      </c>
      <c r="D22" s="225">
        <f>MROUND((AVERAGE(((3/4)*D17),((1/2)*D17))),5)</f>
        <v>155</v>
      </c>
    </row>
    <row r="23" spans="3:5" x14ac:dyDescent="0.25">
      <c r="C23" s="488" t="s">
        <v>279</v>
      </c>
      <c r="D23" s="488"/>
    </row>
    <row r="24" spans="3:5" x14ac:dyDescent="0.25">
      <c r="C24" s="213" t="s">
        <v>280</v>
      </c>
      <c r="D24" s="225">
        <f>MROUND((MIN(AVERAGE(((0.12)*D17),((0.16)*D17)))),5)</f>
        <v>35</v>
      </c>
    </row>
    <row r="25" spans="3:5" x14ac:dyDescent="0.25">
      <c r="C25" s="488" t="s">
        <v>281</v>
      </c>
      <c r="D25" s="488"/>
    </row>
    <row r="26" spans="3:5" x14ac:dyDescent="0.25">
      <c r="C26" s="213" t="s">
        <v>282</v>
      </c>
      <c r="D26" s="225">
        <f>MROUND((((0.5)*D24)),5)</f>
        <v>20</v>
      </c>
    </row>
    <row r="27" spans="3:5" x14ac:dyDescent="0.25">
      <c r="C27" s="488" t="s">
        <v>283</v>
      </c>
      <c r="D27" s="488"/>
    </row>
    <row r="28" spans="3:5" x14ac:dyDescent="0.25">
      <c r="C28" s="213" t="s">
        <v>284</v>
      </c>
      <c r="D28" s="225">
        <f>MROUND((MAX((30.552),((0.08)*D17))),5)</f>
        <v>30</v>
      </c>
    </row>
    <row r="29" spans="3:5" x14ac:dyDescent="0.25">
      <c r="C29" s="488" t="s">
        <v>285</v>
      </c>
      <c r="D29" s="488"/>
    </row>
    <row r="30" spans="3:5" x14ac:dyDescent="0.25">
      <c r="C30" s="213" t="s">
        <v>286</v>
      </c>
      <c r="D30" s="225">
        <f>D24</f>
        <v>35</v>
      </c>
    </row>
    <row r="31" spans="3:5" x14ac:dyDescent="0.25">
      <c r="C31" s="208"/>
    </row>
    <row r="32" spans="3:5" ht="25.5" customHeight="1" x14ac:dyDescent="0.25">
      <c r="C32" s="487" t="s">
        <v>287</v>
      </c>
      <c r="D32" s="487"/>
      <c r="E32" s="212"/>
    </row>
    <row r="33" spans="3:5" x14ac:dyDescent="0.25">
      <c r="C33" s="489" t="s">
        <v>288</v>
      </c>
      <c r="D33" s="490"/>
    </row>
    <row r="34" spans="3:5" x14ac:dyDescent="0.25">
      <c r="C34" s="213" t="s">
        <v>289</v>
      </c>
      <c r="D34" s="224">
        <f>(COS(RADIANS(D18)))*(((COS(RADIANS(D18)))-(SQRT((COS(RADIANS(D18^2)))-(COS(RADIANS(D18^2))))))/((COS(RADIANS((D18)))+(SQRT((COS(RADIANS(D18^2)))-(COS(RADIANS(D18^2))))))))</f>
        <v>0.93969262078590843</v>
      </c>
    </row>
    <row r="35" spans="3:5" x14ac:dyDescent="0.25">
      <c r="C35" s="489" t="s">
        <v>290</v>
      </c>
      <c r="D35" s="490"/>
    </row>
    <row r="36" spans="3:5" x14ac:dyDescent="0.25">
      <c r="C36" s="213" t="s">
        <v>291</v>
      </c>
      <c r="D36" s="224">
        <f>(COS(RADIANS(D18)))*(((COS(RADIANS(D18)))+(SQRT((COS(RADIANS(D18^2)))-(COS(RADIANS(D18^2))))))/((COS(RADIANS(D18)))-(SQRT((COS(RADIANS(D18^2)))-(COS(RADIANS(D18^2)))))))</f>
        <v>0.93969262078590843</v>
      </c>
    </row>
    <row r="37" spans="3:5" x14ac:dyDescent="0.25">
      <c r="C37" s="489" t="s">
        <v>288</v>
      </c>
      <c r="D37" s="490"/>
    </row>
    <row r="38" spans="3:5" x14ac:dyDescent="0.25">
      <c r="C38" s="213" t="s">
        <v>292</v>
      </c>
      <c r="D38" s="223">
        <f>((D34*D11*((D30/100)^2))/2)*1</f>
        <v>113.96122258581103</v>
      </c>
    </row>
    <row r="39" spans="3:5" x14ac:dyDescent="0.25">
      <c r="C39" s="489" t="s">
        <v>290</v>
      </c>
      <c r="D39" s="490"/>
    </row>
    <row r="40" spans="3:5" x14ac:dyDescent="0.25">
      <c r="C40" s="213" t="s">
        <v>293</v>
      </c>
      <c r="D40" s="223">
        <f>((D36*D11*((D30/100)^2))/2)*1</f>
        <v>113.96122258581103</v>
      </c>
    </row>
    <row r="41" spans="3:5" x14ac:dyDescent="0.25">
      <c r="C41" s="208"/>
    </row>
    <row r="42" spans="3:5" x14ac:dyDescent="0.25">
      <c r="C42" s="487" t="s">
        <v>294</v>
      </c>
      <c r="D42" s="487"/>
      <c r="E42" s="212"/>
    </row>
    <row r="43" spans="3:5" x14ac:dyDescent="0.25">
      <c r="C43" s="489" t="s">
        <v>301</v>
      </c>
      <c r="D43" s="490"/>
    </row>
    <row r="44" spans="3:5" x14ac:dyDescent="0.25">
      <c r="C44" s="213" t="s">
        <v>295</v>
      </c>
      <c r="D44" s="218">
        <f>((D17/100)/3)*D38</f>
        <v>94.96768548817586</v>
      </c>
    </row>
    <row r="45" spans="3:5" x14ac:dyDescent="0.25">
      <c r="C45" s="208"/>
    </row>
    <row r="46" spans="3:5" x14ac:dyDescent="0.25">
      <c r="C46" s="478" t="s">
        <v>296</v>
      </c>
      <c r="D46" s="478"/>
      <c r="E46" s="212"/>
    </row>
    <row r="47" spans="3:5" x14ac:dyDescent="0.25">
      <c r="C47" s="488" t="s">
        <v>297</v>
      </c>
      <c r="D47" s="488"/>
      <c r="E47" s="488"/>
    </row>
    <row r="48" spans="3:5" x14ac:dyDescent="0.25">
      <c r="C48" s="216"/>
      <c r="D48" s="209" t="s">
        <v>58</v>
      </c>
      <c r="E48" s="209" t="s">
        <v>302</v>
      </c>
    </row>
    <row r="49" spans="3:5" x14ac:dyDescent="0.25">
      <c r="C49" s="217" t="s">
        <v>298</v>
      </c>
      <c r="D49" s="219">
        <f>(D22/100)*(D24/100)*1*D7</f>
        <v>1302</v>
      </c>
      <c r="E49" s="220">
        <f>D49*((D22/100)/2)</f>
        <v>1009.0500000000001</v>
      </c>
    </row>
    <row r="50" spans="3:5" x14ac:dyDescent="0.25">
      <c r="C50" s="209" t="s">
        <v>299</v>
      </c>
      <c r="D50" s="221">
        <f>(D28/100)*((D17-D24)/100)*1*D7</f>
        <v>1547.9999999999998</v>
      </c>
      <c r="E50" s="222">
        <f>D50*((D26/100)+((D28/100)/2))</f>
        <v>541.79999999999984</v>
      </c>
    </row>
    <row r="51" spans="3:5" x14ac:dyDescent="0.25">
      <c r="C51" s="208"/>
      <c r="D51" s="221">
        <f>(1/2)*((D22-D26-D26-D28)/100)*((D17-D24)/100)*1*D7</f>
        <v>2193</v>
      </c>
      <c r="E51" s="222">
        <f>D51*((((D22-D26-D26-D28)/100)/3)+((D26+D28)/100))</f>
        <v>1717.85</v>
      </c>
    </row>
    <row r="52" spans="3:5" x14ac:dyDescent="0.25">
      <c r="C52" s="209" t="s">
        <v>300</v>
      </c>
      <c r="D52" s="221">
        <f>(1/2)*((D22-D26-D26-D28)/100)*((D17-D24)/100)*1*D11</f>
        <v>1809.2249999999999</v>
      </c>
      <c r="E52" s="222">
        <f>D51*(((2*((D22-D26-D26-D28)/100))/3)+((D26+D28)/100))</f>
        <v>2339.1999999999998</v>
      </c>
    </row>
    <row r="53" spans="3:5" x14ac:dyDescent="0.25">
      <c r="C53" s="208"/>
      <c r="D53" s="221">
        <f>(D26/100)*((D17-D24)/100)*1*D11</f>
        <v>851.4</v>
      </c>
      <c r="E53" s="222">
        <f>D53*((D22/100)-((D26/100)/2))</f>
        <v>1234.53</v>
      </c>
    </row>
    <row r="54" spans="3:5" ht="13.8" thickBot="1" x14ac:dyDescent="0.3">
      <c r="C54" s="231"/>
      <c r="D54" s="232">
        <f>(1/2)*((D22-D26-D28)/100)*(TAN(D18))*((D22-D26-D28)/100)*1*D11</f>
        <v>2441.8052415977008</v>
      </c>
      <c r="E54" s="233">
        <f>D54*(((D26+D28)/100)+((2/3)*((D22-D26-D28)/100)))</f>
        <v>2930.1662899172411</v>
      </c>
    </row>
    <row r="55" spans="3:5" x14ac:dyDescent="0.25">
      <c r="C55" s="208" t="s">
        <v>303</v>
      </c>
      <c r="D55" s="234">
        <f>SUM(D49:D54)</f>
        <v>10145.4302415977</v>
      </c>
      <c r="E55" s="235">
        <f>SUM(E49:E54)</f>
        <v>9772.5962899172409</v>
      </c>
    </row>
    <row r="57" spans="3:5" x14ac:dyDescent="0.25">
      <c r="C57" s="478" t="s">
        <v>304</v>
      </c>
      <c r="D57" s="478"/>
    </row>
    <row r="58" spans="3:5" x14ac:dyDescent="0.25">
      <c r="C58" s="209" t="s">
        <v>200</v>
      </c>
      <c r="D58" s="215">
        <f>E55/D44</f>
        <v>102.90443785885461</v>
      </c>
    </row>
    <row r="60" spans="3:5" x14ac:dyDescent="0.25">
      <c r="C60" s="478" t="s">
        <v>305</v>
      </c>
      <c r="D60" s="478"/>
    </row>
    <row r="61" spans="3:5" x14ac:dyDescent="0.25">
      <c r="C61" s="209" t="s">
        <v>200</v>
      </c>
      <c r="D61" s="215">
        <f>(D14*D55+D40)/D38</f>
        <v>75.701083234249026</v>
      </c>
    </row>
    <row r="63" spans="3:5" x14ac:dyDescent="0.25">
      <c r="C63" s="478" t="s">
        <v>306</v>
      </c>
      <c r="D63" s="478"/>
    </row>
    <row r="64" spans="3:5" x14ac:dyDescent="0.25">
      <c r="C64" s="209" t="s">
        <v>307</v>
      </c>
      <c r="D64" s="238">
        <f>(E55-D44)/D55</f>
        <v>0.95389040917648005</v>
      </c>
    </row>
    <row r="66" spans="3:5" x14ac:dyDescent="0.25">
      <c r="C66" s="478" t="s">
        <v>308</v>
      </c>
      <c r="D66" s="478"/>
    </row>
    <row r="67" spans="3:5" x14ac:dyDescent="0.25">
      <c r="C67" s="209" t="s">
        <v>309</v>
      </c>
      <c r="D67" s="238">
        <f>(D22/100)/3</f>
        <v>0.51666666666666672</v>
      </c>
      <c r="E67" s="207" t="s">
        <v>310</v>
      </c>
    </row>
    <row r="68" spans="3:5" x14ac:dyDescent="0.25">
      <c r="D68" s="239">
        <f>D64</f>
        <v>0.95389040917648005</v>
      </c>
    </row>
    <row r="69" spans="3:5" x14ac:dyDescent="0.25">
      <c r="D69" s="238">
        <f>(D22/100)*(2/3)</f>
        <v>1.0333333333333332</v>
      </c>
      <c r="E69" s="207" t="s">
        <v>311</v>
      </c>
    </row>
    <row r="71" spans="3:5" x14ac:dyDescent="0.25">
      <c r="C71" s="478" t="s">
        <v>312</v>
      </c>
      <c r="D71" s="478"/>
    </row>
    <row r="72" spans="3:5" x14ac:dyDescent="0.25">
      <c r="C72" s="209" t="s">
        <v>313</v>
      </c>
      <c r="D72" s="241">
        <f>1*(D22/100)</f>
        <v>1.55</v>
      </c>
    </row>
    <row r="74" spans="3:5" x14ac:dyDescent="0.25">
      <c r="C74" s="209" t="s">
        <v>314</v>
      </c>
      <c r="D74" s="240">
        <f>(1/12)*1*((D22/100)^3)</f>
        <v>0.31032291666666667</v>
      </c>
    </row>
    <row r="76" spans="3:5" x14ac:dyDescent="0.25">
      <c r="C76" s="209" t="s">
        <v>315</v>
      </c>
      <c r="D76" s="242">
        <f>((((4*D22)/100)-(6*D64))*(D55/((D22)^2)))/1</f>
        <v>0.20128598840088888</v>
      </c>
    </row>
    <row r="78" spans="3:5" x14ac:dyDescent="0.25">
      <c r="C78" s="209" t="s">
        <v>316</v>
      </c>
      <c r="D78" s="243">
        <f>(((6*D64)-((2*D22)/100))*(D55/((D22)^2)))/1</f>
        <v>1.1078017847084918</v>
      </c>
    </row>
    <row r="81" spans="2:3" x14ac:dyDescent="0.25">
      <c r="B81" s="207" t="s">
        <v>342</v>
      </c>
    </row>
    <row r="82" spans="2:3" x14ac:dyDescent="0.25">
      <c r="C82" s="207" t="s">
        <v>343</v>
      </c>
    </row>
  </sheetData>
  <mergeCells count="24">
    <mergeCell ref="C46:D46"/>
    <mergeCell ref="C47:E47"/>
    <mergeCell ref="C43:D43"/>
    <mergeCell ref="C33:D33"/>
    <mergeCell ref="C35:D35"/>
    <mergeCell ref="C37:D37"/>
    <mergeCell ref="C39:D39"/>
    <mergeCell ref="C42:D42"/>
    <mergeCell ref="C66:D66"/>
    <mergeCell ref="C71:D71"/>
    <mergeCell ref="C57:D57"/>
    <mergeCell ref="C60:D60"/>
    <mergeCell ref="B2:G3"/>
    <mergeCell ref="C63:D63"/>
    <mergeCell ref="C5:D5"/>
    <mergeCell ref="C10:D10"/>
    <mergeCell ref="C16:D16"/>
    <mergeCell ref="C20:D20"/>
    <mergeCell ref="C32:D32"/>
    <mergeCell ref="C21:D21"/>
    <mergeCell ref="C23:D23"/>
    <mergeCell ref="C25:D25"/>
    <mergeCell ref="C27:D27"/>
    <mergeCell ref="C29:D29"/>
  </mergeCell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3.2" x14ac:dyDescent="0.25"/>
  <sheetData/>
  <phoneticPr fontId="3"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3.2" x14ac:dyDescent="0.25"/>
  <sheetData/>
  <phoneticPr fontId="3"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5</vt:i4>
      </vt:variant>
      <vt:variant>
        <vt:lpstr>Gráficos</vt:lpstr>
      </vt:variant>
      <vt:variant>
        <vt:i4>1</vt:i4>
      </vt:variant>
      <vt:variant>
        <vt:lpstr>Rangos con nombre</vt:lpstr>
      </vt:variant>
      <vt:variant>
        <vt:i4>1</vt:i4>
      </vt:variant>
    </vt:vector>
  </HeadingPairs>
  <TitlesOfParts>
    <vt:vector size="7" baseType="lpstr">
      <vt:lpstr>Analisis y Diseño</vt:lpstr>
      <vt:lpstr>Hoja1</vt:lpstr>
      <vt:lpstr>PROCESAMIENTO DE DATOS</vt:lpstr>
      <vt:lpstr>Hoja2</vt:lpstr>
      <vt:lpstr>Hoja3</vt:lpstr>
      <vt:lpstr>Gráfico1</vt:lpstr>
      <vt:lpstr>'Analisis y Diseño'!Área_de_impresión</vt:lpstr>
    </vt:vector>
  </TitlesOfParts>
  <Manager>plenge</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Diseños de MC</dc:title>
  <dc:creator>LUIS PABLO NIETO GIL</dc:creator>
  <cp:lastModifiedBy>Luis Pablo Personal y Creativo</cp:lastModifiedBy>
  <cp:revision>7</cp:revision>
  <cp:lastPrinted>2018-09-13T23:55:43Z</cp:lastPrinted>
  <dcterms:created xsi:type="dcterms:W3CDTF">2005-04-29T01:26:28Z</dcterms:created>
  <dcterms:modified xsi:type="dcterms:W3CDTF">2020-09-30T20:34:24Z</dcterms:modified>
  <cp:category>Estructuras</cp:category>
  <cp:version>7</cp:version>
</cp:coreProperties>
</file>