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Lisa's stuff\Advisory Committee\Research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N49" i="1"/>
  <c r="N50" i="1"/>
  <c r="N51" i="1"/>
  <c r="N52" i="1"/>
  <c r="M52" i="1"/>
  <c r="M51" i="1"/>
  <c r="M50" i="1"/>
  <c r="M49" i="1"/>
  <c r="N41" i="1"/>
  <c r="N42" i="1"/>
  <c r="N43" i="1"/>
  <c r="N40" i="1"/>
  <c r="M43" i="1"/>
  <c r="M42" i="1"/>
  <c r="M41" i="1"/>
  <c r="M40" i="1"/>
  <c r="M39" i="1"/>
  <c r="N31" i="1"/>
  <c r="N32" i="1"/>
  <c r="N33" i="1"/>
  <c r="N34" i="1"/>
  <c r="M34" i="1"/>
  <c r="M33" i="1"/>
  <c r="M32" i="1"/>
  <c r="M31" i="1"/>
  <c r="N25" i="1"/>
  <c r="N26" i="1"/>
  <c r="N24" i="1"/>
  <c r="M26" i="1"/>
  <c r="M25" i="1"/>
  <c r="M24" i="1"/>
  <c r="M23" i="1"/>
  <c r="N15" i="1"/>
  <c r="N16" i="1"/>
  <c r="N17" i="1"/>
  <c r="N18" i="1"/>
  <c r="M18" i="1"/>
  <c r="M17" i="1"/>
  <c r="M16" i="1"/>
  <c r="M15" i="1"/>
  <c r="N5" i="1"/>
  <c r="N6" i="1"/>
  <c r="N7" i="1"/>
  <c r="N8" i="1"/>
  <c r="N9" i="1"/>
  <c r="N10" i="1"/>
  <c r="M10" i="1"/>
  <c r="M9" i="1"/>
  <c r="M8" i="1"/>
  <c r="M7" i="1"/>
  <c r="M6" i="1"/>
  <c r="M5" i="1"/>
  <c r="M4" i="1"/>
  <c r="J49" i="1"/>
  <c r="J50" i="1"/>
  <c r="J51" i="1"/>
  <c r="J52" i="1"/>
  <c r="J46" i="1"/>
  <c r="H49" i="1"/>
  <c r="H50" i="1"/>
  <c r="H51" i="1"/>
  <c r="H52" i="1"/>
  <c r="H46" i="1"/>
  <c r="J38" i="1"/>
  <c r="J39" i="1"/>
  <c r="J40" i="1"/>
  <c r="J41" i="1"/>
  <c r="J42" i="1"/>
  <c r="J43" i="1"/>
  <c r="J37" i="1"/>
  <c r="H38" i="1"/>
  <c r="H39" i="1"/>
  <c r="H40" i="1"/>
  <c r="H41" i="1"/>
  <c r="H42" i="1"/>
  <c r="H43" i="1"/>
  <c r="H37" i="1"/>
  <c r="J31" i="1"/>
  <c r="J32" i="1"/>
  <c r="J33" i="1"/>
  <c r="J34" i="1"/>
  <c r="J22" i="1"/>
  <c r="J23" i="1"/>
  <c r="J24" i="1"/>
  <c r="J25" i="1"/>
  <c r="J26" i="1"/>
  <c r="J21" i="1"/>
  <c r="J15" i="1"/>
  <c r="J16" i="1"/>
  <c r="J17" i="1"/>
  <c r="J18" i="1"/>
  <c r="H15" i="1"/>
  <c r="H16" i="1"/>
  <c r="H17" i="1"/>
  <c r="H18" i="1"/>
  <c r="J10" i="1"/>
  <c r="J9" i="1"/>
  <c r="J8" i="1"/>
  <c r="J7" i="1"/>
  <c r="J6" i="1"/>
  <c r="J5" i="1"/>
  <c r="J4" i="1"/>
  <c r="H9" i="1"/>
  <c r="L5" i="1" l="1"/>
  <c r="L6" i="1"/>
  <c r="L7" i="1"/>
  <c r="L8" i="1"/>
  <c r="L9" i="1"/>
  <c r="L10" i="1"/>
  <c r="L49" i="1"/>
  <c r="L50" i="1"/>
  <c r="L51" i="1"/>
  <c r="L52" i="1"/>
  <c r="L40" i="1"/>
  <c r="L41" i="1"/>
  <c r="L42" i="1"/>
  <c r="L43" i="1"/>
  <c r="L32" i="1"/>
  <c r="L33" i="1"/>
  <c r="L34" i="1"/>
  <c r="L24" i="1"/>
  <c r="L25" i="1"/>
  <c r="L26" i="1"/>
  <c r="L16" i="1"/>
  <c r="L17" i="1"/>
  <c r="L18" i="1"/>
  <c r="L15" i="1"/>
  <c r="L39" i="1"/>
  <c r="L38" i="1"/>
  <c r="L37" i="1"/>
  <c r="L31" i="1"/>
  <c r="L23" i="1"/>
  <c r="L22" i="1"/>
  <c r="L21" i="1"/>
  <c r="L4" i="1"/>
  <c r="E36" i="1"/>
  <c r="E3" i="1"/>
  <c r="M14" i="1" l="1"/>
  <c r="L14" i="1"/>
  <c r="J14" i="1"/>
  <c r="H14" i="1"/>
  <c r="M13" i="1"/>
  <c r="L13" i="1"/>
  <c r="H13" i="1"/>
  <c r="M12" i="1"/>
  <c r="I12" i="1"/>
  <c r="J13" i="1" s="1"/>
  <c r="E12" i="1"/>
  <c r="M30" i="1"/>
  <c r="L30" i="1"/>
  <c r="M29" i="1"/>
  <c r="L29" i="1"/>
  <c r="M28" i="1"/>
  <c r="I28" i="1"/>
  <c r="E28" i="1"/>
  <c r="M48" i="1"/>
  <c r="L48" i="1"/>
  <c r="J48" i="1"/>
  <c r="H48" i="1"/>
  <c r="M47" i="1"/>
  <c r="L47" i="1"/>
  <c r="H47" i="1"/>
  <c r="M46" i="1"/>
  <c r="I46" i="1"/>
  <c r="J47" i="1" s="1"/>
  <c r="E45" i="1"/>
  <c r="N14" i="1" l="1"/>
  <c r="N48" i="1"/>
  <c r="N13" i="1"/>
  <c r="N30" i="1"/>
  <c r="J30" i="1"/>
  <c r="N47" i="1"/>
  <c r="J29" i="1"/>
  <c r="N29" i="1"/>
</calcChain>
</file>

<file path=xl/sharedStrings.xml><?xml version="1.0" encoding="utf-8"?>
<sst xmlns="http://schemas.openxmlformats.org/spreadsheetml/2006/main" count="92" uniqueCount="27">
  <si>
    <t>Library</t>
  </si>
  <si>
    <t>Yr. Const.</t>
  </si>
  <si>
    <t>Old Sq.ft.</t>
  </si>
  <si>
    <t>New Sq.ft.</t>
  </si>
  <si>
    <t>% inc.</t>
  </si>
  <si>
    <t>Report</t>
  </si>
  <si>
    <t>Door Count</t>
  </si>
  <si>
    <t>Prog. Attendance</t>
  </si>
  <si>
    <t>Total Circ</t>
  </si>
  <si>
    <t>Comp Use (Yr)</t>
  </si>
  <si>
    <t>Palmer</t>
  </si>
  <si>
    <t>FY2004</t>
  </si>
  <si>
    <t>n/a</t>
  </si>
  <si>
    <t>FY2005</t>
  </si>
  <si>
    <t>FY2006</t>
  </si>
  <si>
    <t>FY2007</t>
  </si>
  <si>
    <t>FY2008</t>
  </si>
  <si>
    <t>FY2009</t>
  </si>
  <si>
    <t>FY2010</t>
  </si>
  <si>
    <t>FY2011</t>
  </si>
  <si>
    <t>FY2012</t>
  </si>
  <si>
    <t>Charlton</t>
  </si>
  <si>
    <t>Gardner</t>
  </si>
  <si>
    <t>FY2003</t>
  </si>
  <si>
    <t>Chicopee</t>
  </si>
  <si>
    <t>East Longmeadow</t>
  </si>
  <si>
    <t>North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</si>
</sst>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3" fontId="0" fillId="0" borderId="0" xfId="0" applyNumberFormat="1" applyFont="1"/>
    <xf numFmtId="9" fontId="0" fillId="0" borderId="0" xfId="0" applyNumberFormat="1" applyFont="1"/>
    <xf numFmtId="164" fontId="0" fillId="0" borderId="0" xfId="0" applyNumberFormat="1" applyFont="1"/>
    <xf numFmtId="0" fontId="5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3" fontId="6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  <xf numFmtId="3" fontId="0" fillId="0" borderId="0" xfId="0" applyNumberFormat="1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8" fillId="0" borderId="0" xfId="0" applyFont="1"/>
    <xf numFmtId="0" fontId="3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pane ySplit="1" topLeftCell="A2" activePane="bottomLeft" state="frozen"/>
      <selection pane="bottomLeft" activeCell="O50" sqref="O50"/>
    </sheetView>
  </sheetViews>
  <sheetFormatPr defaultRowHeight="14.4" x14ac:dyDescent="0.3"/>
  <cols>
    <col min="1" max="1" width="11.5546875" customWidth="1"/>
    <col min="2" max="2" width="6.5546875" customWidth="1"/>
    <col min="3" max="3" width="7.5546875" style="23" customWidth="1"/>
    <col min="4" max="4" width="7.33203125" style="23" customWidth="1"/>
    <col min="5" max="5" width="6.21875" customWidth="1"/>
    <col min="7" max="7" width="11.109375" style="23" customWidth="1"/>
    <col min="8" max="8" width="6.5546875" customWidth="1"/>
    <col min="9" max="9" width="11.6640625" customWidth="1"/>
    <col min="10" max="10" width="6.77734375" customWidth="1"/>
    <col min="11" max="11" width="10.5546875" style="23" customWidth="1"/>
    <col min="12" max="12" width="7.6640625" customWidth="1"/>
    <col min="13" max="13" width="8.88671875" style="23"/>
    <col min="14" max="14" width="6.88671875" customWidth="1"/>
    <col min="16" max="16" width="13.6640625" customWidth="1"/>
    <col min="17" max="17" width="12.109375" customWidth="1"/>
  </cols>
  <sheetData>
    <row r="1" spans="1:20" s="1" customFormat="1" x14ac:dyDescent="0.3">
      <c r="A1" s="1" t="s">
        <v>0</v>
      </c>
      <c r="B1" s="2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3" t="s">
        <v>4</v>
      </c>
      <c r="I1" s="5" t="s">
        <v>7</v>
      </c>
      <c r="J1" s="3" t="s">
        <v>4</v>
      </c>
      <c r="K1" s="4" t="s">
        <v>8</v>
      </c>
      <c r="L1" s="3" t="s">
        <v>4</v>
      </c>
      <c r="M1" s="5" t="s">
        <v>9</v>
      </c>
      <c r="N1" s="3" t="s">
        <v>4</v>
      </c>
      <c r="O1" s="4"/>
      <c r="Q1" s="6"/>
      <c r="R1" s="6"/>
    </row>
    <row r="2" spans="1:20" s="7" customFormat="1" ht="9" customHeight="1" x14ac:dyDescent="0.3">
      <c r="B2" s="8"/>
      <c r="C2" s="9"/>
      <c r="D2" s="9"/>
      <c r="E2" s="10"/>
      <c r="G2" s="9"/>
      <c r="H2" s="10"/>
      <c r="I2" s="9"/>
      <c r="J2" s="10"/>
      <c r="K2" s="9"/>
      <c r="L2" s="10"/>
      <c r="M2" s="9"/>
      <c r="N2" s="10"/>
      <c r="Q2" s="11"/>
      <c r="R2" s="11"/>
      <c r="S2" s="9"/>
      <c r="T2" s="9"/>
    </row>
    <row r="3" spans="1:20" x14ac:dyDescent="0.3">
      <c r="A3" s="18" t="s">
        <v>21</v>
      </c>
      <c r="B3">
        <v>2007</v>
      </c>
      <c r="C3" s="23">
        <v>9200</v>
      </c>
      <c r="D3" s="23">
        <v>27000</v>
      </c>
      <c r="E3" s="10">
        <f>D3/C3</f>
        <v>2.9347826086956523</v>
      </c>
      <c r="F3" s="13" t="s">
        <v>13</v>
      </c>
      <c r="G3" s="23">
        <v>20304</v>
      </c>
      <c r="I3">
        <v>1059</v>
      </c>
      <c r="K3" s="23">
        <v>59083</v>
      </c>
      <c r="M3" s="24" t="s">
        <v>12</v>
      </c>
    </row>
    <row r="4" spans="1:20" x14ac:dyDescent="0.3">
      <c r="F4" s="13" t="s">
        <v>14</v>
      </c>
      <c r="G4" s="24" t="s">
        <v>12</v>
      </c>
      <c r="I4">
        <v>1475</v>
      </c>
      <c r="J4" s="10">
        <f>(I4-I3)/I3</f>
        <v>0.392823418319169</v>
      </c>
      <c r="K4" s="23">
        <v>44034</v>
      </c>
      <c r="L4" s="10">
        <f>(K4-K3)/K3</f>
        <v>-0.2547094764991622</v>
      </c>
      <c r="M4" s="23">
        <f>8*52</f>
        <v>416</v>
      </c>
      <c r="N4" s="10"/>
    </row>
    <row r="5" spans="1:20" x14ac:dyDescent="0.3">
      <c r="F5" s="17" t="s">
        <v>15</v>
      </c>
      <c r="G5" s="24" t="s">
        <v>12</v>
      </c>
      <c r="I5">
        <v>1306</v>
      </c>
      <c r="J5" s="10">
        <f t="shared" ref="J5:L10" si="0">(I5-I4)/I4</f>
        <v>-0.11457627118644068</v>
      </c>
      <c r="K5" s="23">
        <v>45854</v>
      </c>
      <c r="L5" s="10">
        <f t="shared" si="0"/>
        <v>4.1331698233183452E-2</v>
      </c>
      <c r="M5" s="23">
        <f>15*52</f>
        <v>780</v>
      </c>
      <c r="N5" s="10">
        <f t="shared" ref="N5:N10" si="1">(M5-M4)/M4</f>
        <v>0.875</v>
      </c>
    </row>
    <row r="6" spans="1:20" x14ac:dyDescent="0.3">
      <c r="F6" s="13" t="s">
        <v>16</v>
      </c>
      <c r="G6" s="24" t="s">
        <v>12</v>
      </c>
      <c r="I6">
        <v>7867</v>
      </c>
      <c r="J6" s="10">
        <f t="shared" si="0"/>
        <v>5.0237366003062789</v>
      </c>
      <c r="K6" s="23">
        <v>91194</v>
      </c>
      <c r="L6" s="10">
        <f t="shared" si="0"/>
        <v>0.98879050900684784</v>
      </c>
      <c r="M6" s="23">
        <f>155*52</f>
        <v>8060</v>
      </c>
      <c r="N6" s="10">
        <f t="shared" si="1"/>
        <v>9.3333333333333339</v>
      </c>
    </row>
    <row r="7" spans="1:20" x14ac:dyDescent="0.3">
      <c r="F7" s="13" t="s">
        <v>17</v>
      </c>
      <c r="G7" s="24" t="s">
        <v>12</v>
      </c>
      <c r="I7">
        <v>8496</v>
      </c>
      <c r="J7" s="10">
        <f t="shared" si="0"/>
        <v>7.9954239227151391E-2</v>
      </c>
      <c r="K7" s="23">
        <v>109448</v>
      </c>
      <c r="L7" s="10">
        <f t="shared" si="0"/>
        <v>0.20016667763230037</v>
      </c>
      <c r="M7" s="23">
        <f>226*52</f>
        <v>11752</v>
      </c>
      <c r="N7" s="10">
        <f t="shared" si="1"/>
        <v>0.45806451612903226</v>
      </c>
    </row>
    <row r="8" spans="1:20" x14ac:dyDescent="0.3">
      <c r="F8" s="13" t="s">
        <v>18</v>
      </c>
      <c r="G8" s="23">
        <v>32500</v>
      </c>
      <c r="I8">
        <v>5008</v>
      </c>
      <c r="J8" s="10">
        <f t="shared" si="0"/>
        <v>-0.41054613935969869</v>
      </c>
      <c r="K8" s="23">
        <v>106694</v>
      </c>
      <c r="L8" s="10">
        <f t="shared" si="0"/>
        <v>-2.516263431035743E-2</v>
      </c>
      <c r="M8" s="23">
        <f>160*52</f>
        <v>8320</v>
      </c>
      <c r="N8" s="10">
        <f t="shared" si="1"/>
        <v>-0.29203539823008851</v>
      </c>
    </row>
    <row r="9" spans="1:20" x14ac:dyDescent="0.3">
      <c r="F9" s="13" t="s">
        <v>19</v>
      </c>
      <c r="G9" s="23">
        <v>66734</v>
      </c>
      <c r="H9" s="10">
        <f t="shared" ref="H9" si="2">(G9-G8)/G8</f>
        <v>1.0533538461538461</v>
      </c>
      <c r="I9">
        <v>8777</v>
      </c>
      <c r="J9" s="10">
        <f t="shared" si="0"/>
        <v>0.75259584664536738</v>
      </c>
      <c r="K9" s="23">
        <v>111049</v>
      </c>
      <c r="L9" s="10">
        <f t="shared" si="0"/>
        <v>4.0817665473222485E-2</v>
      </c>
      <c r="M9" s="23">
        <f>123*52</f>
        <v>6396</v>
      </c>
      <c r="N9" s="10">
        <f t="shared" si="1"/>
        <v>-0.23125000000000001</v>
      </c>
    </row>
    <row r="10" spans="1:20" x14ac:dyDescent="0.3">
      <c r="F10" s="13" t="s">
        <v>20</v>
      </c>
      <c r="G10" s="24" t="s">
        <v>12</v>
      </c>
      <c r="I10">
        <v>7472</v>
      </c>
      <c r="J10" s="10">
        <f t="shared" si="0"/>
        <v>-0.14868406061296571</v>
      </c>
      <c r="K10" s="23">
        <v>114574</v>
      </c>
      <c r="L10" s="10">
        <f t="shared" si="0"/>
        <v>3.1742744194004448E-2</v>
      </c>
      <c r="M10" s="23">
        <f>101*52</f>
        <v>5252</v>
      </c>
      <c r="N10" s="10">
        <f t="shared" si="1"/>
        <v>-0.17886178861788618</v>
      </c>
    </row>
    <row r="12" spans="1:20" x14ac:dyDescent="0.3">
      <c r="A12" s="12" t="s">
        <v>24</v>
      </c>
      <c r="B12" s="13">
        <v>2004</v>
      </c>
      <c r="C12" s="9">
        <v>8500</v>
      </c>
      <c r="D12" s="9">
        <v>31600</v>
      </c>
      <c r="E12" s="10">
        <f>D12/C12</f>
        <v>3.7176470588235295</v>
      </c>
      <c r="F12" s="13" t="s">
        <v>23</v>
      </c>
      <c r="G12" s="9">
        <v>162747</v>
      </c>
      <c r="H12" s="10"/>
      <c r="I12" s="9">
        <f>4857+558</f>
        <v>5415</v>
      </c>
      <c r="J12" s="10"/>
      <c r="K12" s="9">
        <v>250978</v>
      </c>
      <c r="L12" s="10"/>
      <c r="M12" s="9">
        <f>52*435</f>
        <v>22620</v>
      </c>
      <c r="N12" s="10"/>
      <c r="O12" s="7"/>
      <c r="P12" s="9"/>
    </row>
    <row r="13" spans="1:20" x14ac:dyDescent="0.3">
      <c r="A13" s="12"/>
      <c r="B13" s="13"/>
      <c r="C13" s="9"/>
      <c r="D13" s="9"/>
      <c r="E13" s="10"/>
      <c r="F13" s="17" t="s">
        <v>11</v>
      </c>
      <c r="G13" s="9">
        <v>132183</v>
      </c>
      <c r="H13" s="10">
        <f>(G13-G12)/G12</f>
        <v>-0.18780069678703754</v>
      </c>
      <c r="I13" s="9">
        <v>6229</v>
      </c>
      <c r="J13" s="10">
        <f>(I13-I12)/I12</f>
        <v>0.15032317636195752</v>
      </c>
      <c r="K13" s="9">
        <v>237403</v>
      </c>
      <c r="L13" s="10">
        <f>(K13-K12)/K12</f>
        <v>-5.4088406155121165E-2</v>
      </c>
      <c r="M13" s="9">
        <f>52*557</f>
        <v>28964</v>
      </c>
      <c r="N13" s="10">
        <f>(M13-M12)/M12</f>
        <v>0.28045977011494255</v>
      </c>
      <c r="O13" s="7"/>
      <c r="P13" s="9"/>
    </row>
    <row r="14" spans="1:20" x14ac:dyDescent="0.3">
      <c r="A14" s="12"/>
      <c r="B14" s="13"/>
      <c r="C14" s="9"/>
      <c r="D14" s="9"/>
      <c r="E14" s="10"/>
      <c r="F14" s="13" t="s">
        <v>13</v>
      </c>
      <c r="G14" s="9">
        <v>239112</v>
      </c>
      <c r="H14" s="10">
        <f>(G14-G13)/G13</f>
        <v>0.80894668754681009</v>
      </c>
      <c r="I14" s="9">
        <v>6474</v>
      </c>
      <c r="J14" s="10">
        <f>(I14-I13)/I13</f>
        <v>3.9332156044308876E-2</v>
      </c>
      <c r="K14" s="9">
        <v>319281</v>
      </c>
      <c r="L14" s="10">
        <f>(K14-K13)/K13</f>
        <v>0.34489033415752962</v>
      </c>
      <c r="M14" s="9">
        <f>52*985</f>
        <v>51220</v>
      </c>
      <c r="N14" s="10">
        <f>(M14-M13)/M13</f>
        <v>0.76840215439856374</v>
      </c>
      <c r="O14" s="7"/>
      <c r="P14" s="9"/>
    </row>
    <row r="15" spans="1:20" x14ac:dyDescent="0.3">
      <c r="A15" s="12"/>
      <c r="B15" s="13"/>
      <c r="C15" s="9"/>
      <c r="D15" s="9"/>
      <c r="E15" s="10"/>
      <c r="F15" s="13" t="s">
        <v>14</v>
      </c>
      <c r="G15" s="9">
        <v>221831</v>
      </c>
      <c r="H15" s="10">
        <f t="shared" ref="H15:H18" si="3">(G15-G14)/G14</f>
        <v>-7.2271571481146907E-2</v>
      </c>
      <c r="I15" s="9">
        <v>11992</v>
      </c>
      <c r="J15" s="10">
        <f t="shared" ref="J15:J18" si="4">(I15-I14)/I14</f>
        <v>0.852332406549274</v>
      </c>
      <c r="K15" s="9">
        <v>310325</v>
      </c>
      <c r="L15" s="10">
        <f>(K15-K14)/K14</f>
        <v>-2.8050526025663915E-2</v>
      </c>
      <c r="M15" s="9">
        <f>1030*52</f>
        <v>53560</v>
      </c>
      <c r="N15" s="10">
        <f t="shared" ref="N15:N18" si="5">(M15-M14)/M14</f>
        <v>4.5685279187817257E-2</v>
      </c>
      <c r="O15" s="7"/>
      <c r="P15" s="9"/>
    </row>
    <row r="16" spans="1:20" x14ac:dyDescent="0.3">
      <c r="A16" s="12"/>
      <c r="B16" s="13"/>
      <c r="C16" s="9"/>
      <c r="D16" s="9"/>
      <c r="E16" s="10"/>
      <c r="F16" s="13" t="s">
        <v>15</v>
      </c>
      <c r="G16" s="9">
        <v>241292</v>
      </c>
      <c r="H16" s="10">
        <f t="shared" si="3"/>
        <v>8.772894681086052E-2</v>
      </c>
      <c r="I16" s="9">
        <v>13616</v>
      </c>
      <c r="J16" s="10">
        <f t="shared" si="4"/>
        <v>0.13542361574382922</v>
      </c>
      <c r="K16" s="9">
        <v>317965</v>
      </c>
      <c r="L16" s="10">
        <f t="shared" ref="L16:L18" si="6">(K16-K15)/K15</f>
        <v>2.4619350680737936E-2</v>
      </c>
      <c r="M16" s="9">
        <f>1391*52</f>
        <v>72332</v>
      </c>
      <c r="N16" s="10">
        <f t="shared" si="5"/>
        <v>0.35048543689320388</v>
      </c>
      <c r="O16" s="7"/>
      <c r="P16" s="9"/>
    </row>
    <row r="17" spans="1:14" x14ac:dyDescent="0.3">
      <c r="F17" s="13" t="s">
        <v>16</v>
      </c>
      <c r="G17" s="23">
        <v>257991</v>
      </c>
      <c r="H17" s="10">
        <f t="shared" si="3"/>
        <v>6.9206604446065342E-2</v>
      </c>
      <c r="I17" s="9">
        <v>31675</v>
      </c>
      <c r="J17" s="10">
        <f t="shared" si="4"/>
        <v>1.326307285546416</v>
      </c>
      <c r="K17" s="23">
        <v>344234</v>
      </c>
      <c r="L17" s="10">
        <f t="shared" si="6"/>
        <v>8.2616011196200836E-2</v>
      </c>
      <c r="M17" s="23">
        <f>1314*52</f>
        <v>68328</v>
      </c>
      <c r="N17" s="10">
        <f t="shared" si="5"/>
        <v>-5.5355859094176854E-2</v>
      </c>
    </row>
    <row r="18" spans="1:14" x14ac:dyDescent="0.3">
      <c r="F18" s="13" t="s">
        <v>17</v>
      </c>
      <c r="G18" s="23">
        <v>253735</v>
      </c>
      <c r="H18" s="10">
        <f t="shared" si="3"/>
        <v>-1.6496699497269285E-2</v>
      </c>
      <c r="I18" s="9">
        <v>27735</v>
      </c>
      <c r="J18" s="10">
        <f t="shared" si="4"/>
        <v>-0.12438831886345698</v>
      </c>
      <c r="K18" s="23">
        <v>380842</v>
      </c>
      <c r="L18" s="10">
        <f t="shared" si="6"/>
        <v>0.10634626445964082</v>
      </c>
      <c r="M18" s="23">
        <f>1034*52</f>
        <v>53768</v>
      </c>
      <c r="N18" s="10">
        <f t="shared" si="5"/>
        <v>-0.21308980213089801</v>
      </c>
    </row>
    <row r="20" spans="1:14" x14ac:dyDescent="0.3">
      <c r="A20" s="21" t="s">
        <v>25</v>
      </c>
      <c r="B20">
        <v>2004</v>
      </c>
      <c r="D20" s="23">
        <v>19891</v>
      </c>
      <c r="F20" s="13" t="s">
        <v>23</v>
      </c>
      <c r="G20" s="24" t="s">
        <v>12</v>
      </c>
      <c r="I20" s="9">
        <v>2901</v>
      </c>
      <c r="K20" s="23">
        <v>47129</v>
      </c>
      <c r="M20" s="24" t="s">
        <v>12</v>
      </c>
    </row>
    <row r="21" spans="1:14" x14ac:dyDescent="0.3">
      <c r="F21" s="17" t="s">
        <v>11</v>
      </c>
      <c r="G21" s="24" t="s">
        <v>12</v>
      </c>
      <c r="I21" s="9">
        <v>1901</v>
      </c>
      <c r="J21" s="10">
        <f t="shared" ref="J21:J26" si="7">(I21-I20)/I20</f>
        <v>-0.3447087211306446</v>
      </c>
      <c r="K21" s="23">
        <v>101411</v>
      </c>
      <c r="L21" s="10">
        <f>(K21-K20)/K20</f>
        <v>1.1517749156570265</v>
      </c>
      <c r="M21" s="24" t="s">
        <v>12</v>
      </c>
    </row>
    <row r="22" spans="1:14" x14ac:dyDescent="0.3">
      <c r="F22" s="13" t="s">
        <v>13</v>
      </c>
      <c r="G22" s="24" t="s">
        <v>12</v>
      </c>
      <c r="I22" s="9">
        <v>4077</v>
      </c>
      <c r="J22" s="10">
        <f t="shared" si="7"/>
        <v>1.144660704892162</v>
      </c>
      <c r="K22" s="23">
        <v>151266</v>
      </c>
      <c r="L22" s="10">
        <f>(K22-K21)/K21</f>
        <v>0.4916133358314187</v>
      </c>
      <c r="M22" s="24" t="s">
        <v>12</v>
      </c>
    </row>
    <row r="23" spans="1:14" x14ac:dyDescent="0.3">
      <c r="F23" s="13" t="s">
        <v>14</v>
      </c>
      <c r="G23" s="24" t="s">
        <v>12</v>
      </c>
      <c r="I23" s="9">
        <v>4500</v>
      </c>
      <c r="J23" s="10">
        <f t="shared" si="7"/>
        <v>0.10375275938189846</v>
      </c>
      <c r="K23" s="23">
        <v>166100</v>
      </c>
      <c r="L23" s="10">
        <f>(K23-K22)/K22</f>
        <v>9.8065659169939048E-2</v>
      </c>
      <c r="M23" s="23">
        <f>700*52</f>
        <v>36400</v>
      </c>
    </row>
    <row r="24" spans="1:14" x14ac:dyDescent="0.3">
      <c r="F24" s="13" t="s">
        <v>15</v>
      </c>
      <c r="G24" s="24" t="s">
        <v>12</v>
      </c>
      <c r="I24" s="9">
        <v>6750</v>
      </c>
      <c r="J24" s="10">
        <f t="shared" si="7"/>
        <v>0.5</v>
      </c>
      <c r="K24" s="23">
        <v>185161</v>
      </c>
      <c r="L24" s="10">
        <f t="shared" ref="L24:L26" si="8">(K24-K23)/K23</f>
        <v>0.11475617098133654</v>
      </c>
      <c r="M24" s="23">
        <f>750*52</f>
        <v>39000</v>
      </c>
      <c r="N24" s="10">
        <f t="shared" ref="N24:N26" si="9">(M24-M23)/M23</f>
        <v>7.1428571428571425E-2</v>
      </c>
    </row>
    <row r="25" spans="1:14" x14ac:dyDescent="0.3">
      <c r="F25" s="13" t="s">
        <v>16</v>
      </c>
      <c r="G25" s="24" t="s">
        <v>12</v>
      </c>
      <c r="I25" s="9">
        <v>6900</v>
      </c>
      <c r="J25" s="10">
        <f t="shared" si="7"/>
        <v>2.2222222222222223E-2</v>
      </c>
      <c r="K25" s="23">
        <v>203829</v>
      </c>
      <c r="L25" s="10">
        <f t="shared" si="8"/>
        <v>0.10082036713994848</v>
      </c>
      <c r="M25" s="23">
        <f>825*52</f>
        <v>42900</v>
      </c>
      <c r="N25" s="10">
        <f t="shared" si="9"/>
        <v>0.1</v>
      </c>
    </row>
    <row r="26" spans="1:14" x14ac:dyDescent="0.3">
      <c r="F26" s="13" t="s">
        <v>17</v>
      </c>
      <c r="G26" s="24" t="s">
        <v>12</v>
      </c>
      <c r="I26" s="9">
        <v>8537</v>
      </c>
      <c r="J26" s="10">
        <f t="shared" si="7"/>
        <v>0.23724637681159419</v>
      </c>
      <c r="K26" s="23">
        <v>220689</v>
      </c>
      <c r="L26" s="10">
        <f t="shared" si="8"/>
        <v>8.2716394624906167E-2</v>
      </c>
      <c r="M26" s="23">
        <f>950*52</f>
        <v>49400</v>
      </c>
      <c r="N26" s="10">
        <f t="shared" si="9"/>
        <v>0.15151515151515152</v>
      </c>
    </row>
    <row r="28" spans="1:14" x14ac:dyDescent="0.3">
      <c r="A28" s="12" t="s">
        <v>22</v>
      </c>
      <c r="B28" s="13">
        <v>2004</v>
      </c>
      <c r="C28" s="9">
        <v>17400</v>
      </c>
      <c r="D28" s="9">
        <v>32000</v>
      </c>
      <c r="E28" s="10">
        <f>D28/C28</f>
        <v>1.8390804597701149</v>
      </c>
      <c r="F28" s="13" t="s">
        <v>23</v>
      </c>
      <c r="G28" s="19" t="s">
        <v>12</v>
      </c>
      <c r="H28" s="20"/>
      <c r="I28" s="9">
        <f>2452+86</f>
        <v>2538</v>
      </c>
      <c r="J28" s="10"/>
      <c r="K28" s="9">
        <v>127079</v>
      </c>
      <c r="L28" s="10"/>
      <c r="M28" s="9">
        <f>52*155</f>
        <v>8060</v>
      </c>
      <c r="N28" s="10"/>
    </row>
    <row r="29" spans="1:14" x14ac:dyDescent="0.3">
      <c r="A29" s="12"/>
      <c r="B29" s="13"/>
      <c r="C29" s="9"/>
      <c r="D29" s="9"/>
      <c r="E29" s="10"/>
      <c r="F29" s="17" t="s">
        <v>11</v>
      </c>
      <c r="G29" s="19" t="s">
        <v>12</v>
      </c>
      <c r="H29" s="20"/>
      <c r="I29" s="9">
        <v>936</v>
      </c>
      <c r="J29" s="10">
        <f>(I29-I28)/I28</f>
        <v>-0.63120567375886527</v>
      </c>
      <c r="K29" s="9">
        <v>126082</v>
      </c>
      <c r="L29" s="10">
        <f>(K29-K28)/K28</f>
        <v>-7.8455134207854951E-3</v>
      </c>
      <c r="M29" s="9">
        <f>52*183</f>
        <v>9516</v>
      </c>
      <c r="N29" s="10">
        <f>(M29-M28)/M28</f>
        <v>0.18064516129032257</v>
      </c>
    </row>
    <row r="30" spans="1:14" x14ac:dyDescent="0.3">
      <c r="A30" s="12"/>
      <c r="B30" s="13"/>
      <c r="C30" s="9"/>
      <c r="D30" s="9"/>
      <c r="E30" s="10"/>
      <c r="F30" s="13" t="s">
        <v>13</v>
      </c>
      <c r="G30" s="19" t="s">
        <v>12</v>
      </c>
      <c r="H30" s="20"/>
      <c r="I30" s="9">
        <v>2391</v>
      </c>
      <c r="J30" s="10">
        <f>(I30-I29)/I29</f>
        <v>1.5544871794871795</v>
      </c>
      <c r="K30" s="9">
        <v>112002</v>
      </c>
      <c r="L30" s="10">
        <f>(K30-K29)/K29</f>
        <v>-0.11167335543535159</v>
      </c>
      <c r="M30" s="9">
        <f>52*273</f>
        <v>14196</v>
      </c>
      <c r="N30" s="10">
        <f>(M30-M29)/M29</f>
        <v>0.49180327868852458</v>
      </c>
    </row>
    <row r="31" spans="1:14" x14ac:dyDescent="0.3">
      <c r="A31" s="12"/>
      <c r="B31" s="13"/>
      <c r="C31" s="9"/>
      <c r="D31" s="9"/>
      <c r="E31" s="10"/>
      <c r="F31" s="13" t="s">
        <v>14</v>
      </c>
      <c r="G31" s="19" t="s">
        <v>12</v>
      </c>
      <c r="H31" s="20"/>
      <c r="I31" s="9">
        <v>3000</v>
      </c>
      <c r="J31" s="10">
        <f t="shared" ref="J31:J34" si="10">(I31-I30)/I30</f>
        <v>0.25470514429109159</v>
      </c>
      <c r="K31" s="9">
        <v>145075</v>
      </c>
      <c r="L31" s="10">
        <f>(K31-K30)/K30</f>
        <v>0.29528936983268156</v>
      </c>
      <c r="M31" s="9">
        <f>360*52</f>
        <v>18720</v>
      </c>
      <c r="N31" s="10">
        <f t="shared" ref="N31:N34" si="11">(M31-M30)/M30</f>
        <v>0.31868131868131866</v>
      </c>
    </row>
    <row r="32" spans="1:14" x14ac:dyDescent="0.3">
      <c r="A32" s="12"/>
      <c r="B32" s="13"/>
      <c r="C32" s="9"/>
      <c r="D32" s="9"/>
      <c r="E32" s="10"/>
      <c r="F32" s="13" t="s">
        <v>15</v>
      </c>
      <c r="G32" s="19" t="s">
        <v>12</v>
      </c>
      <c r="H32" s="20"/>
      <c r="I32" s="9">
        <v>3090</v>
      </c>
      <c r="J32" s="10">
        <f t="shared" si="10"/>
        <v>0.03</v>
      </c>
      <c r="K32" s="9">
        <v>173952</v>
      </c>
      <c r="L32" s="10">
        <f t="shared" ref="L32:L34" si="12">(K32-K31)/K31</f>
        <v>0.19904876787868345</v>
      </c>
      <c r="M32" s="9">
        <f>292*52</f>
        <v>15184</v>
      </c>
      <c r="N32" s="10">
        <f t="shared" si="11"/>
        <v>-0.18888888888888888</v>
      </c>
    </row>
    <row r="33" spans="1:20" x14ac:dyDescent="0.3">
      <c r="F33" s="13" t="s">
        <v>16</v>
      </c>
      <c r="G33" s="19" t="s">
        <v>12</v>
      </c>
      <c r="I33" s="9">
        <v>3227</v>
      </c>
      <c r="J33" s="10">
        <f t="shared" si="10"/>
        <v>4.4336569579288027E-2</v>
      </c>
      <c r="K33" s="23">
        <v>196554</v>
      </c>
      <c r="L33" s="10">
        <f t="shared" si="12"/>
        <v>0.12993239514348787</v>
      </c>
      <c r="M33" s="23">
        <f>262*52</f>
        <v>13624</v>
      </c>
      <c r="N33" s="10">
        <f t="shared" si="11"/>
        <v>-0.10273972602739725</v>
      </c>
    </row>
    <row r="34" spans="1:20" x14ac:dyDescent="0.3">
      <c r="F34" s="13" t="s">
        <v>17</v>
      </c>
      <c r="G34" s="19" t="s">
        <v>12</v>
      </c>
      <c r="I34" s="9">
        <v>2809</v>
      </c>
      <c r="J34" s="10">
        <f t="shared" si="10"/>
        <v>-0.12953207313294082</v>
      </c>
      <c r="K34" s="23">
        <v>205658</v>
      </c>
      <c r="L34" s="10">
        <f t="shared" si="12"/>
        <v>4.6318060176847073E-2</v>
      </c>
      <c r="M34" s="23">
        <f>242*52</f>
        <v>12584</v>
      </c>
      <c r="N34" s="10">
        <f t="shared" si="11"/>
        <v>-7.6335877862595422E-2</v>
      </c>
    </row>
    <row r="36" spans="1:20" x14ac:dyDescent="0.3">
      <c r="A36" s="18" t="s">
        <v>26</v>
      </c>
      <c r="B36">
        <v>2005</v>
      </c>
      <c r="C36" s="23">
        <v>15081</v>
      </c>
      <c r="D36" s="23">
        <v>27270</v>
      </c>
      <c r="E36" s="10">
        <f>D36/C36</f>
        <v>1.8082355281480007</v>
      </c>
      <c r="F36" s="13" t="s">
        <v>23</v>
      </c>
      <c r="G36" s="23">
        <v>64363</v>
      </c>
      <c r="I36" s="9">
        <v>2912</v>
      </c>
      <c r="K36" s="23">
        <v>89024</v>
      </c>
      <c r="M36" s="24" t="s">
        <v>12</v>
      </c>
    </row>
    <row r="37" spans="1:20" x14ac:dyDescent="0.3">
      <c r="F37" s="13" t="s">
        <v>11</v>
      </c>
      <c r="G37" s="23">
        <v>54758</v>
      </c>
      <c r="H37" s="10">
        <f t="shared" ref="H37:H43" si="13">(G37-G36)/G36</f>
        <v>-0.14923170144337586</v>
      </c>
      <c r="I37" s="9">
        <v>2026</v>
      </c>
      <c r="J37" s="10">
        <f t="shared" ref="J37:J43" si="14">(I37-I36)/I36</f>
        <v>-0.30425824175824173</v>
      </c>
      <c r="K37" s="23">
        <v>79855</v>
      </c>
      <c r="L37" s="10">
        <f>(K37-K36)/K36</f>
        <v>-0.1029946980589504</v>
      </c>
      <c r="M37" s="24" t="s">
        <v>12</v>
      </c>
    </row>
    <row r="38" spans="1:20" x14ac:dyDescent="0.3">
      <c r="F38" s="17" t="s">
        <v>13</v>
      </c>
      <c r="G38" s="23">
        <v>53212</v>
      </c>
      <c r="H38" s="10">
        <f t="shared" si="13"/>
        <v>-2.8233317506117829E-2</v>
      </c>
      <c r="I38" s="9">
        <v>1548</v>
      </c>
      <c r="J38" s="10">
        <f t="shared" si="14"/>
        <v>-0.23593287265547877</v>
      </c>
      <c r="K38" s="23">
        <v>95393</v>
      </c>
      <c r="L38" s="10">
        <f>(K38-K37)/K37</f>
        <v>0.19457767203055537</v>
      </c>
      <c r="M38" s="24" t="s">
        <v>12</v>
      </c>
    </row>
    <row r="39" spans="1:20" x14ac:dyDescent="0.3">
      <c r="F39" s="13" t="s">
        <v>14</v>
      </c>
      <c r="G39" s="23">
        <v>78901</v>
      </c>
      <c r="H39" s="10">
        <f t="shared" si="13"/>
        <v>0.48276704502743745</v>
      </c>
      <c r="I39" s="9">
        <v>4672</v>
      </c>
      <c r="J39" s="10">
        <f t="shared" si="14"/>
        <v>2.0180878552971575</v>
      </c>
      <c r="K39" s="23">
        <v>113626</v>
      </c>
      <c r="L39" s="10">
        <f>(K39-K38)/K38</f>
        <v>0.19113561791745726</v>
      </c>
      <c r="M39" s="23">
        <f>242*52</f>
        <v>12584</v>
      </c>
    </row>
    <row r="40" spans="1:20" x14ac:dyDescent="0.3">
      <c r="F40" s="13" t="s">
        <v>15</v>
      </c>
      <c r="G40" s="23">
        <v>85856</v>
      </c>
      <c r="H40" s="10">
        <f t="shared" si="13"/>
        <v>8.8148439183280317E-2</v>
      </c>
      <c r="I40" s="9">
        <v>4863</v>
      </c>
      <c r="J40" s="10">
        <f t="shared" si="14"/>
        <v>4.088184931506849E-2</v>
      </c>
      <c r="K40" s="23">
        <v>134336</v>
      </c>
      <c r="L40" s="10">
        <f t="shared" ref="L40:L43" si="15">(K40-K39)/K39</f>
        <v>0.18226462253357506</v>
      </c>
      <c r="M40" s="23">
        <f>249*52</f>
        <v>12948</v>
      </c>
      <c r="N40" s="10">
        <f t="shared" ref="N40:N43" si="16">(M40-M39)/M39</f>
        <v>2.8925619834710745E-2</v>
      </c>
    </row>
    <row r="41" spans="1:20" x14ac:dyDescent="0.3">
      <c r="F41" s="13" t="s">
        <v>16</v>
      </c>
      <c r="G41" s="23">
        <v>93580</v>
      </c>
      <c r="H41" s="10">
        <f t="shared" si="13"/>
        <v>8.9964591874767047E-2</v>
      </c>
      <c r="I41" s="9">
        <v>4247</v>
      </c>
      <c r="J41" s="10">
        <f t="shared" si="14"/>
        <v>-0.12667077935430804</v>
      </c>
      <c r="K41" s="23">
        <v>142211</v>
      </c>
      <c r="L41" s="10">
        <f t="shared" si="15"/>
        <v>5.8621665078608859E-2</v>
      </c>
      <c r="M41" s="23">
        <f>289*52</f>
        <v>15028</v>
      </c>
      <c r="N41" s="10">
        <f t="shared" si="16"/>
        <v>0.1606425702811245</v>
      </c>
    </row>
    <row r="42" spans="1:20" x14ac:dyDescent="0.3">
      <c r="F42" s="13" t="s">
        <v>17</v>
      </c>
      <c r="G42" s="23">
        <v>96966</v>
      </c>
      <c r="H42" s="10">
        <f t="shared" si="13"/>
        <v>3.6182945073733701E-2</v>
      </c>
      <c r="I42" s="9">
        <v>5271</v>
      </c>
      <c r="J42" s="10">
        <f t="shared" si="14"/>
        <v>0.24111137273369437</v>
      </c>
      <c r="K42" s="23">
        <v>169303</v>
      </c>
      <c r="L42" s="10">
        <f t="shared" si="15"/>
        <v>0.19050565708700451</v>
      </c>
      <c r="M42" s="23">
        <f>349*52</f>
        <v>18148</v>
      </c>
      <c r="N42" s="10">
        <f t="shared" si="16"/>
        <v>0.20761245674740483</v>
      </c>
    </row>
    <row r="43" spans="1:20" x14ac:dyDescent="0.3">
      <c r="F43" s="13" t="s">
        <v>18</v>
      </c>
      <c r="G43" s="23">
        <v>98780</v>
      </c>
      <c r="H43" s="10">
        <f t="shared" si="13"/>
        <v>1.8707588226801148E-2</v>
      </c>
      <c r="I43" s="9">
        <v>3624</v>
      </c>
      <c r="J43" s="10">
        <f t="shared" si="14"/>
        <v>-0.31246442800227658</v>
      </c>
      <c r="K43" s="23">
        <v>175890</v>
      </c>
      <c r="L43" s="10">
        <f t="shared" si="15"/>
        <v>3.8906575784244814E-2</v>
      </c>
      <c r="M43" s="23">
        <f>373*52</f>
        <v>19396</v>
      </c>
      <c r="N43" s="10">
        <f t="shared" si="16"/>
        <v>6.8767908309455589E-2</v>
      </c>
    </row>
    <row r="45" spans="1:20" s="7" customFormat="1" x14ac:dyDescent="0.3">
      <c r="A45" s="12" t="s">
        <v>10</v>
      </c>
      <c r="B45" s="13">
        <v>2005</v>
      </c>
      <c r="C45" s="9">
        <v>11200</v>
      </c>
      <c r="D45" s="9">
        <v>30000</v>
      </c>
      <c r="E45" s="10">
        <f>D45/C45</f>
        <v>2.6785714285714284</v>
      </c>
      <c r="F45" s="13" t="s">
        <v>23</v>
      </c>
      <c r="G45" s="9">
        <v>81000</v>
      </c>
      <c r="H45" s="10"/>
      <c r="I45" s="9">
        <v>5408</v>
      </c>
      <c r="J45" s="10"/>
      <c r="K45" s="9">
        <v>113127</v>
      </c>
      <c r="L45" s="10"/>
      <c r="M45" s="19" t="s">
        <v>12</v>
      </c>
      <c r="N45" s="10"/>
      <c r="Q45" s="14"/>
      <c r="R45" s="14"/>
      <c r="S45" s="9"/>
      <c r="T45" s="9"/>
    </row>
    <row r="46" spans="1:20" s="7" customFormat="1" x14ac:dyDescent="0.3">
      <c r="A46" s="12"/>
      <c r="B46" s="13"/>
      <c r="C46" s="9"/>
      <c r="D46" s="9"/>
      <c r="E46" s="10"/>
      <c r="F46" s="13" t="s">
        <v>11</v>
      </c>
      <c r="G46" s="9">
        <v>46800</v>
      </c>
      <c r="H46" s="10">
        <f>(G46-G45)/G45</f>
        <v>-0.42222222222222222</v>
      </c>
      <c r="I46" s="9">
        <f>2750+950</f>
        <v>3700</v>
      </c>
      <c r="J46" s="10">
        <f>(I46-I45)/I45</f>
        <v>-0.31582840236686388</v>
      </c>
      <c r="K46" s="9">
        <v>110669</v>
      </c>
      <c r="L46" s="10">
        <f>(K46-K45)/K45</f>
        <v>-2.1727792657809365E-2</v>
      </c>
      <c r="M46" s="9">
        <f>52*150</f>
        <v>7800</v>
      </c>
      <c r="N46" s="10"/>
      <c r="Q46" s="14"/>
      <c r="R46" s="14"/>
      <c r="S46" s="9"/>
      <c r="T46" s="9"/>
    </row>
    <row r="47" spans="1:20" s="7" customFormat="1" x14ac:dyDescent="0.3">
      <c r="A47" s="12"/>
      <c r="B47" s="13"/>
      <c r="C47" s="9"/>
      <c r="D47" s="9"/>
      <c r="E47" s="10"/>
      <c r="F47" s="17" t="s">
        <v>13</v>
      </c>
      <c r="G47" s="9">
        <v>42500</v>
      </c>
      <c r="H47" s="10">
        <f>(G47-G46)/G46</f>
        <v>-9.1880341880341887E-2</v>
      </c>
      <c r="I47" s="9">
        <v>2172</v>
      </c>
      <c r="J47" s="10">
        <f>(I47-I46)/I46</f>
        <v>-0.41297297297297297</v>
      </c>
      <c r="K47" s="9">
        <v>109414</v>
      </c>
      <c r="L47" s="10">
        <f>(K47-K46)/K46</f>
        <v>-1.1340122346817989E-2</v>
      </c>
      <c r="M47" s="9">
        <f>52*150</f>
        <v>7800</v>
      </c>
      <c r="N47" s="10">
        <f>(M47-M46)/M46</f>
        <v>0</v>
      </c>
      <c r="P47" s="16"/>
      <c r="Q47" s="14"/>
      <c r="R47" s="14"/>
      <c r="S47" s="9"/>
      <c r="T47" s="9"/>
    </row>
    <row r="48" spans="1:20" s="7" customFormat="1" x14ac:dyDescent="0.3">
      <c r="A48" s="12"/>
      <c r="B48" s="13"/>
      <c r="C48" s="9"/>
      <c r="D48" s="9"/>
      <c r="E48" s="10"/>
      <c r="F48" s="13" t="s">
        <v>14</v>
      </c>
      <c r="G48" s="9">
        <v>56800</v>
      </c>
      <c r="H48" s="10">
        <f>(G48-G47)/G47</f>
        <v>0.33647058823529413</v>
      </c>
      <c r="I48" s="9">
        <v>5095</v>
      </c>
      <c r="J48" s="10">
        <f>(I48-I47)/I47</f>
        <v>1.3457642725598526</v>
      </c>
      <c r="K48" s="9">
        <v>142743</v>
      </c>
      <c r="L48" s="10">
        <f>(K48-K47)/K47</f>
        <v>0.30461366918310273</v>
      </c>
      <c r="M48" s="15">
        <f>52*684</f>
        <v>35568</v>
      </c>
      <c r="N48" s="10">
        <f>(M48-M47)/M47</f>
        <v>3.56</v>
      </c>
      <c r="P48" s="16"/>
      <c r="Q48" s="11"/>
      <c r="R48" s="11"/>
      <c r="S48" s="9"/>
      <c r="T48" s="9"/>
    </row>
    <row r="49" spans="1:20" s="7" customFormat="1" x14ac:dyDescent="0.3">
      <c r="A49" s="12"/>
      <c r="B49" s="13"/>
      <c r="C49" s="9"/>
      <c r="D49" s="9"/>
      <c r="E49" s="10"/>
      <c r="F49" s="13" t="s">
        <v>15</v>
      </c>
      <c r="G49" s="9">
        <v>147390</v>
      </c>
      <c r="H49" s="10">
        <f t="shared" ref="H49:H52" si="17">(G49-G48)/G48</f>
        <v>1.5948943661971831</v>
      </c>
      <c r="I49" s="9">
        <v>5385</v>
      </c>
      <c r="J49" s="10">
        <f t="shared" ref="J49:J52" si="18">(I49-I48)/I48</f>
        <v>5.6918547595682038E-2</v>
      </c>
      <c r="K49" s="9">
        <v>138127</v>
      </c>
      <c r="L49" s="10">
        <f t="shared" ref="L49:L52" si="19">(K49-K48)/K48</f>
        <v>-3.2337837932508072E-2</v>
      </c>
      <c r="M49" s="15">
        <f>716*52</f>
        <v>37232</v>
      </c>
      <c r="N49" s="10">
        <f t="shared" ref="N49:N52" si="20">(M49-M48)/M48</f>
        <v>4.6783625730994149E-2</v>
      </c>
      <c r="P49" s="16"/>
      <c r="Q49" s="11"/>
      <c r="R49" s="11"/>
      <c r="S49" s="9"/>
      <c r="T49" s="9"/>
    </row>
    <row r="50" spans="1:20" x14ac:dyDescent="0.3">
      <c r="F50" s="13" t="s">
        <v>16</v>
      </c>
      <c r="G50" s="9">
        <v>135429</v>
      </c>
      <c r="H50" s="10">
        <f t="shared" si="17"/>
        <v>-8.115204559332384E-2</v>
      </c>
      <c r="I50" s="9">
        <v>5871</v>
      </c>
      <c r="J50" s="10">
        <f t="shared" si="18"/>
        <v>9.0250696378830084E-2</v>
      </c>
      <c r="K50" s="9">
        <v>139883</v>
      </c>
      <c r="L50" s="10">
        <f t="shared" si="19"/>
        <v>1.271293809320408E-2</v>
      </c>
      <c r="M50" s="15">
        <f>773*52</f>
        <v>40196</v>
      </c>
      <c r="N50" s="10">
        <f t="shared" si="20"/>
        <v>7.9608938547486033E-2</v>
      </c>
    </row>
    <row r="51" spans="1:20" x14ac:dyDescent="0.3">
      <c r="F51" s="13" t="s">
        <v>17</v>
      </c>
      <c r="G51" s="23">
        <v>142409</v>
      </c>
      <c r="H51" s="10">
        <f t="shared" si="17"/>
        <v>5.1539921287168923E-2</v>
      </c>
      <c r="I51" s="9">
        <v>4246</v>
      </c>
      <c r="J51" s="10">
        <f t="shared" si="18"/>
        <v>-0.27678419349344235</v>
      </c>
      <c r="K51" s="23">
        <v>147424</v>
      </c>
      <c r="L51" s="10">
        <f t="shared" si="19"/>
        <v>5.3909338518619135E-2</v>
      </c>
      <c r="M51" s="23">
        <f>756*52</f>
        <v>39312</v>
      </c>
      <c r="N51" s="10">
        <f t="shared" si="20"/>
        <v>-2.1992238033635189E-2</v>
      </c>
    </row>
    <row r="52" spans="1:20" x14ac:dyDescent="0.3">
      <c r="F52" s="13" t="s">
        <v>18</v>
      </c>
      <c r="G52" s="23">
        <v>141066</v>
      </c>
      <c r="H52" s="10">
        <f t="shared" si="17"/>
        <v>-9.4305837411961316E-3</v>
      </c>
      <c r="I52" s="9">
        <v>2783</v>
      </c>
      <c r="J52" s="10">
        <f t="shared" si="18"/>
        <v>-0.34455958549222798</v>
      </c>
      <c r="K52" s="23">
        <v>167156</v>
      </c>
      <c r="L52" s="10">
        <f t="shared" si="19"/>
        <v>0.13384523551117863</v>
      </c>
      <c r="M52" s="23">
        <f>582*52</f>
        <v>30264</v>
      </c>
      <c r="N52" s="10">
        <f t="shared" si="20"/>
        <v>-0.23015873015873015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chkout01</cp:lastModifiedBy>
  <cp:lastPrinted>2016-02-24T21:19:20Z</cp:lastPrinted>
  <dcterms:created xsi:type="dcterms:W3CDTF">2016-02-08T16:19:06Z</dcterms:created>
  <dcterms:modified xsi:type="dcterms:W3CDTF">2016-02-24T22:23:29Z</dcterms:modified>
</cp:coreProperties>
</file>