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20" yWindow="-105" windowWidth="6165" windowHeight="8325"/>
  </bookViews>
  <sheets>
    <sheet name="Totals" sheetId="1" r:id="rId1"/>
    <sheet name="Itemized" sheetId="2" r:id="rId2"/>
  </sheets>
  <calcPr calcId="125725"/>
</workbook>
</file>

<file path=xl/calcChain.xml><?xml version="1.0" encoding="utf-8"?>
<calcChain xmlns="http://schemas.openxmlformats.org/spreadsheetml/2006/main">
  <c r="M224" i="2"/>
  <c r="M190"/>
  <c r="D24" i="1"/>
  <c r="B24"/>
  <c r="H204" i="2"/>
  <c r="D23" i="1"/>
  <c r="D21"/>
  <c r="L197" i="2"/>
  <c r="D22" i="1"/>
  <c r="L192" i="2"/>
  <c r="B21" i="1"/>
  <c r="H189" i="2"/>
  <c r="S191"/>
  <c r="P188"/>
  <c r="N188"/>
  <c r="T176" l="1"/>
  <c r="H165"/>
  <c r="I159"/>
  <c r="H145"/>
  <c r="I131"/>
  <c r="P128"/>
  <c r="H121"/>
  <c r="I124"/>
  <c r="G124"/>
  <c r="P114"/>
  <c r="N114"/>
  <c r="H103"/>
  <c r="E105"/>
  <c r="T98"/>
  <c r="G91"/>
  <c r="I91"/>
  <c r="F90"/>
  <c r="T86"/>
  <c r="M79"/>
  <c r="M74"/>
  <c r="T71"/>
  <c r="S69"/>
  <c r="N70"/>
  <c r="G28"/>
  <c r="S51"/>
  <c r="B25" i="1"/>
  <c r="I45" i="2"/>
  <c r="N39"/>
  <c r="E27"/>
  <c r="D25" i="1" l="1"/>
  <c r="C13"/>
  <c r="X1" i="2"/>
  <c r="D14" i="1" s="1"/>
  <c r="E14" s="1"/>
  <c r="H14" s="1"/>
  <c r="Y1" i="2"/>
  <c r="D15" i="1" s="1"/>
  <c r="E15" s="1"/>
  <c r="H15" s="1"/>
  <c r="W1" i="2"/>
  <c r="D16" i="1" s="1"/>
  <c r="E16" s="1"/>
  <c r="H16" s="1"/>
  <c r="E1" i="2"/>
  <c r="C22" i="1" s="1"/>
  <c r="F1" i="2"/>
  <c r="E22" i="1" s="1"/>
  <c r="K1" i="2"/>
  <c r="L1"/>
  <c r="M1"/>
  <c r="D9" i="1" s="1"/>
  <c r="E9" s="1"/>
  <c r="H9" s="1"/>
  <c r="N1" i="2"/>
  <c r="O1"/>
  <c r="P1"/>
  <c r="E24" i="1" s="1"/>
  <c r="Q1" i="2"/>
  <c r="R1"/>
  <c r="D17" i="1" s="1"/>
  <c r="S1" i="2"/>
  <c r="D10" i="1" s="1"/>
  <c r="E10" s="1"/>
  <c r="H10" s="1"/>
  <c r="T1" i="2"/>
  <c r="D11" i="1" s="1"/>
  <c r="E11" s="1"/>
  <c r="H11" s="1"/>
  <c r="U1" i="2"/>
  <c r="D13" i="1" s="1"/>
  <c r="E13" s="1"/>
  <c r="H13" s="1"/>
  <c r="V1" i="2"/>
  <c r="D12" i="1" s="1"/>
  <c r="E12" s="1"/>
  <c r="H12" s="1"/>
  <c r="J1" i="2"/>
  <c r="D8" i="1" s="1"/>
  <c r="E8" s="1"/>
  <c r="H8" s="1"/>
  <c r="H1" i="2"/>
  <c r="D6" i="1" s="1"/>
  <c r="E6" s="1"/>
  <c r="H6" s="1"/>
  <c r="B1"/>
  <c r="I1" i="2"/>
  <c r="E23" i="1" s="1"/>
  <c r="G1" i="2"/>
  <c r="C23" i="1" s="1"/>
  <c r="C1" i="2"/>
  <c r="C21" i="1" s="1"/>
  <c r="D1" i="2"/>
  <c r="E21" i="1" s="1"/>
  <c r="D5" l="1"/>
  <c r="E5" s="1"/>
  <c r="H5" s="1"/>
  <c r="C24"/>
  <c r="C25" s="1"/>
  <c r="D3"/>
  <c r="E3" s="1"/>
  <c r="H3" s="1"/>
  <c r="D4"/>
  <c r="E4" s="1"/>
  <c r="H4" s="1"/>
  <c r="E17"/>
  <c r="D7"/>
  <c r="E7" s="1"/>
  <c r="H7" s="1"/>
  <c r="E25"/>
  <c r="C18"/>
  <c r="D18" l="1"/>
  <c r="H17"/>
  <c r="E18"/>
  <c r="I23" s="1"/>
  <c r="G12"/>
  <c r="G11"/>
  <c r="G9"/>
  <c r="G7"/>
  <c r="G5"/>
  <c r="G3"/>
  <c r="G16"/>
  <c r="G14"/>
  <c r="G10"/>
  <c r="G8"/>
  <c r="G6"/>
  <c r="G4"/>
  <c r="G17"/>
  <c r="G15"/>
  <c r="G13"/>
  <c r="H20" l="1"/>
  <c r="G18"/>
</calcChain>
</file>

<file path=xl/sharedStrings.xml><?xml version="1.0" encoding="utf-8"?>
<sst xmlns="http://schemas.openxmlformats.org/spreadsheetml/2006/main" count="319" uniqueCount="91">
  <si>
    <t>ccfic</t>
  </si>
  <si>
    <t>ccnon</t>
  </si>
  <si>
    <t>jbfic</t>
  </si>
  <si>
    <t>jbnon</t>
  </si>
  <si>
    <t>lpfic</t>
  </si>
  <si>
    <t>lpgns</t>
  </si>
  <si>
    <t>lpnon</t>
  </si>
  <si>
    <t>Selector</t>
  </si>
  <si>
    <t>Budget</t>
  </si>
  <si>
    <t>Spent to date</t>
  </si>
  <si>
    <t>Left to Spend</t>
  </si>
  <si>
    <t>To Date</t>
  </si>
  <si>
    <t>jbteen</t>
  </si>
  <si>
    <t>kl</t>
  </si>
  <si>
    <t>lpscifi</t>
  </si>
  <si>
    <t>date</t>
  </si>
  <si>
    <t>BoCD</t>
  </si>
  <si>
    <t>DVD</t>
  </si>
  <si>
    <t>CD</t>
  </si>
  <si>
    <t xml:space="preserve"> </t>
  </si>
  <si>
    <t>Fiction</t>
  </si>
  <si>
    <t>Nonfiction</t>
  </si>
  <si>
    <t>Jane</t>
  </si>
  <si>
    <t>Teen</t>
  </si>
  <si>
    <t>Large Print</t>
  </si>
  <si>
    <t>Reference</t>
  </si>
  <si>
    <t>Kay</t>
  </si>
  <si>
    <t>Lisa</t>
  </si>
  <si>
    <t>Graphic Novels</t>
  </si>
  <si>
    <t>Magazines</t>
  </si>
  <si>
    <t>lpCD</t>
  </si>
  <si>
    <t>lpBoCD</t>
  </si>
  <si>
    <t>lpDVD</t>
  </si>
  <si>
    <t>vendor</t>
  </si>
  <si>
    <t>Databases</t>
  </si>
  <si>
    <t>Mags</t>
  </si>
  <si>
    <t>Category</t>
  </si>
  <si>
    <t>Misc.</t>
  </si>
  <si>
    <t>sfnon</t>
  </si>
  <si>
    <t>jbLP</t>
  </si>
  <si>
    <t>Ingram</t>
  </si>
  <si>
    <t>to spend</t>
  </si>
  <si>
    <t>% left</t>
  </si>
  <si>
    <t>% of</t>
  </si>
  <si>
    <t>Total</t>
  </si>
  <si>
    <t>Freegal</t>
  </si>
  <si>
    <t>Freading</t>
  </si>
  <si>
    <t>ebfic</t>
  </si>
  <si>
    <t>ebnon</t>
  </si>
  <si>
    <t>Amazon</t>
  </si>
  <si>
    <t>B&amp;T</t>
  </si>
  <si>
    <t>Overdrive</t>
  </si>
  <si>
    <t>BWI</t>
  </si>
  <si>
    <t>CenterPoint</t>
  </si>
  <si>
    <t>Gale</t>
  </si>
  <si>
    <t>ProQuest</t>
  </si>
  <si>
    <t>AudioGo</t>
  </si>
  <si>
    <t>DEMCO</t>
  </si>
  <si>
    <t>Recorded Books</t>
  </si>
  <si>
    <t>Baker Office</t>
  </si>
  <si>
    <t>DBs</t>
  </si>
  <si>
    <t>C/W MARS</t>
  </si>
  <si>
    <t>World Eye</t>
  </si>
  <si>
    <t>Youth</t>
  </si>
  <si>
    <t>Notes</t>
  </si>
  <si>
    <t>All</t>
  </si>
  <si>
    <t>Cynthia</t>
  </si>
  <si>
    <t>Ellen</t>
  </si>
  <si>
    <t>Remaining</t>
  </si>
  <si>
    <t>Supermedia</t>
  </si>
  <si>
    <t>Library Ideas</t>
  </si>
  <si>
    <t>Sun Magazine</t>
  </si>
  <si>
    <t>left to spend overall</t>
  </si>
  <si>
    <t>Grey House</t>
  </si>
  <si>
    <t>BookPage</t>
  </si>
  <si>
    <t>Russ Powell</t>
  </si>
  <si>
    <t>Lisa/Diane</t>
  </si>
  <si>
    <t>Patron Profiles</t>
  </si>
  <si>
    <t>NADA</t>
  </si>
  <si>
    <t>Cengage</t>
  </si>
  <si>
    <t>World Book</t>
  </si>
  <si>
    <t>Infogroup</t>
  </si>
  <si>
    <t>Newsbank</t>
  </si>
  <si>
    <t>Feb-Jun</t>
  </si>
  <si>
    <t>Thorndike</t>
  </si>
  <si>
    <t>Apr-Jun</t>
  </si>
  <si>
    <t>Great Courses</t>
  </si>
  <si>
    <t>NEHGS</t>
  </si>
  <si>
    <t>Yuba Gals</t>
  </si>
  <si>
    <t>Audio Editions</t>
  </si>
  <si>
    <t>ref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</si>
</sst>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&quot;$&quot;#,##0.00"/>
    <numFmt numFmtId="165" formatCode="m/d/yy;@"/>
  </numFmts>
  <fonts count="13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sz val="8"/>
      <color theme="4"/>
      <name val="Arial"/>
      <family val="2"/>
    </font>
    <font>
      <b/>
      <sz val="8"/>
      <color rgb="FF7030A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0" fontId="1" fillId="0" borderId="1" xfId="0" applyNumberFormat="1" applyFont="1" applyBorder="1" applyAlignment="1">
      <alignment horizontal="right"/>
    </xf>
    <xf numFmtId="40" fontId="1" fillId="0" borderId="1" xfId="0" applyNumberFormat="1" applyFont="1" applyBorder="1"/>
    <xf numFmtId="40" fontId="1" fillId="0" borderId="0" xfId="0" applyNumberFormat="1" applyFont="1"/>
    <xf numFmtId="40" fontId="3" fillId="0" borderId="1" xfId="0" applyNumberFormat="1" applyFont="1" applyBorder="1"/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40" fontId="1" fillId="0" borderId="0" xfId="0" applyNumberFormat="1" applyFont="1" applyBorder="1" applyAlignment="1">
      <alignment horizontal="right"/>
    </xf>
    <xf numFmtId="40" fontId="4" fillId="0" borderId="1" xfId="0" applyNumberFormat="1" applyFont="1" applyBorder="1"/>
    <xf numFmtId="40" fontId="4" fillId="0" borderId="0" xfId="0" applyNumberFormat="1" applyFont="1"/>
    <xf numFmtId="40" fontId="5" fillId="0" borderId="1" xfId="0" applyNumberFormat="1" applyFont="1" applyBorder="1"/>
    <xf numFmtId="40" fontId="5" fillId="0" borderId="0" xfId="0" applyNumberFormat="1" applyFont="1"/>
    <xf numFmtId="165" fontId="6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right"/>
    </xf>
    <xf numFmtId="165" fontId="1" fillId="0" borderId="5" xfId="0" applyNumberFormat="1" applyFont="1" applyBorder="1"/>
    <xf numFmtId="165" fontId="1" fillId="0" borderId="5" xfId="0" applyNumberFormat="1" applyFont="1" applyBorder="1" applyAlignment="1"/>
    <xf numFmtId="40" fontId="1" fillId="0" borderId="0" xfId="0" applyNumberFormat="1" applyFont="1" applyBorder="1" applyAlignment="1"/>
    <xf numFmtId="40" fontId="1" fillId="0" borderId="1" xfId="0" applyNumberFormat="1" applyFont="1" applyBorder="1" applyAlignment="1"/>
    <xf numFmtId="40" fontId="2" fillId="0" borderId="6" xfId="0" applyNumberFormat="1" applyFont="1" applyBorder="1" applyAlignment="1">
      <alignment horizontal="center"/>
    </xf>
    <xf numFmtId="40" fontId="1" fillId="0" borderId="5" xfId="0" applyNumberFormat="1" applyFont="1" applyBorder="1" applyAlignment="1">
      <alignment horizontal="right"/>
    </xf>
    <xf numFmtId="40" fontId="1" fillId="0" borderId="5" xfId="0" applyNumberFormat="1" applyFont="1" applyBorder="1"/>
    <xf numFmtId="40" fontId="4" fillId="0" borderId="5" xfId="0" applyNumberFormat="1" applyFont="1" applyBorder="1"/>
    <xf numFmtId="40" fontId="1" fillId="0" borderId="5" xfId="0" applyNumberFormat="1" applyFont="1" applyBorder="1" applyAlignment="1"/>
    <xf numFmtId="40" fontId="5" fillId="0" borderId="5" xfId="0" applyNumberFormat="1" applyFont="1" applyBorder="1"/>
    <xf numFmtId="40" fontId="3" fillId="0" borderId="5" xfId="0" applyNumberFormat="1" applyFont="1" applyBorder="1"/>
    <xf numFmtId="0" fontId="7" fillId="0" borderId="0" xfId="0" applyFont="1"/>
    <xf numFmtId="14" fontId="8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/>
    <xf numFmtId="0" fontId="9" fillId="0" borderId="0" xfId="0" applyFont="1"/>
    <xf numFmtId="9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8" fontId="9" fillId="0" borderId="0" xfId="0" applyNumberFormat="1" applyFont="1" applyFill="1" applyAlignment="1">
      <alignment wrapText="1"/>
    </xf>
    <xf numFmtId="9" fontId="8" fillId="0" borderId="0" xfId="0" applyNumberFormat="1" applyFont="1" applyFill="1"/>
    <xf numFmtId="9" fontId="8" fillId="0" borderId="0" xfId="0" applyNumberFormat="1" applyFont="1"/>
    <xf numFmtId="8" fontId="9" fillId="0" borderId="0" xfId="0" applyNumberFormat="1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164" fontId="8" fillId="0" borderId="0" xfId="0" applyNumberFormat="1" applyFont="1" applyFill="1"/>
    <xf numFmtId="9" fontId="7" fillId="0" borderId="2" xfId="0" applyNumberFormat="1" applyFont="1" applyBorder="1"/>
    <xf numFmtId="0" fontId="8" fillId="0" borderId="0" xfId="0" applyFont="1" applyBorder="1"/>
    <xf numFmtId="164" fontId="8" fillId="0" borderId="0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8" fillId="0" borderId="0" xfId="0" applyFont="1" applyAlignment="1">
      <alignment horizontal="left"/>
    </xf>
    <xf numFmtId="9" fontId="8" fillId="0" borderId="0" xfId="0" applyNumberFormat="1" applyFont="1" applyBorder="1"/>
    <xf numFmtId="164" fontId="8" fillId="0" borderId="2" xfId="0" applyNumberFormat="1" applyFont="1" applyBorder="1"/>
    <xf numFmtId="9" fontId="7" fillId="0" borderId="7" xfId="0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Fill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2" xfId="0" applyNumberFormat="1" applyFont="1" applyBorder="1"/>
    <xf numFmtId="8" fontId="7" fillId="0" borderId="0" xfId="0" applyNumberFormat="1" applyFont="1"/>
    <xf numFmtId="8" fontId="9" fillId="0" borderId="0" xfId="0" applyNumberFormat="1" applyFont="1" applyAlignment="1">
      <alignment horizontal="center"/>
    </xf>
    <xf numFmtId="8" fontId="9" fillId="0" borderId="0" xfId="0" applyNumberFormat="1" applyFont="1" applyAlignment="1">
      <alignment horizontal="right"/>
    </xf>
    <xf numFmtId="8" fontId="10" fillId="0" borderId="2" xfId="0" applyNumberFormat="1" applyFont="1" applyBorder="1"/>
    <xf numFmtId="8" fontId="8" fillId="0" borderId="0" xfId="0" applyNumberFormat="1" applyFont="1"/>
    <xf numFmtId="8" fontId="9" fillId="0" borderId="0" xfId="0" applyNumberFormat="1" applyFont="1"/>
    <xf numFmtId="8" fontId="10" fillId="0" borderId="0" xfId="0" applyNumberFormat="1" applyFont="1"/>
    <xf numFmtId="8" fontId="10" fillId="0" borderId="0" xfId="0" applyNumberFormat="1" applyFont="1" applyBorder="1"/>
    <xf numFmtId="8" fontId="7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right"/>
    </xf>
    <xf numFmtId="8" fontId="8" fillId="0" borderId="0" xfId="0" applyNumberFormat="1" applyFont="1" applyFill="1" applyAlignment="1">
      <alignment horizontal="right" wrapText="1"/>
    </xf>
    <xf numFmtId="8" fontId="8" fillId="0" borderId="0" xfId="0" applyNumberFormat="1" applyFont="1" applyAlignment="1">
      <alignment horizontal="right" wrapText="1"/>
    </xf>
    <xf numFmtId="8" fontId="7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11" sqref="A11:XFD11"/>
    </sheetView>
  </sheetViews>
  <sheetFormatPr defaultColWidth="9.140625" defaultRowHeight="15"/>
  <cols>
    <col min="1" max="1" width="14.5703125" style="32" customWidth="1"/>
    <col min="2" max="2" width="14.140625" style="32" customWidth="1"/>
    <col min="3" max="3" width="13.85546875" style="63" customWidth="1"/>
    <col min="4" max="4" width="13.5703125" style="28" customWidth="1"/>
    <col min="5" max="5" width="13.7109375" style="59" customWidth="1"/>
    <col min="6" max="6" width="1.85546875" style="28" customWidth="1"/>
    <col min="7" max="7" width="9.140625" style="37"/>
    <col min="8" max="8" width="9.5703125" style="37" customWidth="1"/>
    <col min="9" max="9" width="14.42578125" style="30" customWidth="1"/>
    <col min="10" max="16384" width="9.140625" style="32"/>
  </cols>
  <sheetData>
    <row r="1" spans="1:10">
      <c r="A1" s="26" t="s">
        <v>11</v>
      </c>
      <c r="B1" s="27">
        <f ca="1">TODAY()</f>
        <v>41472</v>
      </c>
      <c r="G1" s="31" t="s">
        <v>43</v>
      </c>
      <c r="H1" s="31" t="s">
        <v>42</v>
      </c>
    </row>
    <row r="2" spans="1:10">
      <c r="A2" s="33" t="s">
        <v>36</v>
      </c>
      <c r="B2" s="33" t="s">
        <v>64</v>
      </c>
      <c r="C2" s="67" t="s">
        <v>8</v>
      </c>
      <c r="D2" s="54" t="s">
        <v>9</v>
      </c>
      <c r="E2" s="60" t="s">
        <v>10</v>
      </c>
      <c r="F2" s="32"/>
      <c r="G2" s="31" t="s">
        <v>44</v>
      </c>
      <c r="H2" s="31" t="s">
        <v>41</v>
      </c>
      <c r="I2" s="33" t="s">
        <v>7</v>
      </c>
    </row>
    <row r="3" spans="1:10">
      <c r="A3" s="45" t="s">
        <v>20</v>
      </c>
      <c r="B3" s="33"/>
      <c r="C3" s="68">
        <v>18500</v>
      </c>
      <c r="D3" s="55">
        <f>Itemized!C1+Itemized!E1+Itemized!G1+Itemized!N1+Itemized!Q1</f>
        <v>14426.029999999999</v>
      </c>
      <c r="E3" s="61">
        <f>C3-D3</f>
        <v>4073.9700000000012</v>
      </c>
      <c r="F3" s="32"/>
      <c r="G3" s="37">
        <f>C3/C18</f>
        <v>0.19839142091152814</v>
      </c>
      <c r="H3" s="31">
        <f>E3/C3</f>
        <v>0.22021459459459466</v>
      </c>
      <c r="I3" s="48" t="s">
        <v>65</v>
      </c>
    </row>
    <row r="4" spans="1:10">
      <c r="A4" s="45" t="s">
        <v>21</v>
      </c>
      <c r="B4" s="33"/>
      <c r="C4" s="68">
        <v>10000</v>
      </c>
      <c r="D4" s="55">
        <f>Itemized!D1+Itemized!F1+Itemized!I1+Itemized!K1+Itemized!P1</f>
        <v>11895.34</v>
      </c>
      <c r="E4" s="61">
        <f>C4-D4</f>
        <v>-1895.3400000000001</v>
      </c>
      <c r="F4" s="32"/>
      <c r="G4" s="37">
        <f>C4/C18</f>
        <v>0.10723860589812333</v>
      </c>
      <c r="H4" s="31">
        <f t="shared" ref="H4:H17" si="0">E4/C4</f>
        <v>-0.18953400000000001</v>
      </c>
      <c r="I4" s="48" t="s">
        <v>65</v>
      </c>
    </row>
    <row r="5" spans="1:10">
      <c r="A5" s="45" t="s">
        <v>28</v>
      </c>
      <c r="B5" s="33"/>
      <c r="C5" s="68">
        <v>991</v>
      </c>
      <c r="D5" s="55">
        <f>Itemized!O1</f>
        <v>895.66000000000008</v>
      </c>
      <c r="E5" s="61">
        <f t="shared" ref="E5:E11" si="1">C5-D5</f>
        <v>95.339999999999918</v>
      </c>
      <c r="F5" s="32"/>
      <c r="G5" s="37">
        <f>C5/C18</f>
        <v>1.0627345844504022E-2</v>
      </c>
      <c r="H5" s="31">
        <f t="shared" si="0"/>
        <v>9.6205852674066519E-2</v>
      </c>
      <c r="I5" s="48" t="s">
        <v>27</v>
      </c>
    </row>
    <row r="6" spans="1:10">
      <c r="A6" s="45" t="s">
        <v>24</v>
      </c>
      <c r="B6" s="33"/>
      <c r="C6" s="68">
        <v>4000</v>
      </c>
      <c r="D6" s="55">
        <f>Itemized!H1</f>
        <v>4021.4</v>
      </c>
      <c r="E6" s="61">
        <f t="shared" si="1"/>
        <v>-21.400000000000091</v>
      </c>
      <c r="F6" s="32"/>
      <c r="G6" s="37">
        <f>C6/C18</f>
        <v>4.2895442359249331E-2</v>
      </c>
      <c r="H6" s="31">
        <f t="shared" si="0"/>
        <v>-5.3500000000000231E-3</v>
      </c>
      <c r="I6" s="48" t="s">
        <v>22</v>
      </c>
    </row>
    <row r="7" spans="1:10">
      <c r="A7" s="26" t="s">
        <v>25</v>
      </c>
      <c r="B7" s="33"/>
      <c r="C7" s="68">
        <v>1250</v>
      </c>
      <c r="D7" s="55">
        <f>Itemized!L1</f>
        <v>3261.46</v>
      </c>
      <c r="E7" s="61">
        <f t="shared" si="1"/>
        <v>-2011.46</v>
      </c>
      <c r="F7" s="32"/>
      <c r="G7" s="37">
        <f>C7/C18</f>
        <v>1.3404825737265416E-2</v>
      </c>
      <c r="H7" s="31">
        <f t="shared" si="0"/>
        <v>-1.6091679999999999</v>
      </c>
      <c r="I7" s="48" t="s">
        <v>27</v>
      </c>
      <c r="J7" s="37"/>
    </row>
    <row r="8" spans="1:10">
      <c r="A8" s="45" t="s">
        <v>23</v>
      </c>
      <c r="B8" s="33"/>
      <c r="C8" s="68">
        <v>1100</v>
      </c>
      <c r="D8" s="55">
        <f>Itemized!J1</f>
        <v>1172.1300000000001</v>
      </c>
      <c r="E8" s="61">
        <f t="shared" si="1"/>
        <v>-72.130000000000109</v>
      </c>
      <c r="F8" s="32"/>
      <c r="G8" s="37">
        <f>C8/C18</f>
        <v>1.1796246648793566E-2</v>
      </c>
      <c r="H8" s="31">
        <f t="shared" si="0"/>
        <v>-6.5572727272727366E-2</v>
      </c>
      <c r="I8" s="48" t="s">
        <v>22</v>
      </c>
      <c r="J8" s="63"/>
    </row>
    <row r="9" spans="1:10">
      <c r="A9" s="45" t="s">
        <v>63</v>
      </c>
      <c r="B9" s="33"/>
      <c r="C9" s="68">
        <v>16500</v>
      </c>
      <c r="D9" s="55">
        <f>Itemized!M1</f>
        <v>16419.789999999997</v>
      </c>
      <c r="E9" s="61">
        <f t="shared" si="1"/>
        <v>80.210000000002765</v>
      </c>
      <c r="F9" s="32"/>
      <c r="G9" s="37">
        <f>C9/C18</f>
        <v>0.17694369973190349</v>
      </c>
      <c r="H9" s="31">
        <f t="shared" si="0"/>
        <v>4.8612121212122886E-3</v>
      </c>
      <c r="I9" s="48" t="s">
        <v>26</v>
      </c>
    </row>
    <row r="10" spans="1:10">
      <c r="A10" s="45" t="s">
        <v>16</v>
      </c>
      <c r="B10" s="33"/>
      <c r="C10" s="68">
        <v>7500</v>
      </c>
      <c r="D10" s="55">
        <f>Itemized!S1</f>
        <v>7246.2099999999991</v>
      </c>
      <c r="E10" s="61">
        <f t="shared" si="1"/>
        <v>253.79000000000087</v>
      </c>
      <c r="F10" s="32"/>
      <c r="G10" s="37">
        <f>C10/C18</f>
        <v>8.0428954423592491E-2</v>
      </c>
      <c r="H10" s="31">
        <f t="shared" si="0"/>
        <v>3.3838666666666781E-2</v>
      </c>
      <c r="I10" s="48" t="s">
        <v>27</v>
      </c>
    </row>
    <row r="11" spans="1:10">
      <c r="A11" s="45" t="s">
        <v>17</v>
      </c>
      <c r="B11" s="33"/>
      <c r="C11" s="68">
        <v>7500</v>
      </c>
      <c r="D11" s="55">
        <f>Itemized!T1</f>
        <v>7783.67</v>
      </c>
      <c r="E11" s="61">
        <f t="shared" si="1"/>
        <v>-283.67000000000007</v>
      </c>
      <c r="F11" s="32"/>
      <c r="G11" s="37">
        <f>C11/C18</f>
        <v>8.0428954423592491E-2</v>
      </c>
      <c r="H11" s="31">
        <f t="shared" si="0"/>
        <v>-3.7822666666666678E-2</v>
      </c>
      <c r="I11" s="48" t="s">
        <v>27</v>
      </c>
    </row>
    <row r="12" spans="1:10" s="40" customFormat="1">
      <c r="A12" s="47" t="s">
        <v>29</v>
      </c>
      <c r="B12" s="39"/>
      <c r="C12" s="69">
        <v>5400</v>
      </c>
      <c r="D12" s="56">
        <f>Itemized!V1</f>
        <v>7060.5</v>
      </c>
      <c r="E12" s="35">
        <f t="shared" ref="E12:E17" si="2">SUM(C12-D12)</f>
        <v>-1660.5</v>
      </c>
      <c r="G12" s="36">
        <f>C12/C18</f>
        <v>5.7908847184986595E-2</v>
      </c>
      <c r="H12" s="31">
        <f t="shared" si="0"/>
        <v>-0.3075</v>
      </c>
    </row>
    <row r="13" spans="1:10">
      <c r="A13" s="46" t="s">
        <v>37</v>
      </c>
      <c r="B13" s="34" t="s">
        <v>34</v>
      </c>
      <c r="C13" s="70">
        <f>700+1299+2500+300+1940+150</f>
        <v>6889</v>
      </c>
      <c r="D13" s="57">
        <f>Itemized!U1</f>
        <v>5703.95</v>
      </c>
      <c r="E13" s="38">
        <f>SUM(C13-D13)</f>
        <v>1185.0500000000002</v>
      </c>
      <c r="F13" s="32"/>
      <c r="G13" s="36">
        <f>C13/C18</f>
        <v>7.387667560321716E-2</v>
      </c>
      <c r="H13" s="31">
        <f t="shared" si="0"/>
        <v>0.17202061257076501</v>
      </c>
    </row>
    <row r="14" spans="1:10">
      <c r="A14" s="34"/>
      <c r="B14" s="34" t="s">
        <v>46</v>
      </c>
      <c r="C14" s="70">
        <v>2650</v>
      </c>
      <c r="D14" s="57">
        <f>Itemized!X1</f>
        <v>2650</v>
      </c>
      <c r="E14" s="38">
        <f t="shared" ref="E14:E16" si="3">SUM(C14-D14)</f>
        <v>0</v>
      </c>
      <c r="F14" s="32"/>
      <c r="G14" s="36">
        <f>C14/C18</f>
        <v>2.8418230563002682E-2</v>
      </c>
      <c r="H14" s="31">
        <f t="shared" si="0"/>
        <v>0</v>
      </c>
      <c r="I14" s="32"/>
    </row>
    <row r="15" spans="1:10" s="40" customFormat="1">
      <c r="A15" s="39"/>
      <c r="B15" s="39" t="s">
        <v>45</v>
      </c>
      <c r="C15" s="69">
        <v>6700</v>
      </c>
      <c r="D15" s="56">
        <f>Itemized!Y1</f>
        <v>6700</v>
      </c>
      <c r="E15" s="38">
        <f t="shared" si="3"/>
        <v>0</v>
      </c>
      <c r="G15" s="36">
        <f>C15/C18</f>
        <v>7.1849865951742628E-2</v>
      </c>
      <c r="H15" s="31">
        <f t="shared" si="0"/>
        <v>0</v>
      </c>
    </row>
    <row r="16" spans="1:10" s="40" customFormat="1">
      <c r="A16" s="39"/>
      <c r="B16" s="39" t="s">
        <v>51</v>
      </c>
      <c r="C16" s="69">
        <v>1870</v>
      </c>
      <c r="D16" s="56">
        <f>Itemized!W1</f>
        <v>1870</v>
      </c>
      <c r="E16" s="38">
        <f t="shared" si="3"/>
        <v>0</v>
      </c>
      <c r="G16" s="36">
        <f>C16/C18</f>
        <v>2.0053619302949063E-2</v>
      </c>
      <c r="H16" s="31">
        <f t="shared" si="0"/>
        <v>0</v>
      </c>
    </row>
    <row r="17" spans="1:12">
      <c r="A17" s="39"/>
      <c r="B17" s="39" t="s">
        <v>18</v>
      </c>
      <c r="C17" s="69">
        <v>2400</v>
      </c>
      <c r="D17" s="56">
        <f>Itemized!R1</f>
        <v>2498.0399999999995</v>
      </c>
      <c r="E17" s="38">
        <f t="shared" si="2"/>
        <v>-98.039999999999509</v>
      </c>
      <c r="F17" s="32"/>
      <c r="G17" s="36">
        <f>C17/C18</f>
        <v>2.5737265415549597E-2</v>
      </c>
      <c r="H17" s="31">
        <f t="shared" si="0"/>
        <v>-4.0849999999999796E-2</v>
      </c>
      <c r="I17" s="32" t="s">
        <v>76</v>
      </c>
      <c r="J17" s="37"/>
    </row>
    <row r="18" spans="1:12" ht="15.75" thickBot="1">
      <c r="C18" s="71">
        <f>SUM(C3:C17)</f>
        <v>93250</v>
      </c>
      <c r="D18" s="58">
        <f>SUM(D3:D17)</f>
        <v>93604.18</v>
      </c>
      <c r="E18" s="62">
        <f>SUM(E3:E17)</f>
        <v>-354.17999999999483</v>
      </c>
      <c r="F18" s="32"/>
      <c r="G18" s="42">
        <f>SUM(G3:G17)</f>
        <v>0.99999999999999989</v>
      </c>
      <c r="H18" s="49"/>
      <c r="I18" s="32"/>
      <c r="L18" s="28"/>
    </row>
    <row r="19" spans="1:12" ht="16.5" thickTop="1" thickBot="1">
      <c r="D19" s="32"/>
      <c r="E19" s="63"/>
      <c r="F19" s="32"/>
      <c r="G19" s="31"/>
      <c r="I19" s="32"/>
    </row>
    <row r="20" spans="1:12" ht="15.75" thickBot="1">
      <c r="A20" s="26" t="s">
        <v>7</v>
      </c>
      <c r="B20" s="26" t="s">
        <v>20</v>
      </c>
      <c r="C20" s="59" t="s">
        <v>68</v>
      </c>
      <c r="D20" s="29" t="s">
        <v>21</v>
      </c>
      <c r="E20" s="59" t="s">
        <v>68</v>
      </c>
      <c r="F20" s="32"/>
      <c r="H20" s="51">
        <f>E18/C18</f>
        <v>-3.7981769436996765E-3</v>
      </c>
      <c r="I20" s="53" t="s">
        <v>72</v>
      </c>
      <c r="J20" s="52"/>
    </row>
    <row r="21" spans="1:12">
      <c r="A21" s="32" t="s">
        <v>66</v>
      </c>
      <c r="B21" s="28">
        <f>2500-2204.15</f>
        <v>295.84999999999991</v>
      </c>
      <c r="C21" s="65">
        <f>B21-Itemized!C1</f>
        <v>0</v>
      </c>
      <c r="D21" s="28">
        <f>1000-783.11+108.25</f>
        <v>325.14</v>
      </c>
      <c r="E21" s="64">
        <f>D21-Itemized!D1</f>
        <v>0</v>
      </c>
      <c r="F21" s="32"/>
      <c r="I21" s="32"/>
    </row>
    <row r="22" spans="1:12">
      <c r="A22" s="32" t="s">
        <v>67</v>
      </c>
      <c r="B22" s="44">
        <v>4000</v>
      </c>
      <c r="C22" s="65">
        <f>B22-Itemized!E1</f>
        <v>191.99000000000024</v>
      </c>
      <c r="D22" s="28">
        <f>2500+1866.43-250-200+133.57</f>
        <v>4050.0000000000005</v>
      </c>
      <c r="E22" s="65">
        <f>D22-Itemized!F1</f>
        <v>-133.79999999999973</v>
      </c>
      <c r="F22" s="32"/>
      <c r="I22" s="32"/>
    </row>
    <row r="23" spans="1:12">
      <c r="A23" s="43" t="s">
        <v>22</v>
      </c>
      <c r="B23" s="28">
        <v>6000</v>
      </c>
      <c r="C23" s="66">
        <f>B23-Itemized!G1</f>
        <v>1674.1099999999997</v>
      </c>
      <c r="D23" s="44">
        <f>2000+783.11-108.25</f>
        <v>2674.86</v>
      </c>
      <c r="E23" s="66">
        <f>D23-Itemized!I1</f>
        <v>74.410000000000309</v>
      </c>
      <c r="F23" s="41"/>
      <c r="I23" s="28">
        <f>E18-350</f>
        <v>-704.17999999999483</v>
      </c>
    </row>
    <row r="24" spans="1:12">
      <c r="A24" s="32" t="s">
        <v>27</v>
      </c>
      <c r="B24" s="28">
        <f>6000+2204.15-1398.12</f>
        <v>6806.03</v>
      </c>
      <c r="C24" s="65">
        <f>B24-(Itemized!N1+Itemized!O1+Itemized!Q1)</f>
        <v>-85.909999999999854</v>
      </c>
      <c r="D24" s="28">
        <f>2500+250+200+1398.12</f>
        <v>4348.12</v>
      </c>
      <c r="E24" s="65">
        <f>D24-Itemized!P1</f>
        <v>-304.26000000000022</v>
      </c>
      <c r="F24" s="41"/>
      <c r="I24" s="28"/>
      <c r="J24" s="37"/>
    </row>
    <row r="25" spans="1:12" ht="15.75" thickBot="1">
      <c r="A25" s="32" t="s">
        <v>19</v>
      </c>
      <c r="B25" s="50">
        <f>SUM(B21:B24)</f>
        <v>17101.88</v>
      </c>
      <c r="C25" s="62">
        <f>SUM(C21:C24)</f>
        <v>1780.19</v>
      </c>
      <c r="D25" s="50">
        <f>SUM(D21:D24)</f>
        <v>11398.119999999999</v>
      </c>
      <c r="E25" s="62">
        <f>SUM(E21:E24)</f>
        <v>-363.64999999999964</v>
      </c>
      <c r="I25" s="28"/>
    </row>
    <row r="26" spans="1:12" ht="15.75" thickTop="1">
      <c r="A26" s="32" t="s">
        <v>19</v>
      </c>
      <c r="E26" s="63"/>
      <c r="I26" s="32"/>
    </row>
    <row r="27" spans="1:12">
      <c r="A27" s="32" t="s">
        <v>19</v>
      </c>
      <c r="E27" s="63"/>
      <c r="I27" s="32"/>
    </row>
    <row r="28" spans="1:12">
      <c r="A28" s="32" t="s">
        <v>19</v>
      </c>
    </row>
    <row r="29" spans="1:12">
      <c r="A29" s="32" t="s">
        <v>19</v>
      </c>
    </row>
  </sheetData>
  <phoneticPr fontId="1" type="noConversion"/>
  <pageMargins left="0.32" right="0.36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40"/>
  <sheetViews>
    <sheetView zoomScaleNormal="100" workbookViewId="0">
      <pane xSplit="2" ySplit="2" topLeftCell="C213" activePane="bottomRight" state="frozen"/>
      <selection pane="topRight" activeCell="B1" sqref="B1"/>
      <selection pane="bottomLeft" activeCell="A3" sqref="A3"/>
      <selection pane="bottomRight" activeCell="F241" sqref="F241"/>
    </sheetView>
  </sheetViews>
  <sheetFormatPr defaultColWidth="7.7109375" defaultRowHeight="11.25"/>
  <cols>
    <col min="1" max="1" width="7.28515625" style="15" customWidth="1"/>
    <col min="2" max="2" width="11.85546875" style="3" customWidth="1"/>
    <col min="3" max="12" width="7.7109375" style="2" customWidth="1"/>
    <col min="13" max="13" width="9.140625" style="2" customWidth="1"/>
    <col min="14" max="20" width="7.7109375" style="2" customWidth="1"/>
    <col min="21" max="21" width="8.140625" style="2" customWidth="1"/>
    <col min="22" max="22" width="7.85546875" style="2" customWidth="1"/>
    <col min="23" max="24" width="7.7109375" style="2"/>
    <col min="25" max="25" width="7.7109375" style="21"/>
    <col min="26" max="16384" width="7.7109375" style="3"/>
  </cols>
  <sheetData>
    <row r="1" spans="1:25">
      <c r="A1" s="12"/>
      <c r="C1" s="4">
        <f>SUM(C4:C406)</f>
        <v>295.84999999999997</v>
      </c>
      <c r="D1" s="4">
        <f>SUM(D4:D406)</f>
        <v>325.14</v>
      </c>
      <c r="E1" s="4">
        <f>SUM(E4:E406)</f>
        <v>3808.0099999999998</v>
      </c>
      <c r="F1" s="4">
        <f t="shared" ref="F1" si="0">SUM(F4:F406)</f>
        <v>4183.8</v>
      </c>
      <c r="G1" s="4">
        <f t="shared" ref="G1:Y1" si="1">SUM(G3:G406)</f>
        <v>4325.8900000000003</v>
      </c>
      <c r="H1" s="4">
        <f t="shared" si="1"/>
        <v>4021.4</v>
      </c>
      <c r="I1" s="4">
        <f t="shared" si="1"/>
        <v>2600.4499999999998</v>
      </c>
      <c r="J1" s="4">
        <f t="shared" si="1"/>
        <v>1172.1300000000001</v>
      </c>
      <c r="K1" s="4">
        <f t="shared" si="1"/>
        <v>133.57</v>
      </c>
      <c r="L1" s="4">
        <f t="shared" si="1"/>
        <v>3261.46</v>
      </c>
      <c r="M1" s="4">
        <f t="shared" si="1"/>
        <v>16419.789999999997</v>
      </c>
      <c r="N1" s="4">
        <f t="shared" si="1"/>
        <v>5156.8999999999996</v>
      </c>
      <c r="O1" s="4">
        <f t="shared" si="1"/>
        <v>895.66000000000008</v>
      </c>
      <c r="P1" s="4">
        <f t="shared" si="1"/>
        <v>4652.38</v>
      </c>
      <c r="Q1" s="4">
        <f t="shared" si="1"/>
        <v>839.38</v>
      </c>
      <c r="R1" s="4">
        <f t="shared" si="1"/>
        <v>2498.0399999999995</v>
      </c>
      <c r="S1" s="4">
        <f t="shared" si="1"/>
        <v>7246.2099999999991</v>
      </c>
      <c r="T1" s="4">
        <f t="shared" si="1"/>
        <v>7783.67</v>
      </c>
      <c r="U1" s="4">
        <f t="shared" si="1"/>
        <v>5703.95</v>
      </c>
      <c r="V1" s="4">
        <f t="shared" si="1"/>
        <v>7060.5</v>
      </c>
      <c r="W1" s="4">
        <f t="shared" si="1"/>
        <v>1870</v>
      </c>
      <c r="X1" s="4">
        <f t="shared" si="1"/>
        <v>2650</v>
      </c>
      <c r="Y1" s="25">
        <f t="shared" si="1"/>
        <v>6700</v>
      </c>
    </row>
    <row r="2" spans="1:25" s="5" customFormat="1">
      <c r="A2" s="13" t="s">
        <v>15</v>
      </c>
      <c r="B2" s="5" t="s">
        <v>33</v>
      </c>
      <c r="C2" s="6" t="s">
        <v>0</v>
      </c>
      <c r="D2" s="6" t="s">
        <v>1</v>
      </c>
      <c r="E2" s="6" t="s">
        <v>47</v>
      </c>
      <c r="F2" s="6" t="s">
        <v>48</v>
      </c>
      <c r="G2" s="6" t="s">
        <v>2</v>
      </c>
      <c r="H2" s="6" t="s">
        <v>39</v>
      </c>
      <c r="I2" s="6" t="s">
        <v>3</v>
      </c>
      <c r="J2" s="6" t="s">
        <v>12</v>
      </c>
      <c r="K2" s="6" t="s">
        <v>38</v>
      </c>
      <c r="L2" s="6" t="s">
        <v>90</v>
      </c>
      <c r="M2" s="6" t="s">
        <v>13</v>
      </c>
      <c r="N2" s="6" t="s">
        <v>4</v>
      </c>
      <c r="O2" s="6" t="s">
        <v>5</v>
      </c>
      <c r="P2" s="6" t="s">
        <v>6</v>
      </c>
      <c r="Q2" s="6" t="s">
        <v>14</v>
      </c>
      <c r="R2" s="6" t="s">
        <v>30</v>
      </c>
      <c r="S2" s="6" t="s">
        <v>31</v>
      </c>
      <c r="T2" s="6" t="s">
        <v>32</v>
      </c>
      <c r="U2" s="6" t="s">
        <v>60</v>
      </c>
      <c r="V2" s="6" t="s">
        <v>35</v>
      </c>
      <c r="W2" s="6" t="s">
        <v>51</v>
      </c>
      <c r="X2" s="6" t="s">
        <v>46</v>
      </c>
      <c r="Y2" s="19" t="s">
        <v>45</v>
      </c>
    </row>
    <row r="3" spans="1:25" s="7" customFormat="1">
      <c r="A3" s="15">
        <v>41080</v>
      </c>
      <c r="B3" s="3" t="s">
        <v>54</v>
      </c>
      <c r="C3" s="2"/>
      <c r="D3" s="2"/>
      <c r="E3" s="2"/>
      <c r="F3" s="2"/>
      <c r="G3" s="2"/>
      <c r="H3" s="2">
        <v>23.39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2"/>
      <c r="W3" s="2"/>
      <c r="X3" s="2"/>
      <c r="Y3" s="21"/>
    </row>
    <row r="4" spans="1:25">
      <c r="A4" s="15">
        <v>41086</v>
      </c>
      <c r="B4" s="3" t="s">
        <v>54</v>
      </c>
      <c r="H4" s="2">
        <v>46.78</v>
      </c>
    </row>
    <row r="5" spans="1:25">
      <c r="A5" s="15">
        <v>41102</v>
      </c>
      <c r="B5" s="3" t="s">
        <v>40</v>
      </c>
      <c r="N5" s="2">
        <v>624.88</v>
      </c>
      <c r="P5" s="2">
        <v>129.05000000000001</v>
      </c>
      <c r="Q5" s="2">
        <v>12.99</v>
      </c>
      <c r="U5" s="1"/>
      <c r="W5" s="1"/>
      <c r="X5" s="1"/>
      <c r="Y5" s="20"/>
    </row>
    <row r="6" spans="1:25">
      <c r="A6" s="15">
        <v>41107</v>
      </c>
      <c r="B6" s="3" t="s">
        <v>50</v>
      </c>
      <c r="T6" s="2">
        <v>25.18</v>
      </c>
      <c r="W6" s="2">
        <v>1870</v>
      </c>
      <c r="X6" s="1"/>
      <c r="Y6" s="20"/>
    </row>
    <row r="7" spans="1:25">
      <c r="A7" s="15">
        <v>41107</v>
      </c>
      <c r="B7" s="3" t="s">
        <v>52</v>
      </c>
      <c r="O7" s="2">
        <v>25.67</v>
      </c>
      <c r="U7" s="1"/>
    </row>
    <row r="8" spans="1:25">
      <c r="A8" s="15">
        <v>41107</v>
      </c>
      <c r="B8" s="3" t="s">
        <v>61</v>
      </c>
      <c r="U8" s="1"/>
    </row>
    <row r="9" spans="1:25">
      <c r="A9" s="15">
        <v>41107</v>
      </c>
      <c r="B9" s="3" t="s">
        <v>53</v>
      </c>
      <c r="H9" s="2">
        <v>85.08</v>
      </c>
      <c r="U9" s="1"/>
    </row>
    <row r="10" spans="1:25">
      <c r="A10" s="15">
        <v>41107</v>
      </c>
      <c r="B10" s="3" t="s">
        <v>54</v>
      </c>
      <c r="H10" s="2">
        <v>116.95</v>
      </c>
    </row>
    <row r="11" spans="1:25">
      <c r="A11" s="15">
        <v>41107</v>
      </c>
      <c r="B11" s="3" t="s">
        <v>55</v>
      </c>
      <c r="U11" s="1">
        <v>1940</v>
      </c>
    </row>
    <row r="12" spans="1:25">
      <c r="A12" s="15">
        <v>41114</v>
      </c>
      <c r="B12" s="3" t="s">
        <v>56</v>
      </c>
      <c r="S12" s="2">
        <v>187.91</v>
      </c>
    </row>
    <row r="13" spans="1:25">
      <c r="A13" s="15">
        <v>41121</v>
      </c>
      <c r="B13" s="3" t="s">
        <v>56</v>
      </c>
      <c r="M13" s="2">
        <v>37.46</v>
      </c>
    </row>
    <row r="14" spans="1:25">
      <c r="A14" s="15">
        <v>41121</v>
      </c>
      <c r="B14" s="3" t="s">
        <v>57</v>
      </c>
      <c r="U14" s="1"/>
      <c r="V14" s="2">
        <v>3349</v>
      </c>
    </row>
    <row r="15" spans="1:25">
      <c r="A15" s="15">
        <v>41127</v>
      </c>
      <c r="B15" s="3" t="s">
        <v>40</v>
      </c>
      <c r="J15" s="2">
        <v>172.29</v>
      </c>
      <c r="U15" s="1"/>
    </row>
    <row r="16" spans="1:25">
      <c r="A16" s="15">
        <v>41128</v>
      </c>
      <c r="B16" s="3" t="s">
        <v>56</v>
      </c>
      <c r="M16" s="2">
        <v>41.21</v>
      </c>
    </row>
    <row r="17" spans="1:22">
      <c r="A17" s="15">
        <v>41128</v>
      </c>
      <c r="B17" s="3" t="s">
        <v>59</v>
      </c>
      <c r="V17" s="2">
        <v>325.5</v>
      </c>
    </row>
    <row r="18" spans="1:22">
      <c r="A18" s="15">
        <v>41128</v>
      </c>
      <c r="B18" s="3" t="s">
        <v>58</v>
      </c>
      <c r="M18" s="2">
        <v>131.80000000000001</v>
      </c>
    </row>
    <row r="19" spans="1:22">
      <c r="A19" s="15">
        <v>41130</v>
      </c>
      <c r="B19" s="3" t="s">
        <v>62</v>
      </c>
      <c r="M19" s="2">
        <v>14.4</v>
      </c>
      <c r="U19" s="1"/>
    </row>
    <row r="20" spans="1:22">
      <c r="A20" s="15">
        <v>41135</v>
      </c>
      <c r="B20" s="3" t="s">
        <v>53</v>
      </c>
      <c r="H20" s="2">
        <v>85.08</v>
      </c>
      <c r="U20" s="1"/>
    </row>
    <row r="21" spans="1:22">
      <c r="A21" s="15">
        <v>41135</v>
      </c>
      <c r="B21" s="3" t="s">
        <v>54</v>
      </c>
      <c r="H21" s="2">
        <v>234.55</v>
      </c>
      <c r="U21" s="1"/>
    </row>
    <row r="22" spans="1:22">
      <c r="A22" s="16">
        <v>41135</v>
      </c>
      <c r="B22" s="3" t="s">
        <v>40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v>327.56</v>
      </c>
      <c r="O22" s="18"/>
      <c r="P22" s="18"/>
      <c r="Q22" s="18"/>
      <c r="R22" s="18"/>
      <c r="S22" s="18"/>
      <c r="T22" s="18"/>
      <c r="U22" s="18"/>
      <c r="V22" s="18"/>
    </row>
    <row r="23" spans="1:22">
      <c r="A23" s="14">
        <v>41137</v>
      </c>
      <c r="B23" s="3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346.07</v>
      </c>
      <c r="O23" s="1"/>
      <c r="P23" s="1">
        <v>114.74</v>
      </c>
      <c r="Q23" s="1">
        <v>14.55</v>
      </c>
      <c r="R23" s="1"/>
      <c r="S23" s="1"/>
      <c r="T23" s="1"/>
      <c r="U23" s="1"/>
      <c r="V23" s="1"/>
    </row>
    <row r="24" spans="1:22">
      <c r="A24" s="15">
        <v>41142</v>
      </c>
      <c r="B24" s="3" t="s">
        <v>56</v>
      </c>
      <c r="S24" s="2">
        <v>159.91</v>
      </c>
      <c r="U24" s="1"/>
    </row>
    <row r="25" spans="1:22">
      <c r="A25" s="15">
        <v>41142</v>
      </c>
      <c r="B25" s="3" t="s">
        <v>40</v>
      </c>
      <c r="E25" s="2">
        <v>264.37</v>
      </c>
      <c r="F25" s="2">
        <v>312.08999999999997</v>
      </c>
      <c r="U25" s="1"/>
    </row>
    <row r="26" spans="1:22">
      <c r="A26" s="15">
        <v>41143</v>
      </c>
      <c r="B26" s="3" t="s">
        <v>40</v>
      </c>
      <c r="E26" s="2">
        <v>112.74</v>
      </c>
    </row>
    <row r="27" spans="1:22">
      <c r="A27" s="15">
        <v>41144</v>
      </c>
      <c r="B27" s="3" t="s">
        <v>40</v>
      </c>
      <c r="E27" s="2">
        <f>258.16+72.73</f>
        <v>330.89000000000004</v>
      </c>
      <c r="F27" s="2">
        <v>166.06</v>
      </c>
      <c r="U27" s="1"/>
    </row>
    <row r="28" spans="1:22">
      <c r="A28" s="15">
        <v>41145</v>
      </c>
      <c r="B28" s="3" t="s">
        <v>40</v>
      </c>
      <c r="C28" s="2">
        <v>24.81</v>
      </c>
      <c r="G28" s="2">
        <f>802.1+682.29</f>
        <v>1484.3899999999999</v>
      </c>
      <c r="I28" s="2">
        <v>226.15</v>
      </c>
    </row>
    <row r="29" spans="1:22">
      <c r="A29" s="15">
        <v>41149</v>
      </c>
      <c r="B29" s="3" t="s">
        <v>52</v>
      </c>
      <c r="O29" s="2">
        <v>11.99</v>
      </c>
    </row>
    <row r="30" spans="1:22">
      <c r="A30" s="15">
        <v>41149</v>
      </c>
      <c r="B30" s="3" t="s">
        <v>53</v>
      </c>
      <c r="H30" s="2">
        <v>765.72</v>
      </c>
      <c r="U30" s="1"/>
    </row>
    <row r="31" spans="1:22">
      <c r="A31" s="15">
        <v>41150</v>
      </c>
      <c r="B31" s="3" t="s">
        <v>52</v>
      </c>
      <c r="O31" s="2">
        <v>6.49</v>
      </c>
      <c r="U31" s="1"/>
    </row>
    <row r="32" spans="1:22">
      <c r="A32" s="15">
        <v>41152</v>
      </c>
      <c r="B32" s="3" t="s">
        <v>40</v>
      </c>
      <c r="F32" s="2">
        <v>104.38</v>
      </c>
      <c r="U32" s="1"/>
    </row>
    <row r="33" spans="1:25">
      <c r="A33" s="15">
        <v>41153</v>
      </c>
      <c r="B33" s="3" t="s">
        <v>53</v>
      </c>
      <c r="H33" s="2">
        <v>85.08</v>
      </c>
      <c r="U33" s="1"/>
    </row>
    <row r="34" spans="1:25">
      <c r="A34" s="15">
        <v>41156</v>
      </c>
      <c r="B34" s="3" t="s">
        <v>56</v>
      </c>
      <c r="M34" s="2">
        <v>93.73</v>
      </c>
      <c r="U34" s="1"/>
    </row>
    <row r="35" spans="1:25">
      <c r="A35" s="15">
        <v>41156</v>
      </c>
      <c r="B35" s="3" t="s">
        <v>59</v>
      </c>
      <c r="U35" s="1"/>
      <c r="V35" s="2">
        <v>329.5</v>
      </c>
    </row>
    <row r="36" spans="1:25">
      <c r="A36" s="15">
        <v>41158</v>
      </c>
      <c r="B36" s="3" t="s">
        <v>54</v>
      </c>
      <c r="H36" s="2">
        <v>186.47</v>
      </c>
      <c r="U36" s="1"/>
    </row>
    <row r="37" spans="1:25">
      <c r="A37" s="15">
        <v>41159</v>
      </c>
      <c r="B37" s="3" t="s">
        <v>54</v>
      </c>
      <c r="H37" s="2">
        <v>73.47</v>
      </c>
      <c r="U37" s="1"/>
    </row>
    <row r="38" spans="1:25" s="7" customFormat="1">
      <c r="A38" s="15">
        <v>41162</v>
      </c>
      <c r="B38" s="3" t="s">
        <v>49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v>1336.08</v>
      </c>
      <c r="U38" s="1"/>
      <c r="V38" s="2"/>
      <c r="W38" s="2"/>
      <c r="X38" s="2"/>
      <c r="Y38" s="21"/>
    </row>
    <row r="39" spans="1:25">
      <c r="A39" s="15">
        <v>41162</v>
      </c>
      <c r="B39" s="3" t="s">
        <v>40</v>
      </c>
      <c r="F39" s="2">
        <v>78.91</v>
      </c>
      <c r="N39" s="2">
        <f>110.08+645</f>
        <v>755.08</v>
      </c>
      <c r="O39" s="2">
        <v>172.29</v>
      </c>
      <c r="P39" s="2">
        <v>229.69</v>
      </c>
      <c r="Q39" s="2">
        <v>186.17</v>
      </c>
      <c r="U39" s="1"/>
    </row>
    <row r="40" spans="1:25">
      <c r="A40" s="15">
        <v>41165</v>
      </c>
      <c r="B40" s="3" t="s">
        <v>54</v>
      </c>
      <c r="H40" s="2">
        <v>23.39</v>
      </c>
      <c r="U40" s="1"/>
    </row>
    <row r="41" spans="1:25">
      <c r="A41" s="15">
        <v>41168</v>
      </c>
      <c r="B41" s="3" t="s">
        <v>69</v>
      </c>
      <c r="L41" s="2">
        <v>79.16</v>
      </c>
      <c r="U41" s="1"/>
    </row>
    <row r="42" spans="1:25">
      <c r="A42" s="15">
        <v>41172</v>
      </c>
      <c r="B42" s="3" t="s">
        <v>40</v>
      </c>
      <c r="F42" s="2">
        <v>210.51</v>
      </c>
    </row>
    <row r="43" spans="1:25">
      <c r="A43" s="15">
        <v>41173</v>
      </c>
      <c r="B43" s="3" t="s">
        <v>40</v>
      </c>
      <c r="C43" s="2">
        <v>77.28</v>
      </c>
      <c r="G43" s="2">
        <v>70.55</v>
      </c>
      <c r="U43" s="1"/>
    </row>
    <row r="44" spans="1:25">
      <c r="A44" s="15">
        <v>41177</v>
      </c>
      <c r="B44" s="3" t="s">
        <v>54</v>
      </c>
      <c r="H44" s="2">
        <v>22.74</v>
      </c>
      <c r="U44" s="1"/>
    </row>
    <row r="45" spans="1:25">
      <c r="A45" s="15">
        <v>41177</v>
      </c>
      <c r="B45" s="3" t="s">
        <v>40</v>
      </c>
      <c r="C45" s="2">
        <v>110.09</v>
      </c>
      <c r="I45" s="2">
        <f>94.54+203.02</f>
        <v>297.56</v>
      </c>
      <c r="J45" s="2">
        <v>70.63</v>
      </c>
      <c r="U45" s="1"/>
    </row>
    <row r="46" spans="1:25">
      <c r="A46" s="15">
        <v>41178</v>
      </c>
      <c r="B46" s="3" t="s">
        <v>56</v>
      </c>
      <c r="S46" s="2">
        <v>155.91</v>
      </c>
      <c r="U46" s="1"/>
    </row>
    <row r="47" spans="1:25">
      <c r="A47" s="15">
        <v>41179</v>
      </c>
      <c r="B47" s="3" t="s">
        <v>56</v>
      </c>
      <c r="M47" s="2">
        <v>78.67</v>
      </c>
    </row>
    <row r="48" spans="1:25">
      <c r="A48" s="15">
        <v>41179</v>
      </c>
      <c r="B48" s="3" t="s">
        <v>40</v>
      </c>
      <c r="F48" s="2">
        <v>163.52000000000001</v>
      </c>
      <c r="U48" s="1"/>
    </row>
    <row r="49" spans="1:22">
      <c r="A49" s="15">
        <v>41179</v>
      </c>
      <c r="B49" s="3" t="s">
        <v>71</v>
      </c>
      <c r="U49" s="1"/>
      <c r="V49" s="2">
        <v>39</v>
      </c>
    </row>
    <row r="50" spans="1:22">
      <c r="A50" s="15">
        <v>41180</v>
      </c>
      <c r="B50" s="3" t="s">
        <v>59</v>
      </c>
      <c r="U50" s="1"/>
      <c r="V50" s="2">
        <v>309.5</v>
      </c>
    </row>
    <row r="51" spans="1:22">
      <c r="A51" s="15">
        <v>41182</v>
      </c>
      <c r="B51" s="3" t="s">
        <v>58</v>
      </c>
      <c r="S51" s="2">
        <f>503.6+321.8</f>
        <v>825.40000000000009</v>
      </c>
      <c r="U51" s="1"/>
    </row>
    <row r="52" spans="1:22">
      <c r="A52" s="15">
        <v>41184</v>
      </c>
      <c r="B52" s="3" t="s">
        <v>49</v>
      </c>
      <c r="R52" s="2">
        <v>345.05</v>
      </c>
      <c r="U52" s="1"/>
    </row>
    <row r="53" spans="1:22">
      <c r="A53" s="15">
        <v>41184</v>
      </c>
      <c r="B53" s="3" t="s">
        <v>40</v>
      </c>
      <c r="M53" s="2">
        <v>814.55</v>
      </c>
    </row>
    <row r="54" spans="1:22">
      <c r="A54" s="15">
        <v>41185</v>
      </c>
      <c r="B54" s="3" t="s">
        <v>49</v>
      </c>
      <c r="R54" s="2">
        <v>253.46</v>
      </c>
      <c r="U54" s="1"/>
    </row>
    <row r="55" spans="1:22">
      <c r="A55" s="15">
        <v>41185</v>
      </c>
      <c r="B55" s="3" t="s">
        <v>73</v>
      </c>
      <c r="L55" s="2">
        <v>147.6</v>
      </c>
      <c r="U55" s="1"/>
    </row>
    <row r="56" spans="1:22">
      <c r="A56" s="15">
        <v>41185</v>
      </c>
      <c r="B56" s="3" t="s">
        <v>40</v>
      </c>
      <c r="F56" s="2">
        <v>90.99</v>
      </c>
      <c r="U56" s="1"/>
    </row>
    <row r="57" spans="1:22">
      <c r="A57" s="15">
        <v>41186</v>
      </c>
      <c r="B57" s="3" t="s">
        <v>50</v>
      </c>
      <c r="M57" s="2">
        <v>140.83000000000001</v>
      </c>
    </row>
    <row r="58" spans="1:22">
      <c r="A58" s="15">
        <v>41186</v>
      </c>
      <c r="B58" s="3" t="s">
        <v>50</v>
      </c>
      <c r="M58" s="2">
        <v>41.85</v>
      </c>
      <c r="U58" s="1"/>
    </row>
    <row r="59" spans="1:22">
      <c r="A59" s="15">
        <v>41186</v>
      </c>
      <c r="B59" s="3" t="s">
        <v>40</v>
      </c>
      <c r="K59" s="2">
        <v>133.57</v>
      </c>
      <c r="U59" s="1"/>
    </row>
    <row r="60" spans="1:22">
      <c r="A60" s="15">
        <v>41187</v>
      </c>
      <c r="B60" s="3" t="s">
        <v>54</v>
      </c>
      <c r="H60" s="2">
        <v>117.6</v>
      </c>
      <c r="U60" s="1"/>
    </row>
    <row r="61" spans="1:22">
      <c r="A61" s="15">
        <v>41188</v>
      </c>
      <c r="B61" s="3" t="s">
        <v>40</v>
      </c>
      <c r="E61" s="2">
        <v>155.65</v>
      </c>
      <c r="U61" s="1"/>
    </row>
    <row r="62" spans="1:22">
      <c r="A62" s="15">
        <v>41191</v>
      </c>
      <c r="B62" s="3" t="s">
        <v>52</v>
      </c>
      <c r="O62" s="2">
        <v>11.99</v>
      </c>
      <c r="U62" s="1"/>
    </row>
    <row r="63" spans="1:22">
      <c r="A63" s="15">
        <v>41191</v>
      </c>
      <c r="B63" s="3" t="s">
        <v>54</v>
      </c>
      <c r="H63" s="2">
        <v>23.99</v>
      </c>
    </row>
    <row r="64" spans="1:22">
      <c r="A64" s="15">
        <v>41192</v>
      </c>
      <c r="B64" s="3" t="s">
        <v>40</v>
      </c>
      <c r="M64" s="2">
        <v>453.06</v>
      </c>
      <c r="U64" s="1"/>
    </row>
    <row r="65" spans="1:25">
      <c r="A65" s="15">
        <v>41193</v>
      </c>
      <c r="B65" s="3" t="s">
        <v>58</v>
      </c>
      <c r="M65" s="2">
        <v>231</v>
      </c>
    </row>
    <row r="66" spans="1:25">
      <c r="A66" s="15">
        <v>41195</v>
      </c>
      <c r="B66" s="3" t="s">
        <v>70</v>
      </c>
      <c r="X66" s="2">
        <v>2650</v>
      </c>
      <c r="Y66" s="21">
        <v>6700</v>
      </c>
    </row>
    <row r="67" spans="1:25">
      <c r="A67" s="15">
        <v>41198</v>
      </c>
      <c r="B67" s="3" t="s">
        <v>69</v>
      </c>
      <c r="L67" s="2">
        <v>219.6</v>
      </c>
      <c r="U67" s="1"/>
    </row>
    <row r="68" spans="1:25" s="9" customFormat="1">
      <c r="A68" s="15">
        <v>41199</v>
      </c>
      <c r="B68" s="3" t="s">
        <v>50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789.24</v>
      </c>
      <c r="N68" s="2"/>
      <c r="O68" s="2"/>
      <c r="P68" s="2"/>
      <c r="Q68" s="2"/>
      <c r="R68" s="2"/>
      <c r="S68" s="2"/>
      <c r="T68" s="2">
        <v>10.42</v>
      </c>
      <c r="U68" s="2"/>
      <c r="V68" s="2"/>
      <c r="W68" s="2"/>
      <c r="X68" s="2"/>
      <c r="Y68" s="21"/>
    </row>
    <row r="69" spans="1:25">
      <c r="A69" s="15">
        <v>41199</v>
      </c>
      <c r="B69" s="3" t="s">
        <v>58</v>
      </c>
      <c r="S69" s="2">
        <f>321.8+503.6</f>
        <v>825.40000000000009</v>
      </c>
      <c r="U69" s="1"/>
      <c r="W69" s="8"/>
      <c r="X69" s="8"/>
      <c r="Y69" s="22"/>
    </row>
    <row r="70" spans="1:25">
      <c r="A70" s="15">
        <v>41200</v>
      </c>
      <c r="B70" s="3" t="s">
        <v>40</v>
      </c>
      <c r="J70" s="2">
        <v>163.98</v>
      </c>
      <c r="M70" s="2">
        <v>485.55</v>
      </c>
      <c r="N70" s="2">
        <f>350.98+27.54</f>
        <v>378.52000000000004</v>
      </c>
      <c r="O70" s="2">
        <v>48.51</v>
      </c>
      <c r="P70" s="2">
        <v>202.6</v>
      </c>
      <c r="Q70" s="2">
        <v>44.28</v>
      </c>
      <c r="U70" s="1"/>
    </row>
    <row r="71" spans="1:25">
      <c r="A71" s="15">
        <v>41201</v>
      </c>
      <c r="B71" s="3" t="s">
        <v>49</v>
      </c>
      <c r="T71" s="2">
        <f>449.57+121.48</f>
        <v>571.04999999999995</v>
      </c>
      <c r="U71" s="1"/>
    </row>
    <row r="72" spans="1:25">
      <c r="A72" s="15">
        <v>41204</v>
      </c>
      <c r="B72" s="3" t="s">
        <v>40</v>
      </c>
      <c r="E72" s="2">
        <v>64.92</v>
      </c>
      <c r="F72" s="2">
        <v>153.35</v>
      </c>
    </row>
    <row r="73" spans="1:25">
      <c r="A73" s="15">
        <v>41205</v>
      </c>
      <c r="B73" s="3" t="s">
        <v>56</v>
      </c>
      <c r="S73" s="2">
        <v>183.91</v>
      </c>
    </row>
    <row r="74" spans="1:25">
      <c r="A74" s="15">
        <v>41205</v>
      </c>
      <c r="B74" s="3" t="s">
        <v>40</v>
      </c>
      <c r="M74" s="2">
        <f>173.99+310.23</f>
        <v>484.22</v>
      </c>
      <c r="U74" s="1"/>
    </row>
    <row r="75" spans="1:25">
      <c r="A75" s="15">
        <v>41206</v>
      </c>
      <c r="B75" s="3" t="s">
        <v>56</v>
      </c>
      <c r="M75" s="2">
        <v>74.92</v>
      </c>
      <c r="U75" s="1"/>
    </row>
    <row r="76" spans="1:25">
      <c r="A76" s="15">
        <v>41207</v>
      </c>
      <c r="B76" s="3" t="s">
        <v>49</v>
      </c>
      <c r="T76" s="2">
        <v>252.99</v>
      </c>
    </row>
    <row r="77" spans="1:25">
      <c r="A77" s="15">
        <v>41207</v>
      </c>
      <c r="B77" s="3" t="s">
        <v>40</v>
      </c>
      <c r="N77" s="2">
        <v>402.91</v>
      </c>
      <c r="O77" s="2">
        <v>68.680000000000007</v>
      </c>
      <c r="P77" s="2">
        <v>194.4</v>
      </c>
      <c r="Q77" s="2">
        <v>127.66</v>
      </c>
      <c r="U77" s="1"/>
    </row>
    <row r="78" spans="1:25">
      <c r="A78" s="15">
        <v>41208</v>
      </c>
      <c r="B78" s="3" t="s">
        <v>49</v>
      </c>
      <c r="O78" s="2">
        <v>28.14</v>
      </c>
    </row>
    <row r="79" spans="1:25">
      <c r="A79" s="15">
        <v>41208</v>
      </c>
      <c r="B79" s="3" t="s">
        <v>50</v>
      </c>
      <c r="M79" s="2">
        <f>13.95+13.95+10.44</f>
        <v>38.339999999999996</v>
      </c>
      <c r="U79" s="1"/>
      <c r="W79" s="18"/>
      <c r="X79" s="18"/>
      <c r="Y79" s="23"/>
    </row>
    <row r="80" spans="1:25">
      <c r="A80" s="15">
        <v>41208</v>
      </c>
      <c r="B80" s="3" t="s">
        <v>40</v>
      </c>
      <c r="O80" s="2">
        <v>42.65</v>
      </c>
    </row>
    <row r="81" spans="1:25">
      <c r="A81" s="15">
        <v>41213</v>
      </c>
      <c r="B81" s="3" t="s">
        <v>49</v>
      </c>
      <c r="T81" s="2">
        <v>135.55000000000001</v>
      </c>
      <c r="U81" s="1"/>
    </row>
    <row r="82" spans="1:25">
      <c r="A82" s="15">
        <v>41213</v>
      </c>
      <c r="B82" s="3" t="s">
        <v>59</v>
      </c>
      <c r="U82" s="1"/>
      <c r="V82" s="2">
        <v>329.5</v>
      </c>
    </row>
    <row r="83" spans="1:25" s="17" customFormat="1">
      <c r="A83" s="15">
        <v>41215</v>
      </c>
      <c r="B83" s="3" t="s">
        <v>52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6.49</v>
      </c>
      <c r="P83" s="2"/>
      <c r="Q83" s="2"/>
      <c r="R83" s="2"/>
      <c r="S83" s="2"/>
      <c r="T83" s="2"/>
      <c r="U83" s="1"/>
      <c r="V83" s="8"/>
      <c r="W83" s="2"/>
      <c r="X83" s="2"/>
      <c r="Y83" s="21"/>
    </row>
    <row r="84" spans="1:25">
      <c r="A84" s="15">
        <v>41219</v>
      </c>
      <c r="B84" s="3" t="s">
        <v>74</v>
      </c>
      <c r="U84" s="1"/>
      <c r="V84" s="2">
        <v>282</v>
      </c>
    </row>
    <row r="85" spans="1:25">
      <c r="A85" s="15">
        <v>41219</v>
      </c>
      <c r="B85" s="3" t="s">
        <v>54</v>
      </c>
      <c r="H85" s="2">
        <v>187.77</v>
      </c>
      <c r="U85" s="1"/>
    </row>
    <row r="86" spans="1:25">
      <c r="A86" s="15">
        <v>41220</v>
      </c>
      <c r="B86" s="3" t="s">
        <v>49</v>
      </c>
      <c r="T86" s="2">
        <f>136.46+381.48</f>
        <v>517.94000000000005</v>
      </c>
    </row>
    <row r="87" spans="1:25">
      <c r="A87" s="15">
        <v>41220</v>
      </c>
      <c r="B87" s="3" t="s">
        <v>54</v>
      </c>
      <c r="H87" s="2">
        <v>48.73</v>
      </c>
      <c r="U87" s="1"/>
    </row>
    <row r="88" spans="1:25">
      <c r="A88" s="15">
        <v>41220</v>
      </c>
      <c r="B88" s="3" t="s">
        <v>40</v>
      </c>
      <c r="Q88" s="2">
        <v>57.95</v>
      </c>
      <c r="U88" s="1"/>
    </row>
    <row r="89" spans="1:25">
      <c r="A89" s="15">
        <v>41226</v>
      </c>
      <c r="B89" s="3" t="s">
        <v>58</v>
      </c>
      <c r="M89" s="2">
        <v>20.6</v>
      </c>
    </row>
    <row r="90" spans="1:25">
      <c r="A90" s="15">
        <v>41229</v>
      </c>
      <c r="B90" s="3" t="s">
        <v>40</v>
      </c>
      <c r="E90" s="2">
        <v>26</v>
      </c>
      <c r="F90" s="2">
        <f>463.59+26.49</f>
        <v>490.08</v>
      </c>
      <c r="U90" s="1"/>
    </row>
    <row r="91" spans="1:25">
      <c r="A91" s="15">
        <v>41232</v>
      </c>
      <c r="B91" s="3" t="s">
        <v>40</v>
      </c>
      <c r="G91" s="2">
        <f>85.56+196.87</f>
        <v>282.43</v>
      </c>
      <c r="I91" s="2">
        <f>123.62+88.2</f>
        <v>211.82</v>
      </c>
      <c r="M91" s="2">
        <v>1166.22</v>
      </c>
      <c r="U91" s="1"/>
    </row>
    <row r="92" spans="1:25">
      <c r="A92" s="15">
        <v>41233</v>
      </c>
      <c r="B92" s="3" t="s">
        <v>40</v>
      </c>
      <c r="M92" s="2">
        <v>129.25</v>
      </c>
      <c r="N92" s="2">
        <v>403.63</v>
      </c>
      <c r="O92" s="2">
        <v>38.75</v>
      </c>
      <c r="P92" s="2">
        <v>365.23</v>
      </c>
      <c r="Q92" s="2">
        <v>41.65</v>
      </c>
    </row>
    <row r="93" spans="1:25">
      <c r="A93" s="15">
        <v>41241</v>
      </c>
      <c r="B93" s="3" t="s">
        <v>50</v>
      </c>
      <c r="M93" s="2">
        <v>10.46</v>
      </c>
      <c r="U93" s="1"/>
    </row>
    <row r="94" spans="1:25">
      <c r="A94" s="15">
        <v>41242</v>
      </c>
      <c r="B94" s="3" t="s">
        <v>56</v>
      </c>
      <c r="M94" s="2">
        <v>59.92</v>
      </c>
      <c r="U94" s="1"/>
    </row>
    <row r="95" spans="1:25">
      <c r="A95" s="15">
        <v>41243</v>
      </c>
      <c r="B95" s="3" t="s">
        <v>56</v>
      </c>
      <c r="S95" s="2">
        <v>175.91</v>
      </c>
      <c r="U95" s="1"/>
    </row>
    <row r="96" spans="1:25">
      <c r="A96" s="15">
        <v>41243</v>
      </c>
      <c r="B96" s="3" t="s">
        <v>40</v>
      </c>
      <c r="N96" s="2">
        <v>237.03</v>
      </c>
      <c r="O96" s="2">
        <v>12.99</v>
      </c>
      <c r="P96" s="2">
        <v>88.01</v>
      </c>
      <c r="Q96" s="2">
        <v>79.94</v>
      </c>
      <c r="U96" s="1"/>
    </row>
    <row r="97" spans="1:21">
      <c r="A97" s="15">
        <v>41244</v>
      </c>
      <c r="B97" s="3" t="s">
        <v>54</v>
      </c>
      <c r="P97" s="2">
        <v>749.66</v>
      </c>
      <c r="U97" s="1"/>
    </row>
    <row r="98" spans="1:21">
      <c r="A98" s="15">
        <v>41246</v>
      </c>
      <c r="B98" s="3" t="s">
        <v>49</v>
      </c>
      <c r="T98" s="2">
        <f>1119.61+265.88</f>
        <v>1385.4899999999998</v>
      </c>
    </row>
    <row r="99" spans="1:21">
      <c r="A99" s="15">
        <v>41247</v>
      </c>
      <c r="B99" s="3" t="s">
        <v>49</v>
      </c>
      <c r="R99" s="2">
        <v>783.98</v>
      </c>
      <c r="T99" s="2">
        <v>113.93</v>
      </c>
      <c r="U99" s="1"/>
    </row>
    <row r="100" spans="1:21">
      <c r="A100" s="15">
        <v>41247</v>
      </c>
      <c r="B100" s="3" t="s">
        <v>40</v>
      </c>
      <c r="C100" s="2">
        <v>50.71</v>
      </c>
      <c r="D100" s="2">
        <v>84.11</v>
      </c>
    </row>
    <row r="101" spans="1:21">
      <c r="A101" s="15">
        <v>41247</v>
      </c>
      <c r="B101" s="3" t="s">
        <v>58</v>
      </c>
      <c r="S101" s="2">
        <v>64.36</v>
      </c>
      <c r="U101" s="1"/>
    </row>
    <row r="102" spans="1:21">
      <c r="A102" s="15">
        <v>41249</v>
      </c>
      <c r="B102" s="3" t="s">
        <v>49</v>
      </c>
      <c r="T102" s="2">
        <v>29.03</v>
      </c>
      <c r="U102" s="1"/>
    </row>
    <row r="103" spans="1:21">
      <c r="A103" s="15">
        <v>41249</v>
      </c>
      <c r="B103" s="3" t="s">
        <v>54</v>
      </c>
      <c r="H103" s="2">
        <f>48.73+69.52</f>
        <v>118.25</v>
      </c>
    </row>
    <row r="104" spans="1:21">
      <c r="A104" s="15">
        <v>41253</v>
      </c>
      <c r="B104" s="3" t="s">
        <v>82</v>
      </c>
      <c r="U104" s="2">
        <v>1260</v>
      </c>
    </row>
    <row r="105" spans="1:21">
      <c r="A105" s="15">
        <v>41254</v>
      </c>
      <c r="B105" s="3" t="s">
        <v>40</v>
      </c>
      <c r="E105" s="2">
        <f>198.12+608.76</f>
        <v>806.88</v>
      </c>
    </row>
    <row r="106" spans="1:21">
      <c r="A106" s="15">
        <v>41255</v>
      </c>
      <c r="B106" s="3" t="s">
        <v>49</v>
      </c>
      <c r="R106" s="2">
        <v>298.7</v>
      </c>
    </row>
    <row r="107" spans="1:21">
      <c r="A107" s="15">
        <v>41256</v>
      </c>
      <c r="B107" s="3" t="s">
        <v>50</v>
      </c>
      <c r="M107" s="2">
        <v>13.92</v>
      </c>
      <c r="U107" s="1"/>
    </row>
    <row r="108" spans="1:21">
      <c r="A108" s="15">
        <v>41257</v>
      </c>
      <c r="B108" s="3" t="s">
        <v>49</v>
      </c>
      <c r="T108" s="2">
        <v>210.46</v>
      </c>
    </row>
    <row r="109" spans="1:21">
      <c r="A109" s="15">
        <v>41257</v>
      </c>
      <c r="B109" s="3" t="s">
        <v>54</v>
      </c>
      <c r="H109" s="2">
        <v>24.74</v>
      </c>
    </row>
    <row r="110" spans="1:21">
      <c r="A110" s="15">
        <v>41257</v>
      </c>
      <c r="B110" s="3" t="s">
        <v>75</v>
      </c>
      <c r="P110" s="2">
        <v>30</v>
      </c>
    </row>
    <row r="111" spans="1:21">
      <c r="A111" s="15">
        <v>41260</v>
      </c>
      <c r="B111" s="3" t="s">
        <v>50</v>
      </c>
      <c r="O111" s="2">
        <v>12.39</v>
      </c>
    </row>
    <row r="112" spans="1:21">
      <c r="A112" s="15">
        <v>41261</v>
      </c>
      <c r="B112" s="3" t="s">
        <v>40</v>
      </c>
      <c r="M112" s="2">
        <v>615.69000000000005</v>
      </c>
    </row>
    <row r="113" spans="1:22">
      <c r="A113" s="15">
        <v>41269</v>
      </c>
      <c r="B113" s="3" t="s">
        <v>50</v>
      </c>
      <c r="M113" s="2">
        <v>62.79</v>
      </c>
    </row>
    <row r="114" spans="1:22">
      <c r="A114" s="15">
        <v>41270</v>
      </c>
      <c r="B114" s="3" t="s">
        <v>40</v>
      </c>
      <c r="N114" s="2">
        <f>483.22+178.23</f>
        <v>661.45</v>
      </c>
      <c r="O114" s="2">
        <v>52.5</v>
      </c>
      <c r="P114" s="2">
        <f>132.08+104.98</f>
        <v>237.06</v>
      </c>
      <c r="Q114" s="2">
        <v>115.46</v>
      </c>
      <c r="U114" s="1"/>
    </row>
    <row r="115" spans="1:22">
      <c r="A115" s="15">
        <v>41271</v>
      </c>
      <c r="B115" s="3" t="s">
        <v>56</v>
      </c>
      <c r="M115" s="2">
        <v>74.92</v>
      </c>
      <c r="S115" s="2">
        <v>191.91</v>
      </c>
    </row>
    <row r="116" spans="1:22">
      <c r="A116" s="15">
        <v>41271</v>
      </c>
      <c r="B116" s="3" t="s">
        <v>40</v>
      </c>
      <c r="P116" s="2">
        <v>12.81</v>
      </c>
      <c r="U116" s="1"/>
    </row>
    <row r="117" spans="1:22">
      <c r="A117" s="15">
        <v>41271</v>
      </c>
      <c r="B117" s="3" t="s">
        <v>77</v>
      </c>
      <c r="U117" s="1"/>
      <c r="V117" s="2">
        <v>204</v>
      </c>
    </row>
    <row r="118" spans="1:22">
      <c r="A118" s="15">
        <v>41274</v>
      </c>
      <c r="B118" s="3" t="s">
        <v>59</v>
      </c>
      <c r="V118" s="2">
        <v>326.25</v>
      </c>
    </row>
    <row r="119" spans="1:22">
      <c r="A119" s="15">
        <v>41276</v>
      </c>
      <c r="B119" s="3" t="s">
        <v>78</v>
      </c>
      <c r="L119" s="2">
        <v>75</v>
      </c>
    </row>
    <row r="120" spans="1:22">
      <c r="A120" s="15">
        <v>41277</v>
      </c>
      <c r="B120" s="3" t="s">
        <v>40</v>
      </c>
      <c r="G120" s="2">
        <v>142.46</v>
      </c>
    </row>
    <row r="121" spans="1:22">
      <c r="A121" s="15">
        <v>41278</v>
      </c>
      <c r="B121" s="3" t="s">
        <v>54</v>
      </c>
      <c r="H121" s="2">
        <f>23.99+210.51</f>
        <v>234.5</v>
      </c>
    </row>
    <row r="122" spans="1:22">
      <c r="A122" s="15">
        <v>41281</v>
      </c>
      <c r="B122" s="3" t="s">
        <v>40</v>
      </c>
      <c r="M122" s="2">
        <v>714.83</v>
      </c>
      <c r="U122" s="1"/>
    </row>
    <row r="123" spans="1:22">
      <c r="A123" s="15">
        <v>41282</v>
      </c>
      <c r="B123" s="3" t="s">
        <v>49</v>
      </c>
      <c r="T123" s="2">
        <v>233.51</v>
      </c>
      <c r="U123" s="1"/>
    </row>
    <row r="124" spans="1:22">
      <c r="A124" s="15">
        <v>41282</v>
      </c>
      <c r="B124" s="3" t="s">
        <v>40</v>
      </c>
      <c r="G124" s="2">
        <f>55.39+393.41+142.46</f>
        <v>591.26</v>
      </c>
      <c r="I124" s="2">
        <f>98.89+577.2</f>
        <v>676.09</v>
      </c>
      <c r="J124" s="2">
        <v>215.6</v>
      </c>
    </row>
    <row r="125" spans="1:22">
      <c r="A125" s="15">
        <v>41285</v>
      </c>
      <c r="B125" s="3" t="s">
        <v>40</v>
      </c>
      <c r="M125" s="2">
        <v>618.19000000000005</v>
      </c>
    </row>
    <row r="126" spans="1:22">
      <c r="A126" s="15">
        <v>41288</v>
      </c>
      <c r="B126" s="3" t="s">
        <v>50</v>
      </c>
      <c r="O126" s="2">
        <v>10.53</v>
      </c>
    </row>
    <row r="127" spans="1:22">
      <c r="A127" s="15">
        <v>41288</v>
      </c>
      <c r="B127" s="3" t="s">
        <v>40</v>
      </c>
      <c r="E127" s="2">
        <v>309.58</v>
      </c>
      <c r="F127" s="2">
        <v>260.22000000000003</v>
      </c>
      <c r="U127" s="1"/>
    </row>
    <row r="128" spans="1:22">
      <c r="A128" s="15">
        <v>41290</v>
      </c>
      <c r="B128" s="3" t="s">
        <v>40</v>
      </c>
      <c r="N128" s="2">
        <v>347.95</v>
      </c>
      <c r="O128" s="2">
        <v>22.58</v>
      </c>
      <c r="P128" s="2">
        <f>35.3+96.92</f>
        <v>132.22</v>
      </c>
      <c r="Q128" s="2">
        <v>39.619999999999997</v>
      </c>
      <c r="U128" s="1"/>
    </row>
    <row r="129" spans="1:21">
      <c r="A129" s="15">
        <v>41290</v>
      </c>
      <c r="B129" s="3" t="s">
        <v>69</v>
      </c>
      <c r="L129" s="2">
        <v>57.6</v>
      </c>
    </row>
    <row r="130" spans="1:21">
      <c r="A130" s="15">
        <v>41291</v>
      </c>
      <c r="B130" s="3" t="s">
        <v>56</v>
      </c>
      <c r="S130" s="2">
        <v>80</v>
      </c>
    </row>
    <row r="131" spans="1:21">
      <c r="A131" s="15">
        <v>41291</v>
      </c>
      <c r="B131" s="3" t="s">
        <v>40</v>
      </c>
      <c r="G131" s="2">
        <v>288.67</v>
      </c>
      <c r="H131" s="2">
        <v>51.04</v>
      </c>
      <c r="I131" s="2">
        <f>53.56+227.63</f>
        <v>281.19</v>
      </c>
      <c r="J131" s="2">
        <v>232.18</v>
      </c>
      <c r="L131" s="2">
        <v>80.959999999999994</v>
      </c>
    </row>
    <row r="132" spans="1:21">
      <c r="A132" s="15">
        <v>41296</v>
      </c>
      <c r="B132" s="3" t="s">
        <v>49</v>
      </c>
      <c r="T132" s="2">
        <v>444.73</v>
      </c>
    </row>
    <row r="133" spans="1:21">
      <c r="A133" s="15">
        <v>41298</v>
      </c>
      <c r="B133" s="3" t="s">
        <v>40</v>
      </c>
      <c r="D133" s="2">
        <v>85.16</v>
      </c>
    </row>
    <row r="134" spans="1:21">
      <c r="A134" s="15">
        <v>41299</v>
      </c>
      <c r="B134" s="3" t="s">
        <v>40</v>
      </c>
      <c r="M134" s="2">
        <v>333.88</v>
      </c>
      <c r="U134" s="1"/>
    </row>
    <row r="135" spans="1:21">
      <c r="A135" s="15">
        <v>41302</v>
      </c>
      <c r="B135" s="3" t="s">
        <v>49</v>
      </c>
      <c r="T135" s="2">
        <v>235.41</v>
      </c>
      <c r="U135" s="1"/>
    </row>
    <row r="136" spans="1:21">
      <c r="A136" s="15">
        <v>41302</v>
      </c>
      <c r="B136" s="3" t="s">
        <v>56</v>
      </c>
      <c r="S136" s="2">
        <v>40</v>
      </c>
    </row>
    <row r="137" spans="1:21">
      <c r="A137" s="15">
        <v>41302</v>
      </c>
      <c r="B137" s="3" t="s">
        <v>50</v>
      </c>
      <c r="O137" s="2">
        <v>6.19</v>
      </c>
    </row>
    <row r="138" spans="1:21">
      <c r="A138" s="15">
        <v>41302</v>
      </c>
      <c r="B138" s="3" t="s">
        <v>79</v>
      </c>
      <c r="P138" s="2">
        <v>59.96</v>
      </c>
      <c r="U138" s="1"/>
    </row>
    <row r="139" spans="1:21">
      <c r="A139" s="15">
        <v>41303</v>
      </c>
      <c r="B139" s="3" t="s">
        <v>49</v>
      </c>
      <c r="P139" s="2">
        <v>30.8</v>
      </c>
      <c r="U139" s="1"/>
    </row>
    <row r="140" spans="1:21">
      <c r="A140" s="15">
        <v>41303</v>
      </c>
      <c r="B140" s="3" t="s">
        <v>56</v>
      </c>
      <c r="M140" s="2">
        <v>74.92</v>
      </c>
    </row>
    <row r="141" spans="1:21">
      <c r="A141" s="15">
        <v>41305</v>
      </c>
      <c r="B141" s="3" t="s">
        <v>58</v>
      </c>
      <c r="M141" s="2">
        <v>206.2</v>
      </c>
    </row>
    <row r="142" spans="1:21">
      <c r="A142" s="15">
        <v>41306</v>
      </c>
      <c r="B142" s="3" t="s">
        <v>80</v>
      </c>
      <c r="L142" s="2">
        <v>999</v>
      </c>
      <c r="U142" s="1"/>
    </row>
    <row r="143" spans="1:21">
      <c r="A143" s="15">
        <v>41311</v>
      </c>
      <c r="B143" s="3" t="s">
        <v>49</v>
      </c>
      <c r="R143" s="2">
        <v>40.85</v>
      </c>
      <c r="U143" s="1"/>
    </row>
    <row r="144" spans="1:21">
      <c r="A144" s="15">
        <v>41311</v>
      </c>
      <c r="B144" s="3" t="s">
        <v>40</v>
      </c>
      <c r="E144" s="2">
        <v>415.33</v>
      </c>
      <c r="U144" s="1"/>
    </row>
    <row r="145" spans="1:21">
      <c r="A145" s="15">
        <v>41312</v>
      </c>
      <c r="B145" s="3" t="s">
        <v>54</v>
      </c>
      <c r="H145" s="2">
        <f>115+48.73</f>
        <v>163.72999999999999</v>
      </c>
      <c r="U145" s="1"/>
    </row>
    <row r="146" spans="1:21">
      <c r="A146" s="15">
        <v>41312</v>
      </c>
      <c r="B146" s="3" t="s">
        <v>40</v>
      </c>
      <c r="C146" s="2">
        <v>32.96</v>
      </c>
    </row>
    <row r="147" spans="1:21">
      <c r="A147" s="15">
        <v>41315</v>
      </c>
      <c r="B147" s="3" t="s">
        <v>50</v>
      </c>
      <c r="M147" s="2">
        <v>104.57</v>
      </c>
      <c r="U147" s="1"/>
    </row>
    <row r="148" spans="1:21">
      <c r="A148" s="15">
        <v>41319</v>
      </c>
      <c r="B148" s="3" t="s">
        <v>49</v>
      </c>
      <c r="T148" s="2">
        <v>194.92</v>
      </c>
      <c r="U148" s="1"/>
    </row>
    <row r="149" spans="1:21">
      <c r="A149" s="15">
        <v>41319</v>
      </c>
      <c r="B149" s="3" t="s">
        <v>54</v>
      </c>
      <c r="H149" s="2">
        <v>67.569999999999993</v>
      </c>
    </row>
    <row r="150" spans="1:21">
      <c r="A150" s="15">
        <v>41320</v>
      </c>
      <c r="B150" s="3" t="s">
        <v>81</v>
      </c>
      <c r="L150" s="2">
        <v>262</v>
      </c>
    </row>
    <row r="151" spans="1:21">
      <c r="A151" s="15">
        <v>41320</v>
      </c>
      <c r="B151" s="3" t="s">
        <v>40</v>
      </c>
      <c r="F151" s="2">
        <v>623.22</v>
      </c>
    </row>
    <row r="152" spans="1:21">
      <c r="A152" s="15">
        <v>41320</v>
      </c>
      <c r="B152" s="3" t="s">
        <v>58</v>
      </c>
      <c r="M152" s="2">
        <v>24.6</v>
      </c>
    </row>
    <row r="153" spans="1:21">
      <c r="A153" s="15">
        <v>41325</v>
      </c>
      <c r="B153" s="3" t="s">
        <v>56</v>
      </c>
      <c r="S153" s="2">
        <v>120</v>
      </c>
    </row>
    <row r="154" spans="1:21">
      <c r="A154" s="15">
        <v>41325</v>
      </c>
      <c r="B154" s="3" t="s">
        <v>40</v>
      </c>
      <c r="G154" s="2">
        <v>179.14</v>
      </c>
    </row>
    <row r="155" spans="1:21">
      <c r="A155" s="15">
        <v>41326</v>
      </c>
      <c r="B155" s="3" t="s">
        <v>40</v>
      </c>
      <c r="M155" s="2">
        <v>666.57</v>
      </c>
    </row>
    <row r="156" spans="1:21">
      <c r="A156" s="15">
        <v>41327</v>
      </c>
      <c r="B156" s="3" t="s">
        <v>49</v>
      </c>
      <c r="T156" s="2">
        <v>252.53</v>
      </c>
    </row>
    <row r="157" spans="1:21">
      <c r="A157" s="15">
        <v>41327</v>
      </c>
      <c r="B157" s="3" t="s">
        <v>49</v>
      </c>
      <c r="R157" s="2">
        <v>229.8</v>
      </c>
    </row>
    <row r="158" spans="1:21">
      <c r="A158" s="15">
        <v>41331</v>
      </c>
      <c r="B158" s="3" t="s">
        <v>56</v>
      </c>
      <c r="M158" s="2">
        <v>74.92</v>
      </c>
    </row>
    <row r="159" spans="1:21">
      <c r="A159" s="15">
        <v>41331</v>
      </c>
      <c r="B159" s="3" t="s">
        <v>40</v>
      </c>
      <c r="G159" s="2">
        <v>124.31</v>
      </c>
      <c r="I159" s="2">
        <f>192.36+122.52</f>
        <v>314.88</v>
      </c>
      <c r="J159" s="2">
        <v>97.13</v>
      </c>
      <c r="U159" s="1"/>
    </row>
    <row r="160" spans="1:21">
      <c r="A160" s="15">
        <v>41334</v>
      </c>
      <c r="B160" s="3" t="s">
        <v>54</v>
      </c>
      <c r="U160" s="2">
        <v>735</v>
      </c>
    </row>
    <row r="161" spans="1:22">
      <c r="A161" s="15">
        <v>41335</v>
      </c>
      <c r="B161" s="3" t="s">
        <v>59</v>
      </c>
      <c r="V161" s="2">
        <v>335.5</v>
      </c>
    </row>
    <row r="162" spans="1:22">
      <c r="A162" s="15">
        <v>41337</v>
      </c>
      <c r="B162" s="3" t="s">
        <v>50</v>
      </c>
      <c r="M162" s="2">
        <v>198.09</v>
      </c>
    </row>
    <row r="163" spans="1:22">
      <c r="A163" s="15">
        <v>41339</v>
      </c>
      <c r="B163" s="3" t="s">
        <v>49</v>
      </c>
      <c r="T163" s="2">
        <v>152.94</v>
      </c>
    </row>
    <row r="164" spans="1:22">
      <c r="A164" s="15">
        <v>41339</v>
      </c>
      <c r="B164" s="3" t="s">
        <v>49</v>
      </c>
      <c r="R164" s="2">
        <v>111.8</v>
      </c>
    </row>
    <row r="165" spans="1:22">
      <c r="A165" s="15">
        <v>41339</v>
      </c>
      <c r="B165" s="3" t="s">
        <v>54</v>
      </c>
      <c r="H165" s="2">
        <f>117.6+22.74</f>
        <v>140.34</v>
      </c>
    </row>
    <row r="166" spans="1:22">
      <c r="A166" s="15">
        <v>41340</v>
      </c>
      <c r="B166" s="3" t="s">
        <v>49</v>
      </c>
      <c r="T166" s="2">
        <v>573.17999999999995</v>
      </c>
    </row>
    <row r="167" spans="1:22">
      <c r="A167" s="15">
        <v>41340</v>
      </c>
      <c r="B167" s="3" t="s">
        <v>54</v>
      </c>
      <c r="H167" s="2">
        <v>48.73</v>
      </c>
    </row>
    <row r="168" spans="1:22">
      <c r="A168" s="15">
        <v>41340</v>
      </c>
      <c r="B168" s="3" t="s">
        <v>40</v>
      </c>
      <c r="N168" s="2">
        <v>63.68</v>
      </c>
      <c r="O168" s="2">
        <v>30.45</v>
      </c>
      <c r="P168" s="2">
        <v>83.04</v>
      </c>
      <c r="Q168" s="2">
        <v>35.369999999999997</v>
      </c>
    </row>
    <row r="169" spans="1:22">
      <c r="A169" s="15">
        <v>41341</v>
      </c>
      <c r="B169" s="3" t="s">
        <v>54</v>
      </c>
      <c r="P169" s="2">
        <v>59.96</v>
      </c>
    </row>
    <row r="170" spans="1:22">
      <c r="A170" s="15">
        <v>41344</v>
      </c>
      <c r="B170" s="3" t="s">
        <v>49</v>
      </c>
      <c r="T170" s="2">
        <v>62.83</v>
      </c>
    </row>
    <row r="171" spans="1:22">
      <c r="A171" s="15">
        <v>41345</v>
      </c>
      <c r="B171" s="3" t="s">
        <v>40</v>
      </c>
      <c r="D171" s="2">
        <v>47.62</v>
      </c>
    </row>
    <row r="172" spans="1:22">
      <c r="A172" s="15">
        <v>41348</v>
      </c>
      <c r="B172" s="3" t="s">
        <v>56</v>
      </c>
      <c r="S172" s="2">
        <v>120</v>
      </c>
    </row>
    <row r="173" spans="1:22">
      <c r="A173" s="15">
        <v>41352</v>
      </c>
      <c r="B173" s="3" t="s">
        <v>40</v>
      </c>
      <c r="E173" s="2">
        <v>265.11</v>
      </c>
      <c r="F173" s="2">
        <v>412.6</v>
      </c>
      <c r="G173" s="2">
        <v>567.49</v>
      </c>
      <c r="I173" s="2">
        <v>297.22000000000003</v>
      </c>
      <c r="M173" s="2">
        <v>1077</v>
      </c>
    </row>
    <row r="174" spans="1:22">
      <c r="A174" s="15">
        <v>41355</v>
      </c>
      <c r="B174" s="3" t="s">
        <v>40</v>
      </c>
      <c r="I174" s="2">
        <v>69.08</v>
      </c>
    </row>
    <row r="175" spans="1:22">
      <c r="A175" s="15">
        <v>41358</v>
      </c>
      <c r="B175" s="3" t="s">
        <v>49</v>
      </c>
      <c r="S175" s="2">
        <v>76.25</v>
      </c>
    </row>
    <row r="176" spans="1:22">
      <c r="A176" s="15">
        <v>41359</v>
      </c>
      <c r="B176" s="3" t="s">
        <v>49</v>
      </c>
      <c r="T176" s="2">
        <f>106.94+32.48</f>
        <v>139.41999999999999</v>
      </c>
    </row>
    <row r="177" spans="1:25">
      <c r="A177" s="15">
        <v>41359</v>
      </c>
      <c r="B177" s="3" t="s">
        <v>40</v>
      </c>
      <c r="M177" s="2">
        <v>135.72999999999999</v>
      </c>
    </row>
    <row r="178" spans="1:25">
      <c r="A178" s="15">
        <v>41359</v>
      </c>
      <c r="B178" s="3" t="s">
        <v>62</v>
      </c>
      <c r="F178" s="2">
        <v>46.68</v>
      </c>
    </row>
    <row r="179" spans="1:25">
      <c r="A179" s="15">
        <v>41360</v>
      </c>
      <c r="B179" s="3" t="s">
        <v>49</v>
      </c>
      <c r="T179" s="2">
        <v>421.83</v>
      </c>
    </row>
    <row r="180" spans="1:25">
      <c r="A180" s="15">
        <v>41361</v>
      </c>
      <c r="B180" s="3" t="s">
        <v>50</v>
      </c>
      <c r="M180" s="2">
        <v>147.21</v>
      </c>
    </row>
    <row r="181" spans="1:25" s="11" customFormat="1">
      <c r="A181" s="15">
        <v>41362</v>
      </c>
      <c r="B181" s="3" t="s">
        <v>59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>
        <v>291</v>
      </c>
      <c r="W181" s="2"/>
      <c r="X181" s="2"/>
      <c r="Y181" s="21"/>
    </row>
    <row r="182" spans="1:25">
      <c r="A182" s="15">
        <v>41362</v>
      </c>
      <c r="B182" s="3" t="s">
        <v>40</v>
      </c>
      <c r="F182" s="2">
        <v>239.43</v>
      </c>
      <c r="V182" s="10"/>
      <c r="W182" s="10"/>
      <c r="X182" s="10"/>
      <c r="Y182" s="24"/>
    </row>
    <row r="183" spans="1:25">
      <c r="A183" s="15">
        <v>41363</v>
      </c>
      <c r="B183" s="3" t="s">
        <v>59</v>
      </c>
      <c r="V183" s="2">
        <v>292</v>
      </c>
    </row>
    <row r="184" spans="1:25">
      <c r="A184" s="15">
        <v>41368</v>
      </c>
      <c r="B184" s="3" t="s">
        <v>88</v>
      </c>
      <c r="S184" s="2">
        <v>23</v>
      </c>
    </row>
    <row r="185" spans="1:25">
      <c r="A185" s="15">
        <v>41369</v>
      </c>
      <c r="B185" s="3" t="s">
        <v>79</v>
      </c>
      <c r="L185" s="2">
        <v>59.96</v>
      </c>
    </row>
    <row r="186" spans="1:25">
      <c r="A186" s="15">
        <v>41372</v>
      </c>
      <c r="B186" s="3" t="s">
        <v>79</v>
      </c>
      <c r="L186" s="2">
        <v>59.96</v>
      </c>
    </row>
    <row r="187" spans="1:25">
      <c r="A187" s="15">
        <v>41372</v>
      </c>
      <c r="B187" s="3" t="s">
        <v>87</v>
      </c>
      <c r="U187" s="2">
        <v>155</v>
      </c>
    </row>
    <row r="188" spans="1:25">
      <c r="A188" s="15">
        <v>41374</v>
      </c>
      <c r="B188" s="3" t="s">
        <v>40</v>
      </c>
      <c r="N188" s="2">
        <f>277+38.99</f>
        <v>315.99</v>
      </c>
      <c r="O188" s="2">
        <v>155.21</v>
      </c>
      <c r="P188" s="2">
        <f>116.63+29.61</f>
        <v>146.24</v>
      </c>
      <c r="Q188" s="2">
        <v>50.66</v>
      </c>
    </row>
    <row r="189" spans="1:25">
      <c r="A189" s="15">
        <v>41375</v>
      </c>
      <c r="B189" s="3" t="s">
        <v>54</v>
      </c>
      <c r="H189" s="2">
        <f>161.78+46.78+48.73</f>
        <v>257.29000000000002</v>
      </c>
    </row>
    <row r="190" spans="1:25">
      <c r="A190" s="15">
        <v>41376</v>
      </c>
      <c r="B190" s="3" t="s">
        <v>40</v>
      </c>
      <c r="M190" s="2">
        <f>797.98+102.45</f>
        <v>900.43000000000006</v>
      </c>
    </row>
    <row r="191" spans="1:25">
      <c r="A191" s="15">
        <v>41381</v>
      </c>
      <c r="B191" s="3" t="s">
        <v>86</v>
      </c>
      <c r="S191" s="2">
        <f>13+1793.8</f>
        <v>1806.8</v>
      </c>
    </row>
    <row r="192" spans="1:25">
      <c r="A192" s="15">
        <v>41388</v>
      </c>
      <c r="B192" s="3" t="s">
        <v>49</v>
      </c>
      <c r="L192" s="2">
        <f>226.78-19.35</f>
        <v>207.43</v>
      </c>
      <c r="P192" s="2">
        <v>19.350000000000001</v>
      </c>
      <c r="T192" s="2">
        <v>197.16</v>
      </c>
    </row>
    <row r="193" spans="1:22">
      <c r="A193" s="15">
        <v>41388</v>
      </c>
      <c r="B193" s="3" t="s">
        <v>89</v>
      </c>
      <c r="S193" s="2">
        <v>16</v>
      </c>
    </row>
    <row r="194" spans="1:22">
      <c r="A194" s="15">
        <v>41389</v>
      </c>
      <c r="B194" s="3" t="s">
        <v>40</v>
      </c>
      <c r="M194" s="2">
        <v>281.2</v>
      </c>
    </row>
    <row r="195" spans="1:22">
      <c r="A195" s="15">
        <v>41390</v>
      </c>
      <c r="B195" s="3" t="s">
        <v>56</v>
      </c>
      <c r="M195" s="2">
        <v>74.92</v>
      </c>
    </row>
    <row r="196" spans="1:22">
      <c r="A196" s="15">
        <v>41393</v>
      </c>
      <c r="B196" s="3" t="s">
        <v>40</v>
      </c>
      <c r="E196" s="2">
        <v>349.92</v>
      </c>
      <c r="F196" s="2">
        <v>265.45999999999998</v>
      </c>
      <c r="G196" s="2">
        <v>472.55</v>
      </c>
      <c r="I196" s="2">
        <v>226.46</v>
      </c>
      <c r="J196" s="2">
        <v>220.32</v>
      </c>
    </row>
    <row r="197" spans="1:22">
      <c r="A197" s="15">
        <v>41393</v>
      </c>
      <c r="B197" s="3" t="s">
        <v>49</v>
      </c>
      <c r="L197" s="2">
        <f>361.92+26.21</f>
        <v>388.13</v>
      </c>
    </row>
    <row r="198" spans="1:22">
      <c r="A198" s="15">
        <v>41393</v>
      </c>
      <c r="B198" s="3" t="s">
        <v>50</v>
      </c>
      <c r="O198" s="2">
        <v>6.19</v>
      </c>
    </row>
    <row r="199" spans="1:22">
      <c r="A199" s="15">
        <v>41394</v>
      </c>
      <c r="B199" s="3" t="s">
        <v>49</v>
      </c>
      <c r="T199" s="2">
        <v>38.92</v>
      </c>
    </row>
    <row r="200" spans="1:22">
      <c r="A200" s="15">
        <v>41394</v>
      </c>
      <c r="B200" s="3" t="s">
        <v>40</v>
      </c>
      <c r="D200" s="2">
        <v>108.25</v>
      </c>
    </row>
    <row r="201" spans="1:22">
      <c r="A201" s="15">
        <v>41394</v>
      </c>
      <c r="B201" s="3" t="s">
        <v>59</v>
      </c>
      <c r="V201" s="2">
        <v>324.5</v>
      </c>
    </row>
    <row r="202" spans="1:22">
      <c r="A202" s="15">
        <v>41395</v>
      </c>
      <c r="B202" s="3" t="s">
        <v>49</v>
      </c>
      <c r="T202" s="2">
        <v>78.38</v>
      </c>
    </row>
    <row r="203" spans="1:22">
      <c r="A203" s="15">
        <v>41396</v>
      </c>
      <c r="B203" s="3" t="s">
        <v>58</v>
      </c>
      <c r="S203" s="2">
        <v>215.45</v>
      </c>
    </row>
    <row r="204" spans="1:22">
      <c r="A204" s="15">
        <v>41396</v>
      </c>
      <c r="B204" s="3" t="s">
        <v>54</v>
      </c>
      <c r="H204" s="2">
        <f>185.82+44.83</f>
        <v>230.64999999999998</v>
      </c>
    </row>
    <row r="205" spans="1:22">
      <c r="A205" s="15">
        <v>41397</v>
      </c>
      <c r="B205" s="3" t="s">
        <v>49</v>
      </c>
      <c r="T205" s="2">
        <v>54.94</v>
      </c>
    </row>
    <row r="206" spans="1:22">
      <c r="A206" s="15">
        <v>41397</v>
      </c>
      <c r="B206" s="3" t="s">
        <v>54</v>
      </c>
      <c r="H206" s="2">
        <v>48.73</v>
      </c>
    </row>
    <row r="207" spans="1:22">
      <c r="A207" s="15">
        <v>41401</v>
      </c>
      <c r="B207" s="3" t="s">
        <v>40</v>
      </c>
      <c r="M207" s="2">
        <v>1036.6400000000001</v>
      </c>
    </row>
    <row r="208" spans="1:22">
      <c r="A208" s="15">
        <v>41402</v>
      </c>
      <c r="B208" s="3" t="s">
        <v>54</v>
      </c>
      <c r="U208" s="2">
        <v>1613.95</v>
      </c>
    </row>
    <row r="209" spans="1:21">
      <c r="A209" s="15">
        <v>41408</v>
      </c>
      <c r="B209" s="3" t="s">
        <v>89</v>
      </c>
      <c r="S209" s="2">
        <v>24</v>
      </c>
    </row>
    <row r="210" spans="1:21">
      <c r="A210" s="15">
        <v>41408</v>
      </c>
      <c r="B210" s="3" t="s">
        <v>58</v>
      </c>
      <c r="M210" s="2">
        <v>6.95</v>
      </c>
      <c r="S210" s="2">
        <v>6.95</v>
      </c>
    </row>
    <row r="211" spans="1:21">
      <c r="A211" s="15">
        <v>41410</v>
      </c>
      <c r="B211" s="3" t="s">
        <v>40</v>
      </c>
      <c r="E211" s="2">
        <v>236.91</v>
      </c>
      <c r="F211" s="2">
        <v>262.67</v>
      </c>
    </row>
    <row r="212" spans="1:21">
      <c r="A212" s="15">
        <v>41411</v>
      </c>
      <c r="B212" s="3" t="s">
        <v>40</v>
      </c>
      <c r="E212" s="2">
        <v>356.95</v>
      </c>
    </row>
    <row r="213" spans="1:21">
      <c r="A213" s="15">
        <v>41414</v>
      </c>
      <c r="B213" s="3" t="s">
        <v>49</v>
      </c>
      <c r="T213" s="2">
        <v>81.42</v>
      </c>
    </row>
    <row r="214" spans="1:21">
      <c r="A214" s="15">
        <v>41414</v>
      </c>
      <c r="B214" s="3" t="s">
        <v>40</v>
      </c>
      <c r="L214" s="2">
        <v>12.6</v>
      </c>
      <c r="N214" s="2">
        <v>283.02999999999997</v>
      </c>
      <c r="O214" s="2">
        <v>48.19</v>
      </c>
      <c r="P214" s="2">
        <v>293.77999999999997</v>
      </c>
      <c r="Q214" s="2">
        <v>33.08</v>
      </c>
    </row>
    <row r="215" spans="1:21">
      <c r="A215" s="15">
        <v>41414</v>
      </c>
      <c r="B215" s="3" t="s">
        <v>58</v>
      </c>
      <c r="S215" s="2">
        <v>89.98</v>
      </c>
    </row>
    <row r="216" spans="1:21">
      <c r="A216" s="15">
        <v>41415</v>
      </c>
      <c r="B216" s="3" t="s">
        <v>40</v>
      </c>
      <c r="P216" s="2">
        <v>1274.53</v>
      </c>
    </row>
    <row r="217" spans="1:21">
      <c r="A217" s="15" t="s">
        <v>85</v>
      </c>
      <c r="B217" s="3" t="s">
        <v>58</v>
      </c>
      <c r="S217" s="2">
        <v>771</v>
      </c>
      <c r="U217" s="1"/>
    </row>
    <row r="218" spans="1:21">
      <c r="A218" s="15" t="s">
        <v>85</v>
      </c>
      <c r="B218" s="3" t="s">
        <v>58</v>
      </c>
      <c r="S218" s="2">
        <v>386.16</v>
      </c>
    </row>
    <row r="219" spans="1:21">
      <c r="A219" s="15" t="s">
        <v>85</v>
      </c>
      <c r="B219" s="3" t="s">
        <v>56</v>
      </c>
      <c r="S219" s="2">
        <v>700</v>
      </c>
    </row>
    <row r="220" spans="1:21">
      <c r="A220" s="15" t="s">
        <v>83</v>
      </c>
      <c r="B220" s="3" t="s">
        <v>84</v>
      </c>
      <c r="H220" s="2">
        <v>255</v>
      </c>
    </row>
    <row r="221" spans="1:21">
      <c r="A221" s="15">
        <v>41410</v>
      </c>
      <c r="B221" s="3" t="s">
        <v>58</v>
      </c>
      <c r="M221" s="2">
        <v>264.8</v>
      </c>
    </row>
    <row r="222" spans="1:21">
      <c r="A222" s="15">
        <v>41407</v>
      </c>
      <c r="B222" s="3" t="s">
        <v>50</v>
      </c>
      <c r="O222" s="2">
        <v>12.39</v>
      </c>
    </row>
    <row r="223" spans="1:21">
      <c r="A223" s="15">
        <v>41415</v>
      </c>
      <c r="B223" s="3" t="s">
        <v>54</v>
      </c>
      <c r="L223" s="2">
        <v>500</v>
      </c>
    </row>
    <row r="224" spans="1:21">
      <c r="A224" s="15">
        <v>41052</v>
      </c>
      <c r="B224" s="3" t="s">
        <v>40</v>
      </c>
      <c r="M224" s="2">
        <f>1419.09+396.53</f>
        <v>1815.62</v>
      </c>
    </row>
    <row r="225" spans="1:22">
      <c r="A225" s="15">
        <v>41417</v>
      </c>
      <c r="B225" s="3" t="s">
        <v>49</v>
      </c>
      <c r="R225" s="2">
        <v>271.68</v>
      </c>
    </row>
    <row r="226" spans="1:22">
      <c r="A226" s="15">
        <v>41358</v>
      </c>
      <c r="B226" s="3" t="s">
        <v>56</v>
      </c>
      <c r="M226" s="2">
        <v>74.92</v>
      </c>
    </row>
    <row r="227" spans="1:22">
      <c r="A227" s="15">
        <v>41423</v>
      </c>
      <c r="B227" s="3" t="s">
        <v>49</v>
      </c>
      <c r="M227" s="2">
        <v>748.05</v>
      </c>
      <c r="T227" s="2">
        <v>33.43</v>
      </c>
    </row>
    <row r="228" spans="1:22">
      <c r="A228" s="15">
        <v>41424</v>
      </c>
      <c r="B228" s="3" t="s">
        <v>40</v>
      </c>
      <c r="G228" s="2">
        <v>122.64</v>
      </c>
    </row>
    <row r="229" spans="1:22">
      <c r="A229" s="15">
        <v>41417</v>
      </c>
      <c r="B229" s="3" t="s">
        <v>50</v>
      </c>
      <c r="M229" s="2">
        <v>679.14</v>
      </c>
    </row>
    <row r="230" spans="1:22">
      <c r="A230" s="15">
        <v>41423</v>
      </c>
      <c r="B230" s="3" t="s">
        <v>59</v>
      </c>
      <c r="V230" s="2">
        <v>323.25</v>
      </c>
    </row>
    <row r="231" spans="1:22">
      <c r="A231" s="15">
        <v>41421</v>
      </c>
      <c r="B231" s="3" t="s">
        <v>79</v>
      </c>
      <c r="L231" s="2">
        <v>112.46</v>
      </c>
    </row>
    <row r="232" spans="1:22">
      <c r="A232" s="15">
        <v>41432</v>
      </c>
      <c r="B232" s="3" t="s">
        <v>40</v>
      </c>
      <c r="E232" s="2">
        <v>112.76</v>
      </c>
      <c r="F232" s="2">
        <v>245.45</v>
      </c>
      <c r="O232" s="2">
        <v>64.400000000000006</v>
      </c>
      <c r="P232" s="2">
        <v>139.29</v>
      </c>
    </row>
    <row r="233" spans="1:22">
      <c r="A233" s="15">
        <v>41435</v>
      </c>
      <c r="B233" s="3" t="s">
        <v>40</v>
      </c>
      <c r="N233" s="2">
        <v>9.1199999999999992</v>
      </c>
    </row>
    <row r="234" spans="1:22">
      <c r="A234" s="15">
        <v>41417</v>
      </c>
      <c r="B234" s="3" t="s">
        <v>50</v>
      </c>
      <c r="M234" s="2">
        <v>34.880000000000003</v>
      </c>
    </row>
    <row r="235" spans="1:22">
      <c r="A235" s="15">
        <v>41429</v>
      </c>
      <c r="B235" s="3" t="s">
        <v>50</v>
      </c>
      <c r="M235" s="2">
        <v>20.93</v>
      </c>
    </row>
    <row r="236" spans="1:22">
      <c r="A236" s="15">
        <v>41425</v>
      </c>
      <c r="B236" s="3" t="s">
        <v>79</v>
      </c>
      <c r="P236" s="2">
        <v>59.96</v>
      </c>
    </row>
    <row r="237" spans="1:22">
      <c r="A237" s="15">
        <v>41429</v>
      </c>
      <c r="B237" s="3" t="s">
        <v>49</v>
      </c>
      <c r="R237" s="2">
        <v>162.72</v>
      </c>
    </row>
    <row r="238" spans="1:22">
      <c r="A238" s="15">
        <v>41430</v>
      </c>
      <c r="B238" s="3" t="s">
        <v>79</v>
      </c>
      <c r="H238" s="2">
        <v>208.56</v>
      </c>
    </row>
    <row r="239" spans="1:22">
      <c r="A239" s="15">
        <v>41431</v>
      </c>
      <c r="B239" s="3" t="s">
        <v>79</v>
      </c>
      <c r="H239" s="2">
        <v>45.48</v>
      </c>
    </row>
    <row r="240" spans="1:22">
      <c r="A240" s="15">
        <v>41445</v>
      </c>
      <c r="B240" s="3" t="s">
        <v>40</v>
      </c>
      <c r="F240" s="2">
        <v>58.18</v>
      </c>
    </row>
  </sheetData>
  <sortState ref="A63:Y219">
    <sortCondition ref="A63"/>
  </sortState>
  <phoneticPr fontId="1" type="noConversion"/>
  <pageMargins left="0.18" right="0.18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Itemized</vt:lpstr>
    </vt:vector>
  </TitlesOfParts>
  <Company>Town of Greenfield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director</cp:lastModifiedBy>
  <cp:lastPrinted>2013-07-17T18:18:16Z</cp:lastPrinted>
  <dcterms:created xsi:type="dcterms:W3CDTF">2009-03-16T17:10:57Z</dcterms:created>
  <dcterms:modified xsi:type="dcterms:W3CDTF">2013-07-17T18:27:39Z</dcterms:modified>
</cp:coreProperties>
</file>