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20" yWindow="-105" windowWidth="6165" windowHeight="8325"/>
  </bookViews>
  <sheets>
    <sheet name="Totals" sheetId="1" r:id="rId1"/>
    <sheet name="Itemized" sheetId="2" r:id="rId2"/>
  </sheets>
  <calcPr calcId="125725"/>
</workbook>
</file>

<file path=xl/calcChain.xml><?xml version="1.0" encoding="utf-8"?>
<calcChain xmlns="http://schemas.openxmlformats.org/spreadsheetml/2006/main">
  <c r="Q232" i="2"/>
  <c r="L218"/>
  <c r="L236"/>
  <c r="S211"/>
  <c r="S220"/>
  <c r="C8" i="1"/>
  <c r="C9"/>
  <c r="C10"/>
  <c r="L185" i="2" l="1"/>
  <c r="S161"/>
  <c r="S140"/>
  <c r="S132"/>
  <c r="S106"/>
  <c r="S102"/>
  <c r="C4" i="1"/>
  <c r="C7"/>
  <c r="L88" i="2"/>
  <c r="H49"/>
  <c r="S36"/>
  <c r="L209"/>
  <c r="C3" i="1"/>
  <c r="C12"/>
  <c r="C6"/>
  <c r="C14"/>
  <c r="C5"/>
  <c r="P200" i="2"/>
  <c r="C15" i="1"/>
  <c r="G177" i="2"/>
  <c r="V189"/>
  <c r="F162"/>
  <c r="T150"/>
  <c r="G118"/>
  <c r="T113"/>
  <c r="G110"/>
  <c r="T90"/>
  <c r="I85"/>
  <c r="G85"/>
  <c r="M1"/>
  <c r="D10" i="1" s="1"/>
  <c r="E10" s="1"/>
  <c r="H10" s="1"/>
  <c r="I41" i="2"/>
  <c r="F35"/>
  <c r="I30"/>
  <c r="U5"/>
  <c r="H25"/>
  <c r="L15"/>
  <c r="I16"/>
  <c r="B26" i="1"/>
  <c r="D26" l="1"/>
  <c r="X1" i="2"/>
  <c r="D15" i="1" s="1"/>
  <c r="E15" s="1"/>
  <c r="Y1" i="2"/>
  <c r="D16" i="1" s="1"/>
  <c r="E16" s="1"/>
  <c r="H16" s="1"/>
  <c r="W1" i="2"/>
  <c r="D17" i="1" s="1"/>
  <c r="E17" s="1"/>
  <c r="H17" s="1"/>
  <c r="E1" i="2"/>
  <c r="C23" i="1" s="1"/>
  <c r="F1" i="2"/>
  <c r="E23" i="1" s="1"/>
  <c r="K1" i="2"/>
  <c r="L1"/>
  <c r="D9" i="1" s="1"/>
  <c r="E9" s="1"/>
  <c r="H9" s="1"/>
  <c r="O1" i="2"/>
  <c r="P1"/>
  <c r="Q1"/>
  <c r="R1"/>
  <c r="N1"/>
  <c r="D18" i="1" s="1"/>
  <c r="S1" i="2"/>
  <c r="D11" i="1" s="1"/>
  <c r="E11" s="1"/>
  <c r="H11" s="1"/>
  <c r="T1" i="2"/>
  <c r="D12" i="1" s="1"/>
  <c r="E12" s="1"/>
  <c r="H12" s="1"/>
  <c r="U1" i="2"/>
  <c r="D14" i="1" s="1"/>
  <c r="E14" s="1"/>
  <c r="H14" s="1"/>
  <c r="V1" i="2"/>
  <c r="D13" i="1" s="1"/>
  <c r="E13" s="1"/>
  <c r="H13" s="1"/>
  <c r="J1" i="2"/>
  <c r="D8" i="1" s="1"/>
  <c r="E8" s="1"/>
  <c r="H8" s="1"/>
  <c r="H1" i="2"/>
  <c r="D6" i="1" s="1"/>
  <c r="E6" s="1"/>
  <c r="H6" s="1"/>
  <c r="B1"/>
  <c r="I1" i="2"/>
  <c r="E24" i="1" s="1"/>
  <c r="G1" i="2"/>
  <c r="C24" i="1" s="1"/>
  <c r="C1" i="2"/>
  <c r="C22" i="1" s="1"/>
  <c r="D1" i="2"/>
  <c r="E22" i="1" s="1"/>
  <c r="E25" l="1"/>
  <c r="E26" s="1"/>
  <c r="D4"/>
  <c r="E4" s="1"/>
  <c r="H4" s="1"/>
  <c r="D5"/>
  <c r="E5" s="1"/>
  <c r="H5" s="1"/>
  <c r="C25"/>
  <c r="C26" s="1"/>
  <c r="D3"/>
  <c r="E3" s="1"/>
  <c r="H3" s="1"/>
  <c r="E18"/>
  <c r="D7"/>
  <c r="E7" s="1"/>
  <c r="H7" s="1"/>
  <c r="C19"/>
  <c r="G10" s="1"/>
  <c r="D19" l="1"/>
  <c r="H18"/>
  <c r="E19"/>
  <c r="G13"/>
  <c r="G12"/>
  <c r="G9"/>
  <c r="G7"/>
  <c r="G5"/>
  <c r="G3"/>
  <c r="G17"/>
  <c r="G15"/>
  <c r="G11"/>
  <c r="G8"/>
  <c r="G6"/>
  <c r="G4"/>
  <c r="G18"/>
  <c r="G16"/>
  <c r="G14"/>
  <c r="H21" l="1"/>
  <c r="G19"/>
</calcChain>
</file>

<file path=xl/sharedStrings.xml><?xml version="1.0" encoding="utf-8"?>
<sst xmlns="http://schemas.openxmlformats.org/spreadsheetml/2006/main" count="321" uniqueCount="92">
  <si>
    <t>ccfic</t>
  </si>
  <si>
    <t>ccnon</t>
  </si>
  <si>
    <t>jbfic</t>
  </si>
  <si>
    <t>jbnon</t>
  </si>
  <si>
    <t>lpfic</t>
  </si>
  <si>
    <t>lpgns</t>
  </si>
  <si>
    <t>lpnon</t>
  </si>
  <si>
    <t>Selector</t>
  </si>
  <si>
    <t>Budget</t>
  </si>
  <si>
    <t>Spent to date</t>
  </si>
  <si>
    <t>Left to Spend</t>
  </si>
  <si>
    <t>To Date</t>
  </si>
  <si>
    <t>kl</t>
  </si>
  <si>
    <t>lpscifi</t>
  </si>
  <si>
    <t>date</t>
  </si>
  <si>
    <t>BoCD</t>
  </si>
  <si>
    <t>DVD</t>
  </si>
  <si>
    <t>CD</t>
  </si>
  <si>
    <t xml:space="preserve"> </t>
  </si>
  <si>
    <t>Fiction</t>
  </si>
  <si>
    <t>Nonfiction</t>
  </si>
  <si>
    <t>Jane</t>
  </si>
  <si>
    <t>Teen</t>
  </si>
  <si>
    <t>Large Print</t>
  </si>
  <si>
    <t>Reference</t>
  </si>
  <si>
    <t>Kay</t>
  </si>
  <si>
    <t>Lisa</t>
  </si>
  <si>
    <t>Graphic Novels</t>
  </si>
  <si>
    <t>Magazines</t>
  </si>
  <si>
    <t>lpBoCD</t>
  </si>
  <si>
    <t>lpDVD</t>
  </si>
  <si>
    <t>vendor</t>
  </si>
  <si>
    <t>Databases</t>
  </si>
  <si>
    <t>Mags</t>
  </si>
  <si>
    <t>Category</t>
  </si>
  <si>
    <t>Misc.</t>
  </si>
  <si>
    <t>jbLP</t>
  </si>
  <si>
    <t>to spend</t>
  </si>
  <si>
    <t>% left</t>
  </si>
  <si>
    <t>% of</t>
  </si>
  <si>
    <t>Total</t>
  </si>
  <si>
    <t>Freegal</t>
  </si>
  <si>
    <t>Freading</t>
  </si>
  <si>
    <t>ebfic</t>
  </si>
  <si>
    <t>ebnon</t>
  </si>
  <si>
    <t>Overdrive</t>
  </si>
  <si>
    <t>DBs</t>
  </si>
  <si>
    <t>Youth</t>
  </si>
  <si>
    <t>Notes</t>
  </si>
  <si>
    <t>All</t>
  </si>
  <si>
    <t>Cynthia</t>
  </si>
  <si>
    <t>Ellen</t>
  </si>
  <si>
    <t>Remaining</t>
  </si>
  <si>
    <t>left to spend overall</t>
  </si>
  <si>
    <t>Grey House</t>
  </si>
  <si>
    <t>ref</t>
  </si>
  <si>
    <t>Diane</t>
  </si>
  <si>
    <t>Recorded Books</t>
  </si>
  <si>
    <t>Ingram</t>
  </si>
  <si>
    <t>Amazon</t>
  </si>
  <si>
    <t>Morningstar</t>
  </si>
  <si>
    <t>B&amp;T</t>
  </si>
  <si>
    <t>Cavendish</t>
  </si>
  <si>
    <t>Supermedia</t>
  </si>
  <si>
    <t>dhCD</t>
  </si>
  <si>
    <t>Blackstone</t>
  </si>
  <si>
    <t>Cengage</t>
  </si>
  <si>
    <t>Baker</t>
  </si>
  <si>
    <t>ProQuest</t>
  </si>
  <si>
    <t>Gale</t>
  </si>
  <si>
    <t>Info Today</t>
  </si>
  <si>
    <t>Newsbank</t>
  </si>
  <si>
    <t>Sun</t>
  </si>
  <si>
    <t>Newspapers</t>
  </si>
  <si>
    <t>hfteen</t>
  </si>
  <si>
    <t>Hannah</t>
  </si>
  <si>
    <t>American Patriot</t>
  </si>
  <si>
    <t>Library Ideas</t>
  </si>
  <si>
    <t>YA</t>
  </si>
  <si>
    <t>Zoe</t>
  </si>
  <si>
    <t>zk</t>
  </si>
  <si>
    <t>AudioEditions</t>
  </si>
  <si>
    <t>Bookpage</t>
  </si>
  <si>
    <t>World Eye</t>
  </si>
  <si>
    <t>NADA</t>
  </si>
  <si>
    <t>Demco</t>
  </si>
  <si>
    <t xml:space="preserve">Baker </t>
  </si>
  <si>
    <t>Infogroup</t>
  </si>
  <si>
    <t>Baker Office</t>
  </si>
  <si>
    <t>NEHGS</t>
  </si>
  <si>
    <t>Montague Reporter</t>
  </si>
  <si>
    <t>The Learning Co.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</si>
</sst>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"/>
    <numFmt numFmtId="165" formatCode="m/d/yy;@"/>
  </numFmts>
  <fonts count="1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sz val="8"/>
      <color theme="4"/>
      <name val="Arial"/>
      <family val="2"/>
    </font>
    <font>
      <b/>
      <sz val="8"/>
      <color rgb="FF7030A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40" fontId="1" fillId="0" borderId="1" xfId="0" applyNumberFormat="1" applyFont="1" applyBorder="1" applyAlignment="1">
      <alignment horizontal="right"/>
    </xf>
    <xf numFmtId="40" fontId="1" fillId="0" borderId="1" xfId="0" applyNumberFormat="1" applyFont="1" applyBorder="1"/>
    <xf numFmtId="40" fontId="1" fillId="0" borderId="0" xfId="0" applyNumberFormat="1" applyFont="1"/>
    <xf numFmtId="40" fontId="3" fillId="0" borderId="1" xfId="0" applyNumberFormat="1" applyFont="1" applyBorder="1"/>
    <xf numFmtId="40" fontId="2" fillId="0" borderId="3" xfId="0" applyNumberFormat="1" applyFont="1" applyBorder="1" applyAlignment="1">
      <alignment horizontal="center"/>
    </xf>
    <xf numFmtId="40" fontId="2" fillId="0" borderId="4" xfId="0" applyNumberFormat="1" applyFont="1" applyBorder="1" applyAlignment="1">
      <alignment horizontal="center"/>
    </xf>
    <xf numFmtId="40" fontId="4" fillId="0" borderId="1" xfId="0" applyNumberFormat="1" applyFont="1" applyBorder="1"/>
    <xf numFmtId="40" fontId="5" fillId="0" borderId="1" xfId="0" applyNumberFormat="1" applyFont="1" applyBorder="1"/>
    <xf numFmtId="40" fontId="5" fillId="0" borderId="0" xfId="0" applyNumberFormat="1" applyFont="1"/>
    <xf numFmtId="165" fontId="6" fillId="0" borderId="5" xfId="0" applyNumberFormat="1" applyFont="1" applyBorder="1"/>
    <xf numFmtId="165" fontId="2" fillId="0" borderId="6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/>
    <xf numFmtId="165" fontId="1" fillId="0" borderId="5" xfId="0" applyNumberFormat="1" applyFont="1" applyBorder="1" applyAlignment="1"/>
    <xf numFmtId="40" fontId="1" fillId="0" borderId="0" xfId="0" applyNumberFormat="1" applyFont="1" applyBorder="1" applyAlignment="1"/>
    <xf numFmtId="40" fontId="1" fillId="0" borderId="1" xfId="0" applyNumberFormat="1" applyFont="1" applyBorder="1" applyAlignment="1"/>
    <xf numFmtId="40" fontId="2" fillId="0" borderId="6" xfId="0" applyNumberFormat="1" applyFont="1" applyBorder="1" applyAlignment="1">
      <alignment horizontal="center"/>
    </xf>
    <xf numFmtId="40" fontId="1" fillId="0" borderId="5" xfId="0" applyNumberFormat="1" applyFont="1" applyBorder="1" applyAlignment="1">
      <alignment horizontal="right"/>
    </xf>
    <xf numFmtId="40" fontId="1" fillId="0" borderId="5" xfId="0" applyNumberFormat="1" applyFont="1" applyBorder="1"/>
    <xf numFmtId="40" fontId="1" fillId="0" borderId="5" xfId="0" applyNumberFormat="1" applyFont="1" applyBorder="1" applyAlignment="1"/>
    <xf numFmtId="40" fontId="5" fillId="0" borderId="5" xfId="0" applyNumberFormat="1" applyFont="1" applyBorder="1"/>
    <xf numFmtId="40" fontId="3" fillId="0" borderId="5" xfId="0" applyNumberFormat="1" applyFont="1" applyBorder="1"/>
    <xf numFmtId="0" fontId="7" fillId="0" borderId="0" xfId="0" applyFont="1"/>
    <xf numFmtId="14" fontId="8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0" fontId="9" fillId="0" borderId="0" xfId="0" applyFont="1"/>
    <xf numFmtId="9" fontId="7" fillId="0" borderId="0" xfId="0" applyNumberFormat="1" applyFont="1"/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8" fontId="9" fillId="0" borderId="0" xfId="0" applyNumberFormat="1" applyFont="1" applyFill="1" applyAlignment="1">
      <alignment wrapText="1"/>
    </xf>
    <xf numFmtId="9" fontId="8" fillId="0" borderId="0" xfId="0" applyNumberFormat="1" applyFont="1" applyFill="1"/>
    <xf numFmtId="9" fontId="8" fillId="0" borderId="0" xfId="0" applyNumberFormat="1" applyFont="1"/>
    <xf numFmtId="8" fontId="9" fillId="0" borderId="0" xfId="0" applyNumberFormat="1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164" fontId="8" fillId="0" borderId="0" xfId="0" applyNumberFormat="1" applyFont="1" applyFill="1"/>
    <xf numFmtId="9" fontId="7" fillId="0" borderId="2" xfId="0" applyNumberFormat="1" applyFont="1" applyBorder="1"/>
    <xf numFmtId="0" fontId="8" fillId="0" borderId="0" xfId="0" applyFont="1" applyBorder="1"/>
    <xf numFmtId="164" fontId="8" fillId="0" borderId="0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Alignment="1">
      <alignment horizontal="left"/>
    </xf>
    <xf numFmtId="9" fontId="8" fillId="0" borderId="0" xfId="0" applyNumberFormat="1" applyFont="1" applyBorder="1"/>
    <xf numFmtId="164" fontId="8" fillId="0" borderId="2" xfId="0" applyNumberFormat="1" applyFont="1" applyBorder="1"/>
    <xf numFmtId="9" fontId="7" fillId="0" borderId="7" xfId="0" applyNumberFormat="1" applyFont="1" applyBorder="1"/>
    <xf numFmtId="0" fontId="7" fillId="0" borderId="8" xfId="0" applyFont="1" applyBorder="1"/>
    <xf numFmtId="0" fontId="7" fillId="0" borderId="9" xfId="0" applyFont="1" applyBorder="1"/>
    <xf numFmtId="164" fontId="12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right"/>
    </xf>
    <xf numFmtId="164" fontId="11" fillId="0" borderId="0" xfId="0" applyNumberFormat="1" applyFont="1" applyFill="1" applyAlignment="1">
      <alignment wrapText="1"/>
    </xf>
    <xf numFmtId="164" fontId="11" fillId="0" borderId="0" xfId="0" applyNumberFormat="1" applyFont="1" applyAlignment="1">
      <alignment wrapText="1"/>
    </xf>
    <xf numFmtId="164" fontId="12" fillId="0" borderId="2" xfId="0" applyNumberFormat="1" applyFont="1" applyBorder="1"/>
    <xf numFmtId="8" fontId="7" fillId="0" borderId="0" xfId="0" applyNumberFormat="1" applyFont="1"/>
    <xf numFmtId="8" fontId="9" fillId="0" borderId="0" xfId="0" applyNumberFormat="1" applyFont="1" applyAlignment="1">
      <alignment horizontal="center"/>
    </xf>
    <xf numFmtId="8" fontId="9" fillId="0" borderId="0" xfId="0" applyNumberFormat="1" applyFont="1" applyAlignment="1">
      <alignment horizontal="right"/>
    </xf>
    <xf numFmtId="8" fontId="10" fillId="0" borderId="2" xfId="0" applyNumberFormat="1" applyFont="1" applyBorder="1"/>
    <xf numFmtId="8" fontId="8" fillId="0" borderId="0" xfId="0" applyNumberFormat="1" applyFont="1"/>
    <xf numFmtId="8" fontId="9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/>
    <xf numFmtId="8" fontId="7" fillId="0" borderId="0" xfId="0" applyNumberFormat="1" applyFont="1" applyAlignment="1">
      <alignment horizontal="center"/>
    </xf>
    <xf numFmtId="8" fontId="8" fillId="0" borderId="0" xfId="0" applyNumberFormat="1" applyFont="1" applyAlignment="1">
      <alignment horizontal="right"/>
    </xf>
    <xf numFmtId="8" fontId="8" fillId="0" borderId="0" xfId="0" applyNumberFormat="1" applyFont="1" applyFill="1" applyAlignment="1">
      <alignment horizontal="right" wrapText="1"/>
    </xf>
    <xf numFmtId="8" fontId="8" fillId="0" borderId="0" xfId="0" applyNumberFormat="1" applyFont="1" applyAlignment="1">
      <alignment horizontal="right" wrapText="1"/>
    </xf>
    <xf numFmtId="8" fontId="7" fillId="0" borderId="2" xfId="0" applyNumberFormat="1" applyFont="1" applyBorder="1"/>
    <xf numFmtId="8" fontId="8" fillId="0" borderId="0" xfId="0" applyNumberFormat="1" applyFont="1" applyAlignment="1"/>
    <xf numFmtId="165" fontId="1" fillId="0" borderId="5" xfId="0" applyNumberFormat="1" applyFont="1" applyFill="1" applyBorder="1"/>
    <xf numFmtId="40" fontId="1" fillId="0" borderId="0" xfId="0" applyNumberFormat="1" applyFont="1" applyFill="1"/>
    <xf numFmtId="40" fontId="1" fillId="0" borderId="1" xfId="0" applyNumberFormat="1" applyFont="1" applyFill="1" applyBorder="1"/>
    <xf numFmtId="40" fontId="1" fillId="0" borderId="1" xfId="0" applyNumberFormat="1" applyFont="1" applyFill="1" applyBorder="1" applyAlignment="1">
      <alignment horizontal="right"/>
    </xf>
    <xf numFmtId="40" fontId="1" fillId="0" borderId="5" xfId="0" applyNumberFormat="1" applyFont="1" applyFill="1" applyBorder="1"/>
    <xf numFmtId="40" fontId="4" fillId="0" borderId="0" xfId="0" applyNumberFormat="1" applyFont="1" applyFill="1"/>
    <xf numFmtId="40" fontId="4" fillId="0" borderId="1" xfId="0" applyNumberFormat="1" applyFont="1" applyFill="1" applyBorder="1"/>
    <xf numFmtId="40" fontId="4" fillId="0" borderId="5" xfId="0" applyNumberFormat="1" applyFont="1" applyFill="1" applyBorder="1"/>
    <xf numFmtId="40" fontId="13" fillId="0" borderId="1" xfId="0" applyNumberFormat="1" applyFont="1" applyBorder="1"/>
    <xf numFmtId="165" fontId="13" fillId="0" borderId="5" xfId="0" applyNumberFormat="1" applyFont="1" applyBorder="1"/>
    <xf numFmtId="40" fontId="13" fillId="0" borderId="0" xfId="0" applyNumberFormat="1" applyFont="1"/>
    <xf numFmtId="40" fontId="13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H27" sqref="H27"/>
    </sheetView>
  </sheetViews>
  <sheetFormatPr defaultColWidth="9.140625" defaultRowHeight="15"/>
  <cols>
    <col min="1" max="1" width="14.5703125" style="29" customWidth="1"/>
    <col min="2" max="2" width="14.140625" style="29" customWidth="1"/>
    <col min="3" max="3" width="13.85546875" style="60" customWidth="1"/>
    <col min="4" max="4" width="13.5703125" style="25" customWidth="1"/>
    <col min="5" max="5" width="13.7109375" style="56" customWidth="1"/>
    <col min="6" max="6" width="1.85546875" style="25" customWidth="1"/>
    <col min="7" max="7" width="9.140625" style="34"/>
    <col min="8" max="8" width="9.5703125" style="34" customWidth="1"/>
    <col min="9" max="9" width="14.42578125" style="27" customWidth="1"/>
    <col min="10" max="16384" width="9.140625" style="29"/>
  </cols>
  <sheetData>
    <row r="1" spans="1:10">
      <c r="A1" s="23" t="s">
        <v>11</v>
      </c>
      <c r="B1" s="24">
        <f ca="1">TODAY()</f>
        <v>41827</v>
      </c>
      <c r="G1" s="28" t="s">
        <v>39</v>
      </c>
      <c r="H1" s="28" t="s">
        <v>38</v>
      </c>
    </row>
    <row r="2" spans="1:10">
      <c r="A2" s="30" t="s">
        <v>34</v>
      </c>
      <c r="B2" s="30" t="s">
        <v>48</v>
      </c>
      <c r="C2" s="64" t="s">
        <v>8</v>
      </c>
      <c r="D2" s="51" t="s">
        <v>9</v>
      </c>
      <c r="E2" s="57" t="s">
        <v>10</v>
      </c>
      <c r="F2" s="29"/>
      <c r="G2" s="28" t="s">
        <v>40</v>
      </c>
      <c r="H2" s="28" t="s">
        <v>37</v>
      </c>
      <c r="I2" s="30" t="s">
        <v>7</v>
      </c>
    </row>
    <row r="3" spans="1:10">
      <c r="A3" s="42" t="s">
        <v>19</v>
      </c>
      <c r="B3" s="30"/>
      <c r="C3" s="65">
        <f>17000+400-30-50-320-138.6-93.99-0.77</f>
        <v>16766.64</v>
      </c>
      <c r="D3" s="52">
        <f>Itemized!C1+Itemized!E1+Itemized!G1+Itemized!O1+Itemized!R1</f>
        <v>16101.84</v>
      </c>
      <c r="E3" s="58">
        <f>C3-D3</f>
        <v>664.79999999999927</v>
      </c>
      <c r="F3" s="29"/>
      <c r="G3" s="34">
        <f>C3/C19</f>
        <v>0.17267394438722969</v>
      </c>
      <c r="H3" s="28">
        <f>E3/C3</f>
        <v>3.9650162465467098E-2</v>
      </c>
      <c r="I3" s="45" t="s">
        <v>49</v>
      </c>
    </row>
    <row r="4" spans="1:10">
      <c r="A4" s="42" t="s">
        <v>20</v>
      </c>
      <c r="B4" s="30"/>
      <c r="C4" s="65">
        <f>8500+931+1000+213-213-337.15-250+200</f>
        <v>10043.85</v>
      </c>
      <c r="D4" s="52">
        <f>Itemized!D1+Itemized!F1+Itemized!I1+Itemized!Q1</f>
        <v>10342.09</v>
      </c>
      <c r="E4" s="58">
        <f>C4-D4</f>
        <v>-298.23999999999978</v>
      </c>
      <c r="F4" s="29"/>
      <c r="G4" s="34">
        <f>C4/C19</f>
        <v>0.10343820803295574</v>
      </c>
      <c r="H4" s="28">
        <f t="shared" ref="H4:H18" si="0">E4/C4</f>
        <v>-2.969379271892748E-2</v>
      </c>
      <c r="I4" s="45" t="s">
        <v>49</v>
      </c>
    </row>
    <row r="5" spans="1:10">
      <c r="A5" s="42" t="s">
        <v>27</v>
      </c>
      <c r="B5" s="30"/>
      <c r="C5" s="65">
        <f>800+125+30+50</f>
        <v>1005</v>
      </c>
      <c r="D5" s="52">
        <f>Itemized!P1</f>
        <v>1016.58</v>
      </c>
      <c r="E5" s="58">
        <f t="shared" ref="E5:E12" si="1">C5-D5</f>
        <v>-11.580000000000041</v>
      </c>
      <c r="F5" s="29"/>
      <c r="G5" s="34">
        <f>C5/C19</f>
        <v>1.0350154479917613E-2</v>
      </c>
      <c r="H5" s="28">
        <f t="shared" si="0"/>
        <v>-1.1522388059701533E-2</v>
      </c>
      <c r="I5" s="45" t="s">
        <v>26</v>
      </c>
    </row>
    <row r="6" spans="1:10">
      <c r="A6" s="42" t="s">
        <v>23</v>
      </c>
      <c r="B6" s="30"/>
      <c r="C6" s="65">
        <f>4000+138.6</f>
        <v>4138.6000000000004</v>
      </c>
      <c r="D6" s="52">
        <f>Itemized!H1</f>
        <v>3890.6</v>
      </c>
      <c r="E6" s="58">
        <f t="shared" si="1"/>
        <v>248.00000000000045</v>
      </c>
      <c r="F6" s="29"/>
      <c r="G6" s="34">
        <f>C6/C19</f>
        <v>4.2622039134912471E-2</v>
      </c>
      <c r="H6" s="28">
        <f t="shared" si="0"/>
        <v>5.9923645677282276E-2</v>
      </c>
      <c r="I6" s="45" t="s">
        <v>21</v>
      </c>
    </row>
    <row r="7" spans="1:10">
      <c r="A7" s="23" t="s">
        <v>24</v>
      </c>
      <c r="B7" s="30"/>
      <c r="C7" s="65">
        <f>2100+100-200</f>
        <v>2000</v>
      </c>
      <c r="D7" s="52">
        <f>Itemized!K1</f>
        <v>1997.05</v>
      </c>
      <c r="E7" s="58">
        <f t="shared" si="1"/>
        <v>2.9500000000000455</v>
      </c>
      <c r="F7" s="29"/>
      <c r="G7" s="34">
        <f>C7/C19</f>
        <v>2.0597322348094752E-2</v>
      </c>
      <c r="H7" s="28">
        <f t="shared" si="0"/>
        <v>1.4750000000000227E-3</v>
      </c>
      <c r="I7" s="45" t="s">
        <v>26</v>
      </c>
      <c r="J7" s="34"/>
    </row>
    <row r="8" spans="1:10">
      <c r="A8" s="42" t="s">
        <v>22</v>
      </c>
      <c r="B8" s="30"/>
      <c r="C8" s="65">
        <f>900+100+200</f>
        <v>1200</v>
      </c>
      <c r="D8" s="52">
        <f>Itemized!J1</f>
        <v>1206.47</v>
      </c>
      <c r="E8" s="58">
        <f t="shared" si="1"/>
        <v>-6.4700000000000273</v>
      </c>
      <c r="F8" s="29"/>
      <c r="G8" s="34">
        <f>C8/C19</f>
        <v>1.235839340885685E-2</v>
      </c>
      <c r="H8" s="28">
        <f t="shared" si="0"/>
        <v>-5.3916666666666896E-3</v>
      </c>
      <c r="I8" s="45" t="s">
        <v>75</v>
      </c>
      <c r="J8" s="60"/>
    </row>
    <row r="9" spans="1:10">
      <c r="A9" s="42" t="s">
        <v>47</v>
      </c>
      <c r="B9" s="30"/>
      <c r="C9" s="69">
        <f>14000</f>
        <v>14000</v>
      </c>
      <c r="D9" s="52">
        <f>Itemized!L1</f>
        <v>14144.010000000002</v>
      </c>
      <c r="E9" s="58">
        <f t="shared" si="1"/>
        <v>-144.01000000000204</v>
      </c>
      <c r="F9" s="29"/>
      <c r="G9" s="34">
        <f>C9/C19</f>
        <v>0.14418125643666327</v>
      </c>
      <c r="H9" s="28">
        <f t="shared" si="0"/>
        <v>-1.0286428571428717E-2</v>
      </c>
      <c r="I9" s="45" t="s">
        <v>25</v>
      </c>
    </row>
    <row r="10" spans="1:10">
      <c r="A10" s="42" t="s">
        <v>78</v>
      </c>
      <c r="B10" s="30"/>
      <c r="C10" s="69">
        <f>450+100+200</f>
        <v>750</v>
      </c>
      <c r="D10" s="52">
        <f>Itemized!M1</f>
        <v>755.51</v>
      </c>
      <c r="E10" s="58">
        <f t="shared" si="1"/>
        <v>-5.5099999999999909</v>
      </c>
      <c r="F10" s="29"/>
      <c r="G10" s="34">
        <f>C10/C19</f>
        <v>7.7239958805355316E-3</v>
      </c>
      <c r="H10" s="28">
        <f>E10/C10</f>
        <v>-7.3466666666666541E-3</v>
      </c>
      <c r="I10" s="45" t="s">
        <v>79</v>
      </c>
    </row>
    <row r="11" spans="1:10">
      <c r="A11" s="42" t="s">
        <v>15</v>
      </c>
      <c r="B11" s="30"/>
      <c r="C11" s="69">
        <v>7000</v>
      </c>
      <c r="D11" s="52">
        <f>Itemized!S1</f>
        <v>6187.3799999999992</v>
      </c>
      <c r="E11" s="58">
        <f t="shared" si="1"/>
        <v>812.6200000000008</v>
      </c>
      <c r="F11" s="29"/>
      <c r="G11" s="34">
        <f>C11/C19</f>
        <v>7.2090628218331634E-2</v>
      </c>
      <c r="H11" s="28">
        <f t="shared" si="0"/>
        <v>0.11608857142857154</v>
      </c>
      <c r="I11" s="45" t="s">
        <v>26</v>
      </c>
    </row>
    <row r="12" spans="1:10">
      <c r="A12" s="42" t="s">
        <v>16</v>
      </c>
      <c r="B12" s="30"/>
      <c r="C12" s="69">
        <f>14300-212-150+375+187-187-375+93.99+0.77</f>
        <v>14032.76</v>
      </c>
      <c r="D12" s="52">
        <f>Itemized!T1</f>
        <v>15128.050000000001</v>
      </c>
      <c r="E12" s="58">
        <f t="shared" si="1"/>
        <v>-1095.2900000000009</v>
      </c>
      <c r="F12" s="29"/>
      <c r="G12" s="34">
        <f>C12/C19</f>
        <v>0.14451864057672506</v>
      </c>
      <c r="H12" s="28">
        <f t="shared" si="0"/>
        <v>-7.8052357483488696E-2</v>
      </c>
      <c r="I12" s="45" t="s">
        <v>26</v>
      </c>
    </row>
    <row r="13" spans="1:10" s="37" customFormat="1">
      <c r="A13" s="44" t="s">
        <v>28</v>
      </c>
      <c r="B13" s="36"/>
      <c r="C13" s="66">
        <v>6200</v>
      </c>
      <c r="D13" s="53">
        <f>Itemized!V1</f>
        <v>10174.369999999999</v>
      </c>
      <c r="E13" s="32">
        <f t="shared" ref="E13:E18" si="2">SUM(C13-D13)</f>
        <v>-3974.369999999999</v>
      </c>
      <c r="G13" s="33">
        <f>C13/C19</f>
        <v>6.3851699279093732E-2</v>
      </c>
      <c r="H13" s="28">
        <f t="shared" si="0"/>
        <v>-0.64102741935483853</v>
      </c>
    </row>
    <row r="14" spans="1:10">
      <c r="A14" s="43" t="s">
        <v>35</v>
      </c>
      <c r="B14" s="31" t="s">
        <v>32</v>
      </c>
      <c r="C14" s="67">
        <f>6900+211.97+150+50.03+1432.15+250</f>
        <v>8994.15</v>
      </c>
      <c r="D14" s="54">
        <f>Itemized!U1</f>
        <v>5202.1499999999996</v>
      </c>
      <c r="E14" s="35">
        <f t="shared" si="2"/>
        <v>3792</v>
      </c>
      <c r="F14" s="29"/>
      <c r="G14" s="33">
        <f>C14/C19</f>
        <v>9.2627703398558192E-2</v>
      </c>
      <c r="H14" s="28">
        <f t="shared" si="0"/>
        <v>0.42160737812911725</v>
      </c>
    </row>
    <row r="15" spans="1:10">
      <c r="A15" s="31"/>
      <c r="B15" s="31" t="s">
        <v>42</v>
      </c>
      <c r="C15" s="67">
        <f>2650-2650</f>
        <v>0</v>
      </c>
      <c r="D15" s="54">
        <f>Itemized!X1</f>
        <v>0</v>
      </c>
      <c r="E15" s="35">
        <f t="shared" si="2"/>
        <v>0</v>
      </c>
      <c r="F15" s="29"/>
      <c r="G15" s="33">
        <f>C15/C19</f>
        <v>0</v>
      </c>
      <c r="H15" s="28">
        <v>0</v>
      </c>
      <c r="I15" s="29"/>
    </row>
    <row r="16" spans="1:10" s="37" customFormat="1">
      <c r="A16" s="36"/>
      <c r="B16" s="36" t="s">
        <v>41</v>
      </c>
      <c r="C16" s="66">
        <v>6700</v>
      </c>
      <c r="D16" s="53">
        <f>Itemized!Y1</f>
        <v>6700</v>
      </c>
      <c r="E16" s="35">
        <f t="shared" si="2"/>
        <v>0</v>
      </c>
      <c r="G16" s="33">
        <f>C16/C19</f>
        <v>6.9001029866117419E-2</v>
      </c>
      <c r="H16" s="28">
        <f t="shared" si="0"/>
        <v>0</v>
      </c>
    </row>
    <row r="17" spans="1:12" s="37" customFormat="1">
      <c r="A17" s="36"/>
      <c r="B17" s="36" t="s">
        <v>45</v>
      </c>
      <c r="C17" s="66">
        <v>1869</v>
      </c>
      <c r="D17" s="53">
        <f>Itemized!W1</f>
        <v>1869</v>
      </c>
      <c r="E17" s="35">
        <f t="shared" si="2"/>
        <v>0</v>
      </c>
      <c r="G17" s="33">
        <f>C17/C19</f>
        <v>1.9248197734294543E-2</v>
      </c>
      <c r="H17" s="28">
        <f t="shared" si="0"/>
        <v>0</v>
      </c>
    </row>
    <row r="18" spans="1:12">
      <c r="A18" s="36"/>
      <c r="B18" s="36" t="s">
        <v>17</v>
      </c>
      <c r="C18" s="66">
        <v>2400</v>
      </c>
      <c r="D18" s="53">
        <f>Itemized!N1</f>
        <v>2615.3900000000003</v>
      </c>
      <c r="E18" s="35">
        <f t="shared" si="2"/>
        <v>-215.39000000000033</v>
      </c>
      <c r="F18" s="29"/>
      <c r="G18" s="33">
        <f>C18/C19</f>
        <v>2.47167868177137E-2</v>
      </c>
      <c r="H18" s="28">
        <f t="shared" si="0"/>
        <v>-8.9745833333333469E-2</v>
      </c>
      <c r="I18" s="29" t="s">
        <v>56</v>
      </c>
      <c r="J18" s="34"/>
    </row>
    <row r="19" spans="1:12" ht="15.75" thickBot="1">
      <c r="C19" s="68">
        <f>SUM(C3:C18)</f>
        <v>97099.999999999985</v>
      </c>
      <c r="D19" s="55">
        <f>SUM(D3:D18)</f>
        <v>97330.489999999991</v>
      </c>
      <c r="E19" s="59">
        <f>SUM(E3:E18)</f>
        <v>-230.4900000000016</v>
      </c>
      <c r="F19" s="29"/>
      <c r="G19" s="39">
        <f>SUM(G3:G18)</f>
        <v>1.0000000000000002</v>
      </c>
      <c r="H19" s="46"/>
      <c r="I19" s="29"/>
      <c r="L19" s="25"/>
    </row>
    <row r="20" spans="1:12" ht="16.5" thickTop="1" thickBot="1">
      <c r="D20" s="29"/>
      <c r="E20" s="60"/>
      <c r="F20" s="29"/>
      <c r="G20" s="28"/>
      <c r="I20" s="29"/>
    </row>
    <row r="21" spans="1:12" ht="15.75" thickBot="1">
      <c r="A21" s="23" t="s">
        <v>7</v>
      </c>
      <c r="B21" s="23" t="s">
        <v>19</v>
      </c>
      <c r="C21" s="56" t="s">
        <v>52</v>
      </c>
      <c r="D21" s="26" t="s">
        <v>20</v>
      </c>
      <c r="E21" s="56" t="s">
        <v>52</v>
      </c>
      <c r="F21" s="29"/>
      <c r="H21" s="48">
        <f>E19/C19</f>
        <v>-2.3737384140061959E-3</v>
      </c>
      <c r="I21" s="50" t="s">
        <v>53</v>
      </c>
      <c r="J21" s="49"/>
    </row>
    <row r="22" spans="1:12">
      <c r="A22" s="29" t="s">
        <v>50</v>
      </c>
      <c r="B22" s="25">
        <v>0</v>
      </c>
      <c r="C22" s="62">
        <f>B22-Itemized!C1</f>
        <v>0</v>
      </c>
      <c r="D22" s="25">
        <v>0</v>
      </c>
      <c r="E22" s="61">
        <f>D22-Itemized!D1</f>
        <v>-71.25</v>
      </c>
      <c r="F22" s="29"/>
      <c r="I22" s="29"/>
    </row>
    <row r="23" spans="1:12">
      <c r="A23" s="29" t="s">
        <v>51</v>
      </c>
      <c r="B23" s="41">
        <v>0</v>
      </c>
      <c r="C23" s="62">
        <f>B23-Itemized!E1</f>
        <v>-3971.9300000000003</v>
      </c>
      <c r="D23" s="25">
        <v>0</v>
      </c>
      <c r="E23" s="62">
        <f>D23-Itemized!F1</f>
        <v>-3466.3399999999997</v>
      </c>
      <c r="F23" s="29"/>
      <c r="I23" s="29"/>
    </row>
    <row r="24" spans="1:12">
      <c r="A24" s="40" t="s">
        <v>21</v>
      </c>
      <c r="B24" s="25">
        <v>0</v>
      </c>
      <c r="C24" s="63">
        <f>B24-Itemized!G1</f>
        <v>-5481.2199999999993</v>
      </c>
      <c r="D24" s="41">
        <v>0</v>
      </c>
      <c r="E24" s="63">
        <f>D24-Itemized!I1</f>
        <v>-3886.04</v>
      </c>
      <c r="F24" s="38"/>
      <c r="I24" s="25"/>
    </row>
    <row r="25" spans="1:12">
      <c r="A25" s="29" t="s">
        <v>26</v>
      </c>
      <c r="B25" s="25">
        <v>0</v>
      </c>
      <c r="C25" s="62">
        <f>B25-(Itemized!O1+Itemized!P1+Itemized!R1)</f>
        <v>-7665.27</v>
      </c>
      <c r="D25" s="25">
        <v>0</v>
      </c>
      <c r="E25" s="62">
        <f>D25-Itemized!Q1</f>
        <v>-2918.46</v>
      </c>
      <c r="F25" s="38"/>
      <c r="I25" s="25">
        <v>97100</v>
      </c>
      <c r="J25" s="34"/>
    </row>
    <row r="26" spans="1:12" ht="15.75" thickBot="1">
      <c r="A26" s="29" t="s">
        <v>18</v>
      </c>
      <c r="B26" s="47">
        <f>SUM(B22:B25)</f>
        <v>0</v>
      </c>
      <c r="C26" s="59">
        <f>SUM(C22:C25)</f>
        <v>-17118.419999999998</v>
      </c>
      <c r="D26" s="47">
        <f>SUM(D22:D25)</f>
        <v>0</v>
      </c>
      <c r="E26" s="59">
        <f>SUM(E22:E25)</f>
        <v>-10342.09</v>
      </c>
      <c r="I26" s="25"/>
    </row>
    <row r="27" spans="1:12" ht="15.75" thickTop="1">
      <c r="A27" s="29" t="s">
        <v>18</v>
      </c>
      <c r="E27" s="60"/>
      <c r="I27" s="25"/>
    </row>
    <row r="28" spans="1:12">
      <c r="A28" s="29" t="s">
        <v>18</v>
      </c>
      <c r="E28" s="60"/>
      <c r="I28" s="25"/>
    </row>
    <row r="29" spans="1:12">
      <c r="A29" s="29" t="s">
        <v>18</v>
      </c>
    </row>
    <row r="30" spans="1:12">
      <c r="A30" s="29" t="s">
        <v>18</v>
      </c>
    </row>
  </sheetData>
  <phoneticPr fontId="1" type="noConversion"/>
  <pageMargins left="0.32" right="0.36" top="1" bottom="1" header="0.5" footer="0.5"/>
  <pageSetup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4"/>
  <sheetViews>
    <sheetView zoomScaleNormal="100" workbookViewId="0">
      <pane xSplit="2" ySplit="2" topLeftCell="C205" activePane="bottomRight" state="frozen"/>
      <selection pane="topRight" activeCell="B1" sqref="B1"/>
      <selection pane="bottomLeft" activeCell="A3" sqref="A3"/>
      <selection pane="bottomRight" activeCell="A245" sqref="A245"/>
    </sheetView>
  </sheetViews>
  <sheetFormatPr defaultColWidth="7.7109375" defaultRowHeight="11.25"/>
  <cols>
    <col min="1" max="1" width="7.28515625" style="13" customWidth="1"/>
    <col min="2" max="2" width="11.85546875" style="3" customWidth="1"/>
    <col min="3" max="11" width="7.7109375" style="2" customWidth="1"/>
    <col min="12" max="13" width="9.140625" style="2" customWidth="1"/>
    <col min="14" max="19" width="7.7109375" style="2" customWidth="1"/>
    <col min="20" max="20" width="8.5703125" style="2" customWidth="1"/>
    <col min="21" max="21" width="8.140625" style="2" customWidth="1"/>
    <col min="22" max="22" width="8.85546875" style="2" customWidth="1"/>
    <col min="23" max="24" width="7.7109375" style="2"/>
    <col min="25" max="25" width="7.7109375" style="19"/>
    <col min="26" max="26" width="7.7109375" style="3"/>
    <col min="27" max="27" width="8.42578125" style="3" bestFit="1" customWidth="1"/>
    <col min="28" max="16384" width="7.7109375" style="3"/>
  </cols>
  <sheetData>
    <row r="1" spans="1:25">
      <c r="A1" s="10"/>
      <c r="C1" s="4">
        <f>SUM(C3:C389)</f>
        <v>0</v>
      </c>
      <c r="D1" s="4">
        <f>SUM(D3:D389)</f>
        <v>71.25</v>
      </c>
      <c r="E1" s="4">
        <f>SUM(E3:E389)</f>
        <v>3971.9300000000003</v>
      </c>
      <c r="F1" s="4">
        <f>SUM(F3:F389)</f>
        <v>3466.3399999999997</v>
      </c>
      <c r="G1" s="4">
        <f t="shared" ref="G1:Y1" si="0">SUM(G3:G389)</f>
        <v>5481.2199999999993</v>
      </c>
      <c r="H1" s="4">
        <f t="shared" si="0"/>
        <v>3890.6</v>
      </c>
      <c r="I1" s="4">
        <f t="shared" si="0"/>
        <v>3886.04</v>
      </c>
      <c r="J1" s="4">
        <f t="shared" si="0"/>
        <v>1206.47</v>
      </c>
      <c r="K1" s="4">
        <f t="shared" si="0"/>
        <v>1997.05</v>
      </c>
      <c r="L1" s="4">
        <f t="shared" si="0"/>
        <v>14144.010000000002</v>
      </c>
      <c r="M1" s="4">
        <f t="shared" si="0"/>
        <v>755.51</v>
      </c>
      <c r="N1" s="4">
        <f t="shared" si="0"/>
        <v>2615.3900000000003</v>
      </c>
      <c r="O1" s="4">
        <f t="shared" si="0"/>
        <v>5795.76</v>
      </c>
      <c r="P1" s="4">
        <f t="shared" si="0"/>
        <v>1016.58</v>
      </c>
      <c r="Q1" s="4">
        <f t="shared" si="0"/>
        <v>2918.46</v>
      </c>
      <c r="R1" s="4">
        <f t="shared" si="0"/>
        <v>852.93000000000018</v>
      </c>
      <c r="S1" s="4">
        <f t="shared" si="0"/>
        <v>6187.3799999999992</v>
      </c>
      <c r="T1" s="4">
        <f t="shared" si="0"/>
        <v>15128.050000000001</v>
      </c>
      <c r="U1" s="4">
        <f t="shared" si="0"/>
        <v>5202.1499999999996</v>
      </c>
      <c r="V1" s="4">
        <f t="shared" si="0"/>
        <v>10174.369999999999</v>
      </c>
      <c r="W1" s="4">
        <f t="shared" si="0"/>
        <v>1869</v>
      </c>
      <c r="X1" s="4">
        <f t="shared" si="0"/>
        <v>0</v>
      </c>
      <c r="Y1" s="22">
        <f t="shared" si="0"/>
        <v>6700</v>
      </c>
    </row>
    <row r="2" spans="1:25" s="5" customFormat="1">
      <c r="A2" s="11" t="s">
        <v>14</v>
      </c>
      <c r="B2" s="5" t="s">
        <v>31</v>
      </c>
      <c r="C2" s="6" t="s">
        <v>0</v>
      </c>
      <c r="D2" s="6" t="s">
        <v>1</v>
      </c>
      <c r="E2" s="6" t="s">
        <v>43</v>
      </c>
      <c r="F2" s="6" t="s">
        <v>44</v>
      </c>
      <c r="G2" s="6" t="s">
        <v>2</v>
      </c>
      <c r="H2" s="6" t="s">
        <v>36</v>
      </c>
      <c r="I2" s="6" t="s">
        <v>3</v>
      </c>
      <c r="J2" s="6" t="s">
        <v>74</v>
      </c>
      <c r="K2" s="6" t="s">
        <v>55</v>
      </c>
      <c r="L2" s="6" t="s">
        <v>12</v>
      </c>
      <c r="M2" s="6" t="s">
        <v>80</v>
      </c>
      <c r="N2" s="6" t="s">
        <v>64</v>
      </c>
      <c r="O2" s="6" t="s">
        <v>4</v>
      </c>
      <c r="P2" s="6" t="s">
        <v>5</v>
      </c>
      <c r="Q2" s="6" t="s">
        <v>6</v>
      </c>
      <c r="R2" s="6" t="s">
        <v>13</v>
      </c>
      <c r="S2" s="6" t="s">
        <v>29</v>
      </c>
      <c r="T2" s="6" t="s">
        <v>30</v>
      </c>
      <c r="U2" s="6" t="s">
        <v>46</v>
      </c>
      <c r="V2" s="6" t="s">
        <v>33</v>
      </c>
      <c r="W2" s="6" t="s">
        <v>45</v>
      </c>
      <c r="X2" s="6" t="s">
        <v>42</v>
      </c>
      <c r="Y2" s="17" t="s">
        <v>41</v>
      </c>
    </row>
    <row r="3" spans="1:25">
      <c r="A3" s="13">
        <v>41456</v>
      </c>
      <c r="B3" s="3" t="s">
        <v>60</v>
      </c>
      <c r="K3" s="2">
        <v>170</v>
      </c>
      <c r="U3" s="1"/>
    </row>
    <row r="4" spans="1:25">
      <c r="A4" s="13">
        <v>41456</v>
      </c>
      <c r="B4" s="3" t="s">
        <v>45</v>
      </c>
      <c r="U4" s="1"/>
      <c r="W4" s="2">
        <v>1869</v>
      </c>
    </row>
    <row r="5" spans="1:25">
      <c r="A5" s="13">
        <v>41456</v>
      </c>
      <c r="B5" s="3" t="s">
        <v>68</v>
      </c>
      <c r="U5" s="1">
        <f>1120+875</f>
        <v>1995</v>
      </c>
    </row>
    <row r="6" spans="1:25">
      <c r="A6" s="13">
        <v>41460</v>
      </c>
      <c r="B6" s="3" t="s">
        <v>57</v>
      </c>
      <c r="S6" s="2">
        <v>6.95</v>
      </c>
    </row>
    <row r="7" spans="1:25">
      <c r="A7" s="13">
        <v>41465</v>
      </c>
      <c r="B7" s="3" t="s">
        <v>58</v>
      </c>
      <c r="L7" s="2">
        <v>735.93</v>
      </c>
      <c r="U7" s="1"/>
    </row>
    <row r="8" spans="1:25">
      <c r="A8" s="13">
        <v>41467</v>
      </c>
      <c r="B8" s="3" t="s">
        <v>58</v>
      </c>
      <c r="D8" s="2">
        <v>71.25</v>
      </c>
      <c r="U8" s="1"/>
    </row>
    <row r="9" spans="1:25">
      <c r="A9" s="13">
        <v>41470</v>
      </c>
      <c r="B9" s="3" t="s">
        <v>61</v>
      </c>
      <c r="P9" s="2">
        <v>10.53</v>
      </c>
    </row>
    <row r="10" spans="1:25">
      <c r="A10" s="13">
        <v>41470</v>
      </c>
      <c r="B10" s="3" t="s">
        <v>57</v>
      </c>
      <c r="L10" s="2">
        <v>231</v>
      </c>
    </row>
    <row r="11" spans="1:25" s="71" customFormat="1">
      <c r="A11" s="70">
        <v>41470</v>
      </c>
      <c r="B11" s="71" t="s">
        <v>65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150</v>
      </c>
      <c r="T11" s="72"/>
      <c r="U11" s="73"/>
      <c r="V11" s="72"/>
      <c r="W11" s="72"/>
      <c r="X11" s="72"/>
      <c r="Y11" s="74"/>
    </row>
    <row r="12" spans="1:25" s="71" customFormat="1">
      <c r="A12" s="70">
        <v>41470</v>
      </c>
      <c r="B12" s="71" t="s">
        <v>65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100</v>
      </c>
      <c r="T12" s="72"/>
      <c r="U12" s="73"/>
      <c r="V12" s="72"/>
      <c r="W12" s="72"/>
      <c r="X12" s="72"/>
      <c r="Y12" s="74"/>
    </row>
    <row r="13" spans="1:25">
      <c r="A13" s="13">
        <v>41471</v>
      </c>
      <c r="B13" s="3" t="s">
        <v>62</v>
      </c>
      <c r="L13" s="2">
        <v>193.91</v>
      </c>
      <c r="U13" s="1"/>
    </row>
    <row r="14" spans="1:25">
      <c r="A14" s="13">
        <v>41471</v>
      </c>
      <c r="B14" s="3" t="s">
        <v>63</v>
      </c>
      <c r="K14" s="2">
        <v>60.5</v>
      </c>
      <c r="U14" s="1"/>
    </row>
    <row r="15" spans="1:25">
      <c r="A15" s="13">
        <v>41472</v>
      </c>
      <c r="B15" s="3" t="s">
        <v>58</v>
      </c>
      <c r="E15" s="2">
        <v>412.66</v>
      </c>
      <c r="L15" s="2">
        <f>569.37+125.9</f>
        <v>695.27</v>
      </c>
      <c r="U15" s="1"/>
    </row>
    <row r="16" spans="1:25">
      <c r="A16" s="13">
        <v>41473</v>
      </c>
      <c r="B16" s="3" t="s">
        <v>58</v>
      </c>
      <c r="G16" s="2">
        <v>640.44000000000005</v>
      </c>
      <c r="I16" s="2">
        <f>66.53+346</f>
        <v>412.53</v>
      </c>
      <c r="X16" s="1"/>
      <c r="Y16" s="18"/>
    </row>
    <row r="17" spans="1:25">
      <c r="A17" s="13">
        <v>41474</v>
      </c>
      <c r="B17" s="3" t="s">
        <v>58</v>
      </c>
      <c r="O17" s="2">
        <v>1660.97</v>
      </c>
      <c r="Q17" s="2">
        <v>379.83</v>
      </c>
      <c r="R17" s="2">
        <v>124.56</v>
      </c>
      <c r="U17" s="1"/>
      <c r="W17" s="1"/>
      <c r="X17" s="1"/>
      <c r="Y17" s="18"/>
    </row>
    <row r="18" spans="1:25" s="71" customFormat="1">
      <c r="A18" s="70">
        <v>41479</v>
      </c>
      <c r="B18" s="71" t="s">
        <v>59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>
        <v>1068.29</v>
      </c>
      <c r="U18" s="72"/>
      <c r="V18" s="72"/>
      <c r="W18" s="72"/>
      <c r="X18" s="72"/>
      <c r="Y18" s="74"/>
    </row>
    <row r="19" spans="1:25">
      <c r="A19" s="14">
        <v>41484</v>
      </c>
      <c r="B19" s="3" t="s">
        <v>65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>
        <v>191.88</v>
      </c>
      <c r="T19" s="16"/>
      <c r="U19" s="16"/>
      <c r="V19" s="16"/>
    </row>
    <row r="20" spans="1:25">
      <c r="A20" s="13">
        <v>41485</v>
      </c>
      <c r="B20" s="3" t="s">
        <v>67</v>
      </c>
      <c r="U20" s="1"/>
      <c r="V20" s="2">
        <v>320.5</v>
      </c>
    </row>
    <row r="21" spans="1:25">
      <c r="A21" s="13">
        <v>41488</v>
      </c>
      <c r="B21" s="3" t="s">
        <v>58</v>
      </c>
      <c r="R21" s="2">
        <v>40.71</v>
      </c>
    </row>
    <row r="22" spans="1:25">
      <c r="A22" s="13">
        <v>41493</v>
      </c>
      <c r="B22" s="3" t="s">
        <v>58</v>
      </c>
      <c r="Q22" s="2">
        <v>9.1199999999999992</v>
      </c>
    </row>
    <row r="23" spans="1:25">
      <c r="A23" s="13">
        <v>41493</v>
      </c>
      <c r="B23" s="3" t="s">
        <v>59</v>
      </c>
      <c r="T23" s="2">
        <v>757.32</v>
      </c>
      <c r="U23" s="1"/>
    </row>
    <row r="24" spans="1:25">
      <c r="A24" s="13">
        <v>41493</v>
      </c>
      <c r="B24" s="3" t="s">
        <v>61</v>
      </c>
      <c r="L24" s="2">
        <v>206.18</v>
      </c>
      <c r="U24" s="1"/>
    </row>
    <row r="25" spans="1:25">
      <c r="A25" s="12">
        <v>41494</v>
      </c>
      <c r="B25" s="3" t="s">
        <v>66</v>
      </c>
      <c r="C25" s="1"/>
      <c r="D25" s="1"/>
      <c r="E25" s="1"/>
      <c r="F25" s="1"/>
      <c r="G25" s="1"/>
      <c r="H25" s="1">
        <f>139.69+20.79+73.47</f>
        <v>233.95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5" s="71" customFormat="1">
      <c r="A26" s="70">
        <v>41496</v>
      </c>
      <c r="B26" s="71" t="s">
        <v>59</v>
      </c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>
        <v>102.49</v>
      </c>
      <c r="O26" s="72"/>
      <c r="P26" s="72"/>
      <c r="Q26" s="72"/>
      <c r="R26" s="72"/>
      <c r="S26" s="72"/>
      <c r="T26" s="72"/>
      <c r="U26" s="73"/>
      <c r="V26" s="72"/>
      <c r="W26" s="72"/>
      <c r="X26" s="72"/>
      <c r="Y26" s="74"/>
    </row>
    <row r="27" spans="1:25">
      <c r="A27" s="13">
        <v>41498</v>
      </c>
      <c r="B27" s="3" t="s">
        <v>58</v>
      </c>
      <c r="E27" s="2">
        <v>167.31</v>
      </c>
      <c r="F27" s="2">
        <v>228.6</v>
      </c>
    </row>
    <row r="28" spans="1:25">
      <c r="A28" s="13">
        <v>41502</v>
      </c>
      <c r="B28" s="3" t="s">
        <v>58</v>
      </c>
      <c r="E28" s="2">
        <v>370.26</v>
      </c>
    </row>
    <row r="29" spans="1:25">
      <c r="A29" s="13">
        <v>41507</v>
      </c>
      <c r="B29" s="3" t="s">
        <v>58</v>
      </c>
      <c r="E29" s="2">
        <v>455.63</v>
      </c>
      <c r="F29" s="2">
        <v>270.22000000000003</v>
      </c>
      <c r="U29" s="1"/>
    </row>
    <row r="30" spans="1:25">
      <c r="A30" s="13">
        <v>41508</v>
      </c>
      <c r="B30" s="3" t="s">
        <v>58</v>
      </c>
      <c r="G30" s="2">
        <v>203.86</v>
      </c>
      <c r="I30" s="2">
        <f>188.73+177.59</f>
        <v>366.32</v>
      </c>
      <c r="U30" s="1"/>
    </row>
    <row r="31" spans="1:25">
      <c r="A31" s="13">
        <v>41509</v>
      </c>
      <c r="B31" s="3" t="s">
        <v>67</v>
      </c>
      <c r="U31" s="1"/>
      <c r="V31" s="2">
        <v>320.5</v>
      </c>
    </row>
    <row r="32" spans="1:25">
      <c r="A32" s="13">
        <v>41509</v>
      </c>
      <c r="B32" s="3" t="s">
        <v>58</v>
      </c>
      <c r="E32" s="2">
        <v>341.86</v>
      </c>
      <c r="F32" s="2">
        <v>104.61</v>
      </c>
      <c r="U32" s="1"/>
    </row>
    <row r="33" spans="1:25">
      <c r="A33" s="13">
        <v>41515</v>
      </c>
      <c r="B33" s="3" t="s">
        <v>61</v>
      </c>
      <c r="P33" s="2">
        <v>18.59</v>
      </c>
    </row>
    <row r="34" spans="1:25">
      <c r="A34" s="13">
        <v>41520</v>
      </c>
      <c r="B34" s="3" t="s">
        <v>58</v>
      </c>
      <c r="G34" s="2">
        <v>656.37</v>
      </c>
      <c r="I34" s="2">
        <v>384.18</v>
      </c>
      <c r="J34" s="2">
        <v>219.84</v>
      </c>
      <c r="U34" s="1"/>
    </row>
    <row r="35" spans="1:25">
      <c r="A35" s="13">
        <v>41522</v>
      </c>
      <c r="B35" s="3" t="s">
        <v>58</v>
      </c>
      <c r="E35" s="2">
        <v>317.27</v>
      </c>
      <c r="F35" s="2">
        <f>522+93.53</f>
        <v>615.53</v>
      </c>
      <c r="U35" s="1"/>
    </row>
    <row r="36" spans="1:25">
      <c r="A36" s="13">
        <v>41506</v>
      </c>
      <c r="B36" s="3" t="s">
        <v>65</v>
      </c>
      <c r="S36" s="2">
        <f>63.98+55.98</f>
        <v>119.96</v>
      </c>
      <c r="U36" s="1"/>
    </row>
    <row r="37" spans="1:25">
      <c r="A37" s="13">
        <v>41521</v>
      </c>
      <c r="B37" s="3" t="s">
        <v>69</v>
      </c>
      <c r="H37" s="2">
        <v>23.99</v>
      </c>
      <c r="U37" s="1"/>
    </row>
    <row r="38" spans="1:25">
      <c r="A38" s="13">
        <v>41521</v>
      </c>
      <c r="B38" s="3" t="s">
        <v>70</v>
      </c>
      <c r="K38" s="2">
        <v>404</v>
      </c>
      <c r="U38" s="1"/>
    </row>
    <row r="39" spans="1:25" s="71" customFormat="1">
      <c r="A39" s="70">
        <v>41506</v>
      </c>
      <c r="B39" s="71" t="s">
        <v>71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3">
        <v>1325</v>
      </c>
      <c r="V39" s="72"/>
      <c r="W39" s="72"/>
      <c r="X39" s="72"/>
      <c r="Y39" s="74"/>
    </row>
    <row r="40" spans="1:25">
      <c r="A40" s="13">
        <v>41526</v>
      </c>
      <c r="B40" s="3" t="s">
        <v>58</v>
      </c>
      <c r="E40" s="2">
        <v>147.04</v>
      </c>
    </row>
    <row r="41" spans="1:25">
      <c r="A41" s="13">
        <v>41528</v>
      </c>
      <c r="B41" s="3" t="s">
        <v>58</v>
      </c>
      <c r="G41" s="2">
        <v>252.84</v>
      </c>
      <c r="I41" s="2">
        <f>69.14+19.52</f>
        <v>88.66</v>
      </c>
      <c r="O41" s="2">
        <v>387.17</v>
      </c>
      <c r="P41" s="2">
        <v>33.090000000000003</v>
      </c>
      <c r="Q41" s="2">
        <v>250.2</v>
      </c>
      <c r="R41" s="2">
        <v>119.18</v>
      </c>
      <c r="U41" s="1"/>
    </row>
    <row r="42" spans="1:25">
      <c r="A42" s="13">
        <v>41528</v>
      </c>
      <c r="B42" s="3" t="s">
        <v>59</v>
      </c>
      <c r="T42" s="2">
        <v>467.64</v>
      </c>
      <c r="U42" s="1"/>
    </row>
    <row r="43" spans="1:25">
      <c r="A43" s="13">
        <v>41484</v>
      </c>
      <c r="B43" s="3" t="s">
        <v>61</v>
      </c>
      <c r="P43" s="2">
        <v>6.19</v>
      </c>
      <c r="U43" s="1"/>
    </row>
    <row r="44" spans="1:25" s="71" customFormat="1">
      <c r="A44" s="70">
        <v>41536</v>
      </c>
      <c r="B44" s="71" t="s">
        <v>59</v>
      </c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>
        <v>661.21</v>
      </c>
      <c r="U44" s="73"/>
      <c r="V44" s="72"/>
      <c r="W44" s="72"/>
      <c r="X44" s="72"/>
      <c r="Y44" s="74"/>
    </row>
    <row r="45" spans="1:25" s="71" customFormat="1">
      <c r="A45" s="70">
        <v>41537</v>
      </c>
      <c r="B45" s="71" t="s">
        <v>59</v>
      </c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>
        <v>14.62</v>
      </c>
      <c r="Q45" s="72"/>
      <c r="R45" s="72"/>
      <c r="S45" s="72"/>
      <c r="T45" s="72"/>
      <c r="U45" s="72"/>
      <c r="V45" s="72"/>
      <c r="W45" s="72"/>
      <c r="X45" s="72"/>
      <c r="Y45" s="74"/>
    </row>
    <row r="46" spans="1:25" s="71" customFormat="1">
      <c r="A46" s="70">
        <v>41537</v>
      </c>
      <c r="B46" s="71" t="s">
        <v>58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>
        <v>497.6</v>
      </c>
      <c r="P46" s="72">
        <v>49.1</v>
      </c>
      <c r="Q46" s="72">
        <v>162.66</v>
      </c>
      <c r="R46" s="72">
        <v>31.81</v>
      </c>
      <c r="S46" s="72"/>
      <c r="T46" s="72"/>
      <c r="U46" s="73"/>
      <c r="V46" s="72"/>
      <c r="W46" s="72"/>
      <c r="X46" s="72"/>
      <c r="Y46" s="74"/>
    </row>
    <row r="47" spans="1:25" s="71" customFormat="1">
      <c r="A47" s="70">
        <v>41530</v>
      </c>
      <c r="B47" s="71" t="s">
        <v>59</v>
      </c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>
        <v>166.02</v>
      </c>
      <c r="O47" s="72"/>
      <c r="P47" s="72"/>
      <c r="Q47" s="72"/>
      <c r="R47" s="72"/>
      <c r="S47" s="72"/>
      <c r="T47" s="72"/>
      <c r="U47" s="73"/>
      <c r="V47" s="72"/>
      <c r="W47" s="72"/>
      <c r="X47" s="72"/>
      <c r="Y47" s="74"/>
    </row>
    <row r="48" spans="1:25">
      <c r="A48" s="13">
        <v>41535</v>
      </c>
      <c r="B48" s="3" t="s">
        <v>67</v>
      </c>
      <c r="U48" s="1"/>
      <c r="V48" s="2">
        <v>336</v>
      </c>
    </row>
    <row r="49" spans="1:25">
      <c r="A49" s="13">
        <v>41522</v>
      </c>
      <c r="B49" s="3" t="s">
        <v>69</v>
      </c>
      <c r="H49" s="2">
        <f>88.36+210.51</f>
        <v>298.87</v>
      </c>
      <c r="U49" s="1"/>
    </row>
    <row r="50" spans="1:25">
      <c r="A50" s="13">
        <v>41516</v>
      </c>
      <c r="B50" s="3" t="s">
        <v>72</v>
      </c>
      <c r="V50" s="2">
        <v>39</v>
      </c>
    </row>
    <row r="51" spans="1:25">
      <c r="A51" s="13">
        <v>41537</v>
      </c>
      <c r="B51" s="3" t="s">
        <v>58</v>
      </c>
      <c r="E51" s="2">
        <v>203.53</v>
      </c>
      <c r="F51" s="2">
        <v>221.71</v>
      </c>
      <c r="S51" s="2">
        <v>226.44</v>
      </c>
      <c r="U51" s="1"/>
    </row>
    <row r="52" spans="1:25">
      <c r="A52" s="13">
        <v>41541</v>
      </c>
      <c r="B52" s="3" t="s">
        <v>58</v>
      </c>
      <c r="O52" s="2">
        <v>40.53</v>
      </c>
      <c r="U52" s="1"/>
    </row>
    <row r="53" spans="1:25">
      <c r="A53" s="13">
        <v>41542</v>
      </c>
      <c r="B53" s="3" t="s">
        <v>58</v>
      </c>
      <c r="P53" s="2">
        <v>25.35</v>
      </c>
      <c r="U53" s="1"/>
    </row>
    <row r="54" spans="1:25">
      <c r="A54" s="13">
        <v>41856</v>
      </c>
      <c r="B54" s="3" t="s">
        <v>58</v>
      </c>
      <c r="L54" s="2">
        <v>844.43</v>
      </c>
    </row>
    <row r="55" spans="1:25" s="71" customFormat="1">
      <c r="A55" s="70">
        <v>41544</v>
      </c>
      <c r="B55" s="71" t="s">
        <v>59</v>
      </c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>
        <v>308.88</v>
      </c>
      <c r="U55" s="73"/>
      <c r="V55" s="72"/>
      <c r="W55" s="72"/>
      <c r="X55" s="72"/>
      <c r="Y55" s="74"/>
    </row>
    <row r="56" spans="1:25" s="71" customFormat="1">
      <c r="A56" s="70">
        <v>41537</v>
      </c>
      <c r="B56" s="71" t="s">
        <v>57</v>
      </c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>
        <v>998</v>
      </c>
      <c r="T56" s="72"/>
      <c r="U56" s="73"/>
      <c r="V56" s="72"/>
      <c r="W56" s="72"/>
      <c r="X56" s="72"/>
      <c r="Y56" s="74"/>
    </row>
    <row r="57" spans="1:25" s="71" customFormat="1">
      <c r="A57" s="70">
        <v>41550</v>
      </c>
      <c r="B57" s="71" t="s">
        <v>59</v>
      </c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>
        <v>374.4</v>
      </c>
      <c r="O57" s="72"/>
      <c r="P57" s="72"/>
      <c r="Q57" s="72"/>
      <c r="R57" s="72"/>
      <c r="S57" s="72"/>
      <c r="T57" s="72"/>
      <c r="U57" s="73"/>
      <c r="V57" s="72"/>
      <c r="W57" s="72"/>
      <c r="X57" s="72"/>
      <c r="Y57" s="74"/>
    </row>
    <row r="58" spans="1:25">
      <c r="A58" s="13">
        <v>41547</v>
      </c>
      <c r="B58" s="3" t="s">
        <v>61</v>
      </c>
      <c r="P58" s="2">
        <v>9.2899999999999991</v>
      </c>
    </row>
    <row r="59" spans="1:25">
      <c r="A59" s="13">
        <v>41537</v>
      </c>
      <c r="B59" s="3" t="s">
        <v>65</v>
      </c>
      <c r="S59" s="2">
        <v>63.98</v>
      </c>
      <c r="U59" s="1"/>
    </row>
    <row r="60" spans="1:25">
      <c r="A60" s="13">
        <v>41554</v>
      </c>
      <c r="B60" s="3" t="s">
        <v>73</v>
      </c>
      <c r="V60" s="2">
        <v>30</v>
      </c>
    </row>
    <row r="61" spans="1:25">
      <c r="A61" s="13">
        <v>41548</v>
      </c>
      <c r="B61" s="3" t="s">
        <v>58</v>
      </c>
      <c r="G61" s="2">
        <v>452.83</v>
      </c>
      <c r="I61" s="2">
        <v>275.18</v>
      </c>
    </row>
    <row r="62" spans="1:25">
      <c r="A62" s="13">
        <v>41556</v>
      </c>
      <c r="B62" s="3" t="s">
        <v>58</v>
      </c>
      <c r="J62" s="2">
        <v>57.15</v>
      </c>
      <c r="L62" s="2">
        <v>268.51</v>
      </c>
      <c r="U62" s="1"/>
    </row>
    <row r="63" spans="1:25" s="75" customFormat="1">
      <c r="A63" s="70">
        <v>41557</v>
      </c>
      <c r="B63" s="71" t="s">
        <v>59</v>
      </c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>
        <v>558.75</v>
      </c>
      <c r="U63" s="72"/>
      <c r="V63" s="72"/>
      <c r="W63" s="72"/>
      <c r="X63" s="72"/>
      <c r="Y63" s="74"/>
    </row>
    <row r="64" spans="1:25" s="71" customFormat="1">
      <c r="A64" s="70">
        <v>41557</v>
      </c>
      <c r="B64" s="71" t="s">
        <v>58</v>
      </c>
      <c r="C64" s="72"/>
      <c r="D64" s="72"/>
      <c r="E64" s="72"/>
      <c r="F64" s="72"/>
      <c r="G64" s="72"/>
      <c r="H64" s="72"/>
      <c r="I64" s="72"/>
      <c r="J64" s="72"/>
      <c r="K64" s="72"/>
      <c r="L64" s="72">
        <v>1519.46</v>
      </c>
      <c r="M64" s="72"/>
      <c r="N64" s="72"/>
      <c r="O64" s="72"/>
      <c r="P64" s="72"/>
      <c r="Q64" s="72"/>
      <c r="R64" s="72"/>
      <c r="S64" s="72"/>
      <c r="T64" s="72"/>
      <c r="U64" s="73"/>
      <c r="V64" s="72"/>
      <c r="W64" s="76"/>
      <c r="X64" s="76"/>
      <c r="Y64" s="77"/>
    </row>
    <row r="65" spans="1:25" s="71" customFormat="1">
      <c r="A65" s="70">
        <v>41562</v>
      </c>
      <c r="B65" s="71" t="s">
        <v>58</v>
      </c>
      <c r="C65" s="72"/>
      <c r="D65" s="72"/>
      <c r="E65" s="72"/>
      <c r="F65" s="72"/>
      <c r="G65" s="72">
        <v>82.11</v>
      </c>
      <c r="H65" s="72"/>
      <c r="I65" s="72">
        <v>62.09</v>
      </c>
      <c r="J65" s="72">
        <v>11.62</v>
      </c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3"/>
      <c r="V65" s="72"/>
      <c r="W65" s="72"/>
      <c r="X65" s="72"/>
      <c r="Y65" s="74"/>
    </row>
    <row r="66" spans="1:25" s="71" customFormat="1">
      <c r="A66" s="70">
        <v>41564</v>
      </c>
      <c r="B66" s="71" t="s">
        <v>58</v>
      </c>
      <c r="C66" s="72"/>
      <c r="D66" s="72"/>
      <c r="E66" s="72"/>
      <c r="F66" s="72"/>
      <c r="G66" s="72"/>
      <c r="H66" s="72"/>
      <c r="I66" s="72"/>
      <c r="J66" s="72"/>
      <c r="K66" s="72"/>
      <c r="L66" s="72">
        <v>978.42</v>
      </c>
      <c r="M66" s="72"/>
      <c r="N66" s="72"/>
      <c r="O66" s="72"/>
      <c r="P66" s="72"/>
      <c r="Q66" s="72"/>
      <c r="R66" s="72"/>
      <c r="S66" s="72"/>
      <c r="T66" s="72"/>
      <c r="U66" s="73"/>
      <c r="V66" s="72"/>
      <c r="W66" s="72"/>
      <c r="X66" s="72"/>
      <c r="Y66" s="74"/>
    </row>
    <row r="67" spans="1:25" s="71" customFormat="1">
      <c r="A67" s="70">
        <v>41565</v>
      </c>
      <c r="B67" s="71" t="s">
        <v>58</v>
      </c>
      <c r="C67" s="72"/>
      <c r="D67" s="72"/>
      <c r="E67" s="72"/>
      <c r="F67" s="72"/>
      <c r="G67" s="72">
        <v>318.97000000000003</v>
      </c>
      <c r="H67" s="72"/>
      <c r="I67" s="72">
        <v>216.02</v>
      </c>
      <c r="J67" s="72"/>
      <c r="K67" s="72"/>
      <c r="L67" s="72"/>
      <c r="M67" s="72"/>
      <c r="N67" s="72"/>
      <c r="O67" s="72">
        <v>447.08</v>
      </c>
      <c r="P67" s="72"/>
      <c r="Q67" s="72">
        <v>101.51</v>
      </c>
      <c r="R67" s="72"/>
      <c r="S67" s="72"/>
      <c r="T67" s="72"/>
      <c r="U67" s="72"/>
      <c r="V67" s="72"/>
      <c r="W67" s="72"/>
      <c r="X67" s="72"/>
      <c r="Y67" s="74"/>
    </row>
    <row r="68" spans="1:25" s="71" customFormat="1">
      <c r="A68" s="70">
        <v>41558</v>
      </c>
      <c r="B68" s="71" t="s">
        <v>59</v>
      </c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>
        <v>88.62</v>
      </c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4"/>
    </row>
    <row r="69" spans="1:25" s="71" customFormat="1">
      <c r="A69" s="70">
        <v>41532</v>
      </c>
      <c r="B69" s="71" t="s">
        <v>59</v>
      </c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>
        <v>66.290000000000006</v>
      </c>
      <c r="O69" s="72"/>
      <c r="P69" s="72"/>
      <c r="Q69" s="72"/>
      <c r="R69" s="72"/>
      <c r="S69" s="72"/>
      <c r="T69" s="72"/>
      <c r="U69" s="73"/>
      <c r="V69" s="72"/>
      <c r="W69" s="72"/>
      <c r="X69" s="72"/>
      <c r="Y69" s="74"/>
    </row>
    <row r="70" spans="1:25" s="71" customFormat="1">
      <c r="A70" s="70">
        <v>41535</v>
      </c>
      <c r="B70" s="71" t="s">
        <v>59</v>
      </c>
      <c r="C70" s="72"/>
      <c r="D70" s="72"/>
      <c r="E70" s="72">
        <v>52.34</v>
      </c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3"/>
      <c r="V70" s="72"/>
      <c r="W70" s="72"/>
      <c r="X70" s="72"/>
      <c r="Y70" s="74"/>
    </row>
    <row r="71" spans="1:25" s="71" customFormat="1">
      <c r="A71" s="70">
        <v>41558</v>
      </c>
      <c r="B71" s="71" t="s">
        <v>59</v>
      </c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>
        <v>14.62</v>
      </c>
      <c r="P71" s="72"/>
      <c r="Q71" s="72"/>
      <c r="R71" s="72"/>
      <c r="S71" s="72"/>
      <c r="T71" s="72"/>
      <c r="U71" s="72"/>
      <c r="V71" s="72"/>
      <c r="W71" s="72"/>
      <c r="X71" s="72"/>
      <c r="Y71" s="74"/>
    </row>
    <row r="72" spans="1:25">
      <c r="A72" s="13">
        <v>41558</v>
      </c>
      <c r="B72" s="3" t="s">
        <v>69</v>
      </c>
      <c r="H72" s="2">
        <v>3088</v>
      </c>
      <c r="U72" s="1"/>
    </row>
    <row r="73" spans="1:25">
      <c r="A73" s="13">
        <v>41565</v>
      </c>
      <c r="B73" s="3" t="s">
        <v>67</v>
      </c>
      <c r="V73" s="2">
        <v>315.25</v>
      </c>
    </row>
    <row r="74" spans="1:25">
      <c r="A74" s="13">
        <v>41567</v>
      </c>
      <c r="B74" s="3" t="s">
        <v>58</v>
      </c>
      <c r="F74" s="2">
        <v>144.02000000000001</v>
      </c>
      <c r="U74" s="1"/>
      <c r="W74" s="16"/>
      <c r="X74" s="16"/>
      <c r="Y74" s="20"/>
    </row>
    <row r="75" spans="1:25">
      <c r="A75" s="13">
        <v>41571</v>
      </c>
      <c r="B75" s="3" t="s">
        <v>58</v>
      </c>
      <c r="G75" s="2">
        <v>28.05</v>
      </c>
    </row>
    <row r="76" spans="1:25">
      <c r="A76" s="13">
        <v>41575</v>
      </c>
      <c r="B76" s="3" t="s">
        <v>85</v>
      </c>
      <c r="V76" s="2">
        <v>1971.4</v>
      </c>
    </row>
    <row r="77" spans="1:25">
      <c r="A77" s="13">
        <v>41577</v>
      </c>
      <c r="B77" s="3" t="s">
        <v>58</v>
      </c>
      <c r="L77" s="2">
        <v>39.479999999999997</v>
      </c>
      <c r="O77" s="2">
        <v>154.09</v>
      </c>
      <c r="P77" s="2">
        <v>16.43</v>
      </c>
      <c r="Q77" s="2">
        <v>116.02</v>
      </c>
      <c r="R77" s="2">
        <v>40.29</v>
      </c>
      <c r="U77" s="1"/>
    </row>
    <row r="78" spans="1:25">
      <c r="A78" s="13">
        <v>41582</v>
      </c>
      <c r="B78" s="3" t="s">
        <v>58</v>
      </c>
      <c r="J78" s="2">
        <v>192.17</v>
      </c>
      <c r="U78" s="1"/>
    </row>
    <row r="79" spans="1:25" s="15" customFormat="1">
      <c r="A79" s="13">
        <v>41577</v>
      </c>
      <c r="B79" s="3" t="s">
        <v>76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>
        <v>19.989999999999998</v>
      </c>
      <c r="U79" s="1"/>
      <c r="V79" s="7"/>
      <c r="W79" s="2"/>
      <c r="X79" s="2"/>
      <c r="Y79" s="19"/>
    </row>
    <row r="80" spans="1:25">
      <c r="A80" s="13">
        <v>41579</v>
      </c>
      <c r="B80" s="3" t="s">
        <v>61</v>
      </c>
      <c r="P80" s="2">
        <v>6.19</v>
      </c>
      <c r="U80" s="1"/>
    </row>
    <row r="81" spans="1:25">
      <c r="A81" s="13">
        <v>41548</v>
      </c>
      <c r="B81" s="3" t="s">
        <v>77</v>
      </c>
      <c r="U81" s="1"/>
      <c r="Y81" s="19">
        <v>6700</v>
      </c>
    </row>
    <row r="82" spans="1:25">
      <c r="A82" s="13">
        <v>41592</v>
      </c>
      <c r="B82" s="3" t="s">
        <v>57</v>
      </c>
      <c r="S82" s="2">
        <v>13.9</v>
      </c>
    </row>
    <row r="83" spans="1:25" s="71" customFormat="1">
      <c r="A83" s="70">
        <v>41592</v>
      </c>
      <c r="B83" s="71" t="s">
        <v>81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>
        <v>15.98</v>
      </c>
      <c r="T83" s="72"/>
      <c r="U83" s="73"/>
      <c r="V83" s="72"/>
      <c r="W83" s="72"/>
      <c r="X83" s="72"/>
      <c r="Y83" s="74"/>
    </row>
    <row r="84" spans="1:25">
      <c r="A84" s="13">
        <v>41585</v>
      </c>
      <c r="B84" s="3" t="s">
        <v>58</v>
      </c>
      <c r="L84" s="2">
        <v>101.7</v>
      </c>
      <c r="U84" s="1"/>
    </row>
    <row r="85" spans="1:25">
      <c r="A85" s="13">
        <v>41590</v>
      </c>
      <c r="B85" s="3" t="s">
        <v>58</v>
      </c>
      <c r="G85" s="2">
        <f>19.52+71.78</f>
        <v>91.3</v>
      </c>
      <c r="I85" s="2">
        <f>181.06+83.52</f>
        <v>264.58</v>
      </c>
    </row>
    <row r="86" spans="1:25">
      <c r="A86" s="13">
        <v>41591</v>
      </c>
      <c r="B86" s="3" t="s">
        <v>58</v>
      </c>
      <c r="G86" s="2">
        <v>250.23</v>
      </c>
      <c r="U86" s="1"/>
    </row>
    <row r="87" spans="1:25" s="71" customFormat="1">
      <c r="A87" s="70">
        <v>41589</v>
      </c>
      <c r="B87" s="71" t="s">
        <v>61</v>
      </c>
      <c r="C87" s="72"/>
      <c r="D87" s="72"/>
      <c r="E87" s="72"/>
      <c r="F87" s="72"/>
      <c r="G87" s="72"/>
      <c r="H87" s="72"/>
      <c r="I87" s="72"/>
      <c r="J87" s="72"/>
      <c r="K87" s="72"/>
      <c r="L87" s="72">
        <v>807.21</v>
      </c>
      <c r="M87" s="72"/>
      <c r="N87" s="72"/>
      <c r="O87" s="72"/>
      <c r="P87" s="72"/>
      <c r="Q87" s="72"/>
      <c r="R87" s="72"/>
      <c r="S87" s="72"/>
      <c r="T87" s="72"/>
      <c r="U87" s="73"/>
      <c r="V87" s="72"/>
      <c r="W87" s="72"/>
      <c r="X87" s="72"/>
      <c r="Y87" s="74"/>
    </row>
    <row r="88" spans="1:25">
      <c r="A88" s="13">
        <v>41579</v>
      </c>
      <c r="B88" s="3" t="s">
        <v>57</v>
      </c>
      <c r="L88" s="2">
        <f>185.6+20.6</f>
        <v>206.2</v>
      </c>
    </row>
    <row r="89" spans="1:25">
      <c r="A89" s="13">
        <v>41603</v>
      </c>
      <c r="B89" s="3" t="s">
        <v>82</v>
      </c>
      <c r="U89" s="1"/>
      <c r="V89" s="2">
        <v>300</v>
      </c>
    </row>
    <row r="90" spans="1:25">
      <c r="A90" s="13">
        <v>41598</v>
      </c>
      <c r="B90" s="3" t="s">
        <v>59</v>
      </c>
      <c r="T90" s="2">
        <f>950.6+218.4</f>
        <v>1169</v>
      </c>
      <c r="U90" s="1"/>
    </row>
    <row r="91" spans="1:25">
      <c r="A91" s="13">
        <v>41565</v>
      </c>
      <c r="B91" s="3" t="s">
        <v>59</v>
      </c>
      <c r="F91" s="2">
        <v>18.37</v>
      </c>
      <c r="U91" s="1"/>
    </row>
    <row r="92" spans="1:25">
      <c r="A92" s="13">
        <v>41596</v>
      </c>
      <c r="B92" s="3" t="s">
        <v>61</v>
      </c>
      <c r="L92" s="2">
        <v>18.829999999999998</v>
      </c>
      <c r="U92" s="1"/>
    </row>
    <row r="93" spans="1:25">
      <c r="A93" s="13">
        <v>41605</v>
      </c>
      <c r="B93" s="3" t="s">
        <v>59</v>
      </c>
      <c r="T93" s="2">
        <v>124.34</v>
      </c>
    </row>
    <row r="94" spans="1:25">
      <c r="A94" s="13">
        <v>41593</v>
      </c>
      <c r="B94" s="3" t="s">
        <v>61</v>
      </c>
      <c r="L94" s="2">
        <v>24.38</v>
      </c>
      <c r="U94" s="1"/>
    </row>
    <row r="95" spans="1:25">
      <c r="A95" s="13">
        <v>41598</v>
      </c>
      <c r="B95" s="3" t="s">
        <v>67</v>
      </c>
      <c r="V95" s="2">
        <v>363.25</v>
      </c>
    </row>
    <row r="96" spans="1:25">
      <c r="A96" s="13">
        <v>41600</v>
      </c>
      <c r="B96" s="3" t="s">
        <v>58</v>
      </c>
      <c r="I96" s="2">
        <v>129.25</v>
      </c>
      <c r="U96" s="1"/>
    </row>
    <row r="97" spans="1:22">
      <c r="A97" s="13">
        <v>41605</v>
      </c>
      <c r="B97" s="3" t="s">
        <v>59</v>
      </c>
      <c r="N97" s="2">
        <v>169.24</v>
      </c>
      <c r="U97" s="1"/>
    </row>
    <row r="98" spans="1:22">
      <c r="A98" s="13">
        <v>41597</v>
      </c>
      <c r="B98" s="3" t="s">
        <v>57</v>
      </c>
      <c r="S98" s="2">
        <v>78.260000000000005</v>
      </c>
    </row>
    <row r="99" spans="1:22">
      <c r="A99" s="13">
        <v>41617</v>
      </c>
      <c r="B99" s="3" t="s">
        <v>59</v>
      </c>
      <c r="T99" s="2">
        <v>366.12</v>
      </c>
    </row>
    <row r="100" spans="1:22">
      <c r="A100" s="13">
        <v>41614</v>
      </c>
      <c r="B100" s="3" t="s">
        <v>58</v>
      </c>
      <c r="G100" s="2">
        <v>128.99</v>
      </c>
      <c r="I100" s="2">
        <v>130.04</v>
      </c>
      <c r="J100" s="2">
        <v>93.8</v>
      </c>
    </row>
    <row r="101" spans="1:22">
      <c r="A101" s="13">
        <v>41617</v>
      </c>
      <c r="B101" s="3" t="s">
        <v>58</v>
      </c>
      <c r="M101" s="2">
        <v>73.489999999999995</v>
      </c>
      <c r="O101" s="2">
        <v>856.36</v>
      </c>
      <c r="P101" s="2">
        <v>121.5</v>
      </c>
      <c r="Q101" s="2">
        <v>217.95</v>
      </c>
      <c r="R101" s="2">
        <v>91.66</v>
      </c>
    </row>
    <row r="102" spans="1:22">
      <c r="A102" s="13">
        <v>41612</v>
      </c>
      <c r="B102" s="3" t="s">
        <v>57</v>
      </c>
      <c r="S102" s="2">
        <f>453.4+64.36</f>
        <v>517.76</v>
      </c>
    </row>
    <row r="103" spans="1:22">
      <c r="A103" s="13">
        <v>41621</v>
      </c>
      <c r="B103" s="3" t="s">
        <v>59</v>
      </c>
      <c r="N103" s="2">
        <v>398.25</v>
      </c>
    </row>
    <row r="104" spans="1:22">
      <c r="A104" s="13">
        <v>41620</v>
      </c>
      <c r="B104" s="3" t="s">
        <v>58</v>
      </c>
      <c r="E104" s="2">
        <v>205.21</v>
      </c>
      <c r="F104" s="2">
        <v>268.31</v>
      </c>
    </row>
    <row r="105" spans="1:22">
      <c r="A105" s="13">
        <v>41626</v>
      </c>
      <c r="B105" s="3" t="s">
        <v>59</v>
      </c>
      <c r="T105" s="2">
        <v>77.75</v>
      </c>
    </row>
    <row r="106" spans="1:22">
      <c r="A106" s="13">
        <v>41620</v>
      </c>
      <c r="B106" s="3" t="s">
        <v>57</v>
      </c>
      <c r="S106" s="2">
        <f>99+64.36</f>
        <v>163.36000000000001</v>
      </c>
      <c r="U106" s="1"/>
    </row>
    <row r="107" spans="1:22">
      <c r="A107" s="13">
        <v>41620</v>
      </c>
      <c r="B107" s="3" t="s">
        <v>62</v>
      </c>
      <c r="L107" s="2">
        <v>193.91</v>
      </c>
    </row>
    <row r="108" spans="1:22">
      <c r="A108" s="13">
        <v>41624</v>
      </c>
      <c r="B108" s="3" t="s">
        <v>61</v>
      </c>
      <c r="P108" s="2">
        <v>10.53</v>
      </c>
      <c r="U108" s="1"/>
    </row>
    <row r="109" spans="1:22">
      <c r="A109" s="13">
        <v>41625</v>
      </c>
      <c r="B109" s="3" t="s">
        <v>67</v>
      </c>
      <c r="V109" s="2">
        <v>347</v>
      </c>
    </row>
    <row r="110" spans="1:22">
      <c r="A110" s="13">
        <v>41626</v>
      </c>
      <c r="B110" s="3" t="s">
        <v>58</v>
      </c>
      <c r="G110" s="2">
        <f>430.1+7.8</f>
        <v>437.90000000000003</v>
      </c>
      <c r="I110" s="2">
        <v>255.92</v>
      </c>
    </row>
    <row r="111" spans="1:22">
      <c r="A111" s="13">
        <v>41628</v>
      </c>
      <c r="B111" s="3" t="s">
        <v>58</v>
      </c>
      <c r="O111" s="2">
        <v>573.09</v>
      </c>
      <c r="P111" s="2">
        <v>56.34</v>
      </c>
      <c r="Q111" s="2">
        <v>172.93</v>
      </c>
      <c r="R111" s="2">
        <v>80.83</v>
      </c>
    </row>
    <row r="112" spans="1:22">
      <c r="A112" s="13">
        <v>41628</v>
      </c>
      <c r="B112" s="3" t="s">
        <v>57</v>
      </c>
      <c r="S112" s="2">
        <v>64.36</v>
      </c>
    </row>
    <row r="113" spans="1:25">
      <c r="A113" s="13">
        <v>41631</v>
      </c>
      <c r="B113" s="3" t="s">
        <v>59</v>
      </c>
      <c r="T113" s="2">
        <f>639.83+561.02+639.34</f>
        <v>1840.19</v>
      </c>
    </row>
    <row r="114" spans="1:25" s="71" customFormat="1">
      <c r="A114" s="13">
        <v>41635</v>
      </c>
      <c r="B114" s="3" t="s">
        <v>61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>
        <v>6.19</v>
      </c>
      <c r="Q114" s="2"/>
      <c r="R114" s="2"/>
      <c r="S114" s="2"/>
      <c r="T114" s="2"/>
      <c r="U114" s="2"/>
      <c r="V114" s="2"/>
      <c r="W114" s="2"/>
      <c r="X114" s="2"/>
      <c r="Y114" s="19"/>
    </row>
    <row r="115" spans="1:25">
      <c r="A115" s="13">
        <v>41641</v>
      </c>
      <c r="B115" s="3" t="s">
        <v>58</v>
      </c>
      <c r="Q115" s="2">
        <v>38.979999999999997</v>
      </c>
    </row>
    <row r="116" spans="1:25">
      <c r="A116" s="70">
        <v>41642</v>
      </c>
      <c r="B116" s="71" t="s">
        <v>91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>
        <v>289.8</v>
      </c>
      <c r="T116" s="72">
        <v>1914.15</v>
      </c>
      <c r="U116" s="72"/>
      <c r="V116" s="72"/>
      <c r="W116" s="72"/>
      <c r="X116" s="72"/>
      <c r="Y116" s="74"/>
    </row>
    <row r="117" spans="1:25">
      <c r="A117" s="13">
        <v>41645</v>
      </c>
      <c r="B117" s="3" t="s">
        <v>65</v>
      </c>
      <c r="S117" s="2">
        <v>31.99</v>
      </c>
      <c r="U117" s="1"/>
    </row>
    <row r="118" spans="1:25">
      <c r="A118" s="13">
        <v>41646</v>
      </c>
      <c r="B118" s="3" t="s">
        <v>58</v>
      </c>
      <c r="E118" s="2">
        <v>96.09</v>
      </c>
      <c r="F118" s="2">
        <v>369.08</v>
      </c>
      <c r="G118" s="2">
        <f>50.41+237.36</f>
        <v>287.77</v>
      </c>
      <c r="I118" s="2">
        <v>302.94</v>
      </c>
      <c r="U118" s="1"/>
    </row>
    <row r="119" spans="1:25">
      <c r="A119" s="13">
        <v>41647</v>
      </c>
      <c r="B119" s="3" t="s">
        <v>58</v>
      </c>
      <c r="J119" s="2">
        <v>94.2</v>
      </c>
      <c r="L119" s="2">
        <v>533.42999999999995</v>
      </c>
      <c r="U119" s="1"/>
    </row>
    <row r="120" spans="1:25">
      <c r="A120" s="13">
        <v>41647</v>
      </c>
      <c r="B120" s="3" t="s">
        <v>84</v>
      </c>
      <c r="K120" s="2">
        <v>75</v>
      </c>
    </row>
    <row r="121" spans="1:25">
      <c r="A121" s="13">
        <v>41649</v>
      </c>
      <c r="B121" s="3" t="s">
        <v>58</v>
      </c>
      <c r="E121" s="2">
        <v>137.22</v>
      </c>
      <c r="F121" s="2">
        <v>74.36</v>
      </c>
      <c r="U121" s="1"/>
    </row>
    <row r="122" spans="1:25">
      <c r="A122" s="13">
        <v>41652</v>
      </c>
      <c r="B122" s="3" t="s">
        <v>59</v>
      </c>
      <c r="T122" s="2">
        <v>74.099999999999994</v>
      </c>
    </row>
    <row r="123" spans="1:25">
      <c r="A123" s="13">
        <v>41652</v>
      </c>
      <c r="B123" s="3" t="s">
        <v>83</v>
      </c>
      <c r="E123" s="2">
        <v>27</v>
      </c>
      <c r="U123" s="1"/>
    </row>
    <row r="124" spans="1:25">
      <c r="A124" s="13">
        <v>41652</v>
      </c>
      <c r="B124" s="3" t="s">
        <v>58</v>
      </c>
      <c r="L124" s="2">
        <v>305.45</v>
      </c>
    </row>
    <row r="125" spans="1:25">
      <c r="A125" s="13">
        <v>41653</v>
      </c>
      <c r="B125" s="3" t="s">
        <v>58</v>
      </c>
      <c r="E125" s="2">
        <v>136.52000000000001</v>
      </c>
      <c r="I125" s="2">
        <v>27.04</v>
      </c>
      <c r="O125" s="2">
        <v>308.60000000000002</v>
      </c>
      <c r="P125" s="2">
        <v>69.31</v>
      </c>
      <c r="Q125" s="2">
        <v>145.02000000000001</v>
      </c>
      <c r="R125" s="2">
        <v>66.62</v>
      </c>
    </row>
    <row r="126" spans="1:25">
      <c r="A126" s="13">
        <v>41654</v>
      </c>
      <c r="B126" s="3" t="s">
        <v>59</v>
      </c>
      <c r="P126" s="2">
        <v>26</v>
      </c>
      <c r="Q126" s="2">
        <v>24.31</v>
      </c>
      <c r="T126" s="2">
        <v>211.77</v>
      </c>
    </row>
    <row r="127" spans="1:25">
      <c r="A127" s="13">
        <v>41654</v>
      </c>
      <c r="B127" s="3" t="s">
        <v>58</v>
      </c>
      <c r="L127" s="2">
        <v>162.09</v>
      </c>
      <c r="M127" s="2">
        <v>119.6</v>
      </c>
    </row>
    <row r="128" spans="1:25">
      <c r="A128" s="13">
        <v>41654</v>
      </c>
      <c r="B128" s="3" t="s">
        <v>83</v>
      </c>
      <c r="O128" s="2">
        <v>53.84</v>
      </c>
      <c r="U128" s="1"/>
    </row>
    <row r="129" spans="1:22">
      <c r="A129" s="13">
        <v>41655</v>
      </c>
      <c r="B129" s="3" t="s">
        <v>59</v>
      </c>
      <c r="N129" s="2">
        <v>65.849999999999994</v>
      </c>
      <c r="U129" s="1"/>
    </row>
    <row r="130" spans="1:22">
      <c r="A130" s="13">
        <v>41655</v>
      </c>
      <c r="B130" s="3" t="s">
        <v>63</v>
      </c>
      <c r="K130" s="2">
        <v>60.1</v>
      </c>
    </row>
    <row r="131" spans="1:22">
      <c r="A131" s="13">
        <v>41656</v>
      </c>
      <c r="B131" s="3" t="s">
        <v>58</v>
      </c>
      <c r="G131" s="2">
        <v>206.14</v>
      </c>
      <c r="I131" s="2">
        <v>12.17</v>
      </c>
    </row>
    <row r="132" spans="1:22">
      <c r="A132" s="13">
        <v>41656</v>
      </c>
      <c r="B132" s="3" t="s">
        <v>57</v>
      </c>
      <c r="S132" s="2">
        <f>99+99+99+6.95</f>
        <v>303.95</v>
      </c>
      <c r="U132" s="1"/>
    </row>
    <row r="133" spans="1:22">
      <c r="A133" s="13">
        <v>41660</v>
      </c>
      <c r="B133" s="3" t="s">
        <v>58</v>
      </c>
      <c r="K133" s="2">
        <v>338.09</v>
      </c>
      <c r="U133" s="1"/>
    </row>
    <row r="134" spans="1:22">
      <c r="A134" s="13">
        <v>41660</v>
      </c>
      <c r="B134" s="3" t="s">
        <v>67</v>
      </c>
      <c r="U134" s="1"/>
      <c r="V134" s="2">
        <v>351.5</v>
      </c>
    </row>
    <row r="135" spans="1:22">
      <c r="A135" s="13">
        <v>41661</v>
      </c>
      <c r="B135" s="3" t="s">
        <v>58</v>
      </c>
      <c r="J135" s="2">
        <v>13</v>
      </c>
      <c r="L135" s="2">
        <v>414.98</v>
      </c>
    </row>
    <row r="136" spans="1:22">
      <c r="A136" s="13">
        <v>41661</v>
      </c>
      <c r="B136" s="3" t="s">
        <v>65</v>
      </c>
      <c r="S136" s="2">
        <v>200</v>
      </c>
    </row>
    <row r="137" spans="1:22">
      <c r="A137" s="13">
        <v>41663</v>
      </c>
      <c r="B137" s="3" t="s">
        <v>58</v>
      </c>
      <c r="P137" s="2">
        <v>29.25</v>
      </c>
      <c r="Q137" s="2">
        <v>14.01</v>
      </c>
      <c r="U137" s="1"/>
    </row>
    <row r="138" spans="1:22">
      <c r="A138" s="13">
        <v>41666</v>
      </c>
      <c r="B138" s="3" t="s">
        <v>58</v>
      </c>
      <c r="K138" s="2">
        <v>14.36</v>
      </c>
      <c r="U138" s="1"/>
    </row>
    <row r="139" spans="1:22">
      <c r="A139" s="13">
        <v>41666</v>
      </c>
      <c r="B139" s="3" t="s">
        <v>83</v>
      </c>
      <c r="L139" s="2">
        <v>32.380000000000003</v>
      </c>
    </row>
    <row r="140" spans="1:22">
      <c r="A140" s="13">
        <v>41666</v>
      </c>
      <c r="B140" s="3" t="s">
        <v>57</v>
      </c>
      <c r="S140" s="2">
        <f>99+64.36</f>
        <v>163.36000000000001</v>
      </c>
    </row>
    <row r="141" spans="1:22">
      <c r="A141" s="13">
        <v>41667</v>
      </c>
      <c r="B141" s="3" t="s">
        <v>58</v>
      </c>
      <c r="F141" s="2">
        <v>140.12</v>
      </c>
      <c r="L141" s="2">
        <v>340.96</v>
      </c>
    </row>
    <row r="142" spans="1:22">
      <c r="A142" s="13">
        <v>41668</v>
      </c>
      <c r="B142" s="3" t="s">
        <v>58</v>
      </c>
      <c r="L142" s="2">
        <v>180.38</v>
      </c>
    </row>
    <row r="143" spans="1:22">
      <c r="A143" s="13">
        <v>41670</v>
      </c>
      <c r="B143" s="3" t="s">
        <v>83</v>
      </c>
      <c r="O143" s="2">
        <v>94.25</v>
      </c>
    </row>
    <row r="144" spans="1:22">
      <c r="A144" s="13">
        <v>41673</v>
      </c>
      <c r="B144" s="3" t="s">
        <v>59</v>
      </c>
      <c r="K144" s="2">
        <v>15.1</v>
      </c>
    </row>
    <row r="145" spans="1:22">
      <c r="A145" s="13">
        <v>41674</v>
      </c>
      <c r="B145" s="3" t="s">
        <v>58</v>
      </c>
      <c r="M145" s="2">
        <v>18.18</v>
      </c>
    </row>
    <row r="146" spans="1:22">
      <c r="A146" s="13">
        <v>41674</v>
      </c>
      <c r="B146" s="3" t="s">
        <v>65</v>
      </c>
      <c r="S146" s="2">
        <v>100</v>
      </c>
    </row>
    <row r="147" spans="1:22">
      <c r="A147" s="13">
        <v>41675</v>
      </c>
      <c r="B147" s="3" t="s">
        <v>61</v>
      </c>
      <c r="L147" s="2">
        <v>134.6</v>
      </c>
    </row>
    <row r="148" spans="1:22">
      <c r="A148" s="13">
        <v>41675</v>
      </c>
      <c r="B148" s="3" t="s">
        <v>57</v>
      </c>
      <c r="L148" s="2">
        <v>280.60000000000002</v>
      </c>
    </row>
    <row r="149" spans="1:22">
      <c r="A149" s="13">
        <v>41681</v>
      </c>
      <c r="B149" s="3" t="s">
        <v>58</v>
      </c>
      <c r="E149" s="2">
        <v>100.28</v>
      </c>
      <c r="F149" s="2">
        <v>104.68</v>
      </c>
      <c r="G149" s="2">
        <v>191.68</v>
      </c>
      <c r="H149" s="2">
        <v>149.79</v>
      </c>
      <c r="O149" s="2">
        <v>111.66</v>
      </c>
      <c r="P149" s="2">
        <v>79.41</v>
      </c>
    </row>
    <row r="150" spans="1:22">
      <c r="A150" s="13">
        <v>41681</v>
      </c>
      <c r="B150" s="3" t="s">
        <v>59</v>
      </c>
      <c r="T150" s="2">
        <f>622.09+68.09</f>
        <v>690.18000000000006</v>
      </c>
      <c r="U150" s="1"/>
    </row>
    <row r="151" spans="1:22">
      <c r="A151" s="13">
        <v>41681</v>
      </c>
      <c r="B151" s="3" t="s">
        <v>86</v>
      </c>
      <c r="V151" s="2">
        <v>336.25</v>
      </c>
    </row>
    <row r="152" spans="1:22">
      <c r="A152" s="13">
        <v>41682</v>
      </c>
      <c r="B152" s="3" t="s">
        <v>57</v>
      </c>
      <c r="S152" s="2">
        <v>99</v>
      </c>
    </row>
    <row r="153" spans="1:22">
      <c r="A153" s="13">
        <v>41689</v>
      </c>
      <c r="B153" s="3" t="s">
        <v>59</v>
      </c>
      <c r="S153" s="2">
        <v>115.21</v>
      </c>
      <c r="T153" s="2">
        <v>701.83</v>
      </c>
    </row>
    <row r="154" spans="1:22">
      <c r="A154" s="13">
        <v>41689</v>
      </c>
      <c r="B154" s="3" t="s">
        <v>58</v>
      </c>
      <c r="J154" s="2">
        <v>41.57</v>
      </c>
    </row>
    <row r="155" spans="1:22">
      <c r="A155" s="13">
        <v>41690</v>
      </c>
      <c r="B155" s="3" t="s">
        <v>58</v>
      </c>
      <c r="L155" s="2">
        <v>649.17999999999995</v>
      </c>
    </row>
    <row r="156" spans="1:22">
      <c r="A156" s="13">
        <v>41694</v>
      </c>
      <c r="B156" s="3" t="s">
        <v>59</v>
      </c>
      <c r="Q156" s="2">
        <v>30.08</v>
      </c>
    </row>
    <row r="157" spans="1:22">
      <c r="A157" s="13">
        <v>41694</v>
      </c>
      <c r="B157" s="3" t="s">
        <v>58</v>
      </c>
      <c r="Q157" s="2">
        <v>194.32</v>
      </c>
    </row>
    <row r="158" spans="1:22">
      <c r="A158" s="13">
        <v>41696</v>
      </c>
      <c r="B158" s="3" t="s">
        <v>59</v>
      </c>
      <c r="T158" s="2">
        <v>44.08</v>
      </c>
    </row>
    <row r="159" spans="1:22">
      <c r="A159" s="13">
        <v>41696</v>
      </c>
      <c r="B159" s="3" t="s">
        <v>58</v>
      </c>
      <c r="G159" s="2">
        <v>100.32</v>
      </c>
      <c r="H159" s="2">
        <v>94</v>
      </c>
    </row>
    <row r="160" spans="1:22">
      <c r="A160" s="13">
        <v>41696</v>
      </c>
      <c r="B160" s="3" t="s">
        <v>60</v>
      </c>
      <c r="K160" s="2">
        <v>175</v>
      </c>
    </row>
    <row r="161" spans="1:25">
      <c r="A161" s="13">
        <v>41696</v>
      </c>
      <c r="B161" s="3" t="s">
        <v>57</v>
      </c>
      <c r="S161" s="2">
        <f>128.72+99+64.36</f>
        <v>292.08</v>
      </c>
    </row>
    <row r="162" spans="1:25">
      <c r="A162" s="13">
        <v>41697</v>
      </c>
      <c r="B162" s="3" t="s">
        <v>58</v>
      </c>
      <c r="E162" s="2">
        <v>149.13</v>
      </c>
      <c r="F162" s="2">
        <f>124.99+78.45</f>
        <v>203.44</v>
      </c>
    </row>
    <row r="163" spans="1:25">
      <c r="A163" s="13">
        <v>41697</v>
      </c>
      <c r="B163" s="3" t="s">
        <v>65</v>
      </c>
      <c r="S163" s="2">
        <v>197.99</v>
      </c>
    </row>
    <row r="164" spans="1:25">
      <c r="A164" s="13">
        <v>41698</v>
      </c>
      <c r="B164" s="3" t="s">
        <v>87</v>
      </c>
      <c r="K164" s="2">
        <v>272</v>
      </c>
      <c r="V164" s="8"/>
      <c r="W164" s="8"/>
      <c r="X164" s="8"/>
      <c r="Y164" s="21"/>
    </row>
    <row r="165" spans="1:25">
      <c r="A165" s="13">
        <v>41701</v>
      </c>
      <c r="B165" s="3" t="s">
        <v>59</v>
      </c>
      <c r="T165" s="2">
        <v>179.79</v>
      </c>
    </row>
    <row r="166" spans="1:25" s="9" customFormat="1">
      <c r="A166" s="13">
        <v>41703</v>
      </c>
      <c r="B166" s="3" t="s">
        <v>58</v>
      </c>
      <c r="C166" s="2"/>
      <c r="D166" s="2"/>
      <c r="E166" s="2">
        <v>106.99</v>
      </c>
      <c r="F166" s="2">
        <v>73.180000000000007</v>
      </c>
      <c r="G166" s="2"/>
      <c r="H166" s="2"/>
      <c r="I166" s="2">
        <v>127.39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19"/>
    </row>
    <row r="167" spans="1:25">
      <c r="A167" s="13">
        <v>41704</v>
      </c>
      <c r="B167" s="3" t="s">
        <v>59</v>
      </c>
      <c r="K167" s="2">
        <v>147.4</v>
      </c>
    </row>
    <row r="168" spans="1:25">
      <c r="A168" s="13">
        <v>41704</v>
      </c>
      <c r="B168" s="3" t="s">
        <v>58</v>
      </c>
      <c r="O168" s="2">
        <v>77.72</v>
      </c>
      <c r="P168" s="2">
        <v>48.71</v>
      </c>
      <c r="Q168" s="2">
        <v>41.21</v>
      </c>
      <c r="R168" s="2">
        <v>43.58</v>
      </c>
    </row>
    <row r="169" spans="1:25">
      <c r="A169" s="13">
        <v>41705</v>
      </c>
      <c r="B169" s="3" t="s">
        <v>58</v>
      </c>
      <c r="M169" s="2">
        <v>156.18</v>
      </c>
    </row>
    <row r="170" spans="1:25">
      <c r="A170" s="13">
        <v>41709</v>
      </c>
      <c r="B170" s="3" t="s">
        <v>58</v>
      </c>
      <c r="J170" s="2">
        <v>28.05</v>
      </c>
    </row>
    <row r="171" spans="1:25">
      <c r="A171" s="13">
        <v>41712</v>
      </c>
      <c r="B171" s="3" t="s">
        <v>61</v>
      </c>
      <c r="L171" s="2">
        <v>4.17</v>
      </c>
    </row>
    <row r="172" spans="1:25">
      <c r="A172" s="13">
        <v>41716</v>
      </c>
      <c r="B172" s="3" t="s">
        <v>58</v>
      </c>
      <c r="Q172" s="2">
        <v>62.33</v>
      </c>
    </row>
    <row r="173" spans="1:25">
      <c r="A173" s="13">
        <v>41716</v>
      </c>
      <c r="B173" s="3" t="s">
        <v>61</v>
      </c>
      <c r="P173" s="2">
        <v>18.579999999999998</v>
      </c>
    </row>
    <row r="174" spans="1:25" s="71" customFormat="1">
      <c r="A174" s="13">
        <v>41716</v>
      </c>
      <c r="B174" s="3" t="s">
        <v>88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2">
        <v>293.25</v>
      </c>
      <c r="W174" s="2"/>
      <c r="X174" s="2"/>
      <c r="Y174" s="19"/>
    </row>
    <row r="175" spans="1:25">
      <c r="A175" s="13">
        <v>41722</v>
      </c>
      <c r="B175" s="3" t="s">
        <v>58</v>
      </c>
      <c r="L175" s="2">
        <v>60.45</v>
      </c>
    </row>
    <row r="176" spans="1:25">
      <c r="A176" s="13">
        <v>41724</v>
      </c>
      <c r="B176" s="3" t="s">
        <v>59</v>
      </c>
      <c r="N176" s="2">
        <v>125.55</v>
      </c>
    </row>
    <row r="177" spans="1:25">
      <c r="A177" s="13">
        <v>41726</v>
      </c>
      <c r="B177" s="3" t="s">
        <v>58</v>
      </c>
      <c r="G177" s="2">
        <f>110.14+738.05</f>
        <v>848.18999999999994</v>
      </c>
    </row>
    <row r="178" spans="1:25">
      <c r="A178" s="13">
        <v>41729</v>
      </c>
      <c r="B178" s="3" t="s">
        <v>58</v>
      </c>
      <c r="L178" s="2">
        <v>896.95</v>
      </c>
    </row>
    <row r="179" spans="1:25">
      <c r="A179" s="70">
        <v>41730</v>
      </c>
      <c r="B179" s="71" t="s">
        <v>65</v>
      </c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>
        <v>100</v>
      </c>
      <c r="T179" s="72"/>
      <c r="U179" s="72"/>
      <c r="V179" s="72"/>
      <c r="W179" s="72"/>
      <c r="X179" s="72"/>
      <c r="Y179" s="74"/>
    </row>
    <row r="180" spans="1:25">
      <c r="A180" s="13">
        <v>41732</v>
      </c>
      <c r="B180" s="3" t="s">
        <v>59</v>
      </c>
      <c r="T180" s="2">
        <v>451.2</v>
      </c>
    </row>
    <row r="181" spans="1:25">
      <c r="A181" s="13">
        <v>41733</v>
      </c>
      <c r="B181" s="3" t="s">
        <v>57</v>
      </c>
      <c r="S181" s="2">
        <v>64.36</v>
      </c>
    </row>
    <row r="182" spans="1:25">
      <c r="A182" s="13">
        <v>41736</v>
      </c>
      <c r="B182" s="3" t="s">
        <v>58</v>
      </c>
      <c r="L182" s="2">
        <v>189.94</v>
      </c>
      <c r="O182" s="2">
        <v>225.98</v>
      </c>
      <c r="P182" s="2">
        <v>32.299999999999997</v>
      </c>
      <c r="Q182" s="2">
        <v>166.26</v>
      </c>
      <c r="R182" s="2">
        <v>111.71</v>
      </c>
    </row>
    <row r="183" spans="1:25">
      <c r="A183" s="13">
        <v>41736</v>
      </c>
      <c r="B183" s="3" t="s">
        <v>59</v>
      </c>
      <c r="N183" s="2">
        <v>202.64</v>
      </c>
      <c r="Q183" s="2">
        <v>56.06</v>
      </c>
      <c r="T183" s="2">
        <v>60.97</v>
      </c>
    </row>
    <row r="184" spans="1:25">
      <c r="A184" s="13">
        <v>41739</v>
      </c>
      <c r="B184" s="3" t="s">
        <v>58</v>
      </c>
      <c r="L184" s="2">
        <v>618.25</v>
      </c>
    </row>
    <row r="185" spans="1:25" s="71" customFormat="1">
      <c r="A185" s="13">
        <v>41744</v>
      </c>
      <c r="B185" s="3" t="s">
        <v>61</v>
      </c>
      <c r="C185" s="2"/>
      <c r="D185" s="2"/>
      <c r="E185" s="2"/>
      <c r="F185" s="2"/>
      <c r="G185" s="2"/>
      <c r="H185" s="2"/>
      <c r="I185" s="2"/>
      <c r="J185" s="2"/>
      <c r="K185" s="2"/>
      <c r="L185" s="2">
        <f>41.86+136.03+41.86</f>
        <v>219.75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19"/>
    </row>
    <row r="186" spans="1:25">
      <c r="A186" s="13">
        <v>41744</v>
      </c>
      <c r="B186" s="3" t="s">
        <v>59</v>
      </c>
      <c r="N186" s="2">
        <v>328.65</v>
      </c>
    </row>
    <row r="187" spans="1:25">
      <c r="A187" s="13">
        <v>41744</v>
      </c>
      <c r="B187" s="3" t="s">
        <v>67</v>
      </c>
      <c r="V187" s="2">
        <v>337</v>
      </c>
    </row>
    <row r="188" spans="1:25">
      <c r="A188" s="13">
        <v>41745</v>
      </c>
      <c r="B188" s="3" t="s">
        <v>89</v>
      </c>
      <c r="U188" s="2">
        <v>200</v>
      </c>
    </row>
    <row r="189" spans="1:25">
      <c r="A189" s="70">
        <v>41746</v>
      </c>
      <c r="B189" s="71" t="s">
        <v>57</v>
      </c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>
        <v>1350</v>
      </c>
      <c r="U189" s="72"/>
      <c r="V189" s="72">
        <f>2700+1091.97</f>
        <v>3791.9700000000003</v>
      </c>
      <c r="W189" s="72"/>
      <c r="X189" s="72"/>
      <c r="Y189" s="74"/>
    </row>
    <row r="190" spans="1:25">
      <c r="A190" s="13">
        <v>41747</v>
      </c>
      <c r="B190" s="3" t="s">
        <v>58</v>
      </c>
      <c r="G190" s="2">
        <v>158.91</v>
      </c>
    </row>
    <row r="191" spans="1:25">
      <c r="A191" s="13">
        <v>41754</v>
      </c>
      <c r="B191" s="3" t="s">
        <v>58</v>
      </c>
      <c r="J191" s="2">
        <v>103.39</v>
      </c>
    </row>
    <row r="192" spans="1:25">
      <c r="A192" s="13">
        <v>41756</v>
      </c>
      <c r="B192" s="3" t="s">
        <v>58</v>
      </c>
      <c r="E192" s="2">
        <v>242.14</v>
      </c>
      <c r="F192" s="2">
        <v>202.89</v>
      </c>
    </row>
    <row r="193" spans="1:25">
      <c r="A193" s="13">
        <v>41757</v>
      </c>
      <c r="B193" s="3" t="s">
        <v>58</v>
      </c>
      <c r="G193" s="2">
        <v>116.29</v>
      </c>
      <c r="I193" s="2">
        <v>35.31</v>
      </c>
    </row>
    <row r="194" spans="1:25">
      <c r="A194" s="13">
        <v>41758</v>
      </c>
      <c r="B194" s="3" t="s">
        <v>54</v>
      </c>
      <c r="H194" s="2">
        <v>2</v>
      </c>
      <c r="K194" s="2">
        <v>265.5</v>
      </c>
    </row>
    <row r="195" spans="1:25">
      <c r="A195" s="13">
        <v>41760</v>
      </c>
      <c r="B195" s="3" t="s">
        <v>69</v>
      </c>
      <c r="U195" s="2">
        <v>250</v>
      </c>
    </row>
    <row r="196" spans="1:25">
      <c r="A196" s="13">
        <v>41761</v>
      </c>
      <c r="B196" s="3" t="s">
        <v>90</v>
      </c>
      <c r="V196" s="2">
        <v>60</v>
      </c>
    </row>
    <row r="197" spans="1:25">
      <c r="A197" s="13">
        <v>41761</v>
      </c>
      <c r="B197" s="3" t="s">
        <v>59</v>
      </c>
      <c r="N197" s="2">
        <v>41.17</v>
      </c>
    </row>
    <row r="198" spans="1:25">
      <c r="A198" s="13">
        <v>41764</v>
      </c>
      <c r="B198" s="3" t="s">
        <v>58</v>
      </c>
      <c r="I198" s="2">
        <v>544.19000000000005</v>
      </c>
    </row>
    <row r="199" spans="1:25">
      <c r="A199" s="13">
        <v>41766</v>
      </c>
      <c r="B199" s="3" t="s">
        <v>58</v>
      </c>
      <c r="F199" s="2">
        <v>103.36</v>
      </c>
    </row>
    <row r="200" spans="1:25">
      <c r="A200" s="13">
        <v>41766</v>
      </c>
      <c r="B200" s="3" t="s">
        <v>59</v>
      </c>
      <c r="P200" s="2">
        <f>9.56+54.72</f>
        <v>64.28</v>
      </c>
    </row>
    <row r="201" spans="1:25">
      <c r="A201" s="13">
        <v>41766</v>
      </c>
      <c r="B201" s="3" t="s">
        <v>58</v>
      </c>
      <c r="P201" s="2">
        <v>202.24</v>
      </c>
    </row>
    <row r="202" spans="1:25">
      <c r="A202" s="70">
        <v>41767</v>
      </c>
      <c r="B202" s="71" t="s">
        <v>69</v>
      </c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>
        <v>1432.15</v>
      </c>
      <c r="V202" s="72"/>
      <c r="W202" s="72"/>
      <c r="X202" s="72"/>
      <c r="Y202" s="74"/>
    </row>
    <row r="203" spans="1:25" s="71" customFormat="1">
      <c r="A203" s="13">
        <v>41767</v>
      </c>
      <c r="B203" s="3" t="s">
        <v>59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>
        <v>162.38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9"/>
    </row>
    <row r="204" spans="1:25">
      <c r="A204" s="13">
        <v>41768</v>
      </c>
      <c r="B204" s="3" t="s">
        <v>58</v>
      </c>
      <c r="M204" s="2">
        <v>180.52</v>
      </c>
    </row>
    <row r="205" spans="1:25">
      <c r="A205" s="13">
        <v>41772</v>
      </c>
      <c r="B205" s="3" t="s">
        <v>58</v>
      </c>
      <c r="E205" s="2">
        <v>85.24</v>
      </c>
      <c r="F205" s="2">
        <v>323.86</v>
      </c>
      <c r="U205" s="1"/>
    </row>
    <row r="206" spans="1:25">
      <c r="A206" s="13">
        <v>41772</v>
      </c>
      <c r="B206" s="3" t="s">
        <v>59</v>
      </c>
      <c r="T206" s="2">
        <v>892.66</v>
      </c>
    </row>
    <row r="207" spans="1:25">
      <c r="A207" s="13">
        <v>41772</v>
      </c>
      <c r="B207" s="3" t="s">
        <v>59</v>
      </c>
      <c r="N207" s="2">
        <v>126.63</v>
      </c>
    </row>
    <row r="208" spans="1:25" s="80" customFormat="1">
      <c r="A208" s="13">
        <v>41773</v>
      </c>
      <c r="B208" s="3" t="s">
        <v>58</v>
      </c>
      <c r="C208" s="2"/>
      <c r="D208" s="2"/>
      <c r="E208" s="2"/>
      <c r="F208" s="2"/>
      <c r="G208" s="2"/>
      <c r="H208" s="2"/>
      <c r="I208" s="2">
        <v>174.88</v>
      </c>
      <c r="J208" s="2">
        <v>142.03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19"/>
    </row>
    <row r="209" spans="1:25">
      <c r="A209" s="13">
        <v>41774</v>
      </c>
      <c r="B209" s="3" t="s">
        <v>58</v>
      </c>
      <c r="L209" s="2">
        <f>51.76+47.77</f>
        <v>99.53</v>
      </c>
    </row>
    <row r="210" spans="1:25">
      <c r="A210" s="13">
        <v>41775</v>
      </c>
      <c r="B210" s="3" t="s">
        <v>58</v>
      </c>
      <c r="L210" s="2">
        <v>536.77</v>
      </c>
    </row>
    <row r="211" spans="1:25">
      <c r="A211" s="13">
        <v>41786</v>
      </c>
      <c r="B211" s="3" t="s">
        <v>65</v>
      </c>
      <c r="S211" s="2">
        <f>583.17-235.18</f>
        <v>347.98999999999995</v>
      </c>
    </row>
    <row r="212" spans="1:25">
      <c r="A212" s="13">
        <v>41778</v>
      </c>
      <c r="B212" s="3" t="s">
        <v>54</v>
      </c>
      <c r="L212" s="2">
        <v>202.5</v>
      </c>
    </row>
    <row r="213" spans="1:25">
      <c r="A213" s="13">
        <v>41779</v>
      </c>
      <c r="B213" s="3" t="s">
        <v>67</v>
      </c>
      <c r="V213" s="2">
        <v>325.5</v>
      </c>
    </row>
    <row r="214" spans="1:25">
      <c r="A214" s="13">
        <v>41780</v>
      </c>
      <c r="B214" s="3" t="s">
        <v>58</v>
      </c>
      <c r="L214" s="2">
        <v>576.76</v>
      </c>
    </row>
    <row r="215" spans="1:25">
      <c r="A215" s="13">
        <v>41780</v>
      </c>
      <c r="B215" s="3" t="s">
        <v>59</v>
      </c>
      <c r="T215" s="2">
        <v>200.15</v>
      </c>
    </row>
    <row r="216" spans="1:25">
      <c r="A216" s="13">
        <v>41781</v>
      </c>
      <c r="B216" s="3" t="s">
        <v>59</v>
      </c>
      <c r="N216" s="2">
        <v>183.54</v>
      </c>
    </row>
    <row r="217" spans="1:25">
      <c r="A217" s="13">
        <v>41781</v>
      </c>
      <c r="B217" s="3" t="s">
        <v>57</v>
      </c>
      <c r="S217" s="2">
        <v>64.36</v>
      </c>
    </row>
    <row r="218" spans="1:25">
      <c r="A218" s="79">
        <v>41782</v>
      </c>
      <c r="B218" s="80" t="s">
        <v>57</v>
      </c>
      <c r="C218" s="78"/>
      <c r="D218" s="78"/>
      <c r="E218" s="78"/>
      <c r="F218" s="78"/>
      <c r="G218" s="78"/>
      <c r="H218" s="78"/>
      <c r="I218" s="78"/>
      <c r="J218" s="78"/>
      <c r="K218" s="78"/>
      <c r="L218" s="78">
        <f>574.89-267.45-46.57-66.94-14.95-36.99-42.07-14.99-24.99-29.95</f>
        <v>29.990000000000027</v>
      </c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81"/>
    </row>
    <row r="219" spans="1:25">
      <c r="A219" s="13">
        <v>41782</v>
      </c>
      <c r="B219" s="3" t="s">
        <v>58</v>
      </c>
      <c r="J219" s="2">
        <v>209.65</v>
      </c>
      <c r="L219" s="2">
        <v>65.180000000000007</v>
      </c>
      <c r="M219" s="2">
        <v>207.54</v>
      </c>
      <c r="O219" s="2">
        <v>280.24</v>
      </c>
      <c r="P219" s="2">
        <v>56.37</v>
      </c>
      <c r="Q219" s="2">
        <v>175.98</v>
      </c>
      <c r="R219" s="2">
        <v>101.98</v>
      </c>
    </row>
    <row r="220" spans="1:25">
      <c r="A220" s="13">
        <v>41782</v>
      </c>
      <c r="B220" s="3" t="s">
        <v>57</v>
      </c>
      <c r="S220" s="2">
        <f>64.36+354.4</f>
        <v>418.76</v>
      </c>
    </row>
    <row r="221" spans="1:25">
      <c r="A221" s="13">
        <v>41786</v>
      </c>
      <c r="B221" s="3" t="s">
        <v>59</v>
      </c>
      <c r="T221" s="2">
        <v>495.35</v>
      </c>
    </row>
    <row r="222" spans="1:25">
      <c r="A222" s="13">
        <v>41786</v>
      </c>
      <c r="B222" s="3" t="s">
        <v>57</v>
      </c>
      <c r="L222" s="2">
        <v>267.45</v>
      </c>
    </row>
    <row r="223" spans="1:25">
      <c r="A223" s="13">
        <v>41788</v>
      </c>
      <c r="B223" s="3" t="s">
        <v>59</v>
      </c>
      <c r="T223" s="2">
        <v>442.34</v>
      </c>
    </row>
    <row r="224" spans="1:25">
      <c r="A224" s="13">
        <v>41794</v>
      </c>
      <c r="B224" s="3" t="s">
        <v>58</v>
      </c>
      <c r="Q224" s="2">
        <v>35.9</v>
      </c>
      <c r="V224" s="78"/>
    </row>
    <row r="225" spans="1:25">
      <c r="A225" s="13">
        <v>41779</v>
      </c>
      <c r="B225" s="3" t="s">
        <v>65</v>
      </c>
      <c r="S225" s="2">
        <v>235.18</v>
      </c>
    </row>
    <row r="226" spans="1:25">
      <c r="A226" s="13">
        <v>41787</v>
      </c>
      <c r="B226" s="3" t="s">
        <v>57</v>
      </c>
      <c r="L226" s="2">
        <v>46.57</v>
      </c>
    </row>
    <row r="227" spans="1:25">
      <c r="A227" s="13">
        <v>41794</v>
      </c>
      <c r="B227" s="3" t="s">
        <v>57</v>
      </c>
      <c r="L227" s="2">
        <v>66.94</v>
      </c>
    </row>
    <row r="228" spans="1:25">
      <c r="A228" s="13">
        <v>41793</v>
      </c>
      <c r="B228" s="3" t="s">
        <v>57</v>
      </c>
      <c r="S228" s="2">
        <v>128.72</v>
      </c>
    </row>
    <row r="229" spans="1:25">
      <c r="A229" s="13">
        <v>41730</v>
      </c>
      <c r="B229" s="3" t="s">
        <v>61</v>
      </c>
      <c r="N229" s="2">
        <v>13.67</v>
      </c>
    </row>
    <row r="230" spans="1:25">
      <c r="A230" s="13">
        <v>41800</v>
      </c>
      <c r="B230" s="3" t="s">
        <v>58</v>
      </c>
      <c r="E230" s="2">
        <v>218.21</v>
      </c>
    </row>
    <row r="231" spans="1:25">
      <c r="A231" s="13">
        <v>41801</v>
      </c>
      <c r="B231" s="3" t="s">
        <v>58</v>
      </c>
      <c r="Q231" s="2">
        <v>41.78</v>
      </c>
    </row>
    <row r="232" spans="1:25" s="80" customFormat="1">
      <c r="A232" s="79">
        <v>41801</v>
      </c>
      <c r="B232" s="80" t="s">
        <v>57</v>
      </c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>
        <f>482-82.8</f>
        <v>399.2</v>
      </c>
      <c r="R232" s="78"/>
      <c r="S232" s="78"/>
      <c r="T232" s="78"/>
      <c r="U232" s="78"/>
      <c r="V232" s="78"/>
      <c r="W232" s="78"/>
      <c r="X232" s="78"/>
      <c r="Y232" s="81"/>
    </row>
    <row r="233" spans="1:25">
      <c r="A233" s="13">
        <v>41801</v>
      </c>
      <c r="B233" s="3" t="s">
        <v>57</v>
      </c>
      <c r="S233" s="2">
        <v>99</v>
      </c>
    </row>
    <row r="234" spans="1:25">
      <c r="A234" s="13">
        <v>41796</v>
      </c>
      <c r="B234" s="3" t="s">
        <v>57</v>
      </c>
      <c r="S234" s="2">
        <v>64.36</v>
      </c>
      <c r="V234" s="78"/>
    </row>
    <row r="235" spans="1:25">
      <c r="A235" s="13">
        <v>41795</v>
      </c>
      <c r="B235" s="3" t="s">
        <v>57</v>
      </c>
      <c r="L235" s="2">
        <v>42.07</v>
      </c>
    </row>
    <row r="236" spans="1:25">
      <c r="A236" s="13">
        <v>41800</v>
      </c>
      <c r="B236" s="3" t="s">
        <v>57</v>
      </c>
      <c r="L236" s="2">
        <f>14.95+36.99</f>
        <v>51.94</v>
      </c>
    </row>
    <row r="237" spans="1:25">
      <c r="A237" s="13">
        <v>41803</v>
      </c>
      <c r="B237" s="3" t="s">
        <v>57</v>
      </c>
      <c r="L237" s="2">
        <v>14.99</v>
      </c>
      <c r="S237" s="2">
        <v>160.44</v>
      </c>
    </row>
    <row r="238" spans="1:25">
      <c r="A238" s="13">
        <v>41817</v>
      </c>
      <c r="B238" s="3" t="s">
        <v>58</v>
      </c>
      <c r="G238" s="2">
        <v>28.03</v>
      </c>
      <c r="I238" s="2">
        <v>77.349999999999994</v>
      </c>
    </row>
    <row r="239" spans="1:25">
      <c r="A239" s="13">
        <v>41813</v>
      </c>
      <c r="B239" s="3" t="s">
        <v>67</v>
      </c>
      <c r="V239" s="2">
        <v>336</v>
      </c>
    </row>
    <row r="240" spans="1:25">
      <c r="A240" s="13">
        <v>41813</v>
      </c>
      <c r="B240" s="3" t="s">
        <v>61</v>
      </c>
      <c r="P240" s="2">
        <v>6.19</v>
      </c>
    </row>
    <row r="241" spans="1:17">
      <c r="A241" s="13">
        <v>41809</v>
      </c>
      <c r="B241" s="3" t="s">
        <v>57</v>
      </c>
      <c r="L241" s="2">
        <v>24.99</v>
      </c>
    </row>
    <row r="242" spans="1:17">
      <c r="A242" s="13">
        <v>41816</v>
      </c>
      <c r="B242" s="3" t="s">
        <v>57</v>
      </c>
      <c r="L242" s="2">
        <v>29.95</v>
      </c>
    </row>
    <row r="243" spans="1:17">
      <c r="A243" s="13">
        <v>41816</v>
      </c>
      <c r="B243" s="3" t="s">
        <v>57</v>
      </c>
      <c r="Q243" s="2">
        <v>82.8</v>
      </c>
    </row>
    <row r="244" spans="1:17">
      <c r="A244" s="13">
        <v>41817</v>
      </c>
      <c r="B244" s="3" t="s">
        <v>83</v>
      </c>
      <c r="O244" s="2">
        <v>11.96</v>
      </c>
    </row>
  </sheetData>
  <sortState ref="A106:Y137">
    <sortCondition ref="A106"/>
  </sortState>
  <phoneticPr fontId="1" type="noConversion"/>
  <pageMargins left="0.18" right="0.18" top="1" bottom="1" header="0.5" footer="0.5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Itemized</vt:lpstr>
    </vt:vector>
  </TitlesOfParts>
  <Company>Town of Greenfield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chkout02</cp:lastModifiedBy>
  <cp:lastPrinted>2013-09-26T14:08:39Z</cp:lastPrinted>
  <dcterms:created xsi:type="dcterms:W3CDTF">2009-03-16T17:10:57Z</dcterms:created>
  <dcterms:modified xsi:type="dcterms:W3CDTF">2014-07-07T17:08:37Z</dcterms:modified>
</cp:coreProperties>
</file>