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20" yWindow="-105" windowWidth="6165" windowHeight="8325"/>
  </bookViews>
  <sheets>
    <sheet name="Totals" sheetId="1" r:id="rId1"/>
    <sheet name="Itemized" sheetId="2" r:id="rId2"/>
  </sheets>
  <calcPr calcId="125725"/>
</workbook>
</file>

<file path=xl/calcChain.xml><?xml version="1.0" encoding="utf-8"?>
<calcChain xmlns="http://schemas.openxmlformats.org/spreadsheetml/2006/main">
  <c r="L18" i="1"/>
  <c r="L15"/>
  <c r="L14"/>
  <c r="L13"/>
  <c r="L12"/>
  <c r="L11"/>
  <c r="L10"/>
  <c r="L9"/>
  <c r="T177" i="2"/>
  <c r="L172"/>
  <c r="Q175"/>
  <c r="I175"/>
  <c r="R175"/>
  <c r="P175"/>
  <c r="L175"/>
  <c r="T174"/>
  <c r="C10" i="1"/>
  <c r="C9"/>
  <c r="T165" i="2"/>
  <c r="L148"/>
  <c r="H140"/>
  <c r="G140"/>
  <c r="Q136"/>
  <c r="T134"/>
  <c r="T125"/>
  <c r="T113"/>
  <c r="Q113"/>
  <c r="Q106"/>
  <c r="K106"/>
  <c r="L95"/>
  <c r="T65"/>
  <c r="S88"/>
  <c r="L89"/>
  <c r="Q100"/>
  <c r="T98"/>
  <c r="S86"/>
  <c r="G79"/>
  <c r="L53"/>
  <c r="T32"/>
  <c r="I14"/>
  <c r="G14"/>
  <c r="G7"/>
  <c r="I7"/>
  <c r="C12" i="1"/>
  <c r="C7"/>
  <c r="C6"/>
  <c r="M1" i="2" l="1"/>
  <c r="D10" i="1" s="1"/>
  <c r="E10" s="1"/>
  <c r="H10" s="1"/>
  <c r="B25"/>
  <c r="D25" l="1"/>
  <c r="X1" i="2"/>
  <c r="D15" i="1" s="1"/>
  <c r="E15" s="1"/>
  <c r="H15" s="1"/>
  <c r="W1" i="2"/>
  <c r="D16" i="1" s="1"/>
  <c r="E16" s="1"/>
  <c r="H16" s="1"/>
  <c r="E1" i="2"/>
  <c r="C22" i="1" s="1"/>
  <c r="F1" i="2"/>
  <c r="E22" i="1" s="1"/>
  <c r="K1" i="2"/>
  <c r="L1"/>
  <c r="D9" i="1" s="1"/>
  <c r="E9" s="1"/>
  <c r="H9" s="1"/>
  <c r="O1" i="2"/>
  <c r="P1"/>
  <c r="Q1"/>
  <c r="R1"/>
  <c r="N1"/>
  <c r="D17" i="1" s="1"/>
  <c r="S1" i="2"/>
  <c r="D11" i="1" s="1"/>
  <c r="E11" s="1"/>
  <c r="H11" s="1"/>
  <c r="T1" i="2"/>
  <c r="D12" i="1" s="1"/>
  <c r="E12" s="1"/>
  <c r="U1" i="2"/>
  <c r="D14" i="1" s="1"/>
  <c r="E14" s="1"/>
  <c r="H14" s="1"/>
  <c r="V1" i="2"/>
  <c r="D13" i="1" s="1"/>
  <c r="E13" s="1"/>
  <c r="H13" s="1"/>
  <c r="J1" i="2"/>
  <c r="D8" i="1" s="1"/>
  <c r="E8" s="1"/>
  <c r="H8" s="1"/>
  <c r="H1" i="2"/>
  <c r="D6" i="1" s="1"/>
  <c r="E6" s="1"/>
  <c r="H6" s="1"/>
  <c r="B1"/>
  <c r="I1" i="2"/>
  <c r="E23" i="1" s="1"/>
  <c r="G1" i="2"/>
  <c r="C23" i="1" s="1"/>
  <c r="C1" i="2"/>
  <c r="C21" i="1" s="1"/>
  <c r="D1" i="2"/>
  <c r="E21" i="1" s="1"/>
  <c r="H12" l="1"/>
  <c r="E24"/>
  <c r="E25" s="1"/>
  <c r="D4"/>
  <c r="E4" s="1"/>
  <c r="H4" s="1"/>
  <c r="D5"/>
  <c r="E5" s="1"/>
  <c r="H5" s="1"/>
  <c r="C24"/>
  <c r="C25" s="1"/>
  <c r="D3"/>
  <c r="E3" s="1"/>
  <c r="H3" s="1"/>
  <c r="E17"/>
  <c r="D7"/>
  <c r="E7" s="1"/>
  <c r="H7" s="1"/>
  <c r="C18"/>
  <c r="G10" s="1"/>
  <c r="D18" l="1"/>
  <c r="H17"/>
  <c r="E18"/>
  <c r="G13"/>
  <c r="G12"/>
  <c r="G9"/>
  <c r="G7"/>
  <c r="G5"/>
  <c r="G3"/>
  <c r="G16"/>
  <c r="G11"/>
  <c r="G8"/>
  <c r="G6"/>
  <c r="G4"/>
  <c r="G17"/>
  <c r="G15"/>
  <c r="G14"/>
  <c r="H20" l="1"/>
  <c r="G18"/>
</calcChain>
</file>

<file path=xl/sharedStrings.xml><?xml version="1.0" encoding="utf-8"?>
<sst xmlns="http://schemas.openxmlformats.org/spreadsheetml/2006/main" count="274" uniqueCount="95">
  <si>
    <t>ccfic</t>
  </si>
  <si>
    <t>ccnon</t>
  </si>
  <si>
    <t>jbfic</t>
  </si>
  <si>
    <t>jbnon</t>
  </si>
  <si>
    <t>lpfic</t>
  </si>
  <si>
    <t>lpgns</t>
  </si>
  <si>
    <t>lpnon</t>
  </si>
  <si>
    <t>Selector</t>
  </si>
  <si>
    <t>Budget</t>
  </si>
  <si>
    <t>Spent to date</t>
  </si>
  <si>
    <t>Left to Spend</t>
  </si>
  <si>
    <t>To Date</t>
  </si>
  <si>
    <t>kl</t>
  </si>
  <si>
    <t>lpscifi</t>
  </si>
  <si>
    <t>date</t>
  </si>
  <si>
    <t>BoCD</t>
  </si>
  <si>
    <t>DVD</t>
  </si>
  <si>
    <t>CD</t>
  </si>
  <si>
    <t xml:space="preserve"> </t>
  </si>
  <si>
    <t>Fiction</t>
  </si>
  <si>
    <t>Nonfiction</t>
  </si>
  <si>
    <t>Jane</t>
  </si>
  <si>
    <t>Teen</t>
  </si>
  <si>
    <t>Large Print</t>
  </si>
  <si>
    <t>Reference</t>
  </si>
  <si>
    <t>Kay</t>
  </si>
  <si>
    <t>Lisa</t>
  </si>
  <si>
    <t>Graphic Novels</t>
  </si>
  <si>
    <t>Magazines</t>
  </si>
  <si>
    <t>lpBoCD</t>
  </si>
  <si>
    <t>lpDVD</t>
  </si>
  <si>
    <t>vendor</t>
  </si>
  <si>
    <t>Databases</t>
  </si>
  <si>
    <t>Mags</t>
  </si>
  <si>
    <t>Category</t>
  </si>
  <si>
    <t>Misc.</t>
  </si>
  <si>
    <t>jbLP</t>
  </si>
  <si>
    <t>to spend</t>
  </si>
  <si>
    <t>% left</t>
  </si>
  <si>
    <t>% of</t>
  </si>
  <si>
    <t>Total</t>
  </si>
  <si>
    <t>Freegal</t>
  </si>
  <si>
    <t>ebfic</t>
  </si>
  <si>
    <t>ebnon</t>
  </si>
  <si>
    <t>Overdrive</t>
  </si>
  <si>
    <t>DBs</t>
  </si>
  <si>
    <t>Youth</t>
  </si>
  <si>
    <t>Notes</t>
  </si>
  <si>
    <t>All</t>
  </si>
  <si>
    <t>Cynthia</t>
  </si>
  <si>
    <t>Ellen</t>
  </si>
  <si>
    <t>Remaining</t>
  </si>
  <si>
    <t>left to spend overall</t>
  </si>
  <si>
    <t>ref</t>
  </si>
  <si>
    <t>Diane</t>
  </si>
  <si>
    <t>Amazon</t>
  </si>
  <si>
    <t>dhCD</t>
  </si>
  <si>
    <t>YA</t>
  </si>
  <si>
    <t>Zoe</t>
  </si>
  <si>
    <t>Ingram</t>
  </si>
  <si>
    <t>Amazon (speaker series)</t>
  </si>
  <si>
    <t>Center Point</t>
  </si>
  <si>
    <t>NADA</t>
  </si>
  <si>
    <t>C/W MARS</t>
  </si>
  <si>
    <t>Proquest</t>
  </si>
  <si>
    <t>B&amp;T</t>
  </si>
  <si>
    <t>Baker</t>
  </si>
  <si>
    <t>Dex Media</t>
  </si>
  <si>
    <t>Recorded Books</t>
  </si>
  <si>
    <t>Sun</t>
  </si>
  <si>
    <t>Five Colleges</t>
  </si>
  <si>
    <t>AudioEditions</t>
  </si>
  <si>
    <t>Canvendish</t>
  </si>
  <si>
    <t>zkteen</t>
  </si>
  <si>
    <t>Blackstone</t>
  </si>
  <si>
    <t>SF newspaper</t>
  </si>
  <si>
    <t>Demco</t>
  </si>
  <si>
    <t>Rosen</t>
  </si>
  <si>
    <t>Cavendish</t>
  </si>
  <si>
    <t>Gale/Cengage</t>
  </si>
  <si>
    <t>Scholastic</t>
  </si>
  <si>
    <t>Usborne</t>
  </si>
  <si>
    <t>Library Ideas</t>
  </si>
  <si>
    <t>Bookpage</t>
  </si>
  <si>
    <t>World Book</t>
  </si>
  <si>
    <t>Youth Sports Club</t>
  </si>
  <si>
    <t>World Eye</t>
  </si>
  <si>
    <t>EBSCO</t>
  </si>
  <si>
    <t>Montague Reporter</t>
  </si>
  <si>
    <t>NEHGS</t>
  </si>
  <si>
    <t>books</t>
  </si>
  <si>
    <t>Digital</t>
  </si>
  <si>
    <t>Music</t>
  </si>
  <si>
    <t>Digital Music</t>
  </si>
  <si>
    <t>Digital Books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</si>
</sst>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164" formatCode="&quot;$&quot;#,##0.00"/>
    <numFmt numFmtId="165" formatCode="m/d/yy;@"/>
  </numFmts>
  <fonts count="15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sz val="8"/>
      <color theme="4"/>
      <name val="Arial"/>
      <family val="2"/>
    </font>
    <font>
      <b/>
      <sz val="8"/>
      <color rgb="FF7030A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8"/>
      <color rgb="FFFF0000"/>
      <name val="Arial"/>
      <family val="2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40" fontId="1" fillId="0" borderId="1" xfId="0" applyNumberFormat="1" applyFont="1" applyBorder="1" applyAlignment="1">
      <alignment horizontal="right"/>
    </xf>
    <xf numFmtId="40" fontId="1" fillId="0" borderId="1" xfId="0" applyNumberFormat="1" applyFont="1" applyBorder="1"/>
    <xf numFmtId="40" fontId="1" fillId="0" borderId="0" xfId="0" applyNumberFormat="1" applyFont="1"/>
    <xf numFmtId="40" fontId="3" fillId="0" borderId="1" xfId="0" applyNumberFormat="1" applyFont="1" applyBorder="1"/>
    <xf numFmtId="40" fontId="2" fillId="0" borderId="3" xfId="0" applyNumberFormat="1" applyFont="1" applyBorder="1" applyAlignment="1">
      <alignment horizontal="center"/>
    </xf>
    <xf numFmtId="40" fontId="2" fillId="0" borderId="4" xfId="0" applyNumberFormat="1" applyFont="1" applyBorder="1" applyAlignment="1">
      <alignment horizontal="center"/>
    </xf>
    <xf numFmtId="40" fontId="4" fillId="0" borderId="1" xfId="0" applyNumberFormat="1" applyFont="1" applyBorder="1"/>
    <xf numFmtId="40" fontId="5" fillId="0" borderId="1" xfId="0" applyNumberFormat="1" applyFont="1" applyBorder="1"/>
    <xf numFmtId="40" fontId="5" fillId="0" borderId="0" xfId="0" applyNumberFormat="1" applyFont="1"/>
    <xf numFmtId="165" fontId="6" fillId="0" borderId="5" xfId="0" applyNumberFormat="1" applyFont="1" applyBorder="1"/>
    <xf numFmtId="165" fontId="2" fillId="0" borderId="6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right"/>
    </xf>
    <xf numFmtId="165" fontId="1" fillId="0" borderId="5" xfId="0" applyNumberFormat="1" applyFont="1" applyBorder="1"/>
    <xf numFmtId="165" fontId="1" fillId="0" borderId="5" xfId="0" applyNumberFormat="1" applyFont="1" applyBorder="1" applyAlignment="1"/>
    <xf numFmtId="40" fontId="1" fillId="0" borderId="0" xfId="0" applyNumberFormat="1" applyFont="1" applyBorder="1" applyAlignment="1"/>
    <xf numFmtId="40" fontId="1" fillId="0" borderId="1" xfId="0" applyNumberFormat="1" applyFont="1" applyBorder="1" applyAlignment="1"/>
    <xf numFmtId="40" fontId="2" fillId="0" borderId="6" xfId="0" applyNumberFormat="1" applyFont="1" applyBorder="1" applyAlignment="1">
      <alignment horizontal="center"/>
    </xf>
    <xf numFmtId="40" fontId="1" fillId="0" borderId="5" xfId="0" applyNumberFormat="1" applyFont="1" applyBorder="1" applyAlignment="1">
      <alignment horizontal="right"/>
    </xf>
    <xf numFmtId="40" fontId="1" fillId="0" borderId="5" xfId="0" applyNumberFormat="1" applyFont="1" applyBorder="1"/>
    <xf numFmtId="40" fontId="1" fillId="0" borderId="5" xfId="0" applyNumberFormat="1" applyFont="1" applyBorder="1" applyAlignment="1"/>
    <xf numFmtId="40" fontId="5" fillId="0" borderId="5" xfId="0" applyNumberFormat="1" applyFont="1" applyBorder="1"/>
    <xf numFmtId="40" fontId="3" fillId="0" borderId="5" xfId="0" applyNumberFormat="1" applyFont="1" applyBorder="1"/>
    <xf numFmtId="0" fontId="7" fillId="0" borderId="0" xfId="0" applyFont="1"/>
    <xf numFmtId="14" fontId="8" fillId="0" borderId="0" xfId="0" applyNumberFormat="1" applyFont="1"/>
    <xf numFmtId="164" fontId="8" fillId="0" borderId="0" xfId="0" applyNumberFormat="1" applyFont="1"/>
    <xf numFmtId="164" fontId="7" fillId="0" borderId="0" xfId="0" applyNumberFormat="1" applyFont="1"/>
    <xf numFmtId="0" fontId="9" fillId="0" borderId="0" xfId="0" applyFont="1"/>
    <xf numFmtId="9" fontId="7" fillId="0" borderId="0" xfId="0" applyNumberFormat="1" applyFont="1"/>
    <xf numFmtId="0" fontId="8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wrapText="1"/>
    </xf>
    <xf numFmtId="9" fontId="8" fillId="0" borderId="0" xfId="0" applyNumberFormat="1" applyFont="1" applyFill="1"/>
    <xf numFmtId="9" fontId="8" fillId="0" borderId="0" xfId="0" applyNumberFormat="1" applyFont="1"/>
    <xf numFmtId="0" fontId="8" fillId="0" borderId="0" xfId="0" applyFont="1" applyFill="1" applyAlignment="1">
      <alignment wrapText="1"/>
    </xf>
    <xf numFmtId="0" fontId="8" fillId="0" borderId="0" xfId="0" applyFont="1" applyFill="1"/>
    <xf numFmtId="164" fontId="8" fillId="0" borderId="0" xfId="0" applyNumberFormat="1" applyFont="1" applyFill="1"/>
    <xf numFmtId="9" fontId="7" fillId="0" borderId="2" xfId="0" applyNumberFormat="1" applyFont="1" applyBorder="1"/>
    <xf numFmtId="0" fontId="8" fillId="0" borderId="0" xfId="0" applyFont="1" applyBorder="1"/>
    <xf numFmtId="164" fontId="8" fillId="0" borderId="0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8" fillId="0" borderId="0" xfId="0" applyFont="1" applyAlignment="1">
      <alignment horizontal="left"/>
    </xf>
    <xf numFmtId="9" fontId="8" fillId="0" borderId="0" xfId="0" applyNumberFormat="1" applyFont="1" applyBorder="1"/>
    <xf numFmtId="164" fontId="8" fillId="0" borderId="2" xfId="0" applyNumberFormat="1" applyFont="1" applyBorder="1"/>
    <xf numFmtId="9" fontId="7" fillId="0" borderId="7" xfId="0" applyNumberFormat="1" applyFont="1" applyBorder="1"/>
    <xf numFmtId="0" fontId="7" fillId="0" borderId="8" xfId="0" applyFont="1" applyBorder="1"/>
    <xf numFmtId="0" fontId="7" fillId="0" borderId="9" xfId="0" applyFont="1" applyBorder="1"/>
    <xf numFmtId="164" fontId="12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right"/>
    </xf>
    <xf numFmtId="164" fontId="11" fillId="0" borderId="0" xfId="0" applyNumberFormat="1" applyFont="1" applyFill="1" applyAlignment="1">
      <alignment wrapText="1"/>
    </xf>
    <xf numFmtId="164" fontId="11" fillId="0" borderId="0" xfId="0" applyNumberFormat="1" applyFont="1" applyAlignment="1">
      <alignment wrapText="1"/>
    </xf>
    <xf numFmtId="164" fontId="12" fillId="0" borderId="2" xfId="0" applyNumberFormat="1" applyFont="1" applyBorder="1"/>
    <xf numFmtId="8" fontId="7" fillId="0" borderId="0" xfId="0" applyNumberFormat="1" applyFont="1"/>
    <xf numFmtId="8" fontId="9" fillId="0" borderId="0" xfId="0" applyNumberFormat="1" applyFont="1" applyAlignment="1">
      <alignment horizontal="center"/>
    </xf>
    <xf numFmtId="8" fontId="9" fillId="0" borderId="0" xfId="0" applyNumberFormat="1" applyFont="1" applyAlignment="1">
      <alignment horizontal="right"/>
    </xf>
    <xf numFmtId="8" fontId="10" fillId="0" borderId="2" xfId="0" applyNumberFormat="1" applyFont="1" applyBorder="1"/>
    <xf numFmtId="8" fontId="8" fillId="0" borderId="0" xfId="0" applyNumberFormat="1" applyFont="1"/>
    <xf numFmtId="8" fontId="9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/>
    <xf numFmtId="8" fontId="7" fillId="0" borderId="0" xfId="0" applyNumberFormat="1" applyFont="1" applyAlignment="1">
      <alignment horizontal="center"/>
    </xf>
    <xf numFmtId="8" fontId="8" fillId="0" borderId="0" xfId="0" applyNumberFormat="1" applyFont="1" applyAlignment="1">
      <alignment horizontal="right"/>
    </xf>
    <xf numFmtId="8" fontId="8" fillId="0" borderId="0" xfId="0" applyNumberFormat="1" applyFont="1" applyFill="1" applyAlignment="1">
      <alignment horizontal="right" wrapText="1"/>
    </xf>
    <xf numFmtId="8" fontId="8" fillId="0" borderId="0" xfId="0" applyNumberFormat="1" applyFont="1" applyAlignment="1">
      <alignment horizontal="right" wrapText="1"/>
    </xf>
    <xf numFmtId="8" fontId="7" fillId="0" borderId="2" xfId="0" applyNumberFormat="1" applyFont="1" applyBorder="1"/>
    <xf numFmtId="8" fontId="8" fillId="0" borderId="0" xfId="0" applyNumberFormat="1" applyFont="1" applyAlignment="1"/>
    <xf numFmtId="165" fontId="1" fillId="0" borderId="5" xfId="0" applyNumberFormat="1" applyFont="1" applyFill="1" applyBorder="1"/>
    <xf numFmtId="40" fontId="1" fillId="0" borderId="0" xfId="0" applyNumberFormat="1" applyFont="1" applyFill="1"/>
    <xf numFmtId="40" fontId="1" fillId="0" borderId="1" xfId="0" applyNumberFormat="1" applyFont="1" applyFill="1" applyBorder="1"/>
    <xf numFmtId="40" fontId="1" fillId="0" borderId="1" xfId="0" applyNumberFormat="1" applyFont="1" applyFill="1" applyBorder="1" applyAlignment="1">
      <alignment horizontal="right"/>
    </xf>
    <xf numFmtId="40" fontId="1" fillId="0" borderId="5" xfId="0" applyNumberFormat="1" applyFont="1" applyFill="1" applyBorder="1"/>
    <xf numFmtId="40" fontId="4" fillId="0" borderId="1" xfId="0" applyNumberFormat="1" applyFont="1" applyFill="1" applyBorder="1"/>
    <xf numFmtId="40" fontId="4" fillId="0" borderId="5" xfId="0" applyNumberFormat="1" applyFont="1" applyFill="1" applyBorder="1"/>
    <xf numFmtId="40" fontId="13" fillId="0" borderId="1" xfId="0" applyNumberFormat="1" applyFont="1" applyBorder="1"/>
    <xf numFmtId="165" fontId="13" fillId="0" borderId="5" xfId="0" applyNumberFormat="1" applyFont="1" applyBorder="1"/>
    <xf numFmtId="40" fontId="13" fillId="0" borderId="0" xfId="0" applyNumberFormat="1" applyFont="1"/>
    <xf numFmtId="40" fontId="13" fillId="0" borderId="5" xfId="0" applyNumberFormat="1" applyFont="1" applyBorder="1"/>
    <xf numFmtId="8" fontId="14" fillId="0" borderId="0" xfId="0" applyNumberFormat="1" applyFont="1"/>
    <xf numFmtId="40" fontId="4" fillId="0" borderId="0" xfId="0" applyNumberFormat="1" applyFont="1" applyFill="1"/>
    <xf numFmtId="8" fontId="9" fillId="0" borderId="0" xfId="0" applyNumberFormat="1" applyFont="1" applyFill="1" applyAlignment="1">
      <alignment horizontal="right" wrapText="1"/>
    </xf>
    <xf numFmtId="8" fontId="9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I26" sqref="I26"/>
    </sheetView>
  </sheetViews>
  <sheetFormatPr defaultColWidth="9.140625" defaultRowHeight="15"/>
  <cols>
    <col min="1" max="1" width="14.5703125" style="29" customWidth="1"/>
    <col min="2" max="2" width="14.140625" style="29" customWidth="1"/>
    <col min="3" max="3" width="13.85546875" style="58" customWidth="1"/>
    <col min="4" max="4" width="13.5703125" style="25" customWidth="1"/>
    <col min="5" max="5" width="13.7109375" style="54" customWidth="1"/>
    <col min="6" max="6" width="1.85546875" style="25" customWidth="1"/>
    <col min="7" max="7" width="9.140625" style="33"/>
    <col min="8" max="8" width="9.5703125" style="33" customWidth="1"/>
    <col min="9" max="9" width="14.42578125" style="27" customWidth="1"/>
    <col min="10" max="16384" width="9.140625" style="29"/>
  </cols>
  <sheetData>
    <row r="1" spans="1:12">
      <c r="A1" s="23" t="s">
        <v>11</v>
      </c>
      <c r="B1" s="24">
        <f ca="1">TODAY()</f>
        <v>42191</v>
      </c>
      <c r="C1" s="79"/>
      <c r="G1" s="28" t="s">
        <v>39</v>
      </c>
      <c r="H1" s="28" t="s">
        <v>38</v>
      </c>
    </row>
    <row r="2" spans="1:12">
      <c r="A2" s="30" t="s">
        <v>34</v>
      </c>
      <c r="B2" s="30" t="s">
        <v>47</v>
      </c>
      <c r="C2" s="62" t="s">
        <v>8</v>
      </c>
      <c r="D2" s="49" t="s">
        <v>9</v>
      </c>
      <c r="E2" s="55" t="s">
        <v>10</v>
      </c>
      <c r="F2" s="29"/>
      <c r="G2" s="28" t="s">
        <v>40</v>
      </c>
      <c r="H2" s="28" t="s">
        <v>37</v>
      </c>
      <c r="I2" s="30" t="s">
        <v>7</v>
      </c>
    </row>
    <row r="3" spans="1:12">
      <c r="A3" s="40" t="s">
        <v>19</v>
      </c>
      <c r="B3" s="30"/>
      <c r="C3" s="63">
        <v>20000</v>
      </c>
      <c r="D3" s="50">
        <f>Itemized!C1+Itemized!E1+Itemized!G1+Itemized!O1+Itemized!R1</f>
        <v>17515.069999999996</v>
      </c>
      <c r="E3" s="56">
        <f>C3-D3</f>
        <v>2484.9300000000039</v>
      </c>
      <c r="F3" s="29"/>
      <c r="G3" s="33">
        <f>C3/C18</f>
        <v>0.19761283692988696</v>
      </c>
      <c r="H3" s="28">
        <f>E3/C3</f>
        <v>0.12424650000000019</v>
      </c>
      <c r="I3" s="43" t="s">
        <v>48</v>
      </c>
    </row>
    <row r="4" spans="1:12">
      <c r="A4" s="40" t="s">
        <v>20</v>
      </c>
      <c r="B4" s="30"/>
      <c r="C4" s="63">
        <v>11000</v>
      </c>
      <c r="D4" s="50">
        <f>Itemized!D1+Itemized!F1+Itemized!I1+Itemized!Q1</f>
        <v>11081.54</v>
      </c>
      <c r="E4" s="56">
        <f>C4-D4</f>
        <v>-81.540000000000873</v>
      </c>
      <c r="F4" s="29"/>
      <c r="G4" s="33">
        <f>C4/C18</f>
        <v>0.10868706031143784</v>
      </c>
      <c r="H4" s="28">
        <f t="shared" ref="H4:H17" si="0">E4/C4</f>
        <v>-7.412727272727352E-3</v>
      </c>
      <c r="I4" s="43" t="s">
        <v>48</v>
      </c>
    </row>
    <row r="5" spans="1:12">
      <c r="A5" s="40" t="s">
        <v>27</v>
      </c>
      <c r="B5" s="30"/>
      <c r="C5" s="63">
        <v>1000</v>
      </c>
      <c r="D5" s="50">
        <f>Itemized!P1</f>
        <v>1120.3500000000001</v>
      </c>
      <c r="E5" s="56">
        <f t="shared" ref="E5:E12" si="1">C5-D5</f>
        <v>-120.35000000000014</v>
      </c>
      <c r="F5" s="29"/>
      <c r="G5" s="33">
        <f>C5/C18</f>
        <v>9.8806418464943476E-3</v>
      </c>
      <c r="H5" s="28">
        <f t="shared" si="0"/>
        <v>-0.12035000000000014</v>
      </c>
      <c r="I5" s="43" t="s">
        <v>26</v>
      </c>
    </row>
    <row r="6" spans="1:12">
      <c r="A6" s="40" t="s">
        <v>23</v>
      </c>
      <c r="B6" s="30"/>
      <c r="C6" s="63">
        <f>4000</f>
        <v>4000</v>
      </c>
      <c r="D6" s="50">
        <f>Itemized!H1</f>
        <v>5569.24</v>
      </c>
      <c r="E6" s="56">
        <f t="shared" si="1"/>
        <v>-1569.2399999999998</v>
      </c>
      <c r="F6" s="29"/>
      <c r="G6" s="33">
        <f>C6/C18</f>
        <v>3.952256738597739E-2</v>
      </c>
      <c r="H6" s="28">
        <f t="shared" si="0"/>
        <v>-0.39230999999999994</v>
      </c>
      <c r="I6" s="43" t="s">
        <v>21</v>
      </c>
    </row>
    <row r="7" spans="1:12">
      <c r="A7" s="23" t="s">
        <v>24</v>
      </c>
      <c r="B7" s="30"/>
      <c r="C7" s="63">
        <f>2100</f>
        <v>2100</v>
      </c>
      <c r="D7" s="50">
        <f>Itemized!K1</f>
        <v>1519.48</v>
      </c>
      <c r="E7" s="56">
        <f t="shared" si="1"/>
        <v>580.52</v>
      </c>
      <c r="F7" s="29"/>
      <c r="G7" s="33">
        <f>C7/C18</f>
        <v>2.074934787763813E-2</v>
      </c>
      <c r="H7" s="28">
        <f t="shared" si="0"/>
        <v>0.27643809523809521</v>
      </c>
      <c r="I7" s="43" t="s">
        <v>26</v>
      </c>
      <c r="J7" s="33"/>
    </row>
    <row r="8" spans="1:12">
      <c r="A8" s="40" t="s">
        <v>22</v>
      </c>
      <c r="B8" s="30"/>
      <c r="C8" s="63">
        <v>2000</v>
      </c>
      <c r="D8" s="50">
        <f>Itemized!J1</f>
        <v>2652.4799999999996</v>
      </c>
      <c r="E8" s="56">
        <f t="shared" si="1"/>
        <v>-652.47999999999956</v>
      </c>
      <c r="F8" s="29"/>
      <c r="G8" s="33">
        <f>C8/C18</f>
        <v>1.9761283692988695E-2</v>
      </c>
      <c r="H8" s="28">
        <f t="shared" si="0"/>
        <v>-0.32623999999999981</v>
      </c>
      <c r="I8" s="43" t="s">
        <v>58</v>
      </c>
      <c r="J8" s="58"/>
    </row>
    <row r="9" spans="1:12">
      <c r="A9" s="40" t="s">
        <v>46</v>
      </c>
      <c r="B9" s="30"/>
      <c r="C9" s="67">
        <f>14000+1009.77</f>
        <v>15009.77</v>
      </c>
      <c r="D9" s="50">
        <f>Itemized!L1</f>
        <v>14130.7</v>
      </c>
      <c r="E9" s="56">
        <f t="shared" si="1"/>
        <v>879.06999999999971</v>
      </c>
      <c r="F9" s="29"/>
      <c r="G9" s="33">
        <f>C9/C18</f>
        <v>0.14830616156825549</v>
      </c>
      <c r="H9" s="28">
        <f t="shared" si="0"/>
        <v>5.8566520339752022E-2</v>
      </c>
      <c r="I9" s="43" t="s">
        <v>25</v>
      </c>
      <c r="K9" s="29" t="s">
        <v>90</v>
      </c>
      <c r="L9" s="33">
        <f>G3+G4+G5+G6+G7+G8+10%</f>
        <v>0.49621373804442326</v>
      </c>
    </row>
    <row r="10" spans="1:12">
      <c r="A10" s="40" t="s">
        <v>57</v>
      </c>
      <c r="B10" s="30"/>
      <c r="C10" s="67">
        <f>1100-1009.77</f>
        <v>90.230000000000018</v>
      </c>
      <c r="D10" s="50">
        <f>Itemized!M1</f>
        <v>90.22999999999999</v>
      </c>
      <c r="E10" s="56">
        <f t="shared" si="1"/>
        <v>0</v>
      </c>
      <c r="F10" s="29"/>
      <c r="G10" s="33">
        <f>C10/C18</f>
        <v>8.915303138091852E-4</v>
      </c>
      <c r="H10" s="28">
        <f>E10/C10</f>
        <v>0</v>
      </c>
      <c r="I10" s="43"/>
      <c r="K10" s="29" t="s">
        <v>16</v>
      </c>
      <c r="L10" s="33">
        <f>G12+4%</f>
        <v>0.18129317840486919</v>
      </c>
    </row>
    <row r="11" spans="1:12">
      <c r="A11" s="40" t="s">
        <v>15</v>
      </c>
      <c r="B11" s="30"/>
      <c r="C11" s="67">
        <v>7000</v>
      </c>
      <c r="D11" s="50">
        <f>Itemized!S1</f>
        <v>7911.8799999999992</v>
      </c>
      <c r="E11" s="56">
        <f t="shared" si="1"/>
        <v>-911.8799999999992</v>
      </c>
      <c r="F11" s="29"/>
      <c r="G11" s="33">
        <f>C11/C18</f>
        <v>6.9164492925460438E-2</v>
      </c>
      <c r="H11" s="28">
        <f t="shared" si="0"/>
        <v>-0.13026857142857132</v>
      </c>
      <c r="I11" s="43" t="s">
        <v>26</v>
      </c>
      <c r="K11" s="29" t="s">
        <v>15</v>
      </c>
      <c r="L11" s="33">
        <f>G11+1%</f>
        <v>7.9164492925460433E-2</v>
      </c>
    </row>
    <row r="12" spans="1:12">
      <c r="A12" s="40" t="s">
        <v>16</v>
      </c>
      <c r="B12" s="30"/>
      <c r="C12" s="67">
        <f>14300</f>
        <v>14300</v>
      </c>
      <c r="D12" s="50">
        <f>Itemized!T1</f>
        <v>13584.779999999997</v>
      </c>
      <c r="E12" s="56">
        <f t="shared" si="1"/>
        <v>715.22000000000298</v>
      </c>
      <c r="F12" s="29"/>
      <c r="G12" s="33">
        <f>C12/C18</f>
        <v>0.14129317840486919</v>
      </c>
      <c r="H12" s="28">
        <f t="shared" si="0"/>
        <v>5.0015384615384822E-2</v>
      </c>
      <c r="I12" s="43" t="s">
        <v>26</v>
      </c>
      <c r="K12" s="29" t="s">
        <v>94</v>
      </c>
      <c r="L12" s="33">
        <f>G16</f>
        <v>2.0828393012410087E-2</v>
      </c>
    </row>
    <row r="13" spans="1:12" s="35" customFormat="1">
      <c r="A13" s="42" t="s">
        <v>28</v>
      </c>
      <c r="B13" s="34"/>
      <c r="C13" s="64">
        <v>6500</v>
      </c>
      <c r="D13" s="51">
        <f>Itemized!V1</f>
        <v>8823.58</v>
      </c>
      <c r="E13" s="81">
        <f t="shared" ref="E13:E17" si="2">SUM(C13-D13)</f>
        <v>-2323.58</v>
      </c>
      <c r="G13" s="32">
        <f>C13/C18</f>
        <v>6.4224172002213267E-2</v>
      </c>
      <c r="H13" s="28">
        <f t="shared" si="0"/>
        <v>-0.35747384615384614</v>
      </c>
      <c r="K13" s="35" t="s">
        <v>92</v>
      </c>
      <c r="L13" s="32">
        <f>G17</f>
        <v>2.3713540431586435E-2</v>
      </c>
    </row>
    <row r="14" spans="1:12">
      <c r="A14" s="41" t="s">
        <v>35</v>
      </c>
      <c r="B14" s="31" t="s">
        <v>32</v>
      </c>
      <c r="C14" s="65">
        <v>7000</v>
      </c>
      <c r="D14" s="52">
        <f>Itemized!U1</f>
        <v>5313</v>
      </c>
      <c r="E14" s="82">
        <f t="shared" si="2"/>
        <v>1687</v>
      </c>
      <c r="F14" s="29"/>
      <c r="G14" s="32">
        <f>C14/C18</f>
        <v>6.9164492925460438E-2</v>
      </c>
      <c r="H14" s="28">
        <f t="shared" si="0"/>
        <v>0.24099999999999999</v>
      </c>
      <c r="K14" s="29" t="s">
        <v>32</v>
      </c>
      <c r="L14" s="33">
        <f>G14</f>
        <v>6.9164492925460438E-2</v>
      </c>
    </row>
    <row r="15" spans="1:12" s="35" customFormat="1">
      <c r="A15" s="34"/>
      <c r="B15" s="34" t="s">
        <v>41</v>
      </c>
      <c r="C15" s="64">
        <v>6700</v>
      </c>
      <c r="D15" s="51">
        <f>Itemized!X1</f>
        <v>6700</v>
      </c>
      <c r="E15" s="82">
        <f t="shared" si="2"/>
        <v>0</v>
      </c>
      <c r="G15" s="32">
        <f>C15/C18</f>
        <v>6.620030037151213E-2</v>
      </c>
      <c r="H15" s="28">
        <f t="shared" si="0"/>
        <v>0</v>
      </c>
      <c r="K15" s="35" t="s">
        <v>93</v>
      </c>
      <c r="L15" s="32">
        <f>G15</f>
        <v>6.620030037151213E-2</v>
      </c>
    </row>
    <row r="16" spans="1:12" s="35" customFormat="1">
      <c r="A16" s="34"/>
      <c r="B16" s="34" t="s">
        <v>44</v>
      </c>
      <c r="C16" s="64">
        <v>2108</v>
      </c>
      <c r="D16" s="51">
        <f>Itemized!W1</f>
        <v>2108</v>
      </c>
      <c r="E16" s="82">
        <f t="shared" si="2"/>
        <v>0</v>
      </c>
      <c r="G16" s="32">
        <f>C16/C18</f>
        <v>2.0828393012410087E-2</v>
      </c>
      <c r="H16" s="28">
        <f t="shared" si="0"/>
        <v>0</v>
      </c>
      <c r="K16" s="35" t="s">
        <v>28</v>
      </c>
      <c r="L16" s="32">
        <v>0.05</v>
      </c>
    </row>
    <row r="17" spans="1:12">
      <c r="A17" s="34"/>
      <c r="B17" s="34" t="s">
        <v>17</v>
      </c>
      <c r="C17" s="64">
        <v>2400</v>
      </c>
      <c r="D17" s="51">
        <f>Itemized!N1</f>
        <v>2411.8100000000004</v>
      </c>
      <c r="E17" s="82">
        <f t="shared" si="2"/>
        <v>-11.8100000000004</v>
      </c>
      <c r="F17" s="29"/>
      <c r="G17" s="32">
        <f>C17/C18</f>
        <v>2.3713540431586435E-2</v>
      </c>
      <c r="H17" s="28">
        <f t="shared" si="0"/>
        <v>-4.9208333333335E-3</v>
      </c>
      <c r="I17" s="29" t="s">
        <v>54</v>
      </c>
      <c r="J17" s="33"/>
      <c r="K17" s="29" t="s">
        <v>91</v>
      </c>
      <c r="L17" s="33">
        <v>0.01</v>
      </c>
    </row>
    <row r="18" spans="1:12" ht="15.75" thickBot="1">
      <c r="C18" s="66">
        <f>SUM(C3:C17)</f>
        <v>101208</v>
      </c>
      <c r="D18" s="53">
        <f>SUM(D3:D17)</f>
        <v>100532.14</v>
      </c>
      <c r="E18" s="57">
        <f>SUM(E3:E17)</f>
        <v>675.86000000000649</v>
      </c>
      <c r="F18" s="29"/>
      <c r="G18" s="37">
        <f>SUM(G3:G17)</f>
        <v>1</v>
      </c>
      <c r="H18" s="44"/>
      <c r="I18" s="29"/>
      <c r="L18" s="33">
        <f>SUM(L9:L17)</f>
        <v>0.9965781361157221</v>
      </c>
    </row>
    <row r="19" spans="1:12" ht="16.5" thickTop="1" thickBot="1">
      <c r="D19" s="29"/>
      <c r="E19" s="58"/>
      <c r="F19" s="29"/>
      <c r="G19" s="28"/>
      <c r="I19" s="29"/>
    </row>
    <row r="20" spans="1:12" ht="15.75" thickBot="1">
      <c r="A20" s="23" t="s">
        <v>7</v>
      </c>
      <c r="B20" s="23" t="s">
        <v>19</v>
      </c>
      <c r="C20" s="54" t="s">
        <v>51</v>
      </c>
      <c r="D20" s="26" t="s">
        <v>20</v>
      </c>
      <c r="E20" s="54" t="s">
        <v>51</v>
      </c>
      <c r="F20" s="29"/>
      <c r="H20" s="46">
        <f>E18/C18</f>
        <v>6.6779305983717344E-3</v>
      </c>
      <c r="I20" s="48" t="s">
        <v>52</v>
      </c>
      <c r="J20" s="47"/>
    </row>
    <row r="21" spans="1:12">
      <c r="A21" s="29" t="s">
        <v>49</v>
      </c>
      <c r="B21" s="25">
        <v>0</v>
      </c>
      <c r="C21" s="60">
        <f>B21-Itemized!C1</f>
        <v>0</v>
      </c>
      <c r="D21" s="25">
        <v>0</v>
      </c>
      <c r="E21" s="59">
        <f>D21-Itemized!D1</f>
        <v>0</v>
      </c>
      <c r="F21" s="29"/>
      <c r="I21" s="29"/>
    </row>
    <row r="22" spans="1:12">
      <c r="A22" s="29" t="s">
        <v>50</v>
      </c>
      <c r="B22" s="39">
        <v>0</v>
      </c>
      <c r="C22" s="60">
        <f>B22-Itemized!E1</f>
        <v>-1083.75</v>
      </c>
      <c r="D22" s="25">
        <v>0</v>
      </c>
      <c r="E22" s="60">
        <f>D22-Itemized!F1</f>
        <v>-947.44</v>
      </c>
      <c r="F22" s="29"/>
      <c r="I22" s="29"/>
    </row>
    <row r="23" spans="1:12">
      <c r="A23" s="38" t="s">
        <v>21</v>
      </c>
      <c r="B23" s="25">
        <v>0</v>
      </c>
      <c r="C23" s="61">
        <f>B23-Itemized!G1</f>
        <v>-9253.5</v>
      </c>
      <c r="D23" s="39">
        <v>0</v>
      </c>
      <c r="E23" s="61">
        <f>D23-Itemized!I1</f>
        <v>-6852.0900000000011</v>
      </c>
      <c r="F23" s="36"/>
      <c r="I23" s="25"/>
    </row>
    <row r="24" spans="1:12">
      <c r="A24" s="29" t="s">
        <v>26</v>
      </c>
      <c r="B24" s="25">
        <v>0</v>
      </c>
      <c r="C24" s="60">
        <f>B24-(Itemized!O1+Itemized!P1+Itemized!R1)</f>
        <v>-8298.1699999999983</v>
      </c>
      <c r="D24" s="25">
        <v>0</v>
      </c>
      <c r="E24" s="60">
        <f>D24-Itemized!Q1</f>
        <v>-3282.0099999999998</v>
      </c>
      <c r="F24" s="36"/>
      <c r="I24" s="25"/>
      <c r="J24" s="33"/>
    </row>
    <row r="25" spans="1:12" ht="15.75" thickBot="1">
      <c r="A25" s="29" t="s">
        <v>18</v>
      </c>
      <c r="B25" s="45">
        <f>SUM(B21:B24)</f>
        <v>0</v>
      </c>
      <c r="C25" s="57">
        <f>SUM(C21:C24)</f>
        <v>-18635.419999999998</v>
      </c>
      <c r="D25" s="45">
        <f>SUM(D21:D24)</f>
        <v>0</v>
      </c>
      <c r="E25" s="57">
        <f>SUM(E21:E24)</f>
        <v>-11081.54</v>
      </c>
      <c r="I25" s="25"/>
    </row>
    <row r="26" spans="1:12" ht="15.75" thickTop="1">
      <c r="A26" s="29" t="s">
        <v>18</v>
      </c>
      <c r="E26" s="58"/>
      <c r="I26" s="25"/>
    </row>
    <row r="27" spans="1:12">
      <c r="A27" s="29" t="s">
        <v>18</v>
      </c>
      <c r="E27" s="58"/>
      <c r="I27" s="25"/>
    </row>
    <row r="28" spans="1:12">
      <c r="A28" s="29" t="s">
        <v>18</v>
      </c>
    </row>
    <row r="29" spans="1:12">
      <c r="A29" s="29" t="s">
        <v>18</v>
      </c>
    </row>
  </sheetData>
  <phoneticPr fontId="1" type="noConversion"/>
  <pageMargins left="0.32" right="0.36" top="1" bottom="1" header="0.5" footer="0.5"/>
  <pageSetup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34"/>
  <sheetViews>
    <sheetView zoomScaleNormal="100" workbookViewId="0">
      <pane xSplit="2" ySplit="2" topLeftCell="C162" activePane="bottomRight" state="frozen"/>
      <selection pane="topRight" activeCell="B1" sqref="B1"/>
      <selection pane="bottomLeft" activeCell="A3" sqref="A3"/>
      <selection pane="bottomRight" activeCell="A192" sqref="A192"/>
    </sheetView>
  </sheetViews>
  <sheetFormatPr defaultColWidth="7.7109375" defaultRowHeight="11.25"/>
  <cols>
    <col min="1" max="1" width="7.28515625" style="13" customWidth="1"/>
    <col min="2" max="2" width="11.85546875" style="3" customWidth="1"/>
    <col min="3" max="11" width="7.7109375" style="2" customWidth="1"/>
    <col min="12" max="13" width="9.140625" style="2" customWidth="1"/>
    <col min="14" max="19" width="7.7109375" style="2" customWidth="1"/>
    <col min="20" max="20" width="8.5703125" style="2" customWidth="1"/>
    <col min="21" max="21" width="8.140625" style="2" customWidth="1"/>
    <col min="22" max="22" width="8.85546875" style="2" customWidth="1"/>
    <col min="23" max="23" width="7.7109375" style="2"/>
    <col min="24" max="24" width="7.7109375" style="19"/>
    <col min="25" max="25" width="7.7109375" style="3"/>
    <col min="26" max="26" width="8.42578125" style="3" bestFit="1" customWidth="1"/>
    <col min="27" max="16384" width="7.7109375" style="3"/>
  </cols>
  <sheetData>
    <row r="1" spans="1:24">
      <c r="A1" s="10"/>
      <c r="C1" s="4">
        <f>SUM(C3:C389)</f>
        <v>0</v>
      </c>
      <c r="D1" s="4">
        <f>SUM(D3:D389)</f>
        <v>0</v>
      </c>
      <c r="E1" s="4">
        <f>SUM(E3:E389)</f>
        <v>1083.75</v>
      </c>
      <c r="F1" s="4">
        <f>SUM(F3:F389)</f>
        <v>947.44</v>
      </c>
      <c r="G1" s="4">
        <f t="shared" ref="G1:X1" si="0">SUM(G3:G389)</f>
        <v>9253.5</v>
      </c>
      <c r="H1" s="4">
        <f t="shared" si="0"/>
        <v>5569.24</v>
      </c>
      <c r="I1" s="4">
        <f t="shared" si="0"/>
        <v>6852.0900000000011</v>
      </c>
      <c r="J1" s="4">
        <f t="shared" si="0"/>
        <v>2652.4799999999996</v>
      </c>
      <c r="K1" s="4">
        <f t="shared" si="0"/>
        <v>1519.48</v>
      </c>
      <c r="L1" s="4">
        <f t="shared" si="0"/>
        <v>14130.7</v>
      </c>
      <c r="M1" s="4">
        <f t="shared" si="0"/>
        <v>90.22999999999999</v>
      </c>
      <c r="N1" s="4">
        <f t="shared" si="0"/>
        <v>2411.8100000000004</v>
      </c>
      <c r="O1" s="4">
        <f t="shared" si="0"/>
        <v>6391.2699999999986</v>
      </c>
      <c r="P1" s="4">
        <f t="shared" si="0"/>
        <v>1120.3500000000001</v>
      </c>
      <c r="Q1" s="4">
        <f t="shared" si="0"/>
        <v>3282.0099999999998</v>
      </c>
      <c r="R1" s="4">
        <f t="shared" si="0"/>
        <v>786.55000000000018</v>
      </c>
      <c r="S1" s="4">
        <f t="shared" si="0"/>
        <v>7911.8799999999992</v>
      </c>
      <c r="T1" s="4">
        <f t="shared" si="0"/>
        <v>13584.779999999997</v>
      </c>
      <c r="U1" s="4">
        <f t="shared" si="0"/>
        <v>5313</v>
      </c>
      <c r="V1" s="4">
        <f t="shared" si="0"/>
        <v>8823.58</v>
      </c>
      <c r="W1" s="4">
        <f t="shared" si="0"/>
        <v>2108</v>
      </c>
      <c r="X1" s="22">
        <f t="shared" si="0"/>
        <v>6700</v>
      </c>
    </row>
    <row r="2" spans="1:24" s="5" customFormat="1">
      <c r="A2" s="11" t="s">
        <v>14</v>
      </c>
      <c r="B2" s="5" t="s">
        <v>31</v>
      </c>
      <c r="C2" s="6" t="s">
        <v>0</v>
      </c>
      <c r="D2" s="6" t="s">
        <v>1</v>
      </c>
      <c r="E2" s="6" t="s">
        <v>42</v>
      </c>
      <c r="F2" s="6" t="s">
        <v>43</v>
      </c>
      <c r="G2" s="6" t="s">
        <v>2</v>
      </c>
      <c r="H2" s="6" t="s">
        <v>36</v>
      </c>
      <c r="I2" s="6" t="s">
        <v>3</v>
      </c>
      <c r="J2" s="6" t="s">
        <v>73</v>
      </c>
      <c r="K2" s="6" t="s">
        <v>53</v>
      </c>
      <c r="L2" s="6" t="s">
        <v>12</v>
      </c>
      <c r="M2" s="6" t="s">
        <v>57</v>
      </c>
      <c r="N2" s="6" t="s">
        <v>56</v>
      </c>
      <c r="O2" s="6" t="s">
        <v>4</v>
      </c>
      <c r="P2" s="6" t="s">
        <v>5</v>
      </c>
      <c r="Q2" s="6" t="s">
        <v>6</v>
      </c>
      <c r="R2" s="6" t="s">
        <v>13</v>
      </c>
      <c r="S2" s="6" t="s">
        <v>29</v>
      </c>
      <c r="T2" s="6" t="s">
        <v>30</v>
      </c>
      <c r="U2" s="6" t="s">
        <v>45</v>
      </c>
      <c r="V2" s="6" t="s">
        <v>33</v>
      </c>
      <c r="W2" s="6" t="s">
        <v>44</v>
      </c>
      <c r="X2" s="17" t="s">
        <v>41</v>
      </c>
    </row>
    <row r="3" spans="1:24">
      <c r="A3" s="13">
        <v>41821</v>
      </c>
      <c r="B3" s="3" t="s">
        <v>55</v>
      </c>
      <c r="T3" s="2">
        <v>760.69</v>
      </c>
      <c r="U3" s="1"/>
    </row>
    <row r="4" spans="1:24">
      <c r="A4" s="13">
        <v>41821</v>
      </c>
      <c r="B4" s="3" t="s">
        <v>59</v>
      </c>
      <c r="J4" s="2">
        <v>155.69</v>
      </c>
      <c r="O4" s="2">
        <v>2056.4899999999998</v>
      </c>
      <c r="P4" s="2">
        <v>215.72</v>
      </c>
      <c r="Q4" s="2">
        <v>230.17</v>
      </c>
      <c r="R4" s="2">
        <v>71.680000000000007</v>
      </c>
      <c r="U4" s="1"/>
    </row>
    <row r="5" spans="1:24">
      <c r="A5" s="13">
        <v>41822</v>
      </c>
      <c r="B5" s="3" t="s">
        <v>55</v>
      </c>
      <c r="T5" s="2">
        <v>16.98</v>
      </c>
      <c r="U5" s="1"/>
    </row>
    <row r="6" spans="1:24">
      <c r="A6" s="13">
        <v>41823</v>
      </c>
      <c r="B6" s="3" t="s">
        <v>60</v>
      </c>
      <c r="Q6" s="2">
        <v>63.34</v>
      </c>
    </row>
    <row r="7" spans="1:24">
      <c r="A7" s="13">
        <v>41823</v>
      </c>
      <c r="B7" s="3" t="s">
        <v>59</v>
      </c>
      <c r="G7" s="2">
        <f>141.72+184.45</f>
        <v>326.16999999999996</v>
      </c>
      <c r="I7" s="2">
        <f>37.81+315.44</f>
        <v>353.25</v>
      </c>
      <c r="L7" s="2">
        <v>75.709999999999994</v>
      </c>
      <c r="U7" s="1"/>
    </row>
    <row r="8" spans="1:24">
      <c r="A8" s="13">
        <v>41828</v>
      </c>
      <c r="B8" s="3" t="s">
        <v>55</v>
      </c>
      <c r="T8" s="2">
        <v>92.91</v>
      </c>
      <c r="U8" s="1"/>
    </row>
    <row r="9" spans="1:24">
      <c r="A9" s="13">
        <v>41821</v>
      </c>
      <c r="B9" s="3" t="s">
        <v>61</v>
      </c>
      <c r="H9" s="2">
        <v>1042.56</v>
      </c>
    </row>
    <row r="10" spans="1:24">
      <c r="A10" s="13">
        <v>41827</v>
      </c>
      <c r="B10" s="3" t="s">
        <v>62</v>
      </c>
      <c r="K10" s="2">
        <v>105</v>
      </c>
    </row>
    <row r="11" spans="1:24" s="69" customFormat="1">
      <c r="A11" s="68">
        <v>41821</v>
      </c>
      <c r="B11" s="69" t="s">
        <v>63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1"/>
      <c r="V11" s="70"/>
      <c r="W11" s="70">
        <v>2108</v>
      </c>
      <c r="X11" s="72"/>
    </row>
    <row r="12" spans="1:24" s="69" customFormat="1">
      <c r="A12" s="68">
        <v>41821</v>
      </c>
      <c r="B12" s="69" t="s">
        <v>64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1">
        <v>2055</v>
      </c>
      <c r="V12" s="70"/>
      <c r="W12" s="70"/>
      <c r="X12" s="72"/>
    </row>
    <row r="13" spans="1:24">
      <c r="A13" s="13">
        <v>41843</v>
      </c>
      <c r="B13" s="3" t="s">
        <v>55</v>
      </c>
      <c r="T13" s="2">
        <v>515.33000000000004</v>
      </c>
      <c r="U13" s="1"/>
    </row>
    <row r="14" spans="1:24">
      <c r="A14" s="13">
        <v>41843</v>
      </c>
      <c r="B14" s="3" t="s">
        <v>59</v>
      </c>
      <c r="G14" s="2">
        <f>57.43+117.38+333.39+12.99+280.93</f>
        <v>802.11999999999989</v>
      </c>
      <c r="I14" s="2">
        <f>31.29+24.38+825.32+129.87</f>
        <v>1010.86</v>
      </c>
      <c r="U14" s="1"/>
    </row>
    <row r="15" spans="1:24">
      <c r="A15" s="13">
        <v>41831</v>
      </c>
      <c r="B15" s="3" t="s">
        <v>65</v>
      </c>
      <c r="P15" s="2">
        <v>11.15</v>
      </c>
      <c r="U15" s="1"/>
    </row>
    <row r="16" spans="1:24">
      <c r="A16" s="13">
        <v>41836</v>
      </c>
      <c r="B16" s="3" t="s">
        <v>66</v>
      </c>
      <c r="V16" s="2">
        <v>326.5</v>
      </c>
      <c r="X16" s="18"/>
    </row>
    <row r="17" spans="1:24">
      <c r="A17" s="13">
        <v>41836</v>
      </c>
      <c r="B17" s="3" t="s">
        <v>67</v>
      </c>
      <c r="K17" s="2">
        <v>63.2</v>
      </c>
      <c r="U17" s="1"/>
      <c r="W17" s="1"/>
      <c r="X17" s="18"/>
    </row>
    <row r="18" spans="1:24" s="69" customFormat="1">
      <c r="A18" s="68">
        <v>41831</v>
      </c>
      <c r="B18" s="69" t="s">
        <v>68</v>
      </c>
      <c r="C18" s="70"/>
      <c r="D18" s="70"/>
      <c r="E18" s="70"/>
      <c r="F18" s="70"/>
      <c r="G18" s="70"/>
      <c r="H18" s="70"/>
      <c r="I18" s="70"/>
      <c r="J18" s="70"/>
      <c r="K18" s="70"/>
      <c r="L18" s="70">
        <v>29.99</v>
      </c>
      <c r="M18" s="70"/>
      <c r="N18" s="70"/>
      <c r="O18" s="70"/>
      <c r="P18" s="70"/>
      <c r="Q18" s="70"/>
      <c r="R18" s="70"/>
      <c r="S18" s="70">
        <v>5000</v>
      </c>
      <c r="T18" s="70"/>
      <c r="U18" s="70"/>
      <c r="V18" s="70"/>
      <c r="W18" s="70"/>
      <c r="X18" s="72"/>
    </row>
    <row r="19" spans="1:24">
      <c r="A19" s="14">
        <v>41836</v>
      </c>
      <c r="B19" s="3" t="s">
        <v>68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>
        <v>160.44</v>
      </c>
      <c r="R19" s="16"/>
      <c r="T19" s="16"/>
      <c r="U19" s="16"/>
      <c r="V19" s="16"/>
    </row>
    <row r="20" spans="1:24">
      <c r="A20" s="13">
        <v>41838</v>
      </c>
      <c r="B20" s="3" t="s">
        <v>68</v>
      </c>
      <c r="Q20" s="2">
        <v>160.44</v>
      </c>
      <c r="U20" s="1"/>
    </row>
    <row r="21" spans="1:24">
      <c r="A21" s="13">
        <v>41843</v>
      </c>
      <c r="B21" s="3" t="s">
        <v>68</v>
      </c>
      <c r="L21" s="2">
        <v>182.2</v>
      </c>
    </row>
    <row r="22" spans="1:24">
      <c r="A22" s="13">
        <v>41824</v>
      </c>
      <c r="B22" s="3" t="s">
        <v>69</v>
      </c>
      <c r="V22" s="2">
        <v>42</v>
      </c>
    </row>
    <row r="23" spans="1:24">
      <c r="A23" s="13">
        <v>41850</v>
      </c>
      <c r="B23" s="3" t="s">
        <v>59</v>
      </c>
      <c r="E23" s="2">
        <v>386.49</v>
      </c>
      <c r="F23" s="2">
        <v>234.94</v>
      </c>
      <c r="J23" s="2">
        <v>120.36</v>
      </c>
      <c r="U23" s="1"/>
    </row>
    <row r="24" spans="1:24">
      <c r="A24" s="13">
        <v>41851</v>
      </c>
      <c r="B24" s="3" t="s">
        <v>59</v>
      </c>
      <c r="O24" s="2">
        <v>585.41</v>
      </c>
      <c r="P24" s="2">
        <v>41.24</v>
      </c>
      <c r="Q24" s="2">
        <v>260</v>
      </c>
      <c r="R24" s="2">
        <v>192.29</v>
      </c>
      <c r="U24" s="1"/>
    </row>
    <row r="25" spans="1:24">
      <c r="A25" s="12">
        <v>41852</v>
      </c>
      <c r="B25" s="3" t="s">
        <v>55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>
        <v>640.24</v>
      </c>
      <c r="U25" s="1"/>
      <c r="V25" s="1"/>
    </row>
    <row r="26" spans="1:24" s="69" customFormat="1">
      <c r="A26" s="68">
        <v>41841</v>
      </c>
      <c r="B26" s="69" t="s">
        <v>70</v>
      </c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1">
        <v>1933</v>
      </c>
      <c r="V26" s="70"/>
      <c r="W26" s="70"/>
      <c r="X26" s="72"/>
    </row>
    <row r="27" spans="1:24">
      <c r="A27" s="13">
        <v>41857</v>
      </c>
      <c r="B27" s="3" t="s">
        <v>55</v>
      </c>
      <c r="T27" s="2">
        <v>1015.7</v>
      </c>
    </row>
    <row r="28" spans="1:24">
      <c r="A28" s="13">
        <v>41862</v>
      </c>
      <c r="B28" s="3" t="s">
        <v>71</v>
      </c>
      <c r="S28" s="2">
        <v>8</v>
      </c>
    </row>
    <row r="29" spans="1:24">
      <c r="A29" s="13">
        <v>41874</v>
      </c>
      <c r="B29" s="3" t="s">
        <v>55</v>
      </c>
      <c r="P29" s="2">
        <v>24.45</v>
      </c>
      <c r="T29" s="2">
        <v>19.989999999999998</v>
      </c>
      <c r="U29" s="1"/>
    </row>
    <row r="30" spans="1:24">
      <c r="A30" s="13">
        <v>41853</v>
      </c>
      <c r="B30" s="3" t="s">
        <v>55</v>
      </c>
      <c r="N30" s="2">
        <v>39.01</v>
      </c>
      <c r="U30" s="1"/>
    </row>
    <row r="31" spans="1:24">
      <c r="A31" s="13">
        <v>41852</v>
      </c>
      <c r="B31" s="3" t="s">
        <v>72</v>
      </c>
      <c r="L31" s="2">
        <v>193.91</v>
      </c>
      <c r="U31" s="1"/>
    </row>
    <row r="32" spans="1:24">
      <c r="A32" s="13">
        <v>41878</v>
      </c>
      <c r="B32" s="3" t="s">
        <v>55</v>
      </c>
      <c r="T32" s="2">
        <f>920.88+260.15</f>
        <v>1181.03</v>
      </c>
      <c r="U32" s="1"/>
    </row>
    <row r="33" spans="1:24">
      <c r="A33" s="13">
        <v>41870</v>
      </c>
      <c r="B33" s="3" t="s">
        <v>66</v>
      </c>
      <c r="V33" s="2">
        <v>325.5</v>
      </c>
    </row>
    <row r="34" spans="1:24">
      <c r="A34" s="13">
        <v>41876</v>
      </c>
      <c r="B34" s="3" t="s">
        <v>65</v>
      </c>
      <c r="P34" s="2">
        <v>12.39</v>
      </c>
      <c r="U34" s="1"/>
    </row>
    <row r="35" spans="1:24">
      <c r="A35" s="13">
        <v>41866</v>
      </c>
      <c r="B35" s="3" t="s">
        <v>59</v>
      </c>
      <c r="M35" s="2">
        <v>33.619999999999997</v>
      </c>
      <c r="U35" s="1"/>
    </row>
    <row r="36" spans="1:24">
      <c r="A36" s="13">
        <v>41874</v>
      </c>
      <c r="B36" s="3" t="s">
        <v>59</v>
      </c>
      <c r="J36" s="2">
        <v>96.25</v>
      </c>
      <c r="M36" s="2">
        <v>56.61</v>
      </c>
      <c r="U36" s="1"/>
    </row>
    <row r="37" spans="1:24">
      <c r="A37" s="13">
        <v>41877</v>
      </c>
      <c r="B37" s="3" t="s">
        <v>59</v>
      </c>
      <c r="G37" s="2">
        <v>258.18</v>
      </c>
      <c r="H37" s="2">
        <v>253.68</v>
      </c>
      <c r="U37" s="1"/>
    </row>
    <row r="38" spans="1:24">
      <c r="A38" s="13">
        <v>41878</v>
      </c>
      <c r="B38" s="3" t="s">
        <v>59</v>
      </c>
      <c r="E38" s="2">
        <v>212.47</v>
      </c>
      <c r="F38" s="2">
        <v>109.15</v>
      </c>
      <c r="U38" s="1"/>
    </row>
    <row r="39" spans="1:24" s="69" customFormat="1">
      <c r="A39" s="68">
        <v>41890</v>
      </c>
      <c r="B39" s="69" t="s">
        <v>59</v>
      </c>
      <c r="C39" s="70"/>
      <c r="D39" s="70"/>
      <c r="E39" s="70"/>
      <c r="F39" s="70"/>
      <c r="G39" s="70">
        <v>437.23</v>
      </c>
      <c r="H39" s="70"/>
      <c r="I39" s="70">
        <v>72.75</v>
      </c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1"/>
      <c r="V39" s="70"/>
      <c r="W39" s="70"/>
      <c r="X39" s="72"/>
    </row>
    <row r="40" spans="1:24">
      <c r="A40" s="13">
        <v>41893</v>
      </c>
      <c r="B40" s="3" t="s">
        <v>59</v>
      </c>
      <c r="O40" s="2">
        <v>268.63</v>
      </c>
      <c r="P40" s="2">
        <v>126.75</v>
      </c>
      <c r="Q40" s="2">
        <v>379.12</v>
      </c>
      <c r="R40" s="2">
        <v>64.959999999999994</v>
      </c>
    </row>
    <row r="41" spans="1:24">
      <c r="A41" s="13">
        <v>41898</v>
      </c>
      <c r="B41" s="3" t="s">
        <v>74</v>
      </c>
      <c r="S41" s="2">
        <v>150</v>
      </c>
      <c r="U41" s="1"/>
    </row>
    <row r="42" spans="1:24">
      <c r="A42" s="13">
        <v>41869</v>
      </c>
      <c r="B42" s="3" t="s">
        <v>55</v>
      </c>
      <c r="N42" s="2">
        <v>9.99</v>
      </c>
      <c r="U42" s="1"/>
    </row>
    <row r="43" spans="1:24">
      <c r="A43" s="13">
        <v>41897</v>
      </c>
      <c r="B43" s="3" t="s">
        <v>75</v>
      </c>
      <c r="U43" s="1"/>
      <c r="V43" s="2">
        <v>30</v>
      </c>
    </row>
    <row r="44" spans="1:24" s="69" customFormat="1">
      <c r="A44" s="68">
        <v>41894</v>
      </c>
      <c r="B44" s="69" t="s">
        <v>59</v>
      </c>
      <c r="C44" s="70"/>
      <c r="D44" s="70"/>
      <c r="E44" s="70"/>
      <c r="F44" s="70"/>
      <c r="G44" s="70">
        <v>141.94</v>
      </c>
      <c r="H44" s="70"/>
      <c r="I44" s="70"/>
      <c r="J44" s="70">
        <v>141.94</v>
      </c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1"/>
      <c r="V44" s="70"/>
      <c r="W44" s="70"/>
      <c r="X44" s="72"/>
    </row>
    <row r="45" spans="1:24" s="69" customFormat="1">
      <c r="A45" s="68">
        <v>41898</v>
      </c>
      <c r="B45" s="69" t="s">
        <v>59</v>
      </c>
      <c r="C45" s="70"/>
      <c r="D45" s="70"/>
      <c r="E45" s="70">
        <v>213.63</v>
      </c>
      <c r="F45" s="70">
        <v>195.37</v>
      </c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2"/>
    </row>
    <row r="46" spans="1:24" s="69" customFormat="1">
      <c r="A46" s="68">
        <v>41901</v>
      </c>
      <c r="B46" s="69" t="s">
        <v>59</v>
      </c>
      <c r="C46" s="70"/>
      <c r="D46" s="70"/>
      <c r="E46" s="70"/>
      <c r="F46" s="70"/>
      <c r="G46" s="70"/>
      <c r="H46" s="70"/>
      <c r="I46" s="70"/>
      <c r="J46" s="70">
        <v>54.22</v>
      </c>
      <c r="K46" s="70"/>
      <c r="L46" s="70"/>
      <c r="M46" s="70"/>
      <c r="N46" s="70"/>
      <c r="O46" s="70">
        <v>546.20000000000005</v>
      </c>
      <c r="P46" s="70"/>
      <c r="Q46" s="70">
        <v>140.47</v>
      </c>
      <c r="R46" s="70">
        <v>63.19</v>
      </c>
      <c r="S46" s="70"/>
      <c r="T46" s="70"/>
      <c r="U46" s="71"/>
      <c r="V46" s="70"/>
      <c r="W46" s="70"/>
      <c r="X46" s="72"/>
    </row>
    <row r="47" spans="1:24" s="69" customFormat="1">
      <c r="A47" s="68">
        <v>41902</v>
      </c>
      <c r="B47" s="69" t="s">
        <v>55</v>
      </c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>
        <v>290.44</v>
      </c>
      <c r="U47" s="71"/>
      <c r="V47" s="70"/>
      <c r="W47" s="70"/>
      <c r="X47" s="72"/>
    </row>
    <row r="48" spans="1:24">
      <c r="A48" s="13">
        <v>41893</v>
      </c>
      <c r="B48" s="3" t="s">
        <v>76</v>
      </c>
      <c r="U48" s="1"/>
      <c r="V48" s="2">
        <v>2041.83</v>
      </c>
    </row>
    <row r="49" spans="1:26">
      <c r="A49" s="13">
        <v>41900</v>
      </c>
      <c r="B49" s="3" t="s">
        <v>77</v>
      </c>
      <c r="L49" s="2">
        <v>1068.0999999999999</v>
      </c>
      <c r="U49" s="1"/>
    </row>
    <row r="50" spans="1:26">
      <c r="A50" s="13">
        <v>41900</v>
      </c>
      <c r="B50" s="3" t="s">
        <v>78</v>
      </c>
      <c r="L50" s="2">
        <v>379.15</v>
      </c>
    </row>
    <row r="51" spans="1:26">
      <c r="A51" s="68">
        <v>41903</v>
      </c>
      <c r="B51" s="69" t="s">
        <v>59</v>
      </c>
      <c r="C51" s="70"/>
      <c r="D51" s="70"/>
      <c r="E51" s="70"/>
      <c r="F51" s="70"/>
      <c r="G51" s="70"/>
      <c r="H51" s="70"/>
      <c r="I51" s="70"/>
      <c r="J51" s="70"/>
      <c r="K51" s="70"/>
      <c r="L51" s="70">
        <v>594.80999999999995</v>
      </c>
      <c r="M51" s="70"/>
      <c r="N51" s="70"/>
      <c r="O51" s="70"/>
      <c r="P51" s="70"/>
      <c r="Q51" s="70"/>
      <c r="R51" s="70"/>
      <c r="S51" s="70"/>
      <c r="T51" s="70"/>
      <c r="U51" s="71"/>
      <c r="V51" s="70"/>
      <c r="W51" s="70"/>
      <c r="X51" s="72"/>
      <c r="Y51" s="69"/>
      <c r="Z51" s="69"/>
    </row>
    <row r="52" spans="1:26">
      <c r="A52" s="13">
        <v>41904</v>
      </c>
      <c r="B52" s="3" t="s">
        <v>66</v>
      </c>
      <c r="U52" s="1"/>
      <c r="V52" s="2">
        <v>344.05</v>
      </c>
    </row>
    <row r="53" spans="1:26">
      <c r="A53" s="13">
        <v>41904</v>
      </c>
      <c r="B53" s="69" t="s">
        <v>59</v>
      </c>
      <c r="L53" s="2">
        <f>658.38+361.97</f>
        <v>1020.35</v>
      </c>
    </row>
    <row r="54" spans="1:26" s="69" customFormat="1">
      <c r="A54" s="13">
        <v>41905</v>
      </c>
      <c r="B54" s="3" t="s">
        <v>65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>
        <v>18.579999999999998</v>
      </c>
      <c r="Q54" s="2"/>
      <c r="R54" s="2"/>
      <c r="S54" s="2"/>
      <c r="T54" s="2"/>
      <c r="U54" s="1"/>
      <c r="V54" s="2"/>
      <c r="W54" s="2"/>
      <c r="X54" s="19"/>
      <c r="Y54" s="3"/>
      <c r="Z54" s="3"/>
    </row>
    <row r="55" spans="1:26" s="69" customFormat="1">
      <c r="A55" s="13">
        <v>41906</v>
      </c>
      <c r="B55" s="69" t="s">
        <v>59</v>
      </c>
      <c r="C55" s="2"/>
      <c r="D55" s="2"/>
      <c r="E55" s="2"/>
      <c r="F55" s="2"/>
      <c r="G55" s="2"/>
      <c r="H55" s="2"/>
      <c r="I55" s="2"/>
      <c r="J55" s="2"/>
      <c r="K55" s="2"/>
      <c r="L55" s="2">
        <v>99.85</v>
      </c>
      <c r="M55" s="2"/>
      <c r="N55" s="2"/>
      <c r="O55" s="2"/>
      <c r="P55" s="2"/>
      <c r="Q55" s="2"/>
      <c r="R55" s="2"/>
      <c r="S55" s="2"/>
      <c r="T55" s="2"/>
      <c r="U55" s="1"/>
      <c r="V55" s="2"/>
      <c r="W55" s="2"/>
      <c r="X55" s="19"/>
      <c r="Y55" s="3"/>
      <c r="Z55" s="3"/>
    </row>
    <row r="56" spans="1:26" s="69" customFormat="1">
      <c r="A56" s="68">
        <v>41912</v>
      </c>
      <c r="B56" s="69" t="s">
        <v>79</v>
      </c>
      <c r="C56" s="70"/>
      <c r="D56" s="70"/>
      <c r="E56" s="70"/>
      <c r="F56" s="70"/>
      <c r="G56" s="70"/>
      <c r="H56" s="70">
        <v>3177</v>
      </c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1"/>
      <c r="V56" s="70"/>
      <c r="W56" s="70"/>
      <c r="X56" s="72"/>
    </row>
    <row r="57" spans="1:26">
      <c r="A57" s="68">
        <v>41912</v>
      </c>
      <c r="B57" s="69" t="s">
        <v>80</v>
      </c>
      <c r="C57" s="70"/>
      <c r="D57" s="70"/>
      <c r="E57" s="70"/>
      <c r="F57" s="70"/>
      <c r="G57" s="70"/>
      <c r="H57" s="70"/>
      <c r="I57" s="70"/>
      <c r="J57" s="70"/>
      <c r="K57" s="70"/>
      <c r="L57" s="70">
        <v>339.42</v>
      </c>
      <c r="M57" s="70"/>
      <c r="N57" s="70"/>
      <c r="O57" s="70"/>
      <c r="P57" s="70"/>
      <c r="Q57" s="70"/>
      <c r="R57" s="70"/>
      <c r="S57" s="70"/>
      <c r="T57" s="70"/>
      <c r="U57" s="71"/>
      <c r="V57" s="70"/>
      <c r="W57" s="70"/>
      <c r="X57" s="72"/>
      <c r="Y57" s="69"/>
      <c r="Z57" s="69"/>
    </row>
    <row r="58" spans="1:26">
      <c r="A58" s="13">
        <v>41913</v>
      </c>
      <c r="B58" s="3" t="s">
        <v>55</v>
      </c>
      <c r="Q58" s="2">
        <v>19.760000000000002</v>
      </c>
      <c r="T58" s="2">
        <v>148.27000000000001</v>
      </c>
      <c r="U58" s="1"/>
    </row>
    <row r="59" spans="1:26">
      <c r="A59" s="13">
        <v>41913</v>
      </c>
      <c r="B59" s="69" t="s">
        <v>59</v>
      </c>
      <c r="G59" s="2">
        <v>361.66</v>
      </c>
      <c r="I59" s="2">
        <v>490.58</v>
      </c>
    </row>
    <row r="60" spans="1:26">
      <c r="A60" s="68">
        <v>41915</v>
      </c>
      <c r="B60" s="69" t="s">
        <v>78</v>
      </c>
      <c r="C60" s="70"/>
      <c r="D60" s="70"/>
      <c r="E60" s="70"/>
      <c r="F60" s="70"/>
      <c r="G60" s="70"/>
      <c r="H60" s="70"/>
      <c r="I60" s="70"/>
      <c r="J60" s="70"/>
      <c r="K60" s="70"/>
      <c r="L60" s="70">
        <v>65.849999999999994</v>
      </c>
      <c r="M60" s="70"/>
      <c r="N60" s="70"/>
      <c r="O60" s="70"/>
      <c r="P60" s="70"/>
      <c r="Q60" s="70"/>
      <c r="R60" s="70"/>
      <c r="S60" s="70"/>
      <c r="T60" s="70"/>
      <c r="U60" s="71"/>
      <c r="V60" s="70"/>
      <c r="W60" s="70"/>
      <c r="X60" s="72"/>
      <c r="Y60" s="69"/>
      <c r="Z60" s="69"/>
    </row>
    <row r="61" spans="1:26">
      <c r="A61" s="68">
        <v>41920</v>
      </c>
      <c r="B61" s="69" t="s">
        <v>59</v>
      </c>
      <c r="C61" s="70"/>
      <c r="D61" s="70"/>
      <c r="E61" s="70"/>
      <c r="F61" s="70"/>
      <c r="G61" s="70">
        <v>235.82</v>
      </c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1"/>
      <c r="V61" s="70"/>
      <c r="W61" s="70"/>
      <c r="X61" s="72"/>
      <c r="Y61" s="69"/>
      <c r="Z61" s="69"/>
    </row>
    <row r="62" spans="1:26" s="80" customFormat="1">
      <c r="A62" s="68">
        <v>41920</v>
      </c>
      <c r="B62" s="69" t="s">
        <v>68</v>
      </c>
      <c r="C62" s="70"/>
      <c r="D62" s="70"/>
      <c r="E62" s="70"/>
      <c r="F62" s="70"/>
      <c r="G62" s="70"/>
      <c r="H62" s="70"/>
      <c r="I62" s="70"/>
      <c r="J62" s="70"/>
      <c r="K62" s="70"/>
      <c r="L62" s="70">
        <v>132.19999999999999</v>
      </c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2"/>
      <c r="Y62" s="69"/>
      <c r="Z62" s="69"/>
    </row>
    <row r="63" spans="1:26" s="69" customFormat="1">
      <c r="A63" s="13">
        <v>41926</v>
      </c>
      <c r="B63" s="3" t="s">
        <v>81</v>
      </c>
      <c r="C63" s="2"/>
      <c r="D63" s="2"/>
      <c r="E63" s="2"/>
      <c r="F63" s="2"/>
      <c r="G63" s="2"/>
      <c r="H63" s="2"/>
      <c r="I63" s="2"/>
      <c r="J63" s="2"/>
      <c r="K63" s="2"/>
      <c r="L63" s="2">
        <v>467.89</v>
      </c>
      <c r="M63" s="2"/>
      <c r="N63" s="2"/>
      <c r="O63" s="2"/>
      <c r="P63" s="2"/>
      <c r="Q63" s="2"/>
      <c r="R63" s="2"/>
      <c r="S63" s="2"/>
      <c r="T63" s="2"/>
      <c r="U63" s="1"/>
      <c r="V63" s="2"/>
      <c r="W63" s="2"/>
      <c r="X63" s="19"/>
      <c r="Y63" s="3"/>
      <c r="Z63" s="3"/>
    </row>
    <row r="64" spans="1:26" s="69" customFormat="1">
      <c r="A64" s="13">
        <v>41926</v>
      </c>
      <c r="B64" s="3" t="s">
        <v>80</v>
      </c>
      <c r="C64" s="2"/>
      <c r="D64" s="2"/>
      <c r="E64" s="2"/>
      <c r="F64" s="2"/>
      <c r="G64" s="2"/>
      <c r="H64" s="2"/>
      <c r="I64" s="2"/>
      <c r="J64" s="2"/>
      <c r="K64" s="2"/>
      <c r="L64" s="2">
        <v>8.7899999999999991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19"/>
      <c r="Y64" s="3"/>
      <c r="Z64" s="3"/>
    </row>
    <row r="65" spans="1:26" s="69" customFormat="1">
      <c r="A65" s="13">
        <v>41927</v>
      </c>
      <c r="B65" s="3" t="s">
        <v>55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>
        <f>624.03+778.96</f>
        <v>1402.99</v>
      </c>
      <c r="U65" s="2"/>
      <c r="V65" s="2"/>
      <c r="W65" s="2"/>
      <c r="X65" s="19"/>
      <c r="Y65" s="3"/>
      <c r="Z65" s="3"/>
    </row>
    <row r="66" spans="1:26" s="69" customFormat="1">
      <c r="A66" s="13">
        <v>41927</v>
      </c>
      <c r="B66" s="3" t="s">
        <v>68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>
        <v>6.95</v>
      </c>
      <c r="T66" s="2"/>
      <c r="U66" s="1"/>
      <c r="V66" s="2"/>
      <c r="W66" s="2"/>
      <c r="X66" s="19"/>
      <c r="Y66" s="3"/>
      <c r="Z66" s="3"/>
    </row>
    <row r="67" spans="1:26" s="69" customFormat="1">
      <c r="A67" s="68">
        <v>41927</v>
      </c>
      <c r="B67" s="69" t="s">
        <v>71</v>
      </c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>
        <v>8</v>
      </c>
      <c r="T67" s="70"/>
      <c r="U67" s="71"/>
      <c r="V67" s="70"/>
      <c r="W67" s="73"/>
      <c r="X67" s="74"/>
    </row>
    <row r="68" spans="1:26" s="69" customFormat="1">
      <c r="A68" s="68">
        <v>41928</v>
      </c>
      <c r="B68" s="69" t="s">
        <v>74</v>
      </c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>
        <v>189.99</v>
      </c>
      <c r="T68" s="70"/>
      <c r="U68" s="70"/>
      <c r="V68" s="70"/>
      <c r="W68" s="70"/>
      <c r="X68" s="72"/>
      <c r="Y68" s="80"/>
      <c r="Z68" s="80"/>
    </row>
    <row r="69" spans="1:26" s="69" customFormat="1">
      <c r="A69" s="68">
        <v>41928</v>
      </c>
      <c r="B69" s="69" t="s">
        <v>59</v>
      </c>
      <c r="C69" s="70"/>
      <c r="D69" s="70"/>
      <c r="E69" s="70"/>
      <c r="F69" s="70"/>
      <c r="G69" s="70"/>
      <c r="H69" s="70"/>
      <c r="I69" s="70"/>
      <c r="J69" s="70"/>
      <c r="K69" s="70"/>
      <c r="L69" s="70">
        <v>967.52</v>
      </c>
      <c r="M69" s="70"/>
      <c r="N69" s="70"/>
      <c r="O69" s="70"/>
      <c r="P69" s="70"/>
      <c r="Q69" s="70"/>
      <c r="R69" s="70"/>
      <c r="S69" s="70"/>
      <c r="T69" s="70"/>
      <c r="U69" s="71"/>
      <c r="V69" s="70"/>
      <c r="W69" s="70"/>
      <c r="X69" s="72"/>
    </row>
    <row r="70" spans="1:26" s="69" customFormat="1">
      <c r="A70" s="13">
        <v>41928</v>
      </c>
      <c r="B70" s="3" t="s">
        <v>82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"/>
      <c r="V70" s="2"/>
      <c r="W70" s="2"/>
      <c r="X70" s="19">
        <v>6700</v>
      </c>
      <c r="Y70" s="3"/>
      <c r="Z70" s="3"/>
    </row>
    <row r="71" spans="1:26">
      <c r="A71" s="68">
        <v>41929</v>
      </c>
      <c r="B71" s="69" t="s">
        <v>59</v>
      </c>
      <c r="C71" s="70"/>
      <c r="D71" s="70"/>
      <c r="E71" s="70"/>
      <c r="F71" s="70"/>
      <c r="G71" s="70"/>
      <c r="H71" s="70"/>
      <c r="I71" s="70"/>
      <c r="J71" s="70">
        <v>136.19</v>
      </c>
      <c r="K71" s="70"/>
      <c r="L71" s="70"/>
      <c r="M71" s="70"/>
      <c r="N71" s="70"/>
      <c r="O71" s="70">
        <v>417.24</v>
      </c>
      <c r="P71" s="70">
        <v>111.31</v>
      </c>
      <c r="Q71" s="70"/>
      <c r="R71" s="70"/>
      <c r="S71" s="70"/>
      <c r="T71" s="70"/>
      <c r="U71" s="70"/>
      <c r="V71" s="70"/>
      <c r="W71" s="70"/>
      <c r="X71" s="72"/>
      <c r="Y71" s="69"/>
      <c r="Z71" s="69"/>
    </row>
    <row r="72" spans="1:26">
      <c r="A72" s="13">
        <v>41930</v>
      </c>
      <c r="B72" s="3" t="s">
        <v>59</v>
      </c>
      <c r="E72" s="2">
        <v>135.08000000000001</v>
      </c>
      <c r="F72" s="2">
        <v>202.91</v>
      </c>
      <c r="U72" s="1"/>
      <c r="W72" s="16"/>
      <c r="X72" s="20"/>
    </row>
    <row r="73" spans="1:26">
      <c r="A73" s="13">
        <v>41932</v>
      </c>
      <c r="B73" s="3" t="s">
        <v>68</v>
      </c>
      <c r="S73" s="2">
        <v>6.95</v>
      </c>
    </row>
    <row r="74" spans="1:26">
      <c r="A74" s="13">
        <v>41933</v>
      </c>
      <c r="B74" s="3" t="s">
        <v>66</v>
      </c>
      <c r="V74" s="2">
        <v>344</v>
      </c>
    </row>
    <row r="75" spans="1:26">
      <c r="A75" s="13">
        <v>41933</v>
      </c>
      <c r="B75" s="3" t="s">
        <v>59</v>
      </c>
      <c r="G75" s="2">
        <v>355.41</v>
      </c>
      <c r="I75" s="2">
        <v>297.58999999999997</v>
      </c>
      <c r="U75" s="1"/>
    </row>
    <row r="76" spans="1:26">
      <c r="A76" s="68">
        <v>41935</v>
      </c>
      <c r="B76" s="69" t="s">
        <v>55</v>
      </c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>
        <v>7.29</v>
      </c>
      <c r="Q76" s="70"/>
      <c r="R76" s="70"/>
      <c r="S76" s="70"/>
      <c r="T76" s="70">
        <v>85.12</v>
      </c>
      <c r="U76" s="71"/>
      <c r="V76" s="70"/>
      <c r="W76" s="70"/>
      <c r="X76" s="72"/>
      <c r="Y76" s="69"/>
      <c r="Z76" s="69"/>
    </row>
    <row r="77" spans="1:26">
      <c r="A77" s="13">
        <v>41940</v>
      </c>
      <c r="B77" s="3" t="s">
        <v>59</v>
      </c>
      <c r="G77" s="2">
        <v>55.06</v>
      </c>
      <c r="I77" s="2">
        <v>214.69</v>
      </c>
      <c r="U77" s="1"/>
    </row>
    <row r="78" spans="1:26" s="15" customFormat="1">
      <c r="A78" s="68">
        <v>41943</v>
      </c>
      <c r="B78" s="69" t="s">
        <v>55</v>
      </c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>
        <v>115.67</v>
      </c>
      <c r="U78" s="70"/>
      <c r="V78" s="70"/>
      <c r="W78" s="70"/>
      <c r="X78" s="72"/>
      <c r="Y78" s="69"/>
      <c r="Z78" s="69"/>
    </row>
    <row r="79" spans="1:26">
      <c r="A79" s="13">
        <v>41947</v>
      </c>
      <c r="B79" s="3" t="s">
        <v>59</v>
      </c>
      <c r="G79" s="2">
        <f>217.6+122.06</f>
        <v>339.65999999999997</v>
      </c>
      <c r="I79" s="2">
        <v>43.15</v>
      </c>
      <c r="U79" s="1"/>
      <c r="V79" s="7"/>
      <c r="Y79" s="15"/>
      <c r="Z79" s="15"/>
    </row>
    <row r="80" spans="1:26">
      <c r="A80" s="13">
        <v>41948</v>
      </c>
      <c r="B80" s="3" t="s">
        <v>68</v>
      </c>
      <c r="L80" s="2">
        <v>41.2</v>
      </c>
    </row>
    <row r="81" spans="1:26">
      <c r="A81" s="13">
        <v>41955</v>
      </c>
      <c r="B81" s="3" t="s">
        <v>59</v>
      </c>
      <c r="J81" s="2">
        <v>143.4</v>
      </c>
      <c r="U81" s="1"/>
    </row>
    <row r="82" spans="1:26" s="69" customFormat="1">
      <c r="A82" s="13">
        <v>41956</v>
      </c>
      <c r="B82" s="3" t="s">
        <v>59</v>
      </c>
      <c r="C82" s="2"/>
      <c r="D82" s="2"/>
      <c r="E82" s="2"/>
      <c r="F82" s="2"/>
      <c r="G82" s="2">
        <v>287.05</v>
      </c>
      <c r="H82" s="2"/>
      <c r="I82" s="2">
        <v>109.13</v>
      </c>
      <c r="J82" s="2"/>
      <c r="K82" s="2"/>
      <c r="L82" s="2"/>
      <c r="M82" s="2"/>
      <c r="N82" s="2"/>
      <c r="O82" s="2">
        <v>500.5</v>
      </c>
      <c r="P82" s="2">
        <v>50.71</v>
      </c>
      <c r="Q82" s="2">
        <v>216.64</v>
      </c>
      <c r="R82" s="2">
        <v>38.200000000000003</v>
      </c>
      <c r="S82" s="2"/>
      <c r="T82" s="2"/>
      <c r="U82" s="1"/>
      <c r="V82" s="2"/>
      <c r="W82" s="2"/>
      <c r="X82" s="19"/>
      <c r="Y82" s="3"/>
      <c r="Z82" s="3"/>
    </row>
    <row r="83" spans="1:26">
      <c r="A83" s="13">
        <v>41960</v>
      </c>
      <c r="B83" s="3" t="s">
        <v>83</v>
      </c>
      <c r="V83" s="2">
        <v>300</v>
      </c>
    </row>
    <row r="84" spans="1:26">
      <c r="A84" s="13">
        <v>41960</v>
      </c>
      <c r="B84" s="3" t="s">
        <v>80</v>
      </c>
      <c r="L84" s="2">
        <v>7.99</v>
      </c>
      <c r="U84" s="1"/>
    </row>
    <row r="85" spans="1:26">
      <c r="A85" s="13">
        <v>41960</v>
      </c>
      <c r="B85" s="3" t="s">
        <v>65</v>
      </c>
      <c r="P85" s="2">
        <v>11.15</v>
      </c>
    </row>
    <row r="86" spans="1:26">
      <c r="A86" s="68">
        <v>41961</v>
      </c>
      <c r="B86" s="69" t="s">
        <v>74</v>
      </c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>
        <f>150+1050</f>
        <v>1200</v>
      </c>
      <c r="T86" s="70"/>
      <c r="U86" s="71"/>
      <c r="V86" s="70"/>
      <c r="W86" s="70"/>
      <c r="X86" s="72"/>
      <c r="Y86" s="69"/>
      <c r="Z86" s="69"/>
    </row>
    <row r="87" spans="1:26" s="69" customFormat="1">
      <c r="A87" s="68">
        <v>41961</v>
      </c>
      <c r="B87" s="69" t="s">
        <v>59</v>
      </c>
      <c r="C87" s="70"/>
      <c r="D87" s="70"/>
      <c r="E87" s="70">
        <v>136.08000000000001</v>
      </c>
      <c r="F87" s="70">
        <v>205.07</v>
      </c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1"/>
      <c r="V87" s="70"/>
      <c r="W87" s="70"/>
      <c r="X87" s="72"/>
    </row>
    <row r="88" spans="1:26">
      <c r="A88" s="13">
        <v>41961</v>
      </c>
      <c r="B88" s="3" t="s">
        <v>74</v>
      </c>
      <c r="S88" s="2">
        <f>150+1050</f>
        <v>1200</v>
      </c>
      <c r="U88" s="1"/>
    </row>
    <row r="89" spans="1:26">
      <c r="A89" s="13">
        <v>41963</v>
      </c>
      <c r="B89" s="3" t="s">
        <v>59</v>
      </c>
      <c r="L89" s="2">
        <f>415.97+725.11</f>
        <v>1141.08</v>
      </c>
      <c r="Q89" s="2">
        <v>88.34</v>
      </c>
      <c r="U89" s="1"/>
    </row>
    <row r="90" spans="1:26">
      <c r="A90" s="13">
        <v>41964</v>
      </c>
      <c r="B90" s="3" t="s">
        <v>59</v>
      </c>
      <c r="G90" s="2">
        <v>350.01</v>
      </c>
      <c r="I90" s="2">
        <v>447.32</v>
      </c>
      <c r="U90" s="1"/>
    </row>
    <row r="91" spans="1:26">
      <c r="A91" s="13">
        <v>41968</v>
      </c>
      <c r="B91" s="3" t="s">
        <v>66</v>
      </c>
      <c r="V91" s="2">
        <v>352.5</v>
      </c>
    </row>
    <row r="92" spans="1:26">
      <c r="A92" s="13">
        <v>41967</v>
      </c>
      <c r="B92" s="3" t="s">
        <v>55</v>
      </c>
      <c r="N92" s="2">
        <v>155.04</v>
      </c>
    </row>
    <row r="93" spans="1:26">
      <c r="A93" s="13">
        <v>41971</v>
      </c>
      <c r="B93" s="3" t="s">
        <v>65</v>
      </c>
      <c r="P93" s="2">
        <v>6.19</v>
      </c>
    </row>
    <row r="94" spans="1:26">
      <c r="A94" s="13">
        <v>41975</v>
      </c>
      <c r="B94" s="3" t="s">
        <v>59</v>
      </c>
      <c r="G94" s="2">
        <v>38.39</v>
      </c>
      <c r="H94" s="2">
        <v>351.68</v>
      </c>
      <c r="U94" s="1"/>
    </row>
    <row r="95" spans="1:26">
      <c r="A95" s="13">
        <v>41978</v>
      </c>
      <c r="B95" s="3" t="s">
        <v>65</v>
      </c>
      <c r="L95" s="2">
        <f>299.18+267.75</f>
        <v>566.93000000000006</v>
      </c>
      <c r="U95" s="1"/>
    </row>
    <row r="96" spans="1:26">
      <c r="A96" s="13">
        <v>41978</v>
      </c>
      <c r="B96" s="3" t="s">
        <v>65</v>
      </c>
      <c r="L96" s="2">
        <v>9.49</v>
      </c>
    </row>
    <row r="97" spans="1:26">
      <c r="A97" s="13">
        <v>41983</v>
      </c>
      <c r="B97" s="3" t="s">
        <v>65</v>
      </c>
      <c r="N97" s="2">
        <v>33.81</v>
      </c>
    </row>
    <row r="98" spans="1:26">
      <c r="A98" s="68">
        <v>41984</v>
      </c>
      <c r="B98" s="69" t="s">
        <v>55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>
        <v>12.81</v>
      </c>
      <c r="P98" s="70"/>
      <c r="Q98" s="70"/>
      <c r="R98" s="70"/>
      <c r="S98" s="70"/>
      <c r="T98" s="70">
        <f>199.92-12.81</f>
        <v>187.10999999999999</v>
      </c>
      <c r="U98" s="71"/>
      <c r="V98" s="70"/>
      <c r="W98" s="70"/>
      <c r="X98" s="72"/>
      <c r="Y98" s="69"/>
      <c r="Z98" s="69"/>
    </row>
    <row r="99" spans="1:26">
      <c r="A99" s="13">
        <v>41984</v>
      </c>
      <c r="B99" s="3" t="s">
        <v>78</v>
      </c>
      <c r="L99" s="2">
        <v>193.5</v>
      </c>
    </row>
    <row r="100" spans="1:26">
      <c r="A100" s="13">
        <v>41987</v>
      </c>
      <c r="B100" s="3" t="s">
        <v>59</v>
      </c>
      <c r="O100" s="2">
        <v>552.05999999999995</v>
      </c>
      <c r="P100" s="2">
        <v>23.97</v>
      </c>
      <c r="Q100" s="2">
        <f>384.13+55</f>
        <v>439.13</v>
      </c>
      <c r="R100" s="2">
        <v>93.12</v>
      </c>
      <c r="U100" s="1"/>
    </row>
    <row r="101" spans="1:26">
      <c r="A101" s="13">
        <v>41989</v>
      </c>
      <c r="B101" s="3" t="s">
        <v>55</v>
      </c>
      <c r="T101" s="2">
        <v>1169.5999999999999</v>
      </c>
      <c r="U101" s="1"/>
    </row>
    <row r="102" spans="1:26">
      <c r="A102" s="13">
        <v>41989</v>
      </c>
      <c r="B102" s="3" t="s">
        <v>66</v>
      </c>
      <c r="V102" s="2">
        <v>342.5</v>
      </c>
    </row>
    <row r="103" spans="1:26">
      <c r="A103" s="13">
        <v>41989</v>
      </c>
      <c r="B103" s="3" t="s">
        <v>74</v>
      </c>
      <c r="S103" s="2">
        <v>141.99</v>
      </c>
    </row>
    <row r="104" spans="1:26">
      <c r="A104" s="13">
        <v>41993</v>
      </c>
      <c r="B104" s="3" t="s">
        <v>85</v>
      </c>
      <c r="L104" s="2">
        <v>189.6</v>
      </c>
    </row>
    <row r="105" spans="1:26">
      <c r="A105" s="13">
        <v>41995</v>
      </c>
      <c r="B105" s="3" t="s">
        <v>59</v>
      </c>
      <c r="G105" s="2">
        <v>439.88</v>
      </c>
      <c r="H105" s="2">
        <v>301.98</v>
      </c>
    </row>
    <row r="106" spans="1:26">
      <c r="A106" s="13">
        <v>42003</v>
      </c>
      <c r="B106" s="3" t="s">
        <v>59</v>
      </c>
      <c r="K106" s="2">
        <f>15.22+49.36</f>
        <v>64.58</v>
      </c>
      <c r="Q106" s="2">
        <f>30.44+28.08</f>
        <v>58.519999999999996</v>
      </c>
    </row>
    <row r="107" spans="1:26">
      <c r="A107" s="13">
        <v>42004</v>
      </c>
      <c r="B107" s="3" t="s">
        <v>84</v>
      </c>
      <c r="K107" s="2">
        <v>949</v>
      </c>
      <c r="U107" s="1"/>
    </row>
    <row r="108" spans="1:26">
      <c r="A108" s="13">
        <v>42010</v>
      </c>
      <c r="B108" s="3" t="s">
        <v>62</v>
      </c>
      <c r="K108" s="2">
        <v>75</v>
      </c>
    </row>
    <row r="109" spans="1:26">
      <c r="A109" s="13">
        <v>42011</v>
      </c>
      <c r="B109" s="3" t="s">
        <v>55</v>
      </c>
      <c r="T109" s="2">
        <v>119.95</v>
      </c>
    </row>
    <row r="110" spans="1:26">
      <c r="A110" s="13">
        <v>42011</v>
      </c>
      <c r="B110" s="69" t="s">
        <v>59</v>
      </c>
      <c r="L110" s="2">
        <v>228.21</v>
      </c>
    </row>
    <row r="111" spans="1:26">
      <c r="A111" s="13">
        <v>42012</v>
      </c>
      <c r="B111" s="69" t="s">
        <v>59</v>
      </c>
      <c r="J111" s="2">
        <v>192.84</v>
      </c>
    </row>
    <row r="112" spans="1:26">
      <c r="A112" s="13">
        <v>42013</v>
      </c>
      <c r="B112" s="3" t="s">
        <v>59</v>
      </c>
      <c r="P112" s="2">
        <v>145.01</v>
      </c>
      <c r="U112" s="1"/>
    </row>
    <row r="113" spans="1:26">
      <c r="A113" s="13">
        <v>42013</v>
      </c>
      <c r="B113" s="3" t="s">
        <v>55</v>
      </c>
      <c r="Q113" s="2">
        <f>20.63*2</f>
        <v>41.26</v>
      </c>
      <c r="T113" s="2">
        <f>16.99*2</f>
        <v>33.979999999999997</v>
      </c>
    </row>
    <row r="114" spans="1:26" s="69" customFormat="1">
      <c r="A114" s="13">
        <v>42013</v>
      </c>
      <c r="B114" s="69" t="s">
        <v>59</v>
      </c>
      <c r="C114" s="2"/>
      <c r="D114" s="2"/>
      <c r="E114" s="2"/>
      <c r="F114" s="2"/>
      <c r="G114" s="2">
        <v>413.97</v>
      </c>
      <c r="H114" s="2"/>
      <c r="I114" s="2">
        <v>117.63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19"/>
      <c r="Y114" s="3"/>
      <c r="Z114" s="3"/>
    </row>
    <row r="115" spans="1:26">
      <c r="A115" s="13">
        <v>42016</v>
      </c>
      <c r="B115" s="69" t="s">
        <v>59</v>
      </c>
      <c r="L115" s="2">
        <v>480.86</v>
      </c>
    </row>
    <row r="116" spans="1:26">
      <c r="A116" s="13">
        <v>42019</v>
      </c>
      <c r="B116" s="69" t="s">
        <v>59</v>
      </c>
      <c r="G116" s="2">
        <v>836.75</v>
      </c>
      <c r="I116" s="2">
        <v>330.91</v>
      </c>
      <c r="U116" s="1"/>
    </row>
    <row r="117" spans="1:26">
      <c r="A117" s="13">
        <v>42019</v>
      </c>
      <c r="B117" s="3" t="s">
        <v>55</v>
      </c>
      <c r="N117" s="2">
        <v>66.66</v>
      </c>
    </row>
    <row r="118" spans="1:26">
      <c r="A118" s="13">
        <v>42020</v>
      </c>
      <c r="B118" s="3" t="s">
        <v>59</v>
      </c>
      <c r="P118" s="2">
        <v>27.78</v>
      </c>
    </row>
    <row r="119" spans="1:26">
      <c r="A119" s="13">
        <v>42020</v>
      </c>
      <c r="B119" s="3" t="s">
        <v>67</v>
      </c>
      <c r="K119" s="2">
        <v>62.7</v>
      </c>
    </row>
    <row r="120" spans="1:26">
      <c r="A120" s="13">
        <v>42024</v>
      </c>
      <c r="B120" s="69" t="s">
        <v>59</v>
      </c>
      <c r="J120" s="2">
        <v>167.84</v>
      </c>
    </row>
    <row r="121" spans="1:26">
      <c r="A121" s="13">
        <v>42027</v>
      </c>
      <c r="B121" s="69" t="s">
        <v>59</v>
      </c>
      <c r="L121" s="2">
        <v>456</v>
      </c>
      <c r="U121" s="1"/>
    </row>
    <row r="122" spans="1:26">
      <c r="A122" s="13">
        <v>42030</v>
      </c>
      <c r="B122" s="3" t="s">
        <v>66</v>
      </c>
      <c r="V122" s="2">
        <v>353.5</v>
      </c>
      <c r="Y122" s="69"/>
      <c r="Z122" s="69"/>
    </row>
    <row r="123" spans="1:26">
      <c r="A123" s="13">
        <v>42039</v>
      </c>
      <c r="B123" s="3" t="s">
        <v>68</v>
      </c>
      <c r="L123" s="2">
        <v>264.60000000000002</v>
      </c>
      <c r="U123" s="1"/>
    </row>
    <row r="124" spans="1:26">
      <c r="A124" s="13">
        <v>42045</v>
      </c>
      <c r="B124" s="69" t="s">
        <v>59</v>
      </c>
      <c r="G124" s="2">
        <v>156.53</v>
      </c>
      <c r="I124" s="2">
        <v>181.88</v>
      </c>
      <c r="U124" s="1"/>
    </row>
    <row r="125" spans="1:26">
      <c r="A125" s="13">
        <v>42046</v>
      </c>
      <c r="B125" s="3" t="s">
        <v>55</v>
      </c>
      <c r="T125" s="2">
        <f>1101.71+388.18</f>
        <v>1489.89</v>
      </c>
    </row>
    <row r="126" spans="1:26">
      <c r="A126" s="13">
        <v>42046</v>
      </c>
      <c r="B126" s="69" t="s">
        <v>59</v>
      </c>
      <c r="G126" s="2">
        <v>519.19000000000005</v>
      </c>
      <c r="I126" s="2">
        <v>357.78</v>
      </c>
      <c r="U126" s="1"/>
    </row>
    <row r="127" spans="1:26">
      <c r="A127" s="13">
        <v>42048</v>
      </c>
      <c r="B127" s="69" t="s">
        <v>59</v>
      </c>
      <c r="G127" s="2">
        <v>474.04</v>
      </c>
      <c r="I127" s="2">
        <v>161.25</v>
      </c>
    </row>
    <row r="128" spans="1:26">
      <c r="A128" s="13">
        <v>42052</v>
      </c>
      <c r="B128" s="69" t="s">
        <v>59</v>
      </c>
      <c r="J128" s="2">
        <v>199.23</v>
      </c>
      <c r="U128" s="1"/>
    </row>
    <row r="129" spans="1:24">
      <c r="A129" s="13">
        <v>42052</v>
      </c>
      <c r="B129" s="3" t="s">
        <v>65</v>
      </c>
      <c r="N129" s="2">
        <v>9.35</v>
      </c>
      <c r="U129" s="1"/>
    </row>
    <row r="130" spans="1:24">
      <c r="A130" s="68">
        <v>42055</v>
      </c>
      <c r="B130" s="69" t="s">
        <v>59</v>
      </c>
      <c r="C130" s="70"/>
      <c r="D130" s="70"/>
      <c r="E130" s="70"/>
      <c r="F130" s="70"/>
      <c r="G130" s="70">
        <v>100.97</v>
      </c>
      <c r="H130" s="70"/>
      <c r="I130" s="70">
        <v>107.06</v>
      </c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2"/>
    </row>
    <row r="131" spans="1:24">
      <c r="A131" s="13">
        <v>42058</v>
      </c>
      <c r="B131" s="3" t="s">
        <v>65</v>
      </c>
      <c r="P131" s="2">
        <v>6.19</v>
      </c>
    </row>
    <row r="132" spans="1:24">
      <c r="A132" s="13">
        <v>42059</v>
      </c>
      <c r="B132" s="3" t="s">
        <v>66</v>
      </c>
      <c r="V132" s="2">
        <v>345</v>
      </c>
    </row>
    <row r="133" spans="1:24">
      <c r="A133" s="13">
        <v>42064</v>
      </c>
      <c r="B133" s="3" t="s">
        <v>55</v>
      </c>
      <c r="N133" s="2">
        <v>510.07</v>
      </c>
      <c r="U133" s="1"/>
    </row>
    <row r="134" spans="1:24">
      <c r="A134" s="13">
        <v>42065</v>
      </c>
      <c r="B134" s="3" t="s">
        <v>55</v>
      </c>
      <c r="T134" s="2">
        <f>83.8-14.49</f>
        <v>69.31</v>
      </c>
    </row>
    <row r="135" spans="1:24">
      <c r="A135" s="13">
        <v>42066</v>
      </c>
      <c r="B135" s="3" t="s">
        <v>55</v>
      </c>
      <c r="T135" s="2">
        <v>46.22</v>
      </c>
      <c r="U135" s="1"/>
    </row>
    <row r="136" spans="1:24">
      <c r="A136" s="13">
        <v>42067</v>
      </c>
      <c r="B136" s="3" t="s">
        <v>59</v>
      </c>
      <c r="G136" s="2">
        <v>363.22</v>
      </c>
      <c r="I136" s="2">
        <v>283.87</v>
      </c>
      <c r="O136" s="2">
        <v>300.75</v>
      </c>
      <c r="Q136" s="2">
        <f>201.1+29.1</f>
        <v>230.2</v>
      </c>
      <c r="R136" s="2">
        <v>107.61</v>
      </c>
      <c r="U136" s="1"/>
    </row>
    <row r="137" spans="1:24">
      <c r="A137" s="13">
        <v>42073</v>
      </c>
      <c r="B137" s="3" t="s">
        <v>55</v>
      </c>
      <c r="T137" s="2">
        <v>593.03</v>
      </c>
      <c r="U137" s="1"/>
    </row>
    <row r="138" spans="1:24">
      <c r="A138" s="13">
        <v>42074</v>
      </c>
      <c r="B138" s="3" t="s">
        <v>59</v>
      </c>
      <c r="O138" s="2">
        <v>52.48</v>
      </c>
      <c r="Q138" s="2">
        <v>37.409999999999997</v>
      </c>
      <c r="U138" s="1"/>
    </row>
    <row r="139" spans="1:24">
      <c r="A139" s="13">
        <v>42079</v>
      </c>
      <c r="B139" s="3" t="s">
        <v>86</v>
      </c>
      <c r="Q139" s="2">
        <v>51.2</v>
      </c>
    </row>
    <row r="140" spans="1:24">
      <c r="A140" s="13">
        <v>42079</v>
      </c>
      <c r="B140" s="3" t="s">
        <v>59</v>
      </c>
      <c r="G140" s="2">
        <f>251.84+100.32</f>
        <v>352.15999999999997</v>
      </c>
      <c r="H140" s="2">
        <f>328.69+113.65</f>
        <v>442.34000000000003</v>
      </c>
      <c r="L140" s="2">
        <v>145</v>
      </c>
    </row>
    <row r="141" spans="1:24">
      <c r="A141" s="13">
        <v>42081</v>
      </c>
      <c r="B141" s="3" t="s">
        <v>55</v>
      </c>
      <c r="N141" s="2">
        <v>271.45</v>
      </c>
    </row>
    <row r="142" spans="1:24">
      <c r="A142" s="13">
        <v>42088</v>
      </c>
      <c r="B142" s="3" t="s">
        <v>55</v>
      </c>
      <c r="T142" s="2">
        <v>346.42</v>
      </c>
    </row>
    <row r="143" spans="1:24">
      <c r="A143" s="13">
        <v>42088</v>
      </c>
      <c r="B143" s="3" t="s">
        <v>55</v>
      </c>
      <c r="N143" s="2">
        <v>146.66999999999999</v>
      </c>
    </row>
    <row r="144" spans="1:24">
      <c r="A144" s="13">
        <v>42090</v>
      </c>
      <c r="B144" s="3" t="s">
        <v>66</v>
      </c>
      <c r="V144" s="2">
        <v>297</v>
      </c>
    </row>
    <row r="145" spans="1:24">
      <c r="A145" s="13">
        <v>42093</v>
      </c>
      <c r="B145" s="3" t="s">
        <v>65</v>
      </c>
      <c r="P145" s="2">
        <v>21.69</v>
      </c>
    </row>
    <row r="146" spans="1:24">
      <c r="A146" s="13">
        <v>42095</v>
      </c>
      <c r="B146" s="3" t="s">
        <v>55</v>
      </c>
      <c r="N146" s="2">
        <v>356.91</v>
      </c>
    </row>
    <row r="147" spans="1:24">
      <c r="A147" s="13">
        <v>42095</v>
      </c>
      <c r="B147" s="3" t="s">
        <v>59</v>
      </c>
      <c r="G147" s="2">
        <v>131.71</v>
      </c>
      <c r="I147" s="2">
        <v>208.04</v>
      </c>
      <c r="J147" s="2">
        <v>386.29</v>
      </c>
    </row>
    <row r="148" spans="1:24">
      <c r="A148" s="13">
        <v>42096</v>
      </c>
      <c r="B148" s="3" t="s">
        <v>65</v>
      </c>
      <c r="L148" s="2">
        <f>99.56+211.37</f>
        <v>310.93</v>
      </c>
    </row>
    <row r="149" spans="1:24">
      <c r="A149" s="13">
        <v>42096</v>
      </c>
      <c r="B149" s="3" t="s">
        <v>59</v>
      </c>
      <c r="L149" s="2">
        <v>493.93</v>
      </c>
    </row>
    <row r="150" spans="1:24">
      <c r="A150" s="13">
        <v>42104</v>
      </c>
      <c r="B150" s="3" t="s">
        <v>55</v>
      </c>
      <c r="N150" s="2">
        <v>131.15</v>
      </c>
    </row>
    <row r="151" spans="1:24">
      <c r="A151" s="13">
        <v>42108</v>
      </c>
      <c r="B151" s="3" t="s">
        <v>55</v>
      </c>
      <c r="T151" s="2">
        <v>75.38</v>
      </c>
      <c r="U151" s="1"/>
    </row>
    <row r="152" spans="1:24">
      <c r="A152" s="13">
        <v>42108</v>
      </c>
      <c r="B152" s="3" t="s">
        <v>59</v>
      </c>
      <c r="G152" s="2">
        <v>480.37</v>
      </c>
      <c r="I152" s="2">
        <v>462.59</v>
      </c>
      <c r="L152" s="2">
        <v>166.21</v>
      </c>
      <c r="O152" s="2">
        <v>260.67</v>
      </c>
    </row>
    <row r="153" spans="1:24">
      <c r="A153" s="13">
        <v>42115</v>
      </c>
      <c r="B153" s="3" t="s">
        <v>87</v>
      </c>
      <c r="U153" s="2">
        <v>1325</v>
      </c>
      <c r="V153" s="2">
        <v>2671.95</v>
      </c>
    </row>
    <row r="154" spans="1:24">
      <c r="A154" s="13">
        <v>42117</v>
      </c>
      <c r="B154" s="3" t="s">
        <v>88</v>
      </c>
      <c r="V154" s="2">
        <v>60</v>
      </c>
      <c r="W154" s="8"/>
      <c r="X154" s="21"/>
    </row>
    <row r="155" spans="1:24">
      <c r="A155" s="13">
        <v>42121</v>
      </c>
      <c r="B155" s="3" t="s">
        <v>59</v>
      </c>
      <c r="G155" s="2">
        <v>115.65</v>
      </c>
      <c r="I155" s="2">
        <v>268.04000000000002</v>
      </c>
    </row>
    <row r="156" spans="1:24">
      <c r="A156" s="13">
        <v>42121</v>
      </c>
      <c r="B156" s="3" t="s">
        <v>66</v>
      </c>
      <c r="V156" s="2">
        <v>329.25</v>
      </c>
    </row>
    <row r="157" spans="1:24">
      <c r="A157" s="13">
        <v>42122</v>
      </c>
      <c r="B157" s="3" t="s">
        <v>55</v>
      </c>
      <c r="T157" s="2">
        <v>22.87</v>
      </c>
    </row>
    <row r="158" spans="1:24">
      <c r="A158" s="13">
        <v>42123</v>
      </c>
      <c r="B158" s="3" t="s">
        <v>55</v>
      </c>
      <c r="T158" s="2">
        <v>218.16</v>
      </c>
    </row>
    <row r="159" spans="1:24">
      <c r="A159" s="13">
        <v>42123</v>
      </c>
      <c r="B159" s="3" t="s">
        <v>55</v>
      </c>
      <c r="N159" s="2">
        <v>146.15</v>
      </c>
    </row>
    <row r="160" spans="1:24">
      <c r="A160" s="13">
        <v>42124</v>
      </c>
      <c r="B160" s="3" t="s">
        <v>55</v>
      </c>
      <c r="T160" s="2">
        <v>126.62</v>
      </c>
    </row>
    <row r="161" spans="1:24">
      <c r="A161" s="13">
        <v>42124</v>
      </c>
      <c r="B161" s="3" t="s">
        <v>59</v>
      </c>
      <c r="G161" s="2">
        <v>408.92</v>
      </c>
      <c r="I161" s="2">
        <v>475.85</v>
      </c>
      <c r="O161" s="2">
        <v>208.86</v>
      </c>
      <c r="P161" s="2">
        <v>45.49</v>
      </c>
      <c r="Q161" s="2">
        <v>99.15</v>
      </c>
      <c r="R161" s="2">
        <v>67.569999999999993</v>
      </c>
    </row>
    <row r="162" spans="1:24">
      <c r="A162" s="13">
        <v>42128</v>
      </c>
      <c r="B162" s="3" t="s">
        <v>65</v>
      </c>
      <c r="P162" s="2">
        <v>11.15</v>
      </c>
    </row>
    <row r="163" spans="1:24">
      <c r="A163" s="13">
        <v>42137</v>
      </c>
      <c r="B163" s="3" t="s">
        <v>55</v>
      </c>
      <c r="T163" s="2">
        <v>176.99</v>
      </c>
    </row>
    <row r="164" spans="1:24">
      <c r="A164" s="13">
        <v>42138</v>
      </c>
      <c r="B164" s="3" t="s">
        <v>55</v>
      </c>
      <c r="N164" s="2">
        <v>535.54999999999995</v>
      </c>
    </row>
    <row r="165" spans="1:24">
      <c r="A165" s="13">
        <v>42143</v>
      </c>
      <c r="B165" s="3" t="s">
        <v>55</v>
      </c>
      <c r="T165" s="2">
        <f>86.3-18.34+127.1</f>
        <v>195.06</v>
      </c>
    </row>
    <row r="166" spans="1:24" s="9" customFormat="1">
      <c r="A166" s="13">
        <v>42132</v>
      </c>
      <c r="B166" s="3" t="s">
        <v>59</v>
      </c>
      <c r="C166" s="2"/>
      <c r="D166" s="2"/>
      <c r="E166" s="2"/>
      <c r="F166" s="2"/>
      <c r="G166" s="2"/>
      <c r="H166" s="2"/>
      <c r="I166" s="2"/>
      <c r="J166" s="2">
        <v>228.26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19"/>
    </row>
    <row r="167" spans="1:24">
      <c r="A167" s="13">
        <v>42142</v>
      </c>
      <c r="B167" s="3" t="s">
        <v>59</v>
      </c>
      <c r="J167" s="2">
        <v>315.51</v>
      </c>
    </row>
    <row r="168" spans="1:24">
      <c r="A168" s="13">
        <v>42143</v>
      </c>
      <c r="B168" s="3" t="s">
        <v>59</v>
      </c>
      <c r="G168" s="2">
        <v>388.24</v>
      </c>
      <c r="I168" s="2">
        <v>589.12</v>
      </c>
      <c r="J168" s="2">
        <v>36.18</v>
      </c>
      <c r="O168" s="2">
        <v>93.4</v>
      </c>
      <c r="P168" s="2">
        <v>64.150000000000006</v>
      </c>
      <c r="Q168" s="2">
        <v>174.48</v>
      </c>
      <c r="R168" s="2">
        <v>39.979999999999997</v>
      </c>
    </row>
    <row r="169" spans="1:24">
      <c r="A169" s="13">
        <v>42144</v>
      </c>
      <c r="B169" s="3" t="s">
        <v>59</v>
      </c>
      <c r="T169" s="2">
        <v>165.56</v>
      </c>
    </row>
    <row r="170" spans="1:24">
      <c r="A170" s="13">
        <v>42144</v>
      </c>
      <c r="B170" s="3" t="s">
        <v>55</v>
      </c>
      <c r="T170" s="2">
        <v>103.71</v>
      </c>
    </row>
    <row r="171" spans="1:24">
      <c r="A171" s="13">
        <v>42150</v>
      </c>
      <c r="B171" s="3" t="s">
        <v>55</v>
      </c>
      <c r="T171" s="2">
        <v>115.43</v>
      </c>
    </row>
    <row r="172" spans="1:24">
      <c r="A172" s="13">
        <v>42150</v>
      </c>
      <c r="B172" s="3" t="s">
        <v>59</v>
      </c>
      <c r="L172" s="2">
        <f>277.65+566.67+1360.99</f>
        <v>2205.31</v>
      </c>
      <c r="O172" s="2">
        <v>277.64999999999998</v>
      </c>
    </row>
    <row r="173" spans="1:24">
      <c r="A173" s="13">
        <v>42131</v>
      </c>
      <c r="B173" s="3" t="s">
        <v>89</v>
      </c>
      <c r="K173" s="2">
        <v>200</v>
      </c>
    </row>
    <row r="174" spans="1:24" s="69" customFormat="1">
      <c r="A174" s="13">
        <v>42151</v>
      </c>
      <c r="B174" s="3" t="s">
        <v>55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>
        <f>813.59+600.07</f>
        <v>1413.66</v>
      </c>
      <c r="U174" s="3"/>
      <c r="V174" s="2"/>
      <c r="W174" s="2"/>
      <c r="X174" s="19"/>
    </row>
    <row r="175" spans="1:24">
      <c r="A175" s="13">
        <v>42151</v>
      </c>
      <c r="B175" s="3" t="s">
        <v>86</v>
      </c>
      <c r="G175" s="2">
        <v>14.39</v>
      </c>
      <c r="I175" s="2">
        <f>39.92+2</f>
        <v>41.92</v>
      </c>
      <c r="J175" s="2">
        <v>278.27999999999997</v>
      </c>
      <c r="L175" s="2">
        <f>(5.59*6)+6.39+(7.99*2)</f>
        <v>55.91</v>
      </c>
      <c r="P175" s="2">
        <f>(11.99*5)+14.39</f>
        <v>74.34</v>
      </c>
      <c r="Q175" s="2">
        <f>(12.79*3)+(14.36*2)+22.39+23.16+25.6+19.99+20</f>
        <v>178.23000000000002</v>
      </c>
      <c r="R175" s="2">
        <f>(6.39*4)+22.39</f>
        <v>47.95</v>
      </c>
    </row>
    <row r="176" spans="1:24">
      <c r="A176" s="13">
        <v>42151</v>
      </c>
      <c r="B176" s="3" t="s">
        <v>59</v>
      </c>
      <c r="T176" s="2">
        <v>91.04</v>
      </c>
    </row>
    <row r="177" spans="1:24">
      <c r="A177" s="13">
        <v>42152</v>
      </c>
      <c r="B177" s="3" t="s">
        <v>55</v>
      </c>
      <c r="T177" s="2">
        <f>66.2+44.92</f>
        <v>111.12</v>
      </c>
    </row>
    <row r="178" spans="1:24">
      <c r="A178" s="13">
        <v>42154</v>
      </c>
      <c r="B178" s="3" t="s">
        <v>59</v>
      </c>
      <c r="P178" s="2">
        <v>17.059999999999999</v>
      </c>
      <c r="T178" s="2">
        <v>103.46</v>
      </c>
    </row>
    <row r="179" spans="1:24">
      <c r="A179" s="68">
        <v>42146</v>
      </c>
      <c r="B179" s="69" t="s">
        <v>65</v>
      </c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>
        <v>6.19</v>
      </c>
      <c r="Q179" s="70"/>
      <c r="R179" s="70"/>
      <c r="S179" s="70"/>
      <c r="T179" s="70"/>
      <c r="U179" s="70"/>
      <c r="V179" s="70"/>
      <c r="W179" s="70"/>
      <c r="X179" s="72"/>
    </row>
    <row r="180" spans="1:24">
      <c r="A180" s="13">
        <v>42150</v>
      </c>
      <c r="B180" s="69" t="s">
        <v>65</v>
      </c>
      <c r="L180" s="2">
        <v>349.61</v>
      </c>
    </row>
    <row r="181" spans="1:24">
      <c r="A181" s="13">
        <v>42146</v>
      </c>
      <c r="B181" s="3" t="s">
        <v>66</v>
      </c>
      <c r="V181" s="2">
        <v>318</v>
      </c>
    </row>
    <row r="182" spans="1:24">
      <c r="A182" s="13">
        <v>42143</v>
      </c>
      <c r="B182" s="3" t="s">
        <v>68</v>
      </c>
      <c r="L182" s="2">
        <v>194.2</v>
      </c>
    </row>
    <row r="183" spans="1:24">
      <c r="A183" s="13">
        <v>42158</v>
      </c>
      <c r="B183" s="3" t="s">
        <v>86</v>
      </c>
      <c r="O183" s="2">
        <v>239.84</v>
      </c>
    </row>
    <row r="184" spans="1:24">
      <c r="A184" s="13">
        <v>42158</v>
      </c>
      <c r="B184" s="3" t="s">
        <v>55</v>
      </c>
      <c r="T184" s="2">
        <v>37.89</v>
      </c>
    </row>
    <row r="185" spans="1:24" s="69" customFormat="1">
      <c r="A185" s="13">
        <v>42159</v>
      </c>
      <c r="B185" s="3" t="s">
        <v>55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>
        <v>80.38</v>
      </c>
      <c r="U185" s="2"/>
      <c r="V185" s="2"/>
      <c r="W185" s="2"/>
      <c r="X185" s="19"/>
    </row>
    <row r="186" spans="1:24">
      <c r="A186" s="13">
        <v>42163</v>
      </c>
      <c r="B186" s="3" t="s">
        <v>59</v>
      </c>
      <c r="O186" s="2">
        <v>18.28</v>
      </c>
      <c r="Q186" s="2">
        <v>112.19</v>
      </c>
    </row>
    <row r="187" spans="1:24">
      <c r="A187" s="13">
        <v>42164</v>
      </c>
      <c r="B187" s="3" t="s">
        <v>55</v>
      </c>
      <c r="T187" s="2">
        <v>90.96</v>
      </c>
    </row>
    <row r="188" spans="1:24">
      <c r="A188" s="13">
        <v>42167</v>
      </c>
      <c r="B188" s="3" t="s">
        <v>59</v>
      </c>
      <c r="G188" s="2">
        <v>68.81</v>
      </c>
      <c r="I188" s="2">
        <v>226.83</v>
      </c>
      <c r="L188" s="2">
        <v>962.54</v>
      </c>
      <c r="P188" s="2">
        <v>29.25</v>
      </c>
      <c r="Q188" s="2">
        <v>141.52000000000001</v>
      </c>
    </row>
    <row r="189" spans="1:24">
      <c r="A189" s="68">
        <v>42167</v>
      </c>
      <c r="B189" s="69" t="s">
        <v>55</v>
      </c>
      <c r="C189" s="70"/>
      <c r="D189" s="70"/>
      <c r="E189" s="70"/>
      <c r="F189" s="70"/>
      <c r="G189" s="70"/>
      <c r="H189" s="70"/>
      <c r="I189" s="70"/>
      <c r="J189" s="70"/>
      <c r="K189" s="70"/>
      <c r="L189" s="70">
        <v>41.86</v>
      </c>
      <c r="M189" s="70"/>
      <c r="N189" s="70"/>
      <c r="O189" s="70"/>
      <c r="P189" s="70"/>
      <c r="Q189" s="70"/>
      <c r="R189" s="70"/>
      <c r="S189" s="70"/>
      <c r="T189" s="70">
        <v>115.62</v>
      </c>
      <c r="U189" s="70"/>
      <c r="V189" s="70"/>
      <c r="W189" s="70"/>
      <c r="X189" s="72"/>
    </row>
    <row r="190" spans="1:24">
      <c r="A190" s="13">
        <v>42150</v>
      </c>
      <c r="B190" s="3" t="s">
        <v>65</v>
      </c>
    </row>
    <row r="191" spans="1:24">
      <c r="A191" s="13">
        <v>42177</v>
      </c>
      <c r="B191" s="3" t="s">
        <v>65</v>
      </c>
      <c r="P191" s="2">
        <v>11.15</v>
      </c>
    </row>
    <row r="202" spans="1:24">
      <c r="A202" s="68"/>
      <c r="B202" s="69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2"/>
    </row>
    <row r="203" spans="1:24" s="69" customFormat="1">
      <c r="A203" s="1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19"/>
    </row>
    <row r="205" spans="1:24">
      <c r="U205" s="1"/>
    </row>
    <row r="208" spans="1:24" s="77" customFormat="1">
      <c r="A208" s="1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19"/>
    </row>
    <row r="211" spans="1:24" s="77" customFormat="1">
      <c r="A211" s="76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8"/>
    </row>
    <row r="218" spans="1:24">
      <c r="A218" s="76"/>
      <c r="B218" s="77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8"/>
    </row>
    <row r="224" spans="1:24">
      <c r="V224" s="75"/>
    </row>
    <row r="232" spans="1:24" s="77" customFormat="1">
      <c r="A232" s="76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8"/>
    </row>
    <row r="234" spans="1:24">
      <c r="V234" s="75"/>
    </row>
  </sheetData>
  <sortState ref="A146:Z165">
    <sortCondition ref="A165"/>
  </sortState>
  <phoneticPr fontId="1" type="noConversion"/>
  <pageMargins left="0.18" right="0.18" top="1" bottom="1" header="0.5" footer="0.5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Totals</vt:lpstr>
      <vt:lpstr>Itemized</vt:lpstr>
    </vt:vector>
  </TitlesOfParts>
  <Company>Town of Greenfield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chkout01</dc:creator>
  <cp:lastModifiedBy>chkout02</cp:lastModifiedBy>
  <cp:lastPrinted>2015-06-02T18:23:29Z</cp:lastPrinted>
  <dcterms:created xsi:type="dcterms:W3CDTF">2009-03-16T17:10:57Z</dcterms:created>
  <dcterms:modified xsi:type="dcterms:W3CDTF">2015-07-06T17:15:58Z</dcterms:modified>
</cp:coreProperties>
</file>