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isa's stuff\book order information\past years\"/>
    </mc:Choice>
  </mc:AlternateContent>
  <bookViews>
    <workbookView xWindow="-1020" yWindow="-108" windowWidth="6168" windowHeight="8328"/>
  </bookViews>
  <sheets>
    <sheet name="Totals" sheetId="1" r:id="rId1"/>
    <sheet name="Itemized" sheetId="2" r:id="rId2"/>
  </sheets>
  <calcPr calcId="162913"/>
</workbook>
</file>

<file path=xl/calcChain.xml><?xml version="1.0" encoding="utf-8"?>
<calcChain xmlns="http://schemas.openxmlformats.org/spreadsheetml/2006/main">
  <c r="G224" i="2" l="1"/>
  <c r="I224" i="2"/>
  <c r="C3" i="1" l="1"/>
  <c r="C11" i="1"/>
  <c r="C16" i="1" l="1"/>
  <c r="C14" i="1" l="1"/>
  <c r="C4" i="1"/>
  <c r="G204" i="2" l="1"/>
  <c r="C10" i="1" l="1"/>
  <c r="L193" i="2"/>
  <c r="L199" i="2"/>
  <c r="P197" i="2" l="1"/>
  <c r="C8" i="1" l="1"/>
  <c r="R190" i="2"/>
  <c r="L191" i="2"/>
  <c r="R187" i="2" l="1"/>
  <c r="R184" i="2" l="1"/>
  <c r="C7" i="1"/>
  <c r="C15" i="1"/>
  <c r="L171" i="2" l="1"/>
  <c r="W25" i="2" l="1"/>
  <c r="R169" i="2" l="1"/>
  <c r="N134" i="2" l="1"/>
  <c r="I143" i="2" l="1"/>
  <c r="L143" i="2" l="1"/>
  <c r="N131" i="2" l="1"/>
  <c r="G116" i="2" l="1"/>
  <c r="R121" i="2" l="1"/>
  <c r="R119" i="2" l="1"/>
  <c r="P119" i="2"/>
  <c r="J66" i="2" l="1"/>
  <c r="G102" i="2"/>
  <c r="Q112" i="2" l="1"/>
  <c r="P112" i="2"/>
  <c r="O112" i="2"/>
  <c r="R110" i="2" l="1"/>
  <c r="W1" i="2" l="1"/>
  <c r="D12" i="1" s="1"/>
  <c r="R99" i="2" l="1"/>
  <c r="R100" i="2"/>
  <c r="I97" i="2"/>
  <c r="G97" i="2"/>
  <c r="Q97" i="2"/>
  <c r="J97" i="2"/>
  <c r="H97" i="2"/>
  <c r="L63" i="2" l="1"/>
  <c r="R76" i="2" l="1"/>
  <c r="Q76" i="2"/>
  <c r="O76" i="2"/>
  <c r="O74" i="2" l="1"/>
  <c r="R61" i="2" l="1"/>
  <c r="O61" i="2"/>
  <c r="G55" i="2" l="1"/>
  <c r="L48" i="2"/>
  <c r="L36" i="2"/>
  <c r="I26" i="2" l="1"/>
  <c r="G38" i="2"/>
  <c r="O7" i="2" l="1"/>
  <c r="Q26" i="2"/>
  <c r="O26" i="2"/>
  <c r="G6" i="2"/>
  <c r="O4" i="2"/>
  <c r="C6" i="1"/>
  <c r="B24" i="1" l="1"/>
  <c r="D24" i="1" l="1"/>
  <c r="V1" i="2"/>
  <c r="U1" i="2"/>
  <c r="D15" i="1" s="1"/>
  <c r="E15" i="1" s="1"/>
  <c r="H15" i="1" s="1"/>
  <c r="E1" i="2"/>
  <c r="C21" i="1" s="1"/>
  <c r="F1" i="2"/>
  <c r="E21" i="1" s="1"/>
  <c r="K1" i="2"/>
  <c r="L1" i="2"/>
  <c r="D9" i="1" s="1"/>
  <c r="E9" i="1" s="1"/>
  <c r="H9" i="1" s="1"/>
  <c r="O1" i="2"/>
  <c r="P1" i="2"/>
  <c r="Q1" i="2"/>
  <c r="M1" i="2"/>
  <c r="D16" i="1" s="1"/>
  <c r="N1" i="2"/>
  <c r="D10" i="1" s="1"/>
  <c r="R1" i="2"/>
  <c r="D11" i="1" s="1"/>
  <c r="E11" i="1" s="1"/>
  <c r="S1" i="2"/>
  <c r="T1" i="2"/>
  <c r="D13" i="1" s="1"/>
  <c r="E13" i="1" s="1"/>
  <c r="H13" i="1" s="1"/>
  <c r="J1" i="2"/>
  <c r="D8" i="1" s="1"/>
  <c r="E8" i="1" s="1"/>
  <c r="H8" i="1" s="1"/>
  <c r="H1" i="2"/>
  <c r="D6" i="1" s="1"/>
  <c r="E6" i="1" s="1"/>
  <c r="H6" i="1" s="1"/>
  <c r="B1" i="1"/>
  <c r="I1" i="2"/>
  <c r="E22" i="1" s="1"/>
  <c r="G1" i="2"/>
  <c r="C1" i="2"/>
  <c r="C20" i="1" s="1"/>
  <c r="D1" i="2"/>
  <c r="E20" i="1" s="1"/>
  <c r="E10" i="1" l="1"/>
  <c r="H10" i="1" s="1"/>
  <c r="J9" i="1"/>
  <c r="D14" i="1"/>
  <c r="E14" i="1" s="1"/>
  <c r="H14" i="1" s="1"/>
  <c r="C23" i="1"/>
  <c r="C22" i="1"/>
  <c r="D3" i="1"/>
  <c r="E3" i="1" s="1"/>
  <c r="H3" i="1" s="1"/>
  <c r="H11" i="1"/>
  <c r="E23" i="1"/>
  <c r="E24" i="1" s="1"/>
  <c r="D4" i="1"/>
  <c r="E4" i="1" s="1"/>
  <c r="H4" i="1" s="1"/>
  <c r="D5" i="1"/>
  <c r="E5" i="1" s="1"/>
  <c r="H5" i="1" s="1"/>
  <c r="E16" i="1"/>
  <c r="D7" i="1"/>
  <c r="E7" i="1" s="1"/>
  <c r="H7" i="1" s="1"/>
  <c r="C17" i="1"/>
  <c r="C24" i="1" l="1"/>
  <c r="D17" i="1"/>
  <c r="E17" i="1" s="1"/>
  <c r="H16" i="1"/>
  <c r="G13" i="1"/>
  <c r="G11" i="1"/>
  <c r="G9" i="1"/>
  <c r="G7" i="1"/>
  <c r="G5" i="1"/>
  <c r="G3" i="1"/>
  <c r="G15" i="1"/>
  <c r="G10" i="1"/>
  <c r="G8" i="1"/>
  <c r="G6" i="1"/>
  <c r="G4" i="1"/>
  <c r="G16" i="1"/>
  <c r="G14" i="1"/>
  <c r="H19" i="1" l="1"/>
  <c r="G17" i="1"/>
</calcChain>
</file>

<file path=xl/sharedStrings.xml><?xml version="1.0" encoding="utf-8"?>
<sst xmlns="http://schemas.openxmlformats.org/spreadsheetml/2006/main" count="297" uniqueCount="84">
  <si>
    <t>ccfic</t>
  </si>
  <si>
    <t>ccnon</t>
  </si>
  <si>
    <t>jbfic</t>
  </si>
  <si>
    <t>jbnon</t>
  </si>
  <si>
    <t>lpfic</t>
  </si>
  <si>
    <t>lpgns</t>
  </si>
  <si>
    <t>lpnon</t>
  </si>
  <si>
    <t>Selector</t>
  </si>
  <si>
    <t>Budget</t>
  </si>
  <si>
    <t>Spent to date</t>
  </si>
  <si>
    <t>Left to Spend</t>
  </si>
  <si>
    <t>To Date</t>
  </si>
  <si>
    <t>kl</t>
  </si>
  <si>
    <t>date</t>
  </si>
  <si>
    <t>BoCD</t>
  </si>
  <si>
    <t>DVD</t>
  </si>
  <si>
    <t>CD</t>
  </si>
  <si>
    <t xml:space="preserve"> </t>
  </si>
  <si>
    <t>Fiction</t>
  </si>
  <si>
    <t>Nonfiction</t>
  </si>
  <si>
    <t>Jane</t>
  </si>
  <si>
    <t>Teen</t>
  </si>
  <si>
    <t>Large Print</t>
  </si>
  <si>
    <t>Reference</t>
  </si>
  <si>
    <t>Kay</t>
  </si>
  <si>
    <t>Lisa</t>
  </si>
  <si>
    <t>Graphic Novels</t>
  </si>
  <si>
    <t>Magazines</t>
  </si>
  <si>
    <t>lpDVD</t>
  </si>
  <si>
    <t>vendor</t>
  </si>
  <si>
    <t>Databases</t>
  </si>
  <si>
    <t>Mags</t>
  </si>
  <si>
    <t>Category</t>
  </si>
  <si>
    <t>Misc.</t>
  </si>
  <si>
    <t>jbLP</t>
  </si>
  <si>
    <t>to spend</t>
  </si>
  <si>
    <t>% left</t>
  </si>
  <si>
    <t>% of</t>
  </si>
  <si>
    <t>Total</t>
  </si>
  <si>
    <t>ebfic</t>
  </si>
  <si>
    <t>ebnon</t>
  </si>
  <si>
    <t>Overdrive</t>
  </si>
  <si>
    <t>DBs</t>
  </si>
  <si>
    <t>Youth</t>
  </si>
  <si>
    <t>Notes</t>
  </si>
  <si>
    <t>All</t>
  </si>
  <si>
    <t>Cynthia</t>
  </si>
  <si>
    <t>Ellen</t>
  </si>
  <si>
    <t>Remaining</t>
  </si>
  <si>
    <t>left to spend overall</t>
  </si>
  <si>
    <t>ref</t>
  </si>
  <si>
    <t>Diane</t>
  </si>
  <si>
    <t>dhCD</t>
  </si>
  <si>
    <t>Zoe</t>
  </si>
  <si>
    <t>zkteen</t>
  </si>
  <si>
    <t>Amazon</t>
  </si>
  <si>
    <t>Ingram</t>
  </si>
  <si>
    <t>Recorded Books</t>
  </si>
  <si>
    <t>B&amp;T</t>
  </si>
  <si>
    <t>Hoopla</t>
  </si>
  <si>
    <t>Midwest Tapes</t>
  </si>
  <si>
    <t>Center Point</t>
  </si>
  <si>
    <t>NADA</t>
  </si>
  <si>
    <t>World Eye</t>
  </si>
  <si>
    <t>Dex Media</t>
  </si>
  <si>
    <t>Newsbank</t>
  </si>
  <si>
    <t>Baker Office</t>
  </si>
  <si>
    <t>Cavendish</t>
  </si>
  <si>
    <t>Gale</t>
  </si>
  <si>
    <t>Sun</t>
  </si>
  <si>
    <t>Blackstone</t>
  </si>
  <si>
    <t>Great Courses</t>
  </si>
  <si>
    <t>Bookpage</t>
  </si>
  <si>
    <t>Cox</t>
  </si>
  <si>
    <t>dhBoCD</t>
  </si>
  <si>
    <t>C/W MARS</t>
  </si>
  <si>
    <t>Proquest</t>
  </si>
  <si>
    <t>Standing Orders</t>
  </si>
  <si>
    <t>Standing Orders (mixed Fic, NF, LP)</t>
  </si>
  <si>
    <t>ALA</t>
  </si>
  <si>
    <t>Hill-Donnelly</t>
  </si>
  <si>
    <t>EBSCO</t>
  </si>
  <si>
    <t>Montague Reporter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</si>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</sst>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"/>
    <numFmt numFmtId="165" formatCode="m/d/yy;@"/>
  </numFmts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0" fontId="1" fillId="0" borderId="1" xfId="0" applyNumberFormat="1" applyFont="1" applyBorder="1" applyAlignment="1">
      <alignment horizontal="right"/>
    </xf>
    <xf numFmtId="40" fontId="1" fillId="0" borderId="1" xfId="0" applyNumberFormat="1" applyFont="1" applyBorder="1"/>
    <xf numFmtId="40" fontId="1" fillId="0" borderId="0" xfId="0" applyNumberFormat="1" applyFont="1"/>
    <xf numFmtId="40" fontId="3" fillId="0" borderId="1" xfId="0" applyNumberFormat="1" applyFont="1" applyBorder="1"/>
    <xf numFmtId="40" fontId="2" fillId="0" borderId="3" xfId="0" applyNumberFormat="1" applyFont="1" applyBorder="1" applyAlignment="1">
      <alignment horizontal="center"/>
    </xf>
    <xf numFmtId="40" fontId="2" fillId="0" borderId="4" xfId="0" applyNumberFormat="1" applyFont="1" applyBorder="1" applyAlignment="1">
      <alignment horizontal="center"/>
    </xf>
    <xf numFmtId="40" fontId="4" fillId="0" borderId="1" xfId="0" applyNumberFormat="1" applyFont="1" applyBorder="1"/>
    <xf numFmtId="40" fontId="5" fillId="0" borderId="1" xfId="0" applyNumberFormat="1" applyFont="1" applyBorder="1"/>
    <xf numFmtId="40" fontId="5" fillId="0" borderId="0" xfId="0" applyNumberFormat="1" applyFont="1"/>
    <xf numFmtId="165" fontId="6" fillId="0" borderId="5" xfId="0" applyNumberFormat="1" applyFont="1" applyBorder="1"/>
    <xf numFmtId="165" fontId="2" fillId="0" borderId="6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/>
    <xf numFmtId="165" fontId="1" fillId="0" borderId="5" xfId="0" applyNumberFormat="1" applyFont="1" applyBorder="1" applyAlignment="1"/>
    <xf numFmtId="40" fontId="1" fillId="0" borderId="0" xfId="0" applyNumberFormat="1" applyFont="1" applyBorder="1" applyAlignment="1"/>
    <xf numFmtId="40" fontId="1" fillId="0" borderId="1" xfId="0" applyNumberFormat="1" applyFont="1" applyBorder="1" applyAlignment="1"/>
    <xf numFmtId="40" fontId="2" fillId="0" borderId="6" xfId="0" applyNumberFormat="1" applyFont="1" applyBorder="1" applyAlignment="1">
      <alignment horizontal="center"/>
    </xf>
    <xf numFmtId="40" fontId="1" fillId="0" borderId="5" xfId="0" applyNumberFormat="1" applyFont="1" applyBorder="1" applyAlignment="1">
      <alignment horizontal="right"/>
    </xf>
    <xf numFmtId="40" fontId="1" fillId="0" borderId="5" xfId="0" applyNumberFormat="1" applyFont="1" applyBorder="1"/>
    <xf numFmtId="40" fontId="1" fillId="0" borderId="5" xfId="0" applyNumberFormat="1" applyFont="1" applyBorder="1" applyAlignment="1"/>
    <xf numFmtId="40" fontId="5" fillId="0" borderId="5" xfId="0" applyNumberFormat="1" applyFont="1" applyBorder="1"/>
    <xf numFmtId="40" fontId="3" fillId="0" borderId="5" xfId="0" applyNumberFormat="1" applyFont="1" applyBorder="1"/>
    <xf numFmtId="0" fontId="7" fillId="0" borderId="0" xfId="0" applyFont="1"/>
    <xf numFmtId="14" fontId="8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0" fontId="9" fillId="0" borderId="0" xfId="0" applyFont="1"/>
    <xf numFmtId="9" fontId="7" fillId="0" borderId="0" xfId="0" applyNumberFormat="1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9" fontId="8" fillId="0" borderId="0" xfId="0" applyNumberFormat="1" applyFont="1" applyFill="1"/>
    <xf numFmtId="9" fontId="8" fillId="0" borderId="0" xfId="0" applyNumberFormat="1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164" fontId="8" fillId="0" borderId="0" xfId="0" applyNumberFormat="1" applyFont="1" applyFill="1"/>
    <xf numFmtId="9" fontId="7" fillId="0" borderId="2" xfId="0" applyNumberFormat="1" applyFont="1" applyBorder="1"/>
    <xf numFmtId="0" fontId="8" fillId="0" borderId="0" xfId="0" applyFont="1" applyBorder="1"/>
    <xf numFmtId="164" fontId="8" fillId="0" borderId="0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Alignment="1">
      <alignment horizontal="left"/>
    </xf>
    <xf numFmtId="9" fontId="8" fillId="0" borderId="0" xfId="0" applyNumberFormat="1" applyFont="1" applyBorder="1"/>
    <xf numFmtId="164" fontId="8" fillId="0" borderId="2" xfId="0" applyNumberFormat="1" applyFont="1" applyBorder="1"/>
    <xf numFmtId="9" fontId="7" fillId="0" borderId="7" xfId="0" applyNumberFormat="1" applyFont="1" applyBorder="1"/>
    <xf numFmtId="0" fontId="7" fillId="0" borderId="8" xfId="0" applyFont="1" applyBorder="1"/>
    <xf numFmtId="0" fontId="7" fillId="0" borderId="9" xfId="0" applyFont="1" applyBorder="1"/>
    <xf numFmtId="164" fontId="12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right"/>
    </xf>
    <xf numFmtId="164" fontId="11" fillId="0" borderId="0" xfId="0" applyNumberFormat="1" applyFont="1" applyFill="1" applyAlignment="1">
      <alignment wrapText="1"/>
    </xf>
    <xf numFmtId="164" fontId="11" fillId="0" borderId="0" xfId="0" applyNumberFormat="1" applyFont="1" applyAlignment="1">
      <alignment wrapText="1"/>
    </xf>
    <xf numFmtId="164" fontId="12" fillId="0" borderId="2" xfId="0" applyNumberFormat="1" applyFont="1" applyBorder="1"/>
    <xf numFmtId="8" fontId="7" fillId="0" borderId="0" xfId="0" applyNumberFormat="1" applyFont="1"/>
    <xf numFmtId="8" fontId="9" fillId="0" borderId="0" xfId="0" applyNumberFormat="1" applyFont="1" applyAlignment="1">
      <alignment horizontal="center"/>
    </xf>
    <xf numFmtId="8" fontId="9" fillId="0" borderId="0" xfId="0" applyNumberFormat="1" applyFont="1" applyAlignment="1">
      <alignment horizontal="right"/>
    </xf>
    <xf numFmtId="8" fontId="10" fillId="0" borderId="2" xfId="0" applyNumberFormat="1" applyFont="1" applyBorder="1"/>
    <xf numFmtId="8" fontId="8" fillId="0" borderId="0" xfId="0" applyNumberFormat="1" applyFont="1"/>
    <xf numFmtId="8" fontId="9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/>
    <xf numFmtId="8" fontId="7" fillId="0" borderId="0" xfId="0" applyNumberFormat="1" applyFont="1" applyAlignment="1">
      <alignment horizontal="center"/>
    </xf>
    <xf numFmtId="8" fontId="8" fillId="0" borderId="0" xfId="0" applyNumberFormat="1" applyFont="1" applyAlignment="1">
      <alignment horizontal="right"/>
    </xf>
    <xf numFmtId="8" fontId="8" fillId="0" borderId="0" xfId="0" applyNumberFormat="1" applyFont="1" applyFill="1" applyAlignment="1">
      <alignment horizontal="right" wrapText="1"/>
    </xf>
    <xf numFmtId="8" fontId="8" fillId="0" borderId="0" xfId="0" applyNumberFormat="1" applyFont="1" applyAlignment="1">
      <alignment horizontal="right" wrapText="1"/>
    </xf>
    <xf numFmtId="8" fontId="7" fillId="0" borderId="2" xfId="0" applyNumberFormat="1" applyFont="1" applyBorder="1"/>
    <xf numFmtId="165" fontId="1" fillId="0" borderId="5" xfId="0" applyNumberFormat="1" applyFont="1" applyFill="1" applyBorder="1"/>
    <xf numFmtId="40" fontId="1" fillId="0" borderId="0" xfId="0" applyNumberFormat="1" applyFont="1" applyFill="1"/>
    <xf numFmtId="40" fontId="1" fillId="0" borderId="1" xfId="0" applyNumberFormat="1" applyFont="1" applyFill="1" applyBorder="1"/>
    <xf numFmtId="40" fontId="1" fillId="0" borderId="1" xfId="0" applyNumberFormat="1" applyFont="1" applyFill="1" applyBorder="1" applyAlignment="1">
      <alignment horizontal="right"/>
    </xf>
    <xf numFmtId="40" fontId="1" fillId="0" borderId="5" xfId="0" applyNumberFormat="1" applyFont="1" applyFill="1" applyBorder="1"/>
    <xf numFmtId="40" fontId="4" fillId="0" borderId="1" xfId="0" applyNumberFormat="1" applyFont="1" applyFill="1" applyBorder="1"/>
    <xf numFmtId="40" fontId="4" fillId="0" borderId="5" xfId="0" applyNumberFormat="1" applyFont="1" applyFill="1" applyBorder="1"/>
    <xf numFmtId="40" fontId="13" fillId="0" borderId="1" xfId="0" applyNumberFormat="1" applyFont="1" applyBorder="1"/>
    <xf numFmtId="165" fontId="13" fillId="0" borderId="5" xfId="0" applyNumberFormat="1" applyFont="1" applyBorder="1"/>
    <xf numFmtId="40" fontId="13" fillId="0" borderId="0" xfId="0" applyNumberFormat="1" applyFont="1"/>
    <xf numFmtId="40" fontId="13" fillId="0" borderId="5" xfId="0" applyNumberFormat="1" applyFont="1" applyBorder="1"/>
    <xf numFmtId="8" fontId="14" fillId="0" borderId="0" xfId="0" applyNumberFormat="1" applyFont="1"/>
    <xf numFmtId="40" fontId="4" fillId="0" borderId="0" xfId="0" applyNumberFormat="1" applyFont="1" applyFill="1"/>
    <xf numFmtId="8" fontId="9" fillId="0" borderId="0" xfId="0" applyNumberFormat="1" applyFont="1" applyFill="1" applyAlignment="1">
      <alignment horizontal="right" wrapText="1"/>
    </xf>
    <xf numFmtId="8" fontId="9" fillId="0" borderId="0" xfId="0" applyNumberFormat="1" applyFont="1" applyAlignment="1">
      <alignment horizontal="right" wrapText="1"/>
    </xf>
    <xf numFmtId="40" fontId="1" fillId="0" borderId="0" xfId="0" applyNumberFormat="1" applyFont="1" applyBorder="1"/>
    <xf numFmtId="40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8" sqref="B8"/>
    </sheetView>
  </sheetViews>
  <sheetFormatPr defaultColWidth="9.109375" defaultRowHeight="14.4" x14ac:dyDescent="0.3"/>
  <cols>
    <col min="1" max="1" width="14.5546875" style="29" customWidth="1"/>
    <col min="2" max="2" width="14.109375" style="29" customWidth="1"/>
    <col min="3" max="3" width="13.88671875" style="58" customWidth="1"/>
    <col min="4" max="4" width="13.5546875" style="25" customWidth="1"/>
    <col min="5" max="5" width="13.6640625" style="54" customWidth="1"/>
    <col min="6" max="6" width="1.88671875" style="25" customWidth="1"/>
    <col min="7" max="7" width="9.109375" style="33"/>
    <col min="8" max="8" width="9.5546875" style="33" customWidth="1"/>
    <col min="9" max="9" width="14.44140625" style="27" customWidth="1"/>
    <col min="10" max="16384" width="9.109375" style="29"/>
  </cols>
  <sheetData>
    <row r="1" spans="1:12" x14ac:dyDescent="0.3">
      <c r="A1" s="23" t="s">
        <v>11</v>
      </c>
      <c r="B1" s="24">
        <f ca="1">TODAY()</f>
        <v>42599</v>
      </c>
      <c r="C1" s="78"/>
      <c r="G1" s="28" t="s">
        <v>37</v>
      </c>
      <c r="H1" s="28" t="s">
        <v>36</v>
      </c>
    </row>
    <row r="2" spans="1:12" x14ac:dyDescent="0.3">
      <c r="A2" s="30" t="s">
        <v>32</v>
      </c>
      <c r="B2" s="30" t="s">
        <v>44</v>
      </c>
      <c r="C2" s="62" t="s">
        <v>8</v>
      </c>
      <c r="D2" s="49" t="s">
        <v>9</v>
      </c>
      <c r="E2" s="55" t="s">
        <v>10</v>
      </c>
      <c r="F2" s="29"/>
      <c r="G2" s="28" t="s">
        <v>38</v>
      </c>
      <c r="H2" s="28" t="s">
        <v>35</v>
      </c>
      <c r="I2" s="30" t="s">
        <v>7</v>
      </c>
    </row>
    <row r="3" spans="1:12" x14ac:dyDescent="0.3">
      <c r="A3" s="40" t="s">
        <v>18</v>
      </c>
      <c r="B3" s="30"/>
      <c r="C3" s="63">
        <f>19500-519-73.54-313.12-688.4-30.17-88.97-28.17-24.87</f>
        <v>17733.760000000002</v>
      </c>
      <c r="D3" s="50">
        <f>Itemized!C1+Itemized!E1+Itemized!G1+Itemized!O1</f>
        <v>15812.44</v>
      </c>
      <c r="E3" s="56">
        <f>C3-D3</f>
        <v>1921.3200000000015</v>
      </c>
      <c r="F3" s="29"/>
      <c r="G3" s="33">
        <f>C3/C17</f>
        <v>0.16889295238095239</v>
      </c>
      <c r="H3" s="28">
        <f>E3/C3</f>
        <v>0.10834250604496741</v>
      </c>
      <c r="I3" s="43" t="s">
        <v>45</v>
      </c>
    </row>
    <row r="4" spans="1:12" x14ac:dyDescent="0.3">
      <c r="A4" s="40" t="s">
        <v>19</v>
      </c>
      <c r="B4" s="30"/>
      <c r="C4" s="63">
        <f>11000-568-24.49-300</f>
        <v>10107.51</v>
      </c>
      <c r="D4" s="50">
        <f>Itemized!D1+Itemized!F1+Itemized!I1+Itemized!Q1</f>
        <v>9782.7100000000009</v>
      </c>
      <c r="E4" s="56">
        <f>C4-D4</f>
        <v>324.79999999999927</v>
      </c>
      <c r="F4" s="29"/>
      <c r="G4" s="33">
        <f>C4/C17</f>
        <v>9.6262E-2</v>
      </c>
      <c r="H4" s="28">
        <f t="shared" ref="H4:H9" si="0">E4/C4</f>
        <v>3.2134521756594779E-2</v>
      </c>
      <c r="I4" s="43" t="s">
        <v>45</v>
      </c>
      <c r="L4" s="33"/>
    </row>
    <row r="5" spans="1:12" x14ac:dyDescent="0.3">
      <c r="A5" s="40" t="s">
        <v>26</v>
      </c>
      <c r="B5" s="30"/>
      <c r="C5" s="63">
        <v>1500</v>
      </c>
      <c r="D5" s="50">
        <f>Itemized!P1</f>
        <v>1417.11</v>
      </c>
      <c r="E5" s="56">
        <f t="shared" ref="E5:E11" si="1">C5-D5</f>
        <v>82.8900000000001</v>
      </c>
      <c r="F5" s="29"/>
      <c r="G5" s="33">
        <f>C5/C17</f>
        <v>1.4285714285714285E-2</v>
      </c>
      <c r="H5" s="28">
        <f t="shared" si="0"/>
        <v>5.5260000000000066E-2</v>
      </c>
      <c r="I5" s="43" t="s">
        <v>25</v>
      </c>
      <c r="L5" s="33"/>
    </row>
    <row r="6" spans="1:12" x14ac:dyDescent="0.3">
      <c r="A6" s="40" t="s">
        <v>22</v>
      </c>
      <c r="B6" s="30"/>
      <c r="C6" s="63">
        <f>4000</f>
        <v>4000</v>
      </c>
      <c r="D6" s="50">
        <f>Itemized!H1</f>
        <v>1951.1599999999999</v>
      </c>
      <c r="E6" s="56">
        <f t="shared" si="1"/>
        <v>2048.84</v>
      </c>
      <c r="F6" s="29"/>
      <c r="G6" s="33">
        <f>C6/C17</f>
        <v>3.8095238095238099E-2</v>
      </c>
      <c r="H6" s="28">
        <f t="shared" si="0"/>
        <v>0.51221000000000005</v>
      </c>
      <c r="I6" s="43" t="s">
        <v>20</v>
      </c>
      <c r="L6" s="33"/>
    </row>
    <row r="7" spans="1:12" x14ac:dyDescent="0.3">
      <c r="A7" s="23" t="s">
        <v>23</v>
      </c>
      <c r="B7" s="30"/>
      <c r="C7" s="63">
        <f>800+24.49</f>
        <v>824.49</v>
      </c>
      <c r="D7" s="50">
        <f>Itemized!K1</f>
        <v>824.49</v>
      </c>
      <c r="E7" s="56">
        <f t="shared" si="1"/>
        <v>0</v>
      </c>
      <c r="F7" s="29"/>
      <c r="G7" s="33">
        <f>C7/C17</f>
        <v>7.8522857142857144E-3</v>
      </c>
      <c r="H7" s="28">
        <f t="shared" si="0"/>
        <v>0</v>
      </c>
      <c r="I7" s="43" t="s">
        <v>25</v>
      </c>
      <c r="J7" s="33"/>
      <c r="L7" s="33"/>
    </row>
    <row r="8" spans="1:12" x14ac:dyDescent="0.3">
      <c r="A8" s="40" t="s">
        <v>21</v>
      </c>
      <c r="B8" s="30"/>
      <c r="C8" s="63">
        <f>3000+73.54+313.12</f>
        <v>3386.66</v>
      </c>
      <c r="D8" s="50">
        <f>Itemized!J1</f>
        <v>3386.66</v>
      </c>
      <c r="E8" s="56">
        <f t="shared" si="1"/>
        <v>0</v>
      </c>
      <c r="F8" s="29"/>
      <c r="G8" s="33">
        <f>C8/C17</f>
        <v>3.2253904761904761E-2</v>
      </c>
      <c r="H8" s="28">
        <f t="shared" si="0"/>
        <v>0</v>
      </c>
      <c r="I8" s="43" t="s">
        <v>53</v>
      </c>
      <c r="J8" s="58"/>
      <c r="K8" s="35"/>
      <c r="L8" s="32"/>
    </row>
    <row r="9" spans="1:12" x14ac:dyDescent="0.3">
      <c r="A9" s="40" t="s">
        <v>43</v>
      </c>
      <c r="B9" s="30"/>
      <c r="C9" s="63">
        <v>15000</v>
      </c>
      <c r="D9" s="50">
        <f>Itemized!L1</f>
        <v>14171.666000000003</v>
      </c>
      <c r="E9" s="56">
        <f t="shared" si="1"/>
        <v>828.3339999999971</v>
      </c>
      <c r="F9" s="29"/>
      <c r="G9" s="33">
        <f>C9/C17</f>
        <v>0.14285714285714285</v>
      </c>
      <c r="H9" s="28">
        <f t="shared" si="0"/>
        <v>5.5222266666666471E-2</v>
      </c>
      <c r="I9" s="43" t="s">
        <v>24</v>
      </c>
      <c r="J9" s="25">
        <f>D10+D16</f>
        <v>8999.39</v>
      </c>
      <c r="K9" s="29" t="s">
        <v>83</v>
      </c>
      <c r="L9" s="33"/>
    </row>
    <row r="10" spans="1:12" x14ac:dyDescent="0.3">
      <c r="A10" s="40" t="s">
        <v>14</v>
      </c>
      <c r="B10" s="30"/>
      <c r="C10" s="63">
        <f>6000+688.4</f>
        <v>6688.4</v>
      </c>
      <c r="D10" s="50">
        <f>Itemized!N1</f>
        <v>6759.2399999999989</v>
      </c>
      <c r="E10" s="56">
        <f t="shared" si="1"/>
        <v>-70.839999999999236</v>
      </c>
      <c r="F10" s="29"/>
      <c r="G10" s="33">
        <f>C10/C17</f>
        <v>6.3699047619047613E-2</v>
      </c>
      <c r="H10" s="28">
        <f t="shared" ref="H10:H16" si="2">E10/C10</f>
        <v>-1.0591471801925609E-2</v>
      </c>
      <c r="I10" s="43" t="s">
        <v>51</v>
      </c>
      <c r="K10" s="35"/>
      <c r="L10" s="32"/>
    </row>
    <row r="11" spans="1:12" x14ac:dyDescent="0.3">
      <c r="A11" s="40" t="s">
        <v>15</v>
      </c>
      <c r="B11" s="30"/>
      <c r="C11" s="63">
        <f>20000+30.17+88.97+24.87</f>
        <v>20144.009999999998</v>
      </c>
      <c r="D11" s="50">
        <f>Itemized!R1</f>
        <v>20144.009999999991</v>
      </c>
      <c r="E11" s="56">
        <f t="shared" si="1"/>
        <v>0</v>
      </c>
      <c r="F11" s="29"/>
      <c r="G11" s="33">
        <f>C11/C17</f>
        <v>0.19184771428571426</v>
      </c>
      <c r="H11" s="28">
        <f t="shared" si="2"/>
        <v>0</v>
      </c>
      <c r="I11" s="43" t="s">
        <v>25</v>
      </c>
      <c r="K11" s="35"/>
      <c r="L11" s="32"/>
    </row>
    <row r="12" spans="1:12" x14ac:dyDescent="0.3">
      <c r="A12" s="40" t="s">
        <v>78</v>
      </c>
      <c r="B12" s="30"/>
      <c r="C12" s="63"/>
      <c r="D12" s="50">
        <f>Itemized!W1</f>
        <v>5450.9400000000005</v>
      </c>
      <c r="E12" s="56"/>
      <c r="F12" s="29"/>
      <c r="H12" s="28"/>
      <c r="I12" s="43"/>
      <c r="K12" s="35"/>
      <c r="L12" s="32"/>
    </row>
    <row r="13" spans="1:12" x14ac:dyDescent="0.3">
      <c r="A13" s="42" t="s">
        <v>27</v>
      </c>
      <c r="B13" s="34"/>
      <c r="C13" s="64">
        <v>10000</v>
      </c>
      <c r="D13" s="51">
        <f>Itemized!T1</f>
        <v>10276.870000000001</v>
      </c>
      <c r="E13" s="80">
        <f t="shared" ref="E13:E16" si="3">SUM(C13-D13)</f>
        <v>-276.8700000000008</v>
      </c>
      <c r="F13" s="29"/>
      <c r="G13" s="32">
        <f>C13/C17</f>
        <v>9.5238095238095233E-2</v>
      </c>
      <c r="H13" s="28">
        <f t="shared" si="2"/>
        <v>-2.768700000000008E-2</v>
      </c>
      <c r="I13" s="35"/>
      <c r="L13" s="33"/>
    </row>
    <row r="14" spans="1:12" s="35" customFormat="1" x14ac:dyDescent="0.3">
      <c r="A14" s="41" t="s">
        <v>33</v>
      </c>
      <c r="B14" s="31" t="s">
        <v>30</v>
      </c>
      <c r="C14" s="65">
        <f>10000+568+300</f>
        <v>10868</v>
      </c>
      <c r="D14" s="52">
        <f>Itemized!S1+Itemized!V1</f>
        <v>10868</v>
      </c>
      <c r="E14" s="81">
        <f t="shared" si="3"/>
        <v>0</v>
      </c>
      <c r="G14" s="32">
        <f>C14/C17</f>
        <v>0.1035047619047619</v>
      </c>
      <c r="H14" s="28">
        <f t="shared" si="2"/>
        <v>0</v>
      </c>
      <c r="I14" s="27"/>
      <c r="K14" s="29"/>
      <c r="L14" s="33"/>
    </row>
    <row r="15" spans="1:12" s="35" customFormat="1" x14ac:dyDescent="0.3">
      <c r="A15" s="34"/>
      <c r="B15" s="34" t="s">
        <v>41</v>
      </c>
      <c r="C15" s="64">
        <f>2200+519</f>
        <v>2719</v>
      </c>
      <c r="D15" s="51">
        <f>Itemized!U1</f>
        <v>2719</v>
      </c>
      <c r="E15" s="81">
        <f t="shared" si="3"/>
        <v>0</v>
      </c>
      <c r="G15" s="32">
        <f>C15/C17</f>
        <v>2.5895238095238096E-2</v>
      </c>
      <c r="H15" s="28">
        <f t="shared" si="2"/>
        <v>0</v>
      </c>
      <c r="K15" s="29"/>
      <c r="L15" s="29"/>
    </row>
    <row r="16" spans="1:12" s="35" customFormat="1" x14ac:dyDescent="0.3">
      <c r="A16" s="34"/>
      <c r="B16" s="34" t="s">
        <v>16</v>
      </c>
      <c r="C16" s="64">
        <f>2000+28.17</f>
        <v>2028.17</v>
      </c>
      <c r="D16" s="51">
        <f>Itemized!M1</f>
        <v>2240.15</v>
      </c>
      <c r="E16" s="81">
        <f t="shared" si="3"/>
        <v>-211.98000000000002</v>
      </c>
      <c r="G16" s="32">
        <f>C16/C17</f>
        <v>1.9315904761904763E-2</v>
      </c>
      <c r="H16" s="28">
        <f t="shared" si="2"/>
        <v>-0.10451786585937077</v>
      </c>
      <c r="I16" s="29" t="s">
        <v>51</v>
      </c>
      <c r="K16" s="29"/>
      <c r="L16" s="29"/>
    </row>
    <row r="17" spans="1:10" ht="15" thickBot="1" x14ac:dyDescent="0.35">
      <c r="C17" s="66">
        <f>SUM(C3:C16)</f>
        <v>105000</v>
      </c>
      <c r="D17" s="53">
        <f>SUM(D3:D16)</f>
        <v>105804.446</v>
      </c>
      <c r="E17" s="57">
        <f>C17-D17</f>
        <v>-804.44599999999627</v>
      </c>
      <c r="F17" s="29"/>
      <c r="G17" s="37">
        <f>SUM(G3:G16)</f>
        <v>0.99999999999999989</v>
      </c>
      <c r="H17" s="44"/>
      <c r="I17" s="29"/>
      <c r="J17" s="33"/>
    </row>
    <row r="18" spans="1:10" ht="15.6" thickTop="1" thickBot="1" x14ac:dyDescent="0.35">
      <c r="D18" s="29"/>
      <c r="E18" s="58"/>
      <c r="F18" s="29"/>
      <c r="G18" s="28"/>
      <c r="I18" s="29"/>
    </row>
    <row r="19" spans="1:10" ht="15" thickBot="1" x14ac:dyDescent="0.35">
      <c r="A19" s="23" t="s">
        <v>7</v>
      </c>
      <c r="B19" s="23" t="s">
        <v>18</v>
      </c>
      <c r="C19" s="54" t="s">
        <v>48</v>
      </c>
      <c r="D19" s="26" t="s">
        <v>19</v>
      </c>
      <c r="E19" s="54" t="s">
        <v>48</v>
      </c>
      <c r="F19" s="29"/>
      <c r="H19" s="46">
        <f>E17/C17</f>
        <v>-7.6613904761904409E-3</v>
      </c>
      <c r="I19" s="48" t="s">
        <v>49</v>
      </c>
      <c r="J19" s="47"/>
    </row>
    <row r="20" spans="1:10" x14ac:dyDescent="0.3">
      <c r="A20" s="29" t="s">
        <v>46</v>
      </c>
      <c r="B20" s="25">
        <v>0</v>
      </c>
      <c r="C20" s="60">
        <f>B20-Itemized!C1</f>
        <v>0</v>
      </c>
      <c r="D20" s="25">
        <v>0</v>
      </c>
      <c r="E20" s="59">
        <f>D20-Itemized!D1</f>
        <v>0</v>
      </c>
      <c r="F20" s="29"/>
      <c r="I20" s="29"/>
    </row>
    <row r="21" spans="1:10" x14ac:dyDescent="0.3">
      <c r="A21" s="29" t="s">
        <v>47</v>
      </c>
      <c r="B21" s="39">
        <v>0</v>
      </c>
      <c r="C21" s="60">
        <f>B21-Itemized!E1</f>
        <v>0</v>
      </c>
      <c r="D21" s="25">
        <v>0</v>
      </c>
      <c r="E21" s="60">
        <f>D21-Itemized!F1</f>
        <v>-181</v>
      </c>
      <c r="F21" s="29"/>
      <c r="I21" s="29"/>
    </row>
    <row r="22" spans="1:10" x14ac:dyDescent="0.3">
      <c r="A22" s="38" t="s">
        <v>20</v>
      </c>
      <c r="B22" s="25">
        <v>0</v>
      </c>
      <c r="C22" s="61">
        <f>B22-Itemized!G1</f>
        <v>-11274.380000000001</v>
      </c>
      <c r="D22" s="39">
        <v>0</v>
      </c>
      <c r="E22" s="61">
        <f>D22-Itemized!I1</f>
        <v>-6371.4700000000012</v>
      </c>
      <c r="F22" s="29"/>
      <c r="I22" s="25"/>
    </row>
    <row r="23" spans="1:10" x14ac:dyDescent="0.3">
      <c r="A23" s="29" t="s">
        <v>25</v>
      </c>
      <c r="B23" s="25">
        <v>0</v>
      </c>
      <c r="C23" s="60">
        <f>B23-(Itemized!O1+Itemized!P1)</f>
        <v>-5955.1699999999992</v>
      </c>
      <c r="D23" s="25">
        <v>0</v>
      </c>
      <c r="E23" s="60">
        <f>D23-Itemized!Q1</f>
        <v>-3230.2400000000002</v>
      </c>
      <c r="F23" s="36"/>
      <c r="I23" s="25"/>
      <c r="J23" s="33"/>
    </row>
    <row r="24" spans="1:10" ht="15" thickBot="1" x14ac:dyDescent="0.35">
      <c r="A24" s="29" t="s">
        <v>17</v>
      </c>
      <c r="B24" s="45">
        <f>SUM(B20:B23)</f>
        <v>0</v>
      </c>
      <c r="C24" s="57">
        <f>SUM(C20:C23)</f>
        <v>-17229.55</v>
      </c>
      <c r="D24" s="45">
        <f>SUM(D20:D23)</f>
        <v>0</v>
      </c>
      <c r="E24" s="57">
        <f>SUM(E20:E23)</f>
        <v>-9782.7100000000009</v>
      </c>
      <c r="F24" s="36"/>
      <c r="I24" s="25"/>
    </row>
    <row r="25" spans="1:10" ht="15" thickTop="1" x14ac:dyDescent="0.3">
      <c r="A25" s="29" t="s">
        <v>17</v>
      </c>
      <c r="E25" s="58"/>
      <c r="I25" s="25"/>
    </row>
    <row r="26" spans="1:10" x14ac:dyDescent="0.3">
      <c r="A26" s="29" t="s">
        <v>17</v>
      </c>
      <c r="E26" s="58"/>
      <c r="I26" s="25"/>
    </row>
    <row r="27" spans="1:10" x14ac:dyDescent="0.3">
      <c r="A27" s="29" t="s">
        <v>17</v>
      </c>
    </row>
    <row r="28" spans="1:10" x14ac:dyDescent="0.3">
      <c r="A28" s="29" t="s">
        <v>17</v>
      </c>
    </row>
  </sheetData>
  <phoneticPr fontId="1" type="noConversion"/>
  <pageMargins left="0.32" right="0.36" top="1" bottom="1" header="0.5" footer="0.5"/>
  <pageSetup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4"/>
  <sheetViews>
    <sheetView zoomScaleNormal="100" workbookViewId="0">
      <pane xSplit="2" ySplit="2" topLeftCell="C144" activePane="bottomRight" state="frozen"/>
      <selection pane="topRight" activeCell="B1" sqref="B1"/>
      <selection pane="bottomLeft" activeCell="A3" sqref="A3"/>
      <selection pane="bottomRight" activeCell="B161" sqref="B161"/>
    </sheetView>
  </sheetViews>
  <sheetFormatPr defaultColWidth="7.6640625" defaultRowHeight="10.199999999999999" x14ac:dyDescent="0.2"/>
  <cols>
    <col min="1" max="1" width="7.33203125" style="13" customWidth="1"/>
    <col min="2" max="2" width="11.88671875" style="3" customWidth="1"/>
    <col min="3" max="6" width="7.6640625" style="2" customWidth="1"/>
    <col min="7" max="7" width="8.44140625" style="2" customWidth="1"/>
    <col min="8" max="11" width="7.6640625" style="2" customWidth="1"/>
    <col min="12" max="12" width="9.109375" style="2" customWidth="1"/>
    <col min="13" max="17" width="7.6640625" style="2" customWidth="1"/>
    <col min="18" max="18" width="8.5546875" style="2" customWidth="1"/>
    <col min="19" max="19" width="8.109375" style="2" customWidth="1"/>
    <col min="20" max="20" width="8.88671875" style="2" customWidth="1"/>
    <col min="21" max="21" width="7.6640625" style="2"/>
    <col min="22" max="22" width="7.6640625" style="19"/>
    <col min="23" max="23" width="7.6640625" style="3"/>
    <col min="24" max="24" width="8.44140625" style="3" bestFit="1" customWidth="1"/>
    <col min="25" max="16384" width="7.6640625" style="3"/>
  </cols>
  <sheetData>
    <row r="1" spans="1:24" x14ac:dyDescent="0.2">
      <c r="A1" s="10"/>
      <c r="C1" s="4">
        <f t="shared" ref="C1:W1" si="0">SUM(C3:C389)</f>
        <v>0</v>
      </c>
      <c r="D1" s="4">
        <f t="shared" si="0"/>
        <v>0</v>
      </c>
      <c r="E1" s="4">
        <f t="shared" si="0"/>
        <v>0</v>
      </c>
      <c r="F1" s="4">
        <f t="shared" si="0"/>
        <v>181</v>
      </c>
      <c r="G1" s="4">
        <f t="shared" si="0"/>
        <v>11274.380000000001</v>
      </c>
      <c r="H1" s="4">
        <f t="shared" si="0"/>
        <v>1951.1599999999999</v>
      </c>
      <c r="I1" s="4">
        <f t="shared" si="0"/>
        <v>6371.4700000000012</v>
      </c>
      <c r="J1" s="4">
        <f t="shared" si="0"/>
        <v>3386.66</v>
      </c>
      <c r="K1" s="4">
        <f t="shared" si="0"/>
        <v>824.49</v>
      </c>
      <c r="L1" s="4">
        <f t="shared" si="0"/>
        <v>14171.666000000003</v>
      </c>
      <c r="M1" s="4">
        <f t="shared" si="0"/>
        <v>2240.15</v>
      </c>
      <c r="N1" s="4">
        <f>SUM(N3:N389)</f>
        <v>6759.2399999999989</v>
      </c>
      <c r="O1" s="4">
        <f t="shared" si="0"/>
        <v>4538.0599999999995</v>
      </c>
      <c r="P1" s="4">
        <f t="shared" si="0"/>
        <v>1417.11</v>
      </c>
      <c r="Q1" s="4">
        <f t="shared" si="0"/>
        <v>3230.2400000000002</v>
      </c>
      <c r="R1" s="4">
        <f t="shared" si="0"/>
        <v>20144.009999999991</v>
      </c>
      <c r="S1" s="4">
        <f t="shared" si="0"/>
        <v>4868</v>
      </c>
      <c r="T1" s="4">
        <f t="shared" si="0"/>
        <v>10276.870000000001</v>
      </c>
      <c r="U1" s="4">
        <f t="shared" si="0"/>
        <v>2719</v>
      </c>
      <c r="V1" s="22">
        <f t="shared" si="0"/>
        <v>6000</v>
      </c>
      <c r="W1" s="22">
        <f t="shared" si="0"/>
        <v>5450.9400000000005</v>
      </c>
    </row>
    <row r="2" spans="1:24" s="5" customFormat="1" x14ac:dyDescent="0.2">
      <c r="A2" s="11" t="s">
        <v>13</v>
      </c>
      <c r="B2" s="5" t="s">
        <v>29</v>
      </c>
      <c r="C2" s="6" t="s">
        <v>0</v>
      </c>
      <c r="D2" s="6" t="s">
        <v>1</v>
      </c>
      <c r="E2" s="6" t="s">
        <v>39</v>
      </c>
      <c r="F2" s="6" t="s">
        <v>40</v>
      </c>
      <c r="G2" s="6" t="s">
        <v>2</v>
      </c>
      <c r="H2" s="6" t="s">
        <v>34</v>
      </c>
      <c r="I2" s="6" t="s">
        <v>3</v>
      </c>
      <c r="J2" s="6" t="s">
        <v>54</v>
      </c>
      <c r="K2" s="6" t="s">
        <v>50</v>
      </c>
      <c r="L2" s="6" t="s">
        <v>12</v>
      </c>
      <c r="M2" s="6" t="s">
        <v>52</v>
      </c>
      <c r="N2" s="6" t="s">
        <v>74</v>
      </c>
      <c r="O2" s="6" t="s">
        <v>4</v>
      </c>
      <c r="P2" s="6" t="s">
        <v>5</v>
      </c>
      <c r="Q2" s="6" t="s">
        <v>6</v>
      </c>
      <c r="R2" s="6" t="s">
        <v>28</v>
      </c>
      <c r="S2" s="6" t="s">
        <v>42</v>
      </c>
      <c r="T2" s="6" t="s">
        <v>31</v>
      </c>
      <c r="U2" s="6" t="s">
        <v>41</v>
      </c>
      <c r="V2" s="17" t="s">
        <v>59</v>
      </c>
      <c r="W2" s="83" t="s">
        <v>77</v>
      </c>
    </row>
    <row r="3" spans="1:24" x14ac:dyDescent="0.2">
      <c r="A3" s="13">
        <v>42186</v>
      </c>
      <c r="B3" s="3" t="s">
        <v>55</v>
      </c>
      <c r="R3" s="2">
        <v>112.45</v>
      </c>
      <c r="S3" s="1"/>
    </row>
    <row r="4" spans="1:24" x14ac:dyDescent="0.2">
      <c r="A4" s="13">
        <v>42186</v>
      </c>
      <c r="B4" s="82" t="s">
        <v>56</v>
      </c>
      <c r="H4" s="2">
        <v>36.39</v>
      </c>
      <c r="O4" s="2">
        <f>198.63-36.39</f>
        <v>162.24</v>
      </c>
      <c r="Q4" s="2">
        <v>43.67</v>
      </c>
      <c r="R4" s="2">
        <v>75.849999999999994</v>
      </c>
      <c r="S4" s="1"/>
      <c r="W4" s="82"/>
      <c r="X4" s="82"/>
    </row>
    <row r="5" spans="1:24" x14ac:dyDescent="0.2">
      <c r="A5" s="13">
        <v>42186</v>
      </c>
      <c r="B5" s="3" t="s">
        <v>60</v>
      </c>
      <c r="S5" s="1"/>
      <c r="V5" s="19">
        <v>6000</v>
      </c>
    </row>
    <row r="6" spans="1:24" x14ac:dyDescent="0.2">
      <c r="A6" s="13">
        <v>42191</v>
      </c>
      <c r="B6" s="3" t="s">
        <v>56</v>
      </c>
      <c r="G6" s="2">
        <f>498.5+60.88</f>
        <v>559.38</v>
      </c>
      <c r="I6" s="2">
        <v>380.15</v>
      </c>
      <c r="S6" s="1"/>
    </row>
    <row r="7" spans="1:24" x14ac:dyDescent="0.2">
      <c r="A7" s="13">
        <v>42193</v>
      </c>
      <c r="B7" s="3" t="s">
        <v>56</v>
      </c>
      <c r="O7" s="2">
        <f>29.06+13.49</f>
        <v>42.55</v>
      </c>
    </row>
    <row r="8" spans="1:24" x14ac:dyDescent="0.2">
      <c r="A8" s="13">
        <v>42193</v>
      </c>
      <c r="B8" s="3" t="s">
        <v>57</v>
      </c>
      <c r="N8" s="2">
        <v>27.8</v>
      </c>
      <c r="S8" s="1"/>
    </row>
    <row r="9" spans="1:24" x14ac:dyDescent="0.2">
      <c r="A9" s="13">
        <v>42194</v>
      </c>
      <c r="B9" s="3" t="s">
        <v>56</v>
      </c>
      <c r="R9" s="2">
        <v>55.18</v>
      </c>
      <c r="S9" s="1"/>
    </row>
    <row r="10" spans="1:24" x14ac:dyDescent="0.2">
      <c r="A10" s="13">
        <v>42198</v>
      </c>
      <c r="B10" s="3" t="s">
        <v>75</v>
      </c>
      <c r="S10" s="1"/>
      <c r="U10" s="2">
        <v>2719</v>
      </c>
    </row>
    <row r="11" spans="1:24" s="68" customFormat="1" x14ac:dyDescent="0.2">
      <c r="A11" s="13">
        <v>42199</v>
      </c>
      <c r="B11" s="3" t="s">
        <v>56</v>
      </c>
      <c r="C11" s="2"/>
      <c r="D11" s="2"/>
      <c r="E11" s="2"/>
      <c r="F11" s="2"/>
      <c r="G11" s="2">
        <v>114.42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2"/>
      <c r="U11" s="2"/>
      <c r="V11" s="19"/>
      <c r="W11" s="3"/>
      <c r="X11" s="3"/>
    </row>
    <row r="12" spans="1:24" s="68" customFormat="1" x14ac:dyDescent="0.2">
      <c r="A12" s="13">
        <v>42205</v>
      </c>
      <c r="B12" s="3" t="s">
        <v>61</v>
      </c>
      <c r="C12" s="2"/>
      <c r="D12" s="2"/>
      <c r="E12" s="2"/>
      <c r="F12" s="2"/>
      <c r="G12" s="2"/>
      <c r="H12" s="2">
        <v>86.88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8"/>
      <c r="W12" s="3"/>
      <c r="X12" s="3"/>
    </row>
    <row r="13" spans="1:24" x14ac:dyDescent="0.2">
      <c r="A13" s="13">
        <v>42205</v>
      </c>
      <c r="B13" s="3" t="s">
        <v>62</v>
      </c>
      <c r="K13" s="2">
        <v>105</v>
      </c>
      <c r="S13" s="1"/>
      <c r="U13" s="1"/>
      <c r="V13" s="18"/>
    </row>
    <row r="14" spans="1:24" x14ac:dyDescent="0.2">
      <c r="A14" s="67">
        <v>42205</v>
      </c>
      <c r="B14" s="68" t="s">
        <v>57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2">
        <v>27.8</v>
      </c>
      <c r="O14" s="69"/>
      <c r="P14" s="69"/>
      <c r="Q14" s="69"/>
      <c r="R14" s="69"/>
      <c r="S14" s="69"/>
      <c r="T14" s="69"/>
      <c r="U14" s="69"/>
      <c r="V14" s="71"/>
      <c r="W14" s="68"/>
      <c r="X14" s="68"/>
    </row>
    <row r="15" spans="1:24" x14ac:dyDescent="0.2">
      <c r="A15" s="13">
        <v>42205</v>
      </c>
      <c r="B15" s="3" t="s">
        <v>76</v>
      </c>
      <c r="S15" s="2">
        <v>2135</v>
      </c>
    </row>
    <row r="16" spans="1:24" x14ac:dyDescent="0.2">
      <c r="A16" s="13">
        <v>42212</v>
      </c>
      <c r="B16" s="3" t="s">
        <v>56</v>
      </c>
      <c r="G16" s="2">
        <v>97.72</v>
      </c>
      <c r="I16" s="2">
        <v>234.87</v>
      </c>
      <c r="S16" s="1"/>
    </row>
    <row r="17" spans="1:24" x14ac:dyDescent="0.2">
      <c r="A17" s="13">
        <v>42212</v>
      </c>
      <c r="B17" s="3" t="s">
        <v>63</v>
      </c>
      <c r="G17" s="2">
        <v>28.65</v>
      </c>
      <c r="S17" s="1"/>
    </row>
    <row r="18" spans="1:24" s="68" customFormat="1" x14ac:dyDescent="0.2">
      <c r="A18" s="67">
        <v>42214</v>
      </c>
      <c r="B18" s="3" t="s">
        <v>56</v>
      </c>
      <c r="C18" s="69"/>
      <c r="D18" s="69"/>
      <c r="E18" s="69"/>
      <c r="F18" s="69"/>
      <c r="G18" s="69">
        <v>132.97999999999999</v>
      </c>
      <c r="H18" s="69">
        <v>266.2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70"/>
      <c r="T18" s="69"/>
      <c r="U18" s="69"/>
      <c r="V18" s="71"/>
    </row>
    <row r="19" spans="1:24" x14ac:dyDescent="0.2">
      <c r="A19" s="67">
        <v>42217</v>
      </c>
      <c r="B19" s="3" t="s">
        <v>58</v>
      </c>
      <c r="C19" s="69"/>
      <c r="D19" s="69"/>
      <c r="E19" s="69"/>
      <c r="F19" s="69"/>
      <c r="G19" s="69">
        <v>406.63</v>
      </c>
      <c r="H19" s="69">
        <v>135.04</v>
      </c>
      <c r="I19" s="69">
        <v>111.42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71"/>
      <c r="W19" s="68"/>
      <c r="X19" s="68"/>
    </row>
    <row r="20" spans="1:24" x14ac:dyDescent="0.2">
      <c r="A20" s="67">
        <v>42220</v>
      </c>
      <c r="B20" s="3" t="s">
        <v>56</v>
      </c>
      <c r="C20" s="69"/>
      <c r="D20" s="69"/>
      <c r="E20" s="69"/>
      <c r="F20" s="69"/>
      <c r="G20" s="69"/>
      <c r="H20" s="69"/>
      <c r="I20" s="69"/>
      <c r="J20" s="69"/>
      <c r="K20" s="69"/>
      <c r="L20" s="69">
        <v>52.7</v>
      </c>
      <c r="M20" s="69"/>
      <c r="N20" s="69"/>
      <c r="O20" s="69"/>
      <c r="P20" s="69"/>
      <c r="Q20" s="69"/>
      <c r="R20" s="69"/>
      <c r="S20" s="70"/>
      <c r="T20" s="69"/>
      <c r="U20" s="69"/>
      <c r="V20" s="71"/>
      <c r="W20" s="68"/>
      <c r="X20" s="68"/>
    </row>
    <row r="21" spans="1:24" x14ac:dyDescent="0.2">
      <c r="A21" s="13">
        <v>42222</v>
      </c>
      <c r="B21" s="3" t="s">
        <v>56</v>
      </c>
      <c r="G21" s="2">
        <v>88.86</v>
      </c>
    </row>
    <row r="22" spans="1:24" x14ac:dyDescent="0.2">
      <c r="A22" s="14">
        <v>42226</v>
      </c>
      <c r="B22" s="3" t="s">
        <v>58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O22" s="16"/>
      <c r="P22" s="16">
        <v>17.37</v>
      </c>
      <c r="Q22" s="16"/>
      <c r="R22" s="16"/>
      <c r="S22" s="16"/>
      <c r="T22" s="16"/>
    </row>
    <row r="23" spans="1:24" x14ac:dyDescent="0.2">
      <c r="A23" s="13">
        <v>42232</v>
      </c>
      <c r="B23" s="3" t="s">
        <v>64</v>
      </c>
      <c r="K23" s="2">
        <v>66</v>
      </c>
    </row>
    <row r="24" spans="1:24" x14ac:dyDescent="0.2">
      <c r="A24" s="13">
        <v>42233</v>
      </c>
      <c r="B24" s="3" t="s">
        <v>58</v>
      </c>
      <c r="P24" s="2">
        <v>21.69</v>
      </c>
    </row>
    <row r="25" spans="1:24" x14ac:dyDescent="0.2">
      <c r="A25" s="13">
        <v>42235</v>
      </c>
      <c r="B25" s="3" t="s">
        <v>58</v>
      </c>
      <c r="W25" s="3">
        <f>5477.6-7.44</f>
        <v>5470.1600000000008</v>
      </c>
    </row>
    <row r="26" spans="1:24" x14ac:dyDescent="0.2">
      <c r="A26" s="13">
        <v>42237</v>
      </c>
      <c r="B26" s="3" t="s">
        <v>58</v>
      </c>
      <c r="G26" s="2">
        <v>743.79</v>
      </c>
      <c r="H26" s="2">
        <v>343.15</v>
      </c>
      <c r="I26" s="2">
        <f>625.72-53.94</f>
        <v>571.78</v>
      </c>
      <c r="O26" s="2">
        <f>163.48+822.93</f>
        <v>986.41</v>
      </c>
      <c r="P26" s="2">
        <v>27.86</v>
      </c>
      <c r="Q26" s="2">
        <f>46.12+169.57</f>
        <v>215.69</v>
      </c>
      <c r="R26" s="2">
        <v>1198.49</v>
      </c>
    </row>
    <row r="27" spans="1:24" s="68" customFormat="1" x14ac:dyDescent="0.2">
      <c r="A27" s="67">
        <v>42237</v>
      </c>
      <c r="B27" s="68" t="s">
        <v>65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70">
        <v>2433</v>
      </c>
      <c r="T27" s="69"/>
      <c r="U27" s="69"/>
      <c r="V27" s="71"/>
    </row>
    <row r="28" spans="1:24" x14ac:dyDescent="0.2">
      <c r="A28" s="13">
        <v>42240</v>
      </c>
      <c r="B28" s="3" t="s">
        <v>58</v>
      </c>
      <c r="L28" s="2">
        <v>422.75</v>
      </c>
      <c r="S28" s="1"/>
    </row>
    <row r="29" spans="1:24" x14ac:dyDescent="0.2">
      <c r="A29" s="13">
        <v>42243</v>
      </c>
      <c r="B29" s="3" t="s">
        <v>57</v>
      </c>
      <c r="L29" s="2">
        <v>255.8</v>
      </c>
    </row>
    <row r="30" spans="1:24" x14ac:dyDescent="0.2">
      <c r="A30" s="13">
        <v>42244</v>
      </c>
      <c r="B30" s="3" t="s">
        <v>67</v>
      </c>
      <c r="L30" s="2">
        <v>193.91</v>
      </c>
    </row>
    <row r="31" spans="1:24" x14ac:dyDescent="0.2">
      <c r="A31" s="13">
        <v>42247</v>
      </c>
      <c r="B31" s="3" t="s">
        <v>58</v>
      </c>
      <c r="L31" s="2">
        <v>1102.23</v>
      </c>
      <c r="N31" s="2">
        <v>209.94</v>
      </c>
      <c r="O31" s="2">
        <v>473.74</v>
      </c>
      <c r="P31" s="2">
        <v>102.61</v>
      </c>
      <c r="Q31" s="2">
        <v>88.53</v>
      </c>
      <c r="R31" s="2">
        <v>139.41999999999999</v>
      </c>
      <c r="S31" s="1"/>
    </row>
    <row r="32" spans="1:24" x14ac:dyDescent="0.2">
      <c r="A32" s="12">
        <v>42248</v>
      </c>
      <c r="B32" s="3" t="s">
        <v>58</v>
      </c>
      <c r="C32" s="1"/>
      <c r="D32" s="1"/>
      <c r="E32" s="1"/>
      <c r="F32" s="1"/>
      <c r="G32" s="1"/>
      <c r="H32" s="1"/>
      <c r="I32" s="1"/>
      <c r="J32" s="1">
        <v>411.21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4" x14ac:dyDescent="0.2">
      <c r="A33" s="13">
        <v>42256</v>
      </c>
      <c r="B33" s="3" t="s">
        <v>58</v>
      </c>
      <c r="G33" s="2">
        <v>139.22999999999999</v>
      </c>
    </row>
    <row r="34" spans="1:24" x14ac:dyDescent="0.2">
      <c r="A34" s="13">
        <v>42256</v>
      </c>
      <c r="B34" s="3" t="s">
        <v>58</v>
      </c>
      <c r="H34" s="2">
        <v>92.55</v>
      </c>
      <c r="S34" s="1"/>
    </row>
    <row r="35" spans="1:24" x14ac:dyDescent="0.2">
      <c r="A35" s="13">
        <v>42257</v>
      </c>
      <c r="B35" s="3" t="s">
        <v>58</v>
      </c>
      <c r="G35" s="2">
        <v>927.22</v>
      </c>
      <c r="S35" s="1"/>
    </row>
    <row r="36" spans="1:24" x14ac:dyDescent="0.2">
      <c r="A36" s="13">
        <v>42260</v>
      </c>
      <c r="B36" s="3" t="s">
        <v>58</v>
      </c>
      <c r="L36" s="2">
        <f>432.97+1122.45</f>
        <v>1555.42</v>
      </c>
      <c r="S36" s="1"/>
    </row>
    <row r="37" spans="1:24" x14ac:dyDescent="0.2">
      <c r="A37" s="13">
        <v>42260</v>
      </c>
      <c r="B37" s="3" t="s">
        <v>58</v>
      </c>
      <c r="J37" s="2">
        <v>411.67</v>
      </c>
    </row>
    <row r="38" spans="1:24" x14ac:dyDescent="0.2">
      <c r="A38" s="13">
        <v>42261</v>
      </c>
      <c r="B38" s="3" t="s">
        <v>58</v>
      </c>
      <c r="G38" s="2">
        <f>161.33+99.19</f>
        <v>260.52</v>
      </c>
      <c r="I38" s="2">
        <v>529.19000000000005</v>
      </c>
      <c r="S38" s="1"/>
    </row>
    <row r="39" spans="1:24" x14ac:dyDescent="0.2">
      <c r="A39" s="13">
        <v>42265</v>
      </c>
      <c r="B39" s="3" t="s">
        <v>66</v>
      </c>
      <c r="S39" s="1"/>
      <c r="T39" s="2">
        <v>1225</v>
      </c>
    </row>
    <row r="40" spans="1:24" s="68" customFormat="1" x14ac:dyDescent="0.2">
      <c r="A40" s="13">
        <v>42268</v>
      </c>
      <c r="B40" s="3" t="s">
        <v>55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90.68</v>
      </c>
      <c r="S40" s="2"/>
      <c r="T40" s="2"/>
      <c r="U40" s="2"/>
      <c r="V40" s="19"/>
      <c r="W40" s="3"/>
      <c r="X40" s="3"/>
    </row>
    <row r="41" spans="1:24" x14ac:dyDescent="0.2">
      <c r="A41" s="13">
        <v>42272</v>
      </c>
      <c r="B41" s="3" t="s">
        <v>58</v>
      </c>
      <c r="G41" s="2">
        <v>80.67</v>
      </c>
      <c r="I41" s="2">
        <v>106.11</v>
      </c>
      <c r="S41" s="1"/>
    </row>
    <row r="42" spans="1:24" x14ac:dyDescent="0.2">
      <c r="A42" s="13">
        <v>42277</v>
      </c>
      <c r="B42" s="3" t="s">
        <v>55</v>
      </c>
      <c r="R42" s="2">
        <v>60.92</v>
      </c>
      <c r="S42" s="1"/>
    </row>
    <row r="43" spans="1:24" x14ac:dyDescent="0.2">
      <c r="A43" s="13">
        <v>42277</v>
      </c>
      <c r="B43" s="3" t="s">
        <v>58</v>
      </c>
      <c r="L43" s="2">
        <v>118.82</v>
      </c>
      <c r="S43" s="1"/>
    </row>
    <row r="44" spans="1:24" x14ac:dyDescent="0.2">
      <c r="A44" s="13">
        <v>42278</v>
      </c>
      <c r="B44" s="3" t="s">
        <v>58</v>
      </c>
      <c r="N44" s="2">
        <v>100.48</v>
      </c>
      <c r="O44" s="2">
        <v>401.89</v>
      </c>
      <c r="P44" s="2">
        <v>101.31</v>
      </c>
      <c r="Q44" s="2">
        <v>432.1</v>
      </c>
      <c r="R44" s="2">
        <v>614.66</v>
      </c>
      <c r="S44" s="1"/>
    </row>
    <row r="45" spans="1:24" s="68" customFormat="1" x14ac:dyDescent="0.2">
      <c r="A45" s="67">
        <v>42279</v>
      </c>
      <c r="B45" s="3" t="s">
        <v>58</v>
      </c>
      <c r="C45" s="69"/>
      <c r="D45" s="69"/>
      <c r="E45" s="69"/>
      <c r="F45" s="69"/>
      <c r="G45" s="69">
        <v>102.04</v>
      </c>
      <c r="H45" s="69"/>
      <c r="I45" s="69">
        <v>453.61</v>
      </c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71"/>
    </row>
    <row r="46" spans="1:24" s="68" customFormat="1" x14ac:dyDescent="0.2">
      <c r="A46" s="13">
        <v>42280</v>
      </c>
      <c r="B46" s="3" t="s">
        <v>58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104.63</v>
      </c>
      <c r="O46" s="2">
        <v>219.8</v>
      </c>
      <c r="P46" s="2">
        <v>133.26</v>
      </c>
      <c r="Q46" s="2">
        <v>103.48</v>
      </c>
      <c r="R46" s="2">
        <v>729.73</v>
      </c>
      <c r="S46" s="1"/>
      <c r="T46" s="2"/>
      <c r="U46" s="2"/>
      <c r="V46" s="19"/>
      <c r="W46" s="3"/>
      <c r="X46" s="3"/>
    </row>
    <row r="47" spans="1:24" s="68" customFormat="1" x14ac:dyDescent="0.2">
      <c r="A47" s="13">
        <v>42282</v>
      </c>
      <c r="B47" s="3" t="s">
        <v>58</v>
      </c>
      <c r="C47" s="2"/>
      <c r="D47" s="2"/>
      <c r="E47" s="2"/>
      <c r="F47" s="2"/>
      <c r="G47" s="2"/>
      <c r="H47" s="2"/>
      <c r="I47" s="2"/>
      <c r="J47" s="2">
        <v>225.89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9"/>
      <c r="W47" s="3"/>
      <c r="X47" s="3"/>
    </row>
    <row r="48" spans="1:24" s="68" customFormat="1" x14ac:dyDescent="0.2">
      <c r="A48" s="13">
        <v>42284</v>
      </c>
      <c r="B48" s="3" t="s">
        <v>58</v>
      </c>
      <c r="C48" s="2"/>
      <c r="D48" s="2"/>
      <c r="E48" s="2"/>
      <c r="F48" s="2"/>
      <c r="G48" s="2"/>
      <c r="H48" s="2"/>
      <c r="I48" s="2"/>
      <c r="J48" s="2"/>
      <c r="K48" s="2"/>
      <c r="L48" s="2">
        <f>87.18+165.06</f>
        <v>252.24</v>
      </c>
      <c r="M48" s="2"/>
      <c r="N48" s="2"/>
      <c r="O48" s="2"/>
      <c r="P48" s="2"/>
      <c r="Q48" s="2"/>
      <c r="R48" s="2"/>
      <c r="S48" s="1"/>
      <c r="T48" s="2"/>
      <c r="U48" s="2"/>
      <c r="V48" s="19"/>
      <c r="W48" s="3"/>
      <c r="X48" s="3"/>
    </row>
    <row r="49" spans="1:24" x14ac:dyDescent="0.2">
      <c r="A49" s="67">
        <v>42284</v>
      </c>
      <c r="B49" s="68" t="s">
        <v>68</v>
      </c>
      <c r="C49" s="69"/>
      <c r="D49" s="69"/>
      <c r="E49" s="69"/>
      <c r="F49" s="69"/>
      <c r="G49" s="69"/>
      <c r="H49" s="69">
        <v>283.91000000000003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70"/>
      <c r="T49" s="69"/>
      <c r="U49" s="69"/>
      <c r="V49" s="71"/>
      <c r="W49" s="68"/>
      <c r="X49" s="68"/>
    </row>
    <row r="50" spans="1:24" x14ac:dyDescent="0.2">
      <c r="A50" s="13">
        <v>42284</v>
      </c>
      <c r="B50" s="3" t="s">
        <v>69</v>
      </c>
      <c r="S50" s="1"/>
      <c r="T50" s="2">
        <v>42</v>
      </c>
    </row>
    <row r="51" spans="1:24" x14ac:dyDescent="0.2">
      <c r="A51" s="67">
        <v>42285</v>
      </c>
      <c r="B51" s="3" t="s">
        <v>58</v>
      </c>
      <c r="C51" s="69"/>
      <c r="D51" s="69"/>
      <c r="E51" s="69"/>
      <c r="F51" s="69"/>
      <c r="G51" s="69">
        <v>382.52</v>
      </c>
      <c r="H51" s="69"/>
      <c r="I51" s="69">
        <v>392.58</v>
      </c>
      <c r="J51" s="69"/>
      <c r="K51" s="69"/>
      <c r="L51" s="69"/>
      <c r="M51" s="69"/>
      <c r="N51" s="69"/>
      <c r="O51" s="69"/>
      <c r="P51" s="69"/>
      <c r="Q51" s="69"/>
      <c r="R51" s="69"/>
      <c r="S51" s="70"/>
      <c r="T51" s="69"/>
      <c r="U51" s="69"/>
      <c r="V51" s="71"/>
      <c r="W51" s="68"/>
      <c r="X51" s="68"/>
    </row>
    <row r="52" spans="1:24" x14ac:dyDescent="0.2">
      <c r="A52" s="67">
        <v>42287</v>
      </c>
      <c r="B52" s="68" t="s">
        <v>55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>
        <v>229.76</v>
      </c>
      <c r="N52" s="69"/>
      <c r="O52" s="69"/>
      <c r="P52" s="69"/>
      <c r="Q52" s="69"/>
      <c r="R52" s="69"/>
      <c r="S52" s="70"/>
      <c r="T52" s="69"/>
      <c r="U52" s="69"/>
      <c r="V52" s="71"/>
      <c r="W52" s="68"/>
      <c r="X52" s="68"/>
    </row>
    <row r="53" spans="1:24" x14ac:dyDescent="0.2">
      <c r="A53" s="13">
        <v>42292</v>
      </c>
      <c r="B53" s="3" t="s">
        <v>58</v>
      </c>
      <c r="N53" s="2">
        <v>196.02</v>
      </c>
      <c r="O53" s="2">
        <v>284.33999999999997</v>
      </c>
      <c r="P53" s="2">
        <v>35.49</v>
      </c>
      <c r="Q53" s="2">
        <v>268.43</v>
      </c>
      <c r="R53" s="2">
        <v>730.7</v>
      </c>
      <c r="S53" s="1"/>
    </row>
    <row r="54" spans="1:24" x14ac:dyDescent="0.2">
      <c r="A54" s="67">
        <v>42293</v>
      </c>
      <c r="B54" s="68" t="s">
        <v>58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>
        <v>82.99</v>
      </c>
      <c r="S54" s="70"/>
      <c r="T54" s="69"/>
      <c r="U54" s="69"/>
      <c r="V54" s="71"/>
      <c r="W54" s="68"/>
      <c r="X54" s="68"/>
    </row>
    <row r="55" spans="1:24" s="68" customFormat="1" x14ac:dyDescent="0.2">
      <c r="A55" s="13">
        <v>42296</v>
      </c>
      <c r="B55" s="3" t="s">
        <v>58</v>
      </c>
      <c r="C55" s="2"/>
      <c r="D55" s="2"/>
      <c r="E55" s="2"/>
      <c r="F55" s="2"/>
      <c r="G55" s="2">
        <f>82.91+161.55</f>
        <v>244.46</v>
      </c>
      <c r="H55" s="2"/>
      <c r="I55" s="2">
        <v>106.31</v>
      </c>
      <c r="J55" s="2"/>
      <c r="K55" s="2"/>
      <c r="L55" s="2"/>
      <c r="M55" s="2"/>
      <c r="N55" s="2"/>
      <c r="O55" s="2"/>
      <c r="P55" s="2"/>
      <c r="Q55" s="2"/>
      <c r="R55" s="2"/>
      <c r="S55" s="1"/>
      <c r="T55" s="2"/>
      <c r="U55" s="2"/>
      <c r="V55" s="19"/>
      <c r="W55" s="3"/>
      <c r="X55" s="3"/>
    </row>
    <row r="56" spans="1:24" s="68" customFormat="1" x14ac:dyDescent="0.2">
      <c r="A56" s="13">
        <v>42299</v>
      </c>
      <c r="B56" s="3" t="s">
        <v>57</v>
      </c>
      <c r="C56" s="2"/>
      <c r="D56" s="2"/>
      <c r="E56" s="2"/>
      <c r="F56" s="2"/>
      <c r="G56" s="2"/>
      <c r="H56" s="2"/>
      <c r="I56" s="2"/>
      <c r="J56" s="2"/>
      <c r="K56" s="2"/>
      <c r="L56" s="2">
        <v>173.6</v>
      </c>
      <c r="M56" s="2"/>
      <c r="N56" s="2"/>
      <c r="O56" s="2"/>
      <c r="P56" s="2"/>
      <c r="Q56" s="2"/>
      <c r="R56" s="2"/>
      <c r="S56" s="1"/>
      <c r="T56" s="2"/>
      <c r="U56" s="2"/>
      <c r="V56" s="19"/>
      <c r="W56" s="3"/>
      <c r="X56" s="3"/>
    </row>
    <row r="57" spans="1:24" s="68" customFormat="1" x14ac:dyDescent="0.2">
      <c r="A57" s="13">
        <v>42299</v>
      </c>
      <c r="B57" s="3" t="s">
        <v>58</v>
      </c>
      <c r="C57" s="2"/>
      <c r="D57" s="2"/>
      <c r="E57" s="2"/>
      <c r="F57" s="2"/>
      <c r="G57" s="2"/>
      <c r="H57" s="2"/>
      <c r="I57" s="2">
        <v>211.61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9"/>
      <c r="W57" s="3"/>
      <c r="X57" s="3"/>
    </row>
    <row r="58" spans="1:24" x14ac:dyDescent="0.2">
      <c r="A58" s="13">
        <v>42303</v>
      </c>
      <c r="B58" s="68" t="s">
        <v>66</v>
      </c>
      <c r="T58" s="2">
        <v>318</v>
      </c>
    </row>
    <row r="59" spans="1:24" x14ac:dyDescent="0.2">
      <c r="A59" s="13">
        <v>42304</v>
      </c>
      <c r="B59" s="3" t="s">
        <v>70</v>
      </c>
      <c r="N59" s="2">
        <v>19.22</v>
      </c>
      <c r="S59" s="1"/>
    </row>
    <row r="60" spans="1:24" x14ac:dyDescent="0.2">
      <c r="A60" s="13">
        <v>42304</v>
      </c>
      <c r="B60" s="3" t="s">
        <v>71</v>
      </c>
      <c r="N60" s="2">
        <v>6.95</v>
      </c>
    </row>
    <row r="61" spans="1:24" x14ac:dyDescent="0.2">
      <c r="A61" s="67">
        <v>42306</v>
      </c>
      <c r="B61" s="68" t="s">
        <v>55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>
        <f>19.99+19.99+19.6</f>
        <v>59.58</v>
      </c>
      <c r="P61" s="69"/>
      <c r="Q61" s="69"/>
      <c r="R61" s="69">
        <f>7.99+19.96</f>
        <v>27.950000000000003</v>
      </c>
      <c r="S61" s="70"/>
      <c r="T61" s="69"/>
      <c r="U61" s="69"/>
      <c r="V61" s="71"/>
      <c r="W61" s="68"/>
      <c r="X61" s="68"/>
    </row>
    <row r="62" spans="1:24" x14ac:dyDescent="0.2">
      <c r="A62" s="13">
        <v>42307</v>
      </c>
      <c r="B62" s="3" t="s">
        <v>58</v>
      </c>
      <c r="G62" s="2">
        <v>535.83000000000004</v>
      </c>
      <c r="I62" s="2">
        <v>43.06</v>
      </c>
      <c r="S62" s="1"/>
    </row>
    <row r="63" spans="1:24" s="79" customFormat="1" x14ac:dyDescent="0.2">
      <c r="A63" s="67">
        <v>42311</v>
      </c>
      <c r="B63" s="68" t="s">
        <v>58</v>
      </c>
      <c r="C63" s="69"/>
      <c r="D63" s="69"/>
      <c r="E63" s="69"/>
      <c r="F63" s="69"/>
      <c r="G63" s="69"/>
      <c r="H63" s="69"/>
      <c r="I63" s="69"/>
      <c r="J63" s="69"/>
      <c r="K63" s="69"/>
      <c r="L63" s="69">
        <f>114.51+427.29+405.45</f>
        <v>947.25</v>
      </c>
      <c r="M63" s="69"/>
      <c r="N63" s="69"/>
      <c r="O63" s="69"/>
      <c r="P63" s="69"/>
      <c r="Q63" s="69"/>
      <c r="R63" s="69"/>
      <c r="S63" s="70"/>
      <c r="T63" s="69"/>
      <c r="U63" s="69"/>
      <c r="V63" s="71"/>
      <c r="W63" s="68"/>
      <c r="X63" s="68"/>
    </row>
    <row r="64" spans="1:24" s="68" customFormat="1" x14ac:dyDescent="0.2">
      <c r="A64" s="13">
        <v>42314</v>
      </c>
      <c r="B64" s="68" t="s">
        <v>55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54.99</v>
      </c>
      <c r="S64" s="1"/>
      <c r="T64" s="2"/>
      <c r="U64" s="2"/>
      <c r="V64" s="19"/>
      <c r="W64" s="3"/>
      <c r="X64" s="3"/>
    </row>
    <row r="65" spans="1:24" s="68" customFormat="1" x14ac:dyDescent="0.2">
      <c r="A65" s="67">
        <v>42314</v>
      </c>
      <c r="B65" s="68" t="s">
        <v>58</v>
      </c>
      <c r="C65" s="69"/>
      <c r="D65" s="69"/>
      <c r="E65" s="69"/>
      <c r="F65" s="69"/>
      <c r="G65" s="69"/>
      <c r="H65" s="69"/>
      <c r="I65" s="69"/>
      <c r="J65" s="69"/>
      <c r="K65" s="69"/>
      <c r="L65" s="69">
        <v>80.38</v>
      </c>
      <c r="M65" s="69"/>
      <c r="N65" s="69"/>
      <c r="O65" s="69"/>
      <c r="P65" s="69"/>
      <c r="Q65" s="69"/>
      <c r="R65" s="69"/>
      <c r="S65" s="70"/>
      <c r="T65" s="69"/>
      <c r="U65" s="69"/>
      <c r="V65" s="71"/>
    </row>
    <row r="66" spans="1:24" s="68" customFormat="1" x14ac:dyDescent="0.2">
      <c r="A66" s="13">
        <v>42314</v>
      </c>
      <c r="B66" s="3" t="s">
        <v>58</v>
      </c>
      <c r="C66" s="2"/>
      <c r="D66" s="2"/>
      <c r="E66" s="2"/>
      <c r="F66" s="2"/>
      <c r="G66" s="2"/>
      <c r="H66" s="2"/>
      <c r="I66" s="2"/>
      <c r="J66" s="2">
        <f>254.48+212.16</f>
        <v>466.64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9"/>
      <c r="W66" s="3"/>
      <c r="X66" s="3"/>
    </row>
    <row r="67" spans="1:24" s="68" customFormat="1" x14ac:dyDescent="0.2">
      <c r="A67" s="13">
        <v>42318</v>
      </c>
      <c r="B67" s="68" t="s">
        <v>57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9"/>
      <c r="W67" s="3"/>
      <c r="X67" s="3"/>
    </row>
    <row r="68" spans="1:24" s="68" customFormat="1" x14ac:dyDescent="0.2">
      <c r="A68" s="13">
        <v>42318</v>
      </c>
      <c r="B68" s="3" t="s">
        <v>57</v>
      </c>
      <c r="C68" s="2"/>
      <c r="D68" s="2"/>
      <c r="E68" s="2"/>
      <c r="F68" s="2"/>
      <c r="G68" s="2"/>
      <c r="H68" s="2"/>
      <c r="I68" s="2"/>
      <c r="J68" s="2"/>
      <c r="K68" s="2"/>
      <c r="L68" s="2">
        <v>20.6</v>
      </c>
      <c r="M68" s="2"/>
      <c r="N68" s="2"/>
      <c r="O68" s="2"/>
      <c r="P68" s="2"/>
      <c r="Q68" s="2"/>
      <c r="R68" s="2"/>
      <c r="S68" s="1"/>
      <c r="T68" s="2"/>
      <c r="U68" s="2"/>
      <c r="V68" s="19"/>
      <c r="W68" s="3"/>
      <c r="X68" s="3"/>
    </row>
    <row r="69" spans="1:24" s="68" customFormat="1" x14ac:dyDescent="0.2">
      <c r="A69" s="67">
        <v>42318</v>
      </c>
      <c r="B69" s="68" t="s">
        <v>55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>
        <v>203.55</v>
      </c>
      <c r="N69" s="69"/>
      <c r="O69" s="69"/>
      <c r="P69" s="69"/>
      <c r="Q69" s="69"/>
      <c r="R69" s="69"/>
      <c r="S69" s="69"/>
      <c r="T69" s="69"/>
      <c r="U69" s="69"/>
      <c r="V69" s="71"/>
      <c r="W69" s="79"/>
      <c r="X69" s="79"/>
    </row>
    <row r="70" spans="1:24" s="68" customFormat="1" x14ac:dyDescent="0.2">
      <c r="A70" s="67">
        <v>42318</v>
      </c>
      <c r="B70" s="3" t="s">
        <v>58</v>
      </c>
      <c r="C70" s="69"/>
      <c r="D70" s="69"/>
      <c r="E70" s="69"/>
      <c r="F70" s="69"/>
      <c r="G70" s="69"/>
      <c r="H70" s="69"/>
      <c r="I70" s="69">
        <v>105.85</v>
      </c>
      <c r="J70" s="69"/>
      <c r="K70" s="69"/>
      <c r="L70" s="69"/>
      <c r="M70" s="69"/>
      <c r="N70" s="69"/>
      <c r="O70" s="69"/>
      <c r="P70" s="69"/>
      <c r="Q70" s="69"/>
      <c r="R70" s="69"/>
      <c r="S70" s="70"/>
      <c r="T70" s="69"/>
      <c r="U70" s="69"/>
      <c r="V70" s="71"/>
    </row>
    <row r="71" spans="1:24" s="68" customFormat="1" x14ac:dyDescent="0.2">
      <c r="A71" s="67">
        <v>42320</v>
      </c>
      <c r="B71" s="68" t="s">
        <v>55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>
        <v>16.2</v>
      </c>
      <c r="O71" s="69"/>
      <c r="P71" s="69"/>
      <c r="Q71" s="69"/>
      <c r="R71" s="69"/>
      <c r="S71" s="70"/>
      <c r="T71" s="69"/>
      <c r="U71" s="69"/>
      <c r="V71" s="71"/>
    </row>
    <row r="72" spans="1:24" x14ac:dyDescent="0.2">
      <c r="A72" s="67">
        <v>42324</v>
      </c>
      <c r="B72" s="68" t="s">
        <v>58</v>
      </c>
      <c r="C72" s="69"/>
      <c r="D72" s="69"/>
      <c r="E72" s="69"/>
      <c r="F72" s="69"/>
      <c r="G72" s="69"/>
      <c r="H72" s="69"/>
      <c r="I72" s="69"/>
      <c r="J72" s="69"/>
      <c r="K72" s="69"/>
      <c r="L72" s="69">
        <v>304.39</v>
      </c>
      <c r="M72" s="69"/>
      <c r="N72" s="69"/>
      <c r="O72" s="69"/>
      <c r="P72" s="69"/>
      <c r="Q72" s="69"/>
      <c r="R72" s="69"/>
      <c r="S72" s="69"/>
      <c r="T72" s="69"/>
      <c r="U72" s="69"/>
      <c r="V72" s="71"/>
      <c r="W72" s="68"/>
      <c r="X72" s="68"/>
    </row>
    <row r="73" spans="1:24" x14ac:dyDescent="0.2">
      <c r="A73" s="13">
        <v>42324</v>
      </c>
      <c r="B73" s="3" t="s">
        <v>58</v>
      </c>
      <c r="G73" s="2">
        <v>371.87</v>
      </c>
      <c r="I73" s="2">
        <v>319.32</v>
      </c>
      <c r="S73" s="1"/>
    </row>
    <row r="74" spans="1:24" x14ac:dyDescent="0.2">
      <c r="A74" s="67">
        <v>42325</v>
      </c>
      <c r="B74" s="68" t="s">
        <v>58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>
        <v>122.06</v>
      </c>
      <c r="O74" s="69">
        <f>14.9+116.91</f>
        <v>131.81</v>
      </c>
      <c r="P74" s="69"/>
      <c r="Q74" s="69">
        <v>139.72999999999999</v>
      </c>
      <c r="R74" s="69">
        <v>169.1</v>
      </c>
      <c r="S74" s="70"/>
      <c r="T74" s="69"/>
      <c r="U74" s="69"/>
      <c r="V74" s="71"/>
      <c r="W74" s="68"/>
      <c r="X74" s="68"/>
    </row>
    <row r="75" spans="1:24" x14ac:dyDescent="0.2">
      <c r="A75" s="13">
        <v>42328</v>
      </c>
      <c r="B75" s="3" t="s">
        <v>73</v>
      </c>
      <c r="S75" s="1"/>
      <c r="T75" s="2">
        <v>1964.14</v>
      </c>
    </row>
    <row r="76" spans="1:24" x14ac:dyDescent="0.2">
      <c r="A76" s="13">
        <v>42331</v>
      </c>
      <c r="B76" s="3" t="s">
        <v>58</v>
      </c>
      <c r="N76" s="2">
        <v>93.5</v>
      </c>
      <c r="O76" s="2">
        <f>177.97+14.9</f>
        <v>192.87</v>
      </c>
      <c r="P76" s="2">
        <v>529.46</v>
      </c>
      <c r="Q76" s="2">
        <f>196.85+55.33</f>
        <v>252.18</v>
      </c>
      <c r="R76" s="2">
        <f>353.19+206.53</f>
        <v>559.72</v>
      </c>
    </row>
    <row r="77" spans="1:24" x14ac:dyDescent="0.2">
      <c r="A77" s="13">
        <v>42331</v>
      </c>
      <c r="B77" s="3" t="s">
        <v>58</v>
      </c>
      <c r="J77" s="2">
        <v>217.61</v>
      </c>
      <c r="S77" s="1"/>
    </row>
    <row r="78" spans="1:24" x14ac:dyDescent="0.2">
      <c r="A78" s="67">
        <v>42332</v>
      </c>
      <c r="B78" s="68" t="s">
        <v>66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70"/>
      <c r="T78" s="69">
        <v>328</v>
      </c>
      <c r="U78" s="69"/>
      <c r="V78" s="71"/>
      <c r="W78" s="68"/>
      <c r="X78" s="68"/>
    </row>
    <row r="79" spans="1:24" s="15" customFormat="1" x14ac:dyDescent="0.2">
      <c r="A79" s="13">
        <v>42333</v>
      </c>
      <c r="B79" s="3" t="s">
        <v>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2">
        <v>480</v>
      </c>
      <c r="U79" s="2"/>
      <c r="V79" s="19"/>
      <c r="W79" s="3"/>
      <c r="X79" s="3"/>
    </row>
    <row r="80" spans="1:24" x14ac:dyDescent="0.2">
      <c r="A80" s="13">
        <v>42339</v>
      </c>
      <c r="B80" s="3" t="s">
        <v>58</v>
      </c>
      <c r="K80" s="2">
        <v>143.04</v>
      </c>
    </row>
    <row r="81" spans="1:24" x14ac:dyDescent="0.2">
      <c r="A81" s="67">
        <v>42340</v>
      </c>
      <c r="B81" s="68" t="s">
        <v>79</v>
      </c>
      <c r="C81" s="69"/>
      <c r="D81" s="69"/>
      <c r="E81" s="69"/>
      <c r="F81" s="69">
        <v>181</v>
      </c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70"/>
      <c r="T81" s="69"/>
      <c r="U81" s="69"/>
      <c r="V81" s="71"/>
      <c r="W81" s="68"/>
      <c r="X81" s="68"/>
    </row>
    <row r="82" spans="1:24" x14ac:dyDescent="0.2">
      <c r="A82" s="13">
        <v>42342</v>
      </c>
      <c r="B82" s="3" t="s">
        <v>55</v>
      </c>
      <c r="R82" s="2">
        <v>282.79000000000002</v>
      </c>
      <c r="S82" s="1"/>
    </row>
    <row r="83" spans="1:24" s="68" customFormat="1" x14ac:dyDescent="0.2">
      <c r="A83" s="67">
        <v>42342</v>
      </c>
      <c r="B83" s="68" t="s">
        <v>58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>
        <v>944.58</v>
      </c>
      <c r="S83" s="70"/>
      <c r="T83" s="69"/>
      <c r="U83" s="72"/>
      <c r="V83" s="73"/>
    </row>
    <row r="84" spans="1:24" x14ac:dyDescent="0.2">
      <c r="A84" s="13">
        <v>42346</v>
      </c>
      <c r="B84" s="3" t="s">
        <v>57</v>
      </c>
      <c r="N84" s="2">
        <v>6.95</v>
      </c>
    </row>
    <row r="85" spans="1:24" x14ac:dyDescent="0.2">
      <c r="A85" s="13">
        <v>42348</v>
      </c>
      <c r="B85" s="3" t="s">
        <v>58</v>
      </c>
      <c r="L85" s="2">
        <v>501.54</v>
      </c>
      <c r="S85" s="1"/>
      <c r="U85" s="16"/>
      <c r="V85" s="20"/>
    </row>
    <row r="86" spans="1:24" x14ac:dyDescent="0.2">
      <c r="A86" s="13">
        <v>42348</v>
      </c>
      <c r="B86" s="3" t="s">
        <v>55</v>
      </c>
      <c r="M86" s="2">
        <v>117.09</v>
      </c>
    </row>
    <row r="87" spans="1:24" x14ac:dyDescent="0.2">
      <c r="A87" s="13">
        <v>42349</v>
      </c>
      <c r="B87" s="3" t="s">
        <v>58</v>
      </c>
      <c r="L87" s="2">
        <v>1020.38</v>
      </c>
    </row>
    <row r="88" spans="1:24" s="68" customFormat="1" x14ac:dyDescent="0.2">
      <c r="A88" s="67">
        <v>42352</v>
      </c>
      <c r="B88" s="68" t="s">
        <v>58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>
        <v>294.35000000000002</v>
      </c>
      <c r="P88" s="69"/>
      <c r="Q88" s="69">
        <v>327.37</v>
      </c>
      <c r="R88" s="69">
        <v>951.03</v>
      </c>
      <c r="S88" s="69"/>
      <c r="T88" s="69"/>
      <c r="U88" s="69"/>
      <c r="V88" s="71"/>
    </row>
    <row r="89" spans="1:24" x14ac:dyDescent="0.2">
      <c r="A89" s="13">
        <v>42354</v>
      </c>
      <c r="B89" s="3" t="s">
        <v>55</v>
      </c>
      <c r="R89" s="2">
        <v>54.87</v>
      </c>
      <c r="S89" s="1"/>
      <c r="T89" s="7"/>
      <c r="W89" s="15"/>
      <c r="X89" s="15"/>
    </row>
    <row r="90" spans="1:24" x14ac:dyDescent="0.2">
      <c r="A90" s="13">
        <v>42354</v>
      </c>
      <c r="B90" s="3" t="s">
        <v>58</v>
      </c>
      <c r="G90" s="2">
        <v>264.55</v>
      </c>
      <c r="H90" s="2">
        <v>270.02</v>
      </c>
    </row>
    <row r="91" spans="1:24" x14ac:dyDescent="0.2">
      <c r="A91" s="13">
        <v>42356</v>
      </c>
      <c r="B91" s="3" t="s">
        <v>55</v>
      </c>
      <c r="R91" s="2">
        <v>119.99</v>
      </c>
      <c r="S91" s="1"/>
    </row>
    <row r="92" spans="1:24" x14ac:dyDescent="0.2">
      <c r="A92" s="13">
        <v>42359</v>
      </c>
      <c r="B92" s="3" t="s">
        <v>58</v>
      </c>
      <c r="G92" s="2">
        <v>245.67</v>
      </c>
    </row>
    <row r="93" spans="1:24" x14ac:dyDescent="0.2">
      <c r="A93" s="13">
        <v>42360</v>
      </c>
      <c r="B93" s="3" t="s">
        <v>58</v>
      </c>
      <c r="J93" s="2">
        <v>494.31</v>
      </c>
    </row>
    <row r="94" spans="1:24" x14ac:dyDescent="0.2">
      <c r="A94" s="13">
        <v>42360</v>
      </c>
      <c r="B94" s="3" t="s">
        <v>58</v>
      </c>
      <c r="G94" s="2">
        <v>-43.95</v>
      </c>
      <c r="H94" s="2">
        <v>-8.5</v>
      </c>
      <c r="S94" s="1"/>
    </row>
    <row r="95" spans="1:24" x14ac:dyDescent="0.2">
      <c r="A95" s="13">
        <v>42361</v>
      </c>
      <c r="B95" s="3" t="s">
        <v>58</v>
      </c>
      <c r="J95" s="2">
        <v>523.73</v>
      </c>
    </row>
    <row r="96" spans="1:24" x14ac:dyDescent="0.2">
      <c r="A96" s="13">
        <v>42361</v>
      </c>
      <c r="B96" s="3" t="s">
        <v>57</v>
      </c>
      <c r="N96" s="2">
        <v>7.95</v>
      </c>
      <c r="S96" s="1"/>
    </row>
    <row r="97" spans="1:24" x14ac:dyDescent="0.2">
      <c r="A97" s="13">
        <v>42366</v>
      </c>
      <c r="B97" s="3" t="s">
        <v>58</v>
      </c>
      <c r="G97" s="2">
        <f>-20-45.95</f>
        <v>-65.95</v>
      </c>
      <c r="H97" s="2">
        <f>-37.04</f>
        <v>-37.04</v>
      </c>
      <c r="I97" s="2">
        <f>-12.23-8.95-17.98</f>
        <v>-39.159999999999997</v>
      </c>
      <c r="J97" s="2">
        <f>-18.58</f>
        <v>-18.579999999999998</v>
      </c>
      <c r="L97" s="2">
        <v>-17.95</v>
      </c>
      <c r="O97" s="2">
        <v>-13.27</v>
      </c>
      <c r="Q97" s="2">
        <f>-17.1</f>
        <v>-17.100000000000001</v>
      </c>
      <c r="R97" s="2">
        <v>-1459.05</v>
      </c>
      <c r="S97" s="1"/>
    </row>
    <row r="98" spans="1:24" x14ac:dyDescent="0.2">
      <c r="A98" s="13">
        <v>42366</v>
      </c>
      <c r="B98" s="3" t="s">
        <v>66</v>
      </c>
      <c r="S98" s="1"/>
      <c r="T98" s="2">
        <v>319.25</v>
      </c>
    </row>
    <row r="99" spans="1:24" x14ac:dyDescent="0.2">
      <c r="A99" s="13">
        <v>42367</v>
      </c>
      <c r="B99" s="3" t="s">
        <v>58</v>
      </c>
      <c r="R99" s="2">
        <f>1060.44-482.05-221.16+221.16+366.27</f>
        <v>944.66000000000008</v>
      </c>
    </row>
    <row r="100" spans="1:24" x14ac:dyDescent="0.2">
      <c r="A100" s="67">
        <v>42367</v>
      </c>
      <c r="B100" s="68" t="s">
        <v>55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>
        <f>69.9-14.96</f>
        <v>54.940000000000005</v>
      </c>
      <c r="S100" s="70"/>
      <c r="T100" s="69"/>
      <c r="U100" s="69"/>
      <c r="V100" s="71"/>
      <c r="W100" s="68"/>
      <c r="X100" s="68"/>
    </row>
    <row r="101" spans="1:24" x14ac:dyDescent="0.2">
      <c r="A101" s="67">
        <v>42368</v>
      </c>
      <c r="B101" s="3" t="s">
        <v>58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>
        <v>152.30000000000001</v>
      </c>
      <c r="M101" s="69"/>
      <c r="N101" s="69"/>
      <c r="O101" s="69"/>
      <c r="P101" s="69"/>
      <c r="Q101" s="69"/>
      <c r="R101" s="69"/>
      <c r="S101" s="70"/>
      <c r="T101" s="69"/>
      <c r="U101" s="69"/>
      <c r="V101" s="71"/>
      <c r="W101" s="68"/>
      <c r="X101" s="68"/>
    </row>
    <row r="102" spans="1:24" x14ac:dyDescent="0.2">
      <c r="A102" s="13">
        <v>42374</v>
      </c>
      <c r="B102" s="3" t="s">
        <v>58</v>
      </c>
      <c r="G102" s="2">
        <f>-(9.91+9.89+10.53+13.3+14.36+13.81+13.83+13.83+13.81+9.92)</f>
        <v>-123.19</v>
      </c>
      <c r="S102" s="1"/>
    </row>
    <row r="103" spans="1:24" x14ac:dyDescent="0.2">
      <c r="A103" s="13">
        <v>42375</v>
      </c>
      <c r="B103" s="3" t="s">
        <v>58</v>
      </c>
      <c r="G103" s="2">
        <v>567.03</v>
      </c>
      <c r="H103" s="2">
        <v>71.040000000000006</v>
      </c>
      <c r="L103" s="2">
        <v>791.79</v>
      </c>
      <c r="S103" s="1"/>
    </row>
    <row r="104" spans="1:24" x14ac:dyDescent="0.2">
      <c r="A104" s="13">
        <v>42375</v>
      </c>
      <c r="B104" s="3" t="s">
        <v>62</v>
      </c>
      <c r="K104" s="2">
        <v>75</v>
      </c>
    </row>
    <row r="105" spans="1:24" x14ac:dyDescent="0.2">
      <c r="A105" s="13">
        <v>42379</v>
      </c>
      <c r="B105" s="3" t="s">
        <v>55</v>
      </c>
      <c r="M105" s="2">
        <v>159.44999999999999</v>
      </c>
      <c r="S105" s="1"/>
    </row>
    <row r="106" spans="1:24" x14ac:dyDescent="0.2">
      <c r="A106" s="13">
        <v>42380</v>
      </c>
      <c r="B106" s="68" t="s">
        <v>57</v>
      </c>
      <c r="N106" s="2">
        <v>7.95</v>
      </c>
    </row>
    <row r="107" spans="1:24" x14ac:dyDescent="0.2">
      <c r="A107" s="13">
        <v>42381</v>
      </c>
      <c r="B107" s="3" t="s">
        <v>58</v>
      </c>
      <c r="L107" s="2">
        <v>49.58</v>
      </c>
      <c r="S107" s="1"/>
    </row>
    <row r="108" spans="1:24" x14ac:dyDescent="0.2">
      <c r="A108" s="13">
        <v>42382</v>
      </c>
      <c r="B108" s="3" t="s">
        <v>58</v>
      </c>
      <c r="J108" s="2">
        <v>92.58</v>
      </c>
    </row>
    <row r="109" spans="1:24" x14ac:dyDescent="0.2">
      <c r="A109" s="13">
        <v>42384</v>
      </c>
      <c r="B109" s="3" t="s">
        <v>58</v>
      </c>
      <c r="R109" s="2">
        <v>95.37</v>
      </c>
    </row>
    <row r="110" spans="1:24" x14ac:dyDescent="0.2">
      <c r="A110" s="13">
        <v>42384</v>
      </c>
      <c r="B110" s="3" t="s">
        <v>55</v>
      </c>
      <c r="R110" s="2">
        <f>1149.43+839.04+932.7+874.75</f>
        <v>3795.92</v>
      </c>
    </row>
    <row r="111" spans="1:24" x14ac:dyDescent="0.2">
      <c r="A111" s="13">
        <v>42384</v>
      </c>
      <c r="B111" s="3" t="s">
        <v>58</v>
      </c>
      <c r="L111" s="2">
        <v>221.17</v>
      </c>
    </row>
    <row r="112" spans="1:24" x14ac:dyDescent="0.2">
      <c r="A112" s="13">
        <v>42389</v>
      </c>
      <c r="B112" s="3" t="s">
        <v>58</v>
      </c>
      <c r="K112" s="2">
        <v>97.95</v>
      </c>
      <c r="O112" s="2">
        <f>275.79+19.81</f>
        <v>295.60000000000002</v>
      </c>
      <c r="P112" s="2">
        <f>62.13+54.53</f>
        <v>116.66</v>
      </c>
      <c r="Q112" s="2">
        <f>378.99+76.26</f>
        <v>455.25</v>
      </c>
    </row>
    <row r="113" spans="1:24" x14ac:dyDescent="0.2">
      <c r="A113" s="13">
        <v>42389</v>
      </c>
      <c r="B113" s="3" t="s">
        <v>67</v>
      </c>
      <c r="L113" s="2">
        <v>193.91</v>
      </c>
    </row>
    <row r="114" spans="1:24" x14ac:dyDescent="0.2">
      <c r="A114" s="13">
        <v>42390</v>
      </c>
      <c r="B114" s="3" t="s">
        <v>58</v>
      </c>
      <c r="L114" s="2">
        <v>258.12</v>
      </c>
      <c r="N114" s="2">
        <v>140.21</v>
      </c>
    </row>
    <row r="115" spans="1:24" s="68" customFormat="1" x14ac:dyDescent="0.2">
      <c r="A115" s="13">
        <v>42391</v>
      </c>
      <c r="B115" s="3" t="s">
        <v>66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>
        <v>320.5</v>
      </c>
      <c r="U115" s="2"/>
      <c r="V115" s="19"/>
      <c r="W115" s="3"/>
      <c r="X115" s="3"/>
    </row>
    <row r="116" spans="1:24" x14ac:dyDescent="0.2">
      <c r="A116" s="13">
        <v>42391</v>
      </c>
      <c r="B116" s="3" t="s">
        <v>58</v>
      </c>
      <c r="G116" s="2">
        <f>293.29-14-14.25</f>
        <v>265.04000000000002</v>
      </c>
      <c r="I116" s="2">
        <v>197.79</v>
      </c>
    </row>
    <row r="117" spans="1:24" x14ac:dyDescent="0.2">
      <c r="A117" s="13">
        <v>42394</v>
      </c>
      <c r="B117" s="3" t="s">
        <v>58</v>
      </c>
      <c r="G117" s="2">
        <v>336.13</v>
      </c>
      <c r="I117" s="2">
        <v>204.26</v>
      </c>
    </row>
    <row r="118" spans="1:24" x14ac:dyDescent="0.2">
      <c r="A118" s="13">
        <v>42395</v>
      </c>
      <c r="B118" s="68" t="s">
        <v>58</v>
      </c>
      <c r="N118" s="2">
        <v>468.73</v>
      </c>
    </row>
    <row r="119" spans="1:24" x14ac:dyDescent="0.2">
      <c r="A119" s="13">
        <v>42397</v>
      </c>
      <c r="B119" s="68" t="s">
        <v>55</v>
      </c>
      <c r="P119" s="2">
        <f>13.99+16.67</f>
        <v>30.660000000000004</v>
      </c>
      <c r="R119" s="2">
        <f>9.59+11.69+10.95</f>
        <v>32.230000000000004</v>
      </c>
    </row>
    <row r="120" spans="1:24" x14ac:dyDescent="0.2">
      <c r="A120" s="13">
        <v>42397</v>
      </c>
      <c r="B120" s="3" t="s">
        <v>58</v>
      </c>
      <c r="L120" s="2">
        <v>-5.34</v>
      </c>
    </row>
    <row r="121" spans="1:24" x14ac:dyDescent="0.2">
      <c r="A121" s="13">
        <v>42398</v>
      </c>
      <c r="B121" s="3" t="s">
        <v>55</v>
      </c>
      <c r="R121" s="2">
        <f>768.98+157.24+104.42</f>
        <v>1030.6400000000001</v>
      </c>
      <c r="S121" s="1"/>
    </row>
    <row r="122" spans="1:24" x14ac:dyDescent="0.2">
      <c r="A122" s="13">
        <v>42398</v>
      </c>
      <c r="B122" s="68" t="s">
        <v>58</v>
      </c>
      <c r="N122" s="2">
        <v>288.76</v>
      </c>
    </row>
    <row r="123" spans="1:24" x14ac:dyDescent="0.2">
      <c r="A123" s="13">
        <v>42401</v>
      </c>
      <c r="B123" s="68" t="s">
        <v>58</v>
      </c>
      <c r="N123" s="2">
        <v>-19.22</v>
      </c>
      <c r="S123" s="1"/>
    </row>
    <row r="124" spans="1:24" x14ac:dyDescent="0.2">
      <c r="A124" s="13">
        <v>42402</v>
      </c>
      <c r="B124" s="3" t="s">
        <v>58</v>
      </c>
      <c r="G124" s="2">
        <v>239.39</v>
      </c>
      <c r="I124" s="2">
        <v>108.28</v>
      </c>
    </row>
    <row r="125" spans="1:24" x14ac:dyDescent="0.2">
      <c r="A125" s="13">
        <v>42402</v>
      </c>
      <c r="B125" s="3" t="s">
        <v>57</v>
      </c>
      <c r="N125" s="2">
        <v>71.94</v>
      </c>
    </row>
    <row r="126" spans="1:24" x14ac:dyDescent="0.2">
      <c r="A126" s="13">
        <v>42403</v>
      </c>
      <c r="B126" s="68" t="s">
        <v>58</v>
      </c>
      <c r="Q126" s="2">
        <v>-13.27</v>
      </c>
      <c r="S126" s="1"/>
    </row>
    <row r="127" spans="1:24" x14ac:dyDescent="0.2">
      <c r="A127" s="13">
        <v>42404</v>
      </c>
      <c r="B127" s="3" t="s">
        <v>58</v>
      </c>
      <c r="G127" s="2">
        <v>180.27</v>
      </c>
      <c r="I127" s="2">
        <v>128.66</v>
      </c>
    </row>
    <row r="128" spans="1:24" x14ac:dyDescent="0.2">
      <c r="A128" s="13">
        <v>42405</v>
      </c>
      <c r="B128" s="3" t="s">
        <v>57</v>
      </c>
      <c r="N128" s="2">
        <v>305.85000000000002</v>
      </c>
      <c r="W128" s="68"/>
      <c r="X128" s="68"/>
    </row>
    <row r="129" spans="1:19" x14ac:dyDescent="0.2">
      <c r="A129" s="13">
        <v>42406</v>
      </c>
      <c r="B129" s="68" t="s">
        <v>55</v>
      </c>
      <c r="N129" s="2">
        <v>269.68</v>
      </c>
      <c r="S129" s="1"/>
    </row>
    <row r="130" spans="1:19" x14ac:dyDescent="0.2">
      <c r="A130" s="13">
        <v>42406</v>
      </c>
      <c r="B130" s="3" t="s">
        <v>55</v>
      </c>
      <c r="M130" s="2">
        <v>269.68</v>
      </c>
    </row>
    <row r="131" spans="1:19" x14ac:dyDescent="0.2">
      <c r="A131" s="13">
        <v>42408</v>
      </c>
      <c r="B131" s="68" t="s">
        <v>58</v>
      </c>
      <c r="N131" s="2">
        <f>-19.22-16.47</f>
        <v>-35.69</v>
      </c>
    </row>
    <row r="132" spans="1:19" x14ac:dyDescent="0.2">
      <c r="A132" s="13">
        <v>42408</v>
      </c>
      <c r="B132" s="3" t="s">
        <v>58</v>
      </c>
      <c r="N132" s="2">
        <v>597.4</v>
      </c>
    </row>
    <row r="133" spans="1:19" x14ac:dyDescent="0.2">
      <c r="A133" s="13">
        <v>42410</v>
      </c>
      <c r="B133" s="3" t="s">
        <v>58</v>
      </c>
      <c r="G133" s="2">
        <v>201.39</v>
      </c>
      <c r="S133" s="1"/>
    </row>
    <row r="134" spans="1:19" x14ac:dyDescent="0.2">
      <c r="A134" s="13">
        <v>42416</v>
      </c>
      <c r="B134" s="3" t="s">
        <v>57</v>
      </c>
      <c r="N134" s="2">
        <f>104.99+378.59</f>
        <v>483.58</v>
      </c>
      <c r="S134" s="1"/>
    </row>
    <row r="135" spans="1:19" x14ac:dyDescent="0.2">
      <c r="A135" s="13">
        <v>42417</v>
      </c>
      <c r="B135" s="3" t="s">
        <v>80</v>
      </c>
      <c r="K135" s="2">
        <v>272</v>
      </c>
      <c r="S135" s="1"/>
    </row>
    <row r="136" spans="1:19" x14ac:dyDescent="0.2">
      <c r="A136" s="13">
        <v>42417</v>
      </c>
      <c r="B136" s="3" t="s">
        <v>58</v>
      </c>
      <c r="G136" s="2">
        <v>100.78</v>
      </c>
      <c r="H136" s="2">
        <v>50.6</v>
      </c>
      <c r="I136" s="2">
        <v>115.24</v>
      </c>
    </row>
    <row r="137" spans="1:19" x14ac:dyDescent="0.2">
      <c r="A137" s="13">
        <v>42418</v>
      </c>
      <c r="B137" s="68" t="s">
        <v>55</v>
      </c>
      <c r="O137" s="2">
        <v>14.7</v>
      </c>
      <c r="R137" s="2">
        <v>839.86</v>
      </c>
      <c r="S137" s="1"/>
    </row>
    <row r="138" spans="1:19" x14ac:dyDescent="0.2">
      <c r="A138" s="13">
        <v>42418</v>
      </c>
      <c r="B138" s="3" t="s">
        <v>58</v>
      </c>
      <c r="I138" s="2">
        <v>61.08</v>
      </c>
      <c r="S138" s="1"/>
    </row>
    <row r="139" spans="1:19" x14ac:dyDescent="0.2">
      <c r="A139" s="13">
        <v>42419</v>
      </c>
      <c r="B139" s="3" t="s">
        <v>55</v>
      </c>
      <c r="R139" s="2">
        <v>124.45</v>
      </c>
    </row>
    <row r="140" spans="1:19" x14ac:dyDescent="0.2">
      <c r="A140" s="13">
        <v>42419</v>
      </c>
      <c r="B140" s="68" t="s">
        <v>58</v>
      </c>
      <c r="O140" s="2">
        <v>310.08</v>
      </c>
      <c r="P140" s="2">
        <v>16.11</v>
      </c>
      <c r="Q140" s="2">
        <v>162.38</v>
      </c>
      <c r="S140" s="1"/>
    </row>
    <row r="141" spans="1:19" x14ac:dyDescent="0.2">
      <c r="A141" s="13">
        <v>42419</v>
      </c>
      <c r="B141" s="3" t="s">
        <v>58</v>
      </c>
      <c r="N141" s="2">
        <v>560.85</v>
      </c>
    </row>
    <row r="142" spans="1:19" x14ac:dyDescent="0.2">
      <c r="A142" s="13">
        <v>42422</v>
      </c>
      <c r="B142" s="68" t="s">
        <v>55</v>
      </c>
      <c r="R142" s="2">
        <v>403.25</v>
      </c>
    </row>
    <row r="143" spans="1:19" x14ac:dyDescent="0.2">
      <c r="A143" s="13">
        <v>42422</v>
      </c>
      <c r="B143" s="3" t="s">
        <v>58</v>
      </c>
      <c r="G143" s="2">
        <v>-9.89</v>
      </c>
      <c r="I143" s="2">
        <f>-11.16-10.51</f>
        <v>-21.67</v>
      </c>
      <c r="L143" s="2">
        <f>16.65+481.4+96.35+517.2+411.74+18.48</f>
        <v>1541.82</v>
      </c>
      <c r="S143" s="1"/>
    </row>
    <row r="144" spans="1:19" x14ac:dyDescent="0.2">
      <c r="A144" s="13">
        <v>42422</v>
      </c>
      <c r="B144" s="3" t="s">
        <v>57</v>
      </c>
      <c r="N144" s="2">
        <v>356.9</v>
      </c>
    </row>
    <row r="145" spans="1:22" x14ac:dyDescent="0.2">
      <c r="A145" s="67">
        <v>42423</v>
      </c>
      <c r="B145" s="68" t="s">
        <v>55</v>
      </c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>
        <v>176.77</v>
      </c>
      <c r="S145" s="69"/>
      <c r="T145" s="69"/>
      <c r="U145" s="69"/>
      <c r="V145" s="71"/>
    </row>
    <row r="146" spans="1:22" x14ac:dyDescent="0.2">
      <c r="A146" s="13">
        <v>42424</v>
      </c>
      <c r="B146" s="3" t="s">
        <v>58</v>
      </c>
      <c r="G146" s="2">
        <v>468.65</v>
      </c>
      <c r="I146" s="2">
        <v>187.18</v>
      </c>
      <c r="S146" s="1"/>
    </row>
    <row r="147" spans="1:22" x14ac:dyDescent="0.2">
      <c r="A147" s="13">
        <v>42426</v>
      </c>
      <c r="B147" s="3" t="s">
        <v>66</v>
      </c>
      <c r="S147" s="1"/>
      <c r="T147" s="2">
        <v>328</v>
      </c>
    </row>
    <row r="148" spans="1:22" x14ac:dyDescent="0.2">
      <c r="A148" s="13">
        <v>42426</v>
      </c>
      <c r="B148" s="3" t="s">
        <v>58</v>
      </c>
      <c r="J148" s="2">
        <v>248.48</v>
      </c>
    </row>
    <row r="149" spans="1:22" x14ac:dyDescent="0.2">
      <c r="A149" s="13">
        <v>42429</v>
      </c>
      <c r="B149" s="3" t="s">
        <v>58</v>
      </c>
      <c r="G149" s="2">
        <v>-24.65</v>
      </c>
    </row>
    <row r="150" spans="1:22" x14ac:dyDescent="0.2">
      <c r="A150" s="13">
        <v>42430</v>
      </c>
      <c r="B150" s="3" t="s">
        <v>58</v>
      </c>
      <c r="L150" s="2">
        <v>-14.2</v>
      </c>
    </row>
    <row r="151" spans="1:22" x14ac:dyDescent="0.2">
      <c r="A151" s="13">
        <v>42432</v>
      </c>
      <c r="B151" s="3" t="s">
        <v>55</v>
      </c>
      <c r="R151" s="2">
        <v>65.37</v>
      </c>
    </row>
    <row r="152" spans="1:22" x14ac:dyDescent="0.2">
      <c r="A152" s="13">
        <v>42433</v>
      </c>
      <c r="B152" s="3" t="s">
        <v>55</v>
      </c>
      <c r="R152" s="2">
        <v>75.930000000000007</v>
      </c>
    </row>
    <row r="153" spans="1:22" x14ac:dyDescent="0.2">
      <c r="A153" s="13">
        <v>42433</v>
      </c>
      <c r="B153" s="3" t="s">
        <v>58</v>
      </c>
      <c r="O153" s="2">
        <v>137.34</v>
      </c>
      <c r="Q153" s="2">
        <v>64.680000000000007</v>
      </c>
    </row>
    <row r="154" spans="1:22" x14ac:dyDescent="0.2">
      <c r="A154" s="13">
        <v>42433</v>
      </c>
      <c r="B154" s="3" t="s">
        <v>57</v>
      </c>
      <c r="N154" s="2">
        <v>82.98</v>
      </c>
    </row>
    <row r="155" spans="1:22" x14ac:dyDescent="0.2">
      <c r="A155" s="13">
        <v>42433</v>
      </c>
      <c r="B155" s="3" t="s">
        <v>58</v>
      </c>
      <c r="N155" s="2">
        <v>633.98</v>
      </c>
    </row>
    <row r="156" spans="1:22" x14ac:dyDescent="0.2">
      <c r="A156" s="13">
        <v>42436</v>
      </c>
      <c r="B156" s="3" t="s">
        <v>55</v>
      </c>
      <c r="Q156" s="2">
        <v>19.7</v>
      </c>
      <c r="R156" s="2">
        <v>33.770000000000003</v>
      </c>
    </row>
    <row r="157" spans="1:22" x14ac:dyDescent="0.2">
      <c r="A157" s="13">
        <v>42436</v>
      </c>
      <c r="B157" s="3" t="s">
        <v>58</v>
      </c>
      <c r="G157" s="2">
        <v>243.61</v>
      </c>
      <c r="I157" s="2">
        <v>426.37</v>
      </c>
    </row>
    <row r="158" spans="1:22" x14ac:dyDescent="0.2">
      <c r="A158" s="13">
        <v>42437</v>
      </c>
      <c r="B158" s="3" t="s">
        <v>58</v>
      </c>
      <c r="R158" s="2">
        <v>75.34</v>
      </c>
    </row>
    <row r="159" spans="1:22" x14ac:dyDescent="0.2">
      <c r="A159" s="13">
        <v>42437</v>
      </c>
      <c r="B159" s="3" t="s">
        <v>55</v>
      </c>
      <c r="R159" s="2">
        <v>200.03</v>
      </c>
    </row>
    <row r="160" spans="1:22" x14ac:dyDescent="0.2">
      <c r="A160" s="13">
        <v>42439</v>
      </c>
      <c r="B160" s="3" t="s">
        <v>58</v>
      </c>
      <c r="G160" s="2">
        <v>-12.35</v>
      </c>
    </row>
    <row r="161" spans="1:24" x14ac:dyDescent="0.2">
      <c r="A161" s="13">
        <v>42445</v>
      </c>
      <c r="B161" s="3" t="s">
        <v>64</v>
      </c>
      <c r="K161" s="2">
        <v>65.5</v>
      </c>
    </row>
    <row r="162" spans="1:24" x14ac:dyDescent="0.2">
      <c r="A162" s="13">
        <v>42447</v>
      </c>
      <c r="B162" s="3" t="s">
        <v>55</v>
      </c>
      <c r="R162" s="2">
        <v>146.31</v>
      </c>
    </row>
    <row r="163" spans="1:24" x14ac:dyDescent="0.2">
      <c r="A163" s="13">
        <v>42447</v>
      </c>
      <c r="B163" s="3" t="s">
        <v>58</v>
      </c>
      <c r="G163" s="2">
        <v>155.38999999999999</v>
      </c>
      <c r="I163" s="2">
        <v>284.23</v>
      </c>
      <c r="N163" s="69">
        <v>767.6</v>
      </c>
    </row>
    <row r="164" spans="1:24" x14ac:dyDescent="0.2">
      <c r="A164" s="13">
        <v>42449</v>
      </c>
      <c r="B164" s="3" t="s">
        <v>55</v>
      </c>
      <c r="M164" s="2">
        <v>260.42</v>
      </c>
    </row>
    <row r="165" spans="1:24" x14ac:dyDescent="0.2">
      <c r="A165" s="13">
        <v>42450</v>
      </c>
      <c r="B165" s="3" t="s">
        <v>55</v>
      </c>
      <c r="R165" s="2">
        <v>556.66</v>
      </c>
      <c r="S165" s="1"/>
    </row>
    <row r="166" spans="1:24" s="9" customFormat="1" x14ac:dyDescent="0.2">
      <c r="A166" s="13">
        <v>42450</v>
      </c>
      <c r="B166" s="3" t="s">
        <v>58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>
        <v>59.01</v>
      </c>
      <c r="P166" s="2">
        <v>73.290000000000006</v>
      </c>
      <c r="Q166" s="2">
        <v>122.5</v>
      </c>
      <c r="R166" s="2"/>
      <c r="S166" s="2"/>
      <c r="T166" s="2"/>
      <c r="U166" s="2"/>
      <c r="V166" s="19"/>
      <c r="W166" s="3"/>
      <c r="X166" s="3"/>
    </row>
    <row r="167" spans="1:24" x14ac:dyDescent="0.2">
      <c r="A167" s="13">
        <v>42453</v>
      </c>
      <c r="B167" s="3" t="s">
        <v>55</v>
      </c>
      <c r="R167" s="2">
        <v>84.48</v>
      </c>
      <c r="U167" s="8"/>
      <c r="V167" s="21"/>
    </row>
    <row r="168" spans="1:24" x14ac:dyDescent="0.2">
      <c r="A168" s="13">
        <v>42454</v>
      </c>
      <c r="B168" s="3" t="s">
        <v>58</v>
      </c>
      <c r="G168" s="2">
        <v>71.27</v>
      </c>
      <c r="I168" s="2">
        <v>100.17</v>
      </c>
    </row>
    <row r="169" spans="1:24" x14ac:dyDescent="0.2">
      <c r="A169" s="13">
        <v>42457</v>
      </c>
      <c r="B169" s="3" t="s">
        <v>55</v>
      </c>
      <c r="R169" s="2">
        <f>157.25+105.97</f>
        <v>263.22000000000003</v>
      </c>
    </row>
    <row r="170" spans="1:24" x14ac:dyDescent="0.2">
      <c r="A170" s="13">
        <v>42457</v>
      </c>
      <c r="B170" s="3" t="s">
        <v>58</v>
      </c>
      <c r="O170" s="2">
        <v>160.84</v>
      </c>
      <c r="P170" s="2">
        <v>13.27</v>
      </c>
      <c r="Q170" s="2">
        <v>36.700000000000003</v>
      </c>
    </row>
    <row r="171" spans="1:24" x14ac:dyDescent="0.2">
      <c r="A171" s="13">
        <v>42457</v>
      </c>
      <c r="B171" s="3" t="s">
        <v>58</v>
      </c>
      <c r="L171" s="2">
        <f>18.31+409.01+353.89</f>
        <v>781.21</v>
      </c>
    </row>
    <row r="172" spans="1:24" x14ac:dyDescent="0.2">
      <c r="A172" s="13">
        <v>42458</v>
      </c>
      <c r="B172" s="3" t="s">
        <v>66</v>
      </c>
      <c r="T172" s="2">
        <v>296</v>
      </c>
      <c r="W172" s="9"/>
      <c r="X172" s="9"/>
    </row>
    <row r="173" spans="1:24" s="68" customFormat="1" x14ac:dyDescent="0.2">
      <c r="A173" s="13">
        <v>42459</v>
      </c>
      <c r="B173" s="3" t="s">
        <v>58</v>
      </c>
      <c r="C173" s="2"/>
      <c r="D173" s="2"/>
      <c r="E173" s="2"/>
      <c r="F173" s="2"/>
      <c r="G173" s="2"/>
      <c r="H173" s="2"/>
      <c r="I173" s="2"/>
      <c r="J173" s="2"/>
      <c r="K173" s="2"/>
      <c r="L173" s="2">
        <v>1204.79</v>
      </c>
      <c r="M173" s="2"/>
      <c r="N173" s="2"/>
      <c r="O173" s="2">
        <v>-10.63</v>
      </c>
      <c r="P173" s="2"/>
      <c r="Q173" s="2"/>
      <c r="R173" s="2"/>
      <c r="S173" s="82"/>
      <c r="T173" s="2"/>
      <c r="U173" s="2"/>
      <c r="V173" s="19"/>
      <c r="W173" s="3">
        <v>-9.3000000000000007</v>
      </c>
      <c r="X173" s="3"/>
    </row>
    <row r="174" spans="1:24" x14ac:dyDescent="0.2">
      <c r="A174" s="13">
        <v>42461</v>
      </c>
      <c r="B174" s="3" t="s">
        <v>55</v>
      </c>
      <c r="R174" s="2">
        <v>66.72</v>
      </c>
    </row>
    <row r="175" spans="1:24" x14ac:dyDescent="0.2">
      <c r="A175" s="13">
        <v>42461</v>
      </c>
      <c r="B175" s="3" t="s">
        <v>57</v>
      </c>
      <c r="N175" s="2">
        <v>84.95</v>
      </c>
    </row>
    <row r="176" spans="1:24" x14ac:dyDescent="0.2">
      <c r="A176" s="13">
        <v>42461</v>
      </c>
      <c r="B176" s="3" t="s">
        <v>81</v>
      </c>
      <c r="T176" s="2">
        <v>3633.23</v>
      </c>
    </row>
    <row r="177" spans="1:24" x14ac:dyDescent="0.2">
      <c r="A177" s="13">
        <v>42464</v>
      </c>
      <c r="B177" s="3" t="s">
        <v>55</v>
      </c>
      <c r="R177" s="2">
        <v>54.47</v>
      </c>
    </row>
    <row r="178" spans="1:24" x14ac:dyDescent="0.2">
      <c r="A178" s="13">
        <v>42465</v>
      </c>
      <c r="B178" s="3" t="s">
        <v>55</v>
      </c>
      <c r="Q178" s="2">
        <v>68.81</v>
      </c>
    </row>
    <row r="179" spans="1:24" x14ac:dyDescent="0.2">
      <c r="A179" s="13">
        <v>42465</v>
      </c>
      <c r="B179" s="3" t="s">
        <v>58</v>
      </c>
      <c r="G179" s="2">
        <v>291.39</v>
      </c>
      <c r="I179" s="2">
        <v>318.77</v>
      </c>
      <c r="N179" s="2">
        <v>424.15</v>
      </c>
    </row>
    <row r="180" spans="1:24" x14ac:dyDescent="0.2">
      <c r="A180" s="13">
        <v>42466</v>
      </c>
      <c r="B180" s="3" t="s">
        <v>58</v>
      </c>
      <c r="N180" s="2">
        <v>-27.5</v>
      </c>
    </row>
    <row r="181" spans="1:24" x14ac:dyDescent="0.2">
      <c r="A181" s="13">
        <v>42470</v>
      </c>
      <c r="B181" s="3" t="s">
        <v>55</v>
      </c>
      <c r="M181" s="2">
        <v>579.09</v>
      </c>
    </row>
    <row r="182" spans="1:24" x14ac:dyDescent="0.2">
      <c r="A182" s="13">
        <v>42472</v>
      </c>
      <c r="B182" s="3" t="s">
        <v>58</v>
      </c>
      <c r="G182" s="2">
        <v>563</v>
      </c>
      <c r="I182" s="2">
        <v>546.48</v>
      </c>
      <c r="R182" s="2">
        <v>104.65</v>
      </c>
      <c r="W182" s="68"/>
      <c r="X182" s="68"/>
    </row>
    <row r="183" spans="1:24" x14ac:dyDescent="0.2">
      <c r="A183" s="13">
        <v>42472</v>
      </c>
      <c r="B183" s="3" t="s">
        <v>55</v>
      </c>
      <c r="R183" s="2">
        <v>591.16</v>
      </c>
    </row>
    <row r="184" spans="1:24" x14ac:dyDescent="0.2">
      <c r="A184" s="13">
        <v>42473</v>
      </c>
      <c r="B184" s="68" t="s">
        <v>55</v>
      </c>
      <c r="R184" s="2">
        <f>947.5+217.59</f>
        <v>1165.0899999999999</v>
      </c>
    </row>
    <row r="185" spans="1:24" s="68" customFormat="1" x14ac:dyDescent="0.2">
      <c r="A185" s="13">
        <v>42474</v>
      </c>
      <c r="B185" s="68" t="s">
        <v>58</v>
      </c>
      <c r="C185" s="2"/>
      <c r="D185" s="2"/>
      <c r="E185" s="2"/>
      <c r="F185" s="2"/>
      <c r="G185" s="2">
        <v>55.33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19"/>
      <c r="W185" s="3"/>
      <c r="X185" s="3"/>
    </row>
    <row r="186" spans="1:24" x14ac:dyDescent="0.2">
      <c r="A186" s="13">
        <v>42474</v>
      </c>
      <c r="B186" s="3" t="s">
        <v>55</v>
      </c>
      <c r="R186" s="2">
        <v>285.86</v>
      </c>
    </row>
    <row r="187" spans="1:24" x14ac:dyDescent="0.2">
      <c r="A187" s="13">
        <v>42475</v>
      </c>
      <c r="B187" s="3" t="s">
        <v>55</v>
      </c>
      <c r="R187" s="2">
        <f>423.5+59.19</f>
        <v>482.69</v>
      </c>
    </row>
    <row r="188" spans="1:24" x14ac:dyDescent="0.2">
      <c r="A188" s="13">
        <v>42479</v>
      </c>
      <c r="B188" s="3" t="s">
        <v>55</v>
      </c>
      <c r="R188" s="2">
        <v>142.53</v>
      </c>
    </row>
    <row r="189" spans="1:24" x14ac:dyDescent="0.2">
      <c r="A189" s="13">
        <v>42479</v>
      </c>
      <c r="B189" s="3" t="s">
        <v>57</v>
      </c>
      <c r="N189" s="2">
        <v>74.989999999999995</v>
      </c>
    </row>
    <row r="190" spans="1:24" x14ac:dyDescent="0.2">
      <c r="A190" s="13">
        <v>42480</v>
      </c>
      <c r="B190" s="3" t="s">
        <v>55</v>
      </c>
      <c r="R190" s="2">
        <f>51.76+161.07+617.43</f>
        <v>830.26</v>
      </c>
      <c r="W190" s="68"/>
      <c r="X190" s="68"/>
    </row>
    <row r="191" spans="1:24" x14ac:dyDescent="0.2">
      <c r="A191" s="13">
        <v>42480</v>
      </c>
      <c r="B191" s="3" t="s">
        <v>58</v>
      </c>
      <c r="J191" s="2">
        <v>313.12</v>
      </c>
      <c r="L191" s="2">
        <f>80.92+79.14+98.87</f>
        <v>258.93</v>
      </c>
      <c r="O191" s="2">
        <v>203.16</v>
      </c>
      <c r="P191" s="2">
        <v>42.8</v>
      </c>
      <c r="Q191" s="2">
        <v>274.72000000000003</v>
      </c>
    </row>
    <row r="192" spans="1:24" x14ac:dyDescent="0.2">
      <c r="A192" s="13">
        <v>42480</v>
      </c>
      <c r="B192" s="3" t="s">
        <v>58</v>
      </c>
      <c r="G192" s="2">
        <v>92.82</v>
      </c>
      <c r="H192" s="2">
        <v>360.92</v>
      </c>
      <c r="I192" s="2">
        <v>76.02</v>
      </c>
    </row>
    <row r="193" spans="1:23" x14ac:dyDescent="0.2">
      <c r="A193" s="13">
        <v>42481</v>
      </c>
      <c r="B193" s="3" t="s">
        <v>58</v>
      </c>
      <c r="L193" s="2">
        <f>38.28+24.036+358.91</f>
        <v>421.226</v>
      </c>
    </row>
    <row r="194" spans="1:23" x14ac:dyDescent="0.2">
      <c r="A194" s="13">
        <v>42482</v>
      </c>
      <c r="B194" s="3" t="s">
        <v>66</v>
      </c>
      <c r="T194" s="2">
        <v>327.5</v>
      </c>
    </row>
    <row r="195" spans="1:23" x14ac:dyDescent="0.2">
      <c r="A195" s="67">
        <v>42487</v>
      </c>
      <c r="B195" s="68" t="s">
        <v>55</v>
      </c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>
        <v>68.489999999999995</v>
      </c>
      <c r="Q195" s="69"/>
      <c r="R195" s="69"/>
      <c r="S195" s="69"/>
      <c r="T195" s="69"/>
      <c r="U195" s="69"/>
      <c r="V195" s="71"/>
    </row>
    <row r="196" spans="1:23" x14ac:dyDescent="0.2">
      <c r="A196" s="13">
        <v>42487</v>
      </c>
      <c r="B196" s="3" t="s">
        <v>58</v>
      </c>
      <c r="Q196" s="2">
        <v>27.66</v>
      </c>
    </row>
    <row r="197" spans="1:23" x14ac:dyDescent="0.2">
      <c r="A197" s="13">
        <v>42492</v>
      </c>
      <c r="B197" s="3" t="s">
        <v>55</v>
      </c>
      <c r="P197" s="2">
        <f>26.21+31.71+28.86</f>
        <v>86.78</v>
      </c>
      <c r="R197" s="2">
        <v>585.66999999999996</v>
      </c>
    </row>
    <row r="198" spans="1:23" x14ac:dyDescent="0.2">
      <c r="A198" s="13">
        <v>42493</v>
      </c>
      <c r="B198" s="3" t="s">
        <v>58</v>
      </c>
      <c r="N198" s="2">
        <v>210.81</v>
      </c>
      <c r="R198" s="2">
        <v>820.4</v>
      </c>
    </row>
    <row r="199" spans="1:23" x14ac:dyDescent="0.2">
      <c r="A199" s="13">
        <v>42494</v>
      </c>
      <c r="B199" s="3" t="s">
        <v>58</v>
      </c>
      <c r="L199" s="2">
        <f>18.59+560.82+230.42+116.82</f>
        <v>926.65000000000009</v>
      </c>
    </row>
    <row r="200" spans="1:23" x14ac:dyDescent="0.2">
      <c r="A200" s="13">
        <v>42495</v>
      </c>
      <c r="B200" s="3" t="s">
        <v>55</v>
      </c>
      <c r="R200" s="2">
        <v>174.82</v>
      </c>
    </row>
    <row r="201" spans="1:23" x14ac:dyDescent="0.2">
      <c r="A201" s="13">
        <v>42495</v>
      </c>
      <c r="B201" s="3" t="s">
        <v>58</v>
      </c>
      <c r="G201" s="2">
        <v>160</v>
      </c>
      <c r="I201" s="2">
        <v>142.69</v>
      </c>
      <c r="O201" s="2">
        <v>131.65</v>
      </c>
      <c r="Q201" s="2">
        <v>99.48</v>
      </c>
    </row>
    <row r="202" spans="1:23" x14ac:dyDescent="0.2">
      <c r="A202" s="67">
        <v>42495</v>
      </c>
      <c r="B202" s="68" t="s">
        <v>63</v>
      </c>
      <c r="C202" s="69"/>
      <c r="D202" s="69"/>
      <c r="E202" s="69"/>
      <c r="F202" s="69"/>
      <c r="G202" s="69">
        <v>1924.38</v>
      </c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71"/>
    </row>
    <row r="203" spans="1:23" s="68" customFormat="1" x14ac:dyDescent="0.2">
      <c r="A203" s="13">
        <v>42499</v>
      </c>
      <c r="B203" s="3" t="s">
        <v>67</v>
      </c>
      <c r="C203" s="2"/>
      <c r="D203" s="2"/>
      <c r="E203" s="2"/>
      <c r="F203" s="2"/>
      <c r="G203" s="2"/>
      <c r="H203" s="2"/>
      <c r="I203" s="2"/>
      <c r="J203" s="2"/>
      <c r="K203" s="2"/>
      <c r="L203" s="2">
        <v>193.91</v>
      </c>
      <c r="M203" s="2"/>
      <c r="N203" s="2"/>
      <c r="O203" s="2"/>
      <c r="P203" s="2"/>
      <c r="Q203" s="2"/>
      <c r="R203" s="2"/>
      <c r="S203" s="2"/>
      <c r="T203" s="2"/>
      <c r="U203" s="2"/>
      <c r="V203" s="19"/>
    </row>
    <row r="204" spans="1:23" x14ac:dyDescent="0.2">
      <c r="A204" s="13">
        <v>42499</v>
      </c>
      <c r="B204" s="3" t="s">
        <v>58</v>
      </c>
      <c r="G204" s="2">
        <f>-10.54-10.54-9.89-14.36</f>
        <v>-45.33</v>
      </c>
    </row>
    <row r="205" spans="1:23" x14ac:dyDescent="0.2">
      <c r="A205" s="13">
        <v>42500</v>
      </c>
      <c r="B205" s="3" t="s">
        <v>55</v>
      </c>
      <c r="R205" s="2">
        <v>49.69</v>
      </c>
      <c r="S205" s="1"/>
    </row>
    <row r="206" spans="1:23" x14ac:dyDescent="0.2">
      <c r="A206" s="13">
        <v>42501</v>
      </c>
      <c r="B206" s="3" t="s">
        <v>55</v>
      </c>
      <c r="G206" s="2">
        <v>-9.92</v>
      </c>
      <c r="R206" s="2">
        <v>79.92</v>
      </c>
    </row>
    <row r="207" spans="1:23" x14ac:dyDescent="0.2">
      <c r="A207" s="13">
        <v>42501</v>
      </c>
      <c r="B207" s="3" t="s">
        <v>58</v>
      </c>
      <c r="W207" s="3">
        <v>-9.92</v>
      </c>
    </row>
    <row r="208" spans="1:23" s="76" customFormat="1" x14ac:dyDescent="0.2">
      <c r="A208" s="13">
        <v>42503</v>
      </c>
      <c r="B208" s="3" t="s">
        <v>55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>
        <v>71.38</v>
      </c>
      <c r="R208" s="2"/>
      <c r="S208" s="2"/>
      <c r="T208" s="2"/>
      <c r="U208" s="2"/>
      <c r="V208" s="19"/>
    </row>
    <row r="209" spans="1:20" x14ac:dyDescent="0.2">
      <c r="A209" s="13">
        <v>42494</v>
      </c>
      <c r="B209" s="3" t="s">
        <v>68</v>
      </c>
      <c r="S209" s="2">
        <v>300</v>
      </c>
    </row>
    <row r="210" spans="1:20" x14ac:dyDescent="0.2">
      <c r="A210" s="13">
        <v>42496</v>
      </c>
      <c r="B210" s="3" t="s">
        <v>82</v>
      </c>
      <c r="T210" s="2">
        <v>60</v>
      </c>
    </row>
    <row r="211" spans="1:20" x14ac:dyDescent="0.2">
      <c r="A211" s="13">
        <v>42499</v>
      </c>
      <c r="B211" s="3" t="s">
        <v>57</v>
      </c>
      <c r="L211" s="2">
        <v>235</v>
      </c>
    </row>
    <row r="212" spans="1:20" x14ac:dyDescent="0.2">
      <c r="A212" s="13">
        <v>42508</v>
      </c>
      <c r="B212" s="3" t="s">
        <v>55</v>
      </c>
      <c r="R212" s="2">
        <v>88.97</v>
      </c>
    </row>
    <row r="213" spans="1:20" x14ac:dyDescent="0.2">
      <c r="A213" s="13">
        <v>42500</v>
      </c>
      <c r="B213" s="3" t="s">
        <v>55</v>
      </c>
      <c r="M213" s="2">
        <v>209.13</v>
      </c>
    </row>
    <row r="214" spans="1:20" x14ac:dyDescent="0.2">
      <c r="A214" s="13">
        <v>42513</v>
      </c>
      <c r="B214" s="3" t="s">
        <v>55</v>
      </c>
      <c r="R214" s="2">
        <v>24.87</v>
      </c>
    </row>
    <row r="215" spans="1:20" x14ac:dyDescent="0.2">
      <c r="A215" s="13">
        <v>42523</v>
      </c>
      <c r="B215" s="3" t="s">
        <v>55</v>
      </c>
      <c r="M215" s="2">
        <v>211.98</v>
      </c>
    </row>
    <row r="216" spans="1:20" x14ac:dyDescent="0.2">
      <c r="A216" s="13">
        <v>42531</v>
      </c>
      <c r="B216" s="3" t="s">
        <v>57</v>
      </c>
      <c r="N216" s="2">
        <v>39.99</v>
      </c>
    </row>
    <row r="217" spans="1:20" x14ac:dyDescent="0.2">
      <c r="A217" s="13">
        <v>42527</v>
      </c>
      <c r="B217" s="3" t="s">
        <v>57</v>
      </c>
      <c r="N217" s="2">
        <v>16.95</v>
      </c>
    </row>
    <row r="218" spans="1:20" x14ac:dyDescent="0.2">
      <c r="A218" s="13">
        <v>42548</v>
      </c>
      <c r="B218" s="3" t="s">
        <v>66</v>
      </c>
      <c r="T218" s="2">
        <v>635.25</v>
      </c>
    </row>
    <row r="219" spans="1:20" x14ac:dyDescent="0.2">
      <c r="A219" s="13">
        <v>42509</v>
      </c>
      <c r="B219" s="3" t="s">
        <v>58</v>
      </c>
      <c r="L219" s="2">
        <v>-15.29</v>
      </c>
    </row>
    <row r="220" spans="1:20" x14ac:dyDescent="0.2">
      <c r="A220" s="13">
        <v>42534</v>
      </c>
      <c r="B220" s="3" t="s">
        <v>58</v>
      </c>
      <c r="Q220" s="2">
        <v>-13.83</v>
      </c>
    </row>
    <row r="221" spans="1:20" x14ac:dyDescent="0.2">
      <c r="A221" s="13">
        <v>42537</v>
      </c>
      <c r="B221" s="3" t="s">
        <v>58</v>
      </c>
      <c r="L221" s="2">
        <v>-7.97</v>
      </c>
    </row>
    <row r="222" spans="1:20" x14ac:dyDescent="0.2">
      <c r="A222" s="13">
        <v>42556</v>
      </c>
      <c r="B222" s="3" t="s">
        <v>58</v>
      </c>
      <c r="G222" s="2">
        <v>-13.75</v>
      </c>
    </row>
    <row r="223" spans="1:20" x14ac:dyDescent="0.2">
      <c r="A223" s="13">
        <v>42548</v>
      </c>
      <c r="B223" s="3" t="s">
        <v>57</v>
      </c>
      <c r="N223" s="2">
        <v>13.9</v>
      </c>
    </row>
    <row r="224" spans="1:20" x14ac:dyDescent="0.2">
      <c r="A224" s="13">
        <v>42573</v>
      </c>
      <c r="B224" s="3" t="s">
        <v>58</v>
      </c>
      <c r="G224" s="2">
        <f>-9.76-9.76</f>
        <v>-19.52</v>
      </c>
      <c r="I224" s="2">
        <f>-16.5-14.28</f>
        <v>-30.78</v>
      </c>
      <c r="T224" s="74"/>
    </row>
    <row r="232" spans="1:22" s="76" customFormat="1" x14ac:dyDescent="0.2">
      <c r="A232" s="75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7"/>
    </row>
    <row r="234" spans="1:22" x14ac:dyDescent="0.2">
      <c r="T234" s="74"/>
    </row>
  </sheetData>
  <sortState ref="A174:X201">
    <sortCondition ref="A201"/>
  </sortState>
  <phoneticPr fontId="1" type="noConversion"/>
  <pageMargins left="0.18" right="0.18" top="1" bottom="1" header="0.5" footer="0.5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Itemized</vt:lpstr>
    </vt:vector>
  </TitlesOfParts>
  <Company>Town of Greenfield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chkout01</cp:lastModifiedBy>
  <cp:lastPrinted>2016-05-05T20:27:16Z</cp:lastPrinted>
  <dcterms:created xsi:type="dcterms:W3CDTF">2009-03-16T17:10:57Z</dcterms:created>
  <dcterms:modified xsi:type="dcterms:W3CDTF">2016-08-17T13:17:09Z</dcterms:modified>
</cp:coreProperties>
</file>