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book order information\"/>
    </mc:Choice>
  </mc:AlternateContent>
  <bookViews>
    <workbookView xWindow="-1020" yWindow="-105" windowWidth="6165" windowHeight="8325"/>
  </bookViews>
  <sheets>
    <sheet name="Totals" sheetId="1" r:id="rId1"/>
    <sheet name="Itemized" sheetId="2" r:id="rId2"/>
  </sheets>
  <calcPr calcId="162913"/>
</workbook>
</file>

<file path=xl/calcChain.xml><?xml version="1.0" encoding="utf-8"?>
<calcChain xmlns="http://schemas.openxmlformats.org/spreadsheetml/2006/main">
  <c r="G235" i="2" l="1"/>
  <c r="C7" i="1" l="1"/>
  <c r="C4" i="1"/>
  <c r="C3" i="1" l="1"/>
  <c r="T228" i="2" l="1"/>
  <c r="C5" i="1" l="1"/>
  <c r="E221" i="2" l="1"/>
  <c r="I223" i="2" l="1"/>
  <c r="C8" i="1"/>
  <c r="C6" i="1"/>
  <c r="C16" i="1"/>
  <c r="E220" i="2" l="1"/>
  <c r="C15" i="1" l="1"/>
  <c r="E210" i="2"/>
  <c r="C10" i="1" l="1"/>
  <c r="C11" i="1"/>
  <c r="F213" i="2"/>
  <c r="I192" i="2" l="1"/>
  <c r="I194" i="2"/>
  <c r="F1" i="2" l="1"/>
  <c r="H1" i="2"/>
  <c r="J1" i="2"/>
  <c r="O1" i="2"/>
  <c r="P1" i="2"/>
  <c r="Q1" i="2"/>
  <c r="R1" i="2"/>
  <c r="S1" i="2"/>
  <c r="M160" i="2" l="1"/>
  <c r="D160" i="2"/>
  <c r="I153" i="2" l="1"/>
  <c r="D152" i="2" l="1"/>
  <c r="C145" i="2" l="1"/>
  <c r="D145" i="2"/>
  <c r="L139" i="2" l="1"/>
  <c r="I134" i="2" l="1"/>
  <c r="I118" i="2" l="1"/>
  <c r="N120" i="2" l="1"/>
  <c r="I103" i="2" l="1"/>
  <c r="I1" i="2" s="1"/>
  <c r="D104" i="2"/>
  <c r="N114" i="2"/>
  <c r="M89" i="2" l="1"/>
  <c r="M1" i="2" s="1"/>
  <c r="N59" i="2" l="1"/>
  <c r="G59" i="2"/>
  <c r="G1" i="2" s="1"/>
  <c r="T5" i="2" l="1"/>
  <c r="T1" i="2" s="1"/>
  <c r="D22" i="1" l="1"/>
  <c r="D48" i="2" l="1"/>
  <c r="D1" i="2" s="1"/>
  <c r="K46" i="2"/>
  <c r="K1" i="2" s="1"/>
  <c r="N41" i="2" l="1"/>
  <c r="N1" i="2" s="1"/>
  <c r="L16" i="2" l="1"/>
  <c r="L1" i="2" s="1"/>
  <c r="E8" i="2" l="1"/>
  <c r="E1" i="2" s="1"/>
  <c r="C11" i="2"/>
  <c r="C1" i="2" s="1"/>
  <c r="C14" i="1" l="1"/>
  <c r="D12" i="1" l="1"/>
  <c r="B23" i="1" l="1"/>
  <c r="D23" i="1" l="1"/>
  <c r="D15" i="1"/>
  <c r="E15" i="1" s="1"/>
  <c r="H15" i="1" s="1"/>
  <c r="D9" i="1"/>
  <c r="E9" i="1" s="1"/>
  <c r="H9" i="1" s="1"/>
  <c r="D16" i="1"/>
  <c r="D10" i="1"/>
  <c r="E10" i="1" s="1"/>
  <c r="H10" i="1" s="1"/>
  <c r="D11" i="1"/>
  <c r="E11" i="1" s="1"/>
  <c r="D13" i="1"/>
  <c r="E13" i="1" s="1"/>
  <c r="H13" i="1" s="1"/>
  <c r="D8" i="1"/>
  <c r="E8" i="1" s="1"/>
  <c r="H8" i="1" s="1"/>
  <c r="D6" i="1"/>
  <c r="E6" i="1" s="1"/>
  <c r="H6" i="1" s="1"/>
  <c r="B1" i="1"/>
  <c r="E21" i="1"/>
  <c r="E20" i="1" l="1"/>
  <c r="D4" i="1"/>
  <c r="E4" i="1" s="1"/>
  <c r="H4" i="1" s="1"/>
  <c r="D3" i="1"/>
  <c r="E3" i="1" s="1"/>
  <c r="H3" i="1" s="1"/>
  <c r="D14" i="1"/>
  <c r="E14" i="1" s="1"/>
  <c r="H14" i="1" s="1"/>
  <c r="C22" i="1"/>
  <c r="C21" i="1"/>
  <c r="H11" i="1"/>
  <c r="E22" i="1"/>
  <c r="D5" i="1"/>
  <c r="E5" i="1" s="1"/>
  <c r="H5" i="1" s="1"/>
  <c r="E16" i="1"/>
  <c r="D7" i="1"/>
  <c r="E7" i="1" s="1"/>
  <c r="H7" i="1" s="1"/>
  <c r="C17" i="1"/>
  <c r="E23" i="1" l="1"/>
  <c r="C23" i="1"/>
  <c r="D17" i="1"/>
  <c r="E17" i="1" s="1"/>
  <c r="H16" i="1"/>
  <c r="G13" i="1"/>
  <c r="G11" i="1"/>
  <c r="G9" i="1"/>
  <c r="G7" i="1"/>
  <c r="G5" i="1"/>
  <c r="G3" i="1"/>
  <c r="G15" i="1"/>
  <c r="G10" i="1"/>
  <c r="G8" i="1"/>
  <c r="G6" i="1"/>
  <c r="G4" i="1"/>
  <c r="G16" i="1"/>
  <c r="G14" i="1"/>
  <c r="H17" i="1" l="1"/>
  <c r="G17" i="1"/>
</calcChain>
</file>

<file path=xl/sharedStrings.xml><?xml version="1.0" encoding="utf-8"?>
<sst xmlns="http://schemas.openxmlformats.org/spreadsheetml/2006/main" count="318" uniqueCount="82">
  <si>
    <t>jbfic</t>
  </si>
  <si>
    <t>jbnon</t>
  </si>
  <si>
    <t>lpfic</t>
  </si>
  <si>
    <t>lpnon</t>
  </si>
  <si>
    <t>Selector</t>
  </si>
  <si>
    <t>Budget</t>
  </si>
  <si>
    <t>Spent to date</t>
  </si>
  <si>
    <t>Left to Spend</t>
  </si>
  <si>
    <t>To Date</t>
  </si>
  <si>
    <t>kl</t>
  </si>
  <si>
    <t>date</t>
  </si>
  <si>
    <t>BoCD</t>
  </si>
  <si>
    <t>DVD</t>
  </si>
  <si>
    <t>CD</t>
  </si>
  <si>
    <t xml:space="preserve"> </t>
  </si>
  <si>
    <t>Fiction</t>
  </si>
  <si>
    <t>Nonfiction</t>
  </si>
  <si>
    <t>Jane</t>
  </si>
  <si>
    <t>Teen</t>
  </si>
  <si>
    <t>Large Print</t>
  </si>
  <si>
    <t>Reference</t>
  </si>
  <si>
    <t>Kay</t>
  </si>
  <si>
    <t>Lisa</t>
  </si>
  <si>
    <t>Graphic Novels</t>
  </si>
  <si>
    <t>Magazines</t>
  </si>
  <si>
    <t>lpDVD</t>
  </si>
  <si>
    <t>vendor</t>
  </si>
  <si>
    <t>Databases</t>
  </si>
  <si>
    <t>Mags</t>
  </si>
  <si>
    <t>Category</t>
  </si>
  <si>
    <t>Misc.</t>
  </si>
  <si>
    <t>jbLP</t>
  </si>
  <si>
    <t>to spend</t>
  </si>
  <si>
    <t>% left</t>
  </si>
  <si>
    <t>% of</t>
  </si>
  <si>
    <t>Total</t>
  </si>
  <si>
    <t>Overdrive</t>
  </si>
  <si>
    <t>DBs</t>
  </si>
  <si>
    <t>Youth</t>
  </si>
  <si>
    <t>Notes</t>
  </si>
  <si>
    <t>Remaining</t>
  </si>
  <si>
    <t>left to spend overall</t>
  </si>
  <si>
    <t>ref</t>
  </si>
  <si>
    <t>Diane</t>
  </si>
  <si>
    <t>dhCD</t>
  </si>
  <si>
    <t>Hoopla</t>
  </si>
  <si>
    <t>dhBoCD</t>
  </si>
  <si>
    <t>Standing Orders</t>
  </si>
  <si>
    <t>Standing Orders (mixed Fic, NF, LP)</t>
  </si>
  <si>
    <t>Amazon</t>
  </si>
  <si>
    <t>tfnon</t>
  </si>
  <si>
    <t>B&amp;T</t>
  </si>
  <si>
    <t>NADA</t>
  </si>
  <si>
    <t>Recorded Books</t>
  </si>
  <si>
    <t>Tony</t>
  </si>
  <si>
    <t>smgns</t>
  </si>
  <si>
    <t>Steve</t>
  </si>
  <si>
    <t>teen</t>
  </si>
  <si>
    <t>Five Colleges</t>
  </si>
  <si>
    <t>Findaway</t>
  </si>
  <si>
    <t>Cavendish Square</t>
  </si>
  <si>
    <t>Baker Office</t>
  </si>
  <si>
    <t>`</t>
  </si>
  <si>
    <t>Craig Dudnick</t>
  </si>
  <si>
    <t>EDC</t>
  </si>
  <si>
    <t>Dex Media</t>
  </si>
  <si>
    <t>The Sun</t>
  </si>
  <si>
    <t>Bookpage</t>
  </si>
  <si>
    <t>C/W MARS</t>
  </si>
  <si>
    <t>Cox</t>
  </si>
  <si>
    <t>ABDO</t>
  </si>
  <si>
    <t>Wowbrary</t>
  </si>
  <si>
    <t>Midwest Tapes</t>
  </si>
  <si>
    <t>NEHGS</t>
  </si>
  <si>
    <t>Francesca and Steve</t>
  </si>
  <si>
    <t>EBSCO</t>
  </si>
  <si>
    <t>Lisa, Tony</t>
  </si>
  <si>
    <t>World Eye (SRP)</t>
  </si>
  <si>
    <t>Montague Reporter</t>
  </si>
  <si>
    <t>Cengage</t>
  </si>
  <si>
    <t>Blackstone</t>
  </si>
  <si>
    <t>B&amp;N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</si>
</sst>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m/d/yy;@"/>
  </numFmts>
  <fonts count="1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b/>
      <sz val="8"/>
      <color rgb="FF7030A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8"/>
      <color rgb="FFFF0000"/>
      <name val="Arial"/>
      <family val="2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0" fontId="1" fillId="0" borderId="1" xfId="0" applyNumberFormat="1" applyFont="1" applyBorder="1"/>
    <xf numFmtId="40" fontId="1" fillId="0" borderId="0" xfId="0" applyNumberFormat="1" applyFont="1"/>
    <xf numFmtId="40" fontId="3" fillId="0" borderId="1" xfId="0" applyNumberFormat="1" applyFont="1" applyBorder="1"/>
    <xf numFmtId="40" fontId="2" fillId="0" borderId="3" xfId="0" applyNumberFormat="1" applyFont="1" applyBorder="1" applyAlignment="1">
      <alignment horizontal="center"/>
    </xf>
    <xf numFmtId="40" fontId="2" fillId="0" borderId="4" xfId="0" applyNumberFormat="1" applyFont="1" applyBorder="1" applyAlignment="1">
      <alignment horizontal="center"/>
    </xf>
    <xf numFmtId="165" fontId="4" fillId="0" borderId="5" xfId="0" applyNumberFormat="1" applyFont="1" applyBorder="1"/>
    <xf numFmtId="165" fontId="2" fillId="0" borderId="6" xfId="0" applyNumberFormat="1" applyFont="1" applyBorder="1" applyAlignment="1">
      <alignment horizontal="center"/>
    </xf>
    <xf numFmtId="165" fontId="1" fillId="0" borderId="5" xfId="0" applyNumberFormat="1" applyFont="1" applyBorder="1"/>
    <xf numFmtId="40" fontId="2" fillId="0" borderId="6" xfId="0" applyNumberFormat="1" applyFont="1" applyBorder="1" applyAlignment="1">
      <alignment horizontal="center"/>
    </xf>
    <xf numFmtId="40" fontId="1" fillId="0" borderId="5" xfId="0" applyNumberFormat="1" applyFont="1" applyBorder="1"/>
    <xf numFmtId="0" fontId="5" fillId="0" borderId="0" xfId="0" applyFont="1"/>
    <xf numFmtId="14" fontId="6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0" fontId="7" fillId="0" borderId="0" xfId="0" applyFont="1"/>
    <xf numFmtId="9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9" fontId="6" fillId="0" borderId="0" xfId="0" applyNumberFormat="1" applyFont="1" applyFill="1"/>
    <xf numFmtId="9" fontId="6" fillId="0" borderId="0" xfId="0" applyNumberFormat="1" applyFont="1"/>
    <xf numFmtId="0" fontId="6" fillId="0" borderId="0" xfId="0" applyFont="1" applyFill="1" applyAlignment="1">
      <alignment wrapText="1"/>
    </xf>
    <xf numFmtId="0" fontId="6" fillId="0" borderId="0" xfId="0" applyFont="1" applyFill="1"/>
    <xf numFmtId="164" fontId="6" fillId="0" borderId="0" xfId="0" applyNumberFormat="1" applyFont="1" applyFill="1"/>
    <xf numFmtId="9" fontId="5" fillId="0" borderId="2" xfId="0" applyNumberFormat="1" applyFont="1" applyBorder="1"/>
    <xf numFmtId="0" fontId="6" fillId="0" borderId="0" xfId="0" applyFont="1" applyBorder="1"/>
    <xf numFmtId="164" fontId="6" fillId="0" borderId="0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9" fontId="6" fillId="0" borderId="0" xfId="0" applyNumberFormat="1" applyFont="1" applyBorder="1"/>
    <xf numFmtId="164" fontId="6" fillId="0" borderId="2" xfId="0" applyNumberFormat="1" applyFont="1" applyBorder="1"/>
    <xf numFmtId="164" fontId="10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2" xfId="0" applyNumberFormat="1" applyFont="1" applyBorder="1"/>
    <xf numFmtId="8" fontId="5" fillId="0" borderId="0" xfId="0" applyNumberFormat="1" applyFont="1"/>
    <xf numFmtId="8" fontId="7" fillId="0" borderId="0" xfId="0" applyNumberFormat="1" applyFont="1" applyAlignment="1">
      <alignment horizontal="center"/>
    </xf>
    <xf numFmtId="8" fontId="7" fillId="0" borderId="0" xfId="0" applyNumberFormat="1" applyFont="1" applyAlignment="1">
      <alignment horizontal="right"/>
    </xf>
    <xf numFmtId="8" fontId="8" fillId="0" borderId="2" xfId="0" applyNumberFormat="1" applyFont="1" applyBorder="1"/>
    <xf numFmtId="8" fontId="6" fillId="0" borderId="0" xfId="0" applyNumberFormat="1" applyFont="1"/>
    <xf numFmtId="8" fontId="7" fillId="0" borderId="0" xfId="0" applyNumberFormat="1" applyFont="1"/>
    <xf numFmtId="8" fontId="8" fillId="0" borderId="0" xfId="0" applyNumberFormat="1" applyFont="1"/>
    <xf numFmtId="8" fontId="8" fillId="0" borderId="0" xfId="0" applyNumberFormat="1" applyFont="1" applyBorder="1"/>
    <xf numFmtId="8" fontId="5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right"/>
    </xf>
    <xf numFmtId="8" fontId="6" fillId="0" borderId="0" xfId="0" applyNumberFormat="1" applyFont="1" applyFill="1" applyAlignment="1">
      <alignment horizontal="right" wrapText="1"/>
    </xf>
    <xf numFmtId="8" fontId="6" fillId="0" borderId="0" xfId="0" applyNumberFormat="1" applyFont="1" applyAlignment="1">
      <alignment horizontal="right" wrapText="1"/>
    </xf>
    <xf numFmtId="8" fontId="5" fillId="0" borderId="2" xfId="0" applyNumberFormat="1" applyFont="1" applyBorder="1"/>
    <xf numFmtId="40" fontId="11" fillId="0" borderId="1" xfId="0" applyNumberFormat="1" applyFont="1" applyBorder="1"/>
    <xf numFmtId="8" fontId="12" fillId="0" borderId="0" xfId="0" applyNumberFormat="1" applyFont="1"/>
    <xf numFmtId="8" fontId="7" fillId="0" borderId="0" xfId="0" applyNumberFormat="1" applyFont="1" applyFill="1" applyAlignment="1">
      <alignment horizontal="right" wrapText="1"/>
    </xf>
    <xf numFmtId="8" fontId="7" fillId="0" borderId="0" xfId="0" applyNumberFormat="1" applyFont="1" applyAlignment="1">
      <alignment horizontal="right" wrapText="1"/>
    </xf>
    <xf numFmtId="40" fontId="2" fillId="0" borderId="3" xfId="0" applyNumberFormat="1" applyFont="1" applyBorder="1" applyAlignment="1">
      <alignment horizontal="left"/>
    </xf>
    <xf numFmtId="0" fontId="5" fillId="0" borderId="0" xfId="0" applyFont="1" applyBorder="1"/>
    <xf numFmtId="9" fontId="5" fillId="2" borderId="0" xfId="0" applyNumberFormat="1" applyFont="1" applyFill="1" applyBorder="1"/>
    <xf numFmtId="0" fontId="5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24" sqref="A24"/>
    </sheetView>
  </sheetViews>
  <sheetFormatPr defaultColWidth="9.140625" defaultRowHeight="15" x14ac:dyDescent="0.25"/>
  <cols>
    <col min="1" max="1" width="14.5703125" style="17" customWidth="1"/>
    <col min="2" max="2" width="14.140625" style="17" customWidth="1"/>
    <col min="3" max="3" width="13.85546875" style="43" customWidth="1"/>
    <col min="4" max="4" width="13.5703125" style="13" customWidth="1"/>
    <col min="5" max="5" width="13.7109375" style="39" customWidth="1"/>
    <col min="6" max="6" width="1.85546875" style="13" customWidth="1"/>
    <col min="7" max="7" width="9.140625" style="21"/>
    <col min="8" max="8" width="9.5703125" style="21" customWidth="1"/>
    <col min="9" max="9" width="17.28515625" style="15" customWidth="1"/>
    <col min="10" max="16384" width="9.140625" style="17"/>
  </cols>
  <sheetData>
    <row r="1" spans="1:12" x14ac:dyDescent="0.25">
      <c r="A1" s="11" t="s">
        <v>8</v>
      </c>
      <c r="B1" s="12">
        <f ca="1">TODAY()</f>
        <v>42906</v>
      </c>
      <c r="C1" s="53"/>
      <c r="G1" s="16" t="s">
        <v>34</v>
      </c>
      <c r="H1" s="16" t="s">
        <v>33</v>
      </c>
    </row>
    <row r="2" spans="1:12" x14ac:dyDescent="0.25">
      <c r="A2" s="18" t="s">
        <v>29</v>
      </c>
      <c r="B2" s="18" t="s">
        <v>39</v>
      </c>
      <c r="C2" s="47" t="s">
        <v>5</v>
      </c>
      <c r="D2" s="34" t="s">
        <v>6</v>
      </c>
      <c r="E2" s="40" t="s">
        <v>7</v>
      </c>
      <c r="F2" s="17"/>
      <c r="G2" s="16" t="s">
        <v>35</v>
      </c>
      <c r="H2" s="16" t="s">
        <v>32</v>
      </c>
      <c r="I2" s="18" t="s">
        <v>4</v>
      </c>
    </row>
    <row r="3" spans="1:12" x14ac:dyDescent="0.25">
      <c r="A3" s="28" t="s">
        <v>15</v>
      </c>
      <c r="B3" s="18"/>
      <c r="C3" s="48">
        <f>19250-1000-456-120.6-148.05+10.57</f>
        <v>17535.920000000002</v>
      </c>
      <c r="D3" s="35">
        <f>Itemized!D1+Itemized!L1</f>
        <v>17636.630000000005</v>
      </c>
      <c r="E3" s="41">
        <f>C3-D3</f>
        <v>-100.71000000000276</v>
      </c>
      <c r="F3" s="17"/>
      <c r="G3" s="21">
        <f>C3/C17</f>
        <v>0.16700876190476191</v>
      </c>
      <c r="H3" s="16">
        <f>E3/C3</f>
        <v>-5.7430690833445153E-3</v>
      </c>
      <c r="I3" s="31" t="s">
        <v>22</v>
      </c>
    </row>
    <row r="4" spans="1:12" x14ac:dyDescent="0.25">
      <c r="A4" s="28" t="s">
        <v>16</v>
      </c>
      <c r="B4" s="18"/>
      <c r="C4" s="48">
        <f>10750+1000+1872.4+120.6+148.05+14.81+67.66</f>
        <v>13973.519999999999</v>
      </c>
      <c r="D4" s="35">
        <f>Itemized!C1+Itemized!F1+Itemized!M1</f>
        <v>14188.009999999998</v>
      </c>
      <c r="E4" s="41">
        <f>C4-D4</f>
        <v>-214.48999999999978</v>
      </c>
      <c r="F4" s="17"/>
      <c r="G4" s="21">
        <f>C4/C17</f>
        <v>0.13308114285714284</v>
      </c>
      <c r="H4" s="16">
        <f t="shared" ref="H4:H9" si="0">E4/C4</f>
        <v>-1.534974723620103E-2</v>
      </c>
      <c r="I4" s="31" t="s">
        <v>76</v>
      </c>
      <c r="L4" s="21"/>
    </row>
    <row r="5" spans="1:12" x14ac:dyDescent="0.25">
      <c r="A5" s="28" t="s">
        <v>23</v>
      </c>
      <c r="B5" s="18"/>
      <c r="C5" s="48">
        <f>1250+102.7-10.57</f>
        <v>1342.13</v>
      </c>
      <c r="D5" s="35">
        <f>Itemized!O1</f>
        <v>1342.13</v>
      </c>
      <c r="E5" s="41">
        <f t="shared" ref="E5:E11" si="1">C5-D5</f>
        <v>0</v>
      </c>
      <c r="F5" s="17"/>
      <c r="G5" s="21">
        <f>C5/C17</f>
        <v>1.2782190476190477E-2</v>
      </c>
      <c r="H5" s="16">
        <f t="shared" si="0"/>
        <v>0</v>
      </c>
      <c r="I5" s="31" t="s">
        <v>56</v>
      </c>
      <c r="L5" s="21"/>
    </row>
    <row r="6" spans="1:12" x14ac:dyDescent="0.25">
      <c r="A6" s="28" t="s">
        <v>19</v>
      </c>
      <c r="B6" s="18"/>
      <c r="C6" s="48">
        <f>4000-1872.4-129.3</f>
        <v>1998.3</v>
      </c>
      <c r="D6" s="35">
        <f>Itemized!E1</f>
        <v>1940.9</v>
      </c>
      <c r="E6" s="41">
        <f t="shared" si="1"/>
        <v>57.399999999999864</v>
      </c>
      <c r="F6" s="17"/>
      <c r="G6" s="21">
        <f>C6/C17</f>
        <v>1.9031428571428571E-2</v>
      </c>
      <c r="H6" s="16">
        <f t="shared" si="0"/>
        <v>2.8724415753390315E-2</v>
      </c>
      <c r="I6" s="31"/>
      <c r="L6" s="21"/>
    </row>
    <row r="7" spans="1:12" x14ac:dyDescent="0.25">
      <c r="A7" s="11" t="s">
        <v>20</v>
      </c>
      <c r="B7" s="18"/>
      <c r="C7" s="48">
        <f>1000-102.7-213.21-14.81-67.66</f>
        <v>601.62</v>
      </c>
      <c r="D7" s="35">
        <f>Itemized!H1</f>
        <v>576.58000000000004</v>
      </c>
      <c r="E7" s="41">
        <f t="shared" si="1"/>
        <v>25.039999999999964</v>
      </c>
      <c r="F7" s="17"/>
      <c r="G7" s="21">
        <f>C7/C17</f>
        <v>5.7297142857142859E-3</v>
      </c>
      <c r="H7" s="16">
        <f t="shared" si="0"/>
        <v>4.1620956750107983E-2</v>
      </c>
      <c r="I7" s="31" t="s">
        <v>22</v>
      </c>
      <c r="J7" s="21"/>
      <c r="L7" s="21"/>
    </row>
    <row r="8" spans="1:12" x14ac:dyDescent="0.25">
      <c r="A8" s="28" t="s">
        <v>18</v>
      </c>
      <c r="B8" s="18"/>
      <c r="C8" s="48">
        <f>3250</f>
        <v>3250</v>
      </c>
      <c r="D8" s="35">
        <f>Itemized!G1</f>
        <v>3238.9700000000007</v>
      </c>
      <c r="E8" s="41">
        <f t="shared" si="1"/>
        <v>11.029999999999291</v>
      </c>
      <c r="F8" s="17"/>
      <c r="G8" s="21">
        <f>C8/C17</f>
        <v>3.0952380952380953E-2</v>
      </c>
      <c r="H8" s="16">
        <f t="shared" si="0"/>
        <v>3.3938461538459354E-3</v>
      </c>
      <c r="I8" s="31" t="s">
        <v>74</v>
      </c>
      <c r="J8" s="43"/>
      <c r="K8" s="23"/>
      <c r="L8" s="20"/>
    </row>
    <row r="9" spans="1:12" x14ac:dyDescent="0.25">
      <c r="A9" s="28" t="s">
        <v>38</v>
      </c>
      <c r="B9" s="18"/>
      <c r="C9" s="48">
        <v>15000</v>
      </c>
      <c r="D9" s="35">
        <f>Itemized!I1</f>
        <v>18377.800000000007</v>
      </c>
      <c r="E9" s="41">
        <f t="shared" si="1"/>
        <v>-3377.8000000000065</v>
      </c>
      <c r="F9" s="17"/>
      <c r="G9" s="21">
        <f>C9/C17</f>
        <v>0.14285714285714285</v>
      </c>
      <c r="H9" s="16">
        <f t="shared" si="0"/>
        <v>-0.22518666666666709</v>
      </c>
      <c r="I9" s="31" t="s">
        <v>21</v>
      </c>
      <c r="L9" s="21"/>
    </row>
    <row r="10" spans="1:12" x14ac:dyDescent="0.25">
      <c r="A10" s="28" t="s">
        <v>11</v>
      </c>
      <c r="B10" s="18"/>
      <c r="C10" s="48">
        <f>5000+454.53</f>
        <v>5454.53</v>
      </c>
      <c r="D10" s="35">
        <f>Itemized!K1</f>
        <v>5479.5499999999993</v>
      </c>
      <c r="E10" s="41">
        <f t="shared" si="1"/>
        <v>-25.019999999999527</v>
      </c>
      <c r="F10" s="17"/>
      <c r="G10" s="21">
        <f>C10/C17</f>
        <v>5.1947904761904758E-2</v>
      </c>
      <c r="H10" s="16">
        <f t="shared" ref="H10:H16" si="2">E10/C10</f>
        <v>-4.5870129965367374E-3</v>
      </c>
      <c r="I10" s="31" t="s">
        <v>43</v>
      </c>
      <c r="K10" s="23"/>
      <c r="L10" s="20"/>
    </row>
    <row r="11" spans="1:12" x14ac:dyDescent="0.25">
      <c r="A11" s="28" t="s">
        <v>12</v>
      </c>
      <c r="B11" s="18"/>
      <c r="C11" s="48">
        <f>20000-454.53</f>
        <v>19545.47</v>
      </c>
      <c r="D11" s="35">
        <f>Itemized!N1</f>
        <v>19421.369999999995</v>
      </c>
      <c r="E11" s="41">
        <f t="shared" si="1"/>
        <v>124.10000000000582</v>
      </c>
      <c r="F11" s="17"/>
      <c r="G11" s="21">
        <f>C11/C17</f>
        <v>0.18614733333333333</v>
      </c>
      <c r="H11" s="16">
        <f t="shared" si="2"/>
        <v>6.3492973052070795E-3</v>
      </c>
      <c r="I11" s="31" t="s">
        <v>22</v>
      </c>
      <c r="K11" s="23"/>
      <c r="L11" s="20"/>
    </row>
    <row r="12" spans="1:12" x14ac:dyDescent="0.25">
      <c r="A12" s="28" t="s">
        <v>48</v>
      </c>
      <c r="B12" s="18"/>
      <c r="C12" s="48"/>
      <c r="D12" s="35">
        <f>Itemized!T1</f>
        <v>4247.59</v>
      </c>
      <c r="E12" s="41"/>
      <c r="F12" s="17"/>
      <c r="H12" s="16"/>
      <c r="I12" s="31"/>
      <c r="K12" s="23"/>
      <c r="L12" s="20"/>
    </row>
    <row r="13" spans="1:12" x14ac:dyDescent="0.25">
      <c r="A13" s="30" t="s">
        <v>24</v>
      </c>
      <c r="B13" s="22"/>
      <c r="C13" s="49">
        <v>10000</v>
      </c>
      <c r="D13" s="36">
        <f>Itemized!Q1</f>
        <v>8098.82</v>
      </c>
      <c r="E13" s="54">
        <f t="shared" ref="E13:E16" si="3">SUM(C13-D13)</f>
        <v>1901.1800000000003</v>
      </c>
      <c r="F13" s="17"/>
      <c r="G13" s="20">
        <f>C13/C17</f>
        <v>9.5238095238095233E-2</v>
      </c>
      <c r="H13" s="16">
        <f t="shared" si="2"/>
        <v>0.19011800000000004</v>
      </c>
      <c r="I13" s="23"/>
      <c r="L13" s="21"/>
    </row>
    <row r="14" spans="1:12" s="23" customFormat="1" x14ac:dyDescent="0.25">
      <c r="A14" s="29" t="s">
        <v>30</v>
      </c>
      <c r="B14" s="19" t="s">
        <v>27</v>
      </c>
      <c r="C14" s="50">
        <f>11000</f>
        <v>11000</v>
      </c>
      <c r="D14" s="37">
        <f>Itemized!P1+Itemized!S1</f>
        <v>9100.68</v>
      </c>
      <c r="E14" s="55">
        <f t="shared" si="3"/>
        <v>1899.3199999999997</v>
      </c>
      <c r="G14" s="20">
        <f>C14/C17</f>
        <v>0.10476190476190476</v>
      </c>
      <c r="H14" s="16">
        <f t="shared" si="2"/>
        <v>0.17266545454545451</v>
      </c>
      <c r="I14" s="15"/>
      <c r="K14" s="17"/>
      <c r="L14" s="21"/>
    </row>
    <row r="15" spans="1:12" s="23" customFormat="1" x14ac:dyDescent="0.25">
      <c r="A15" s="22"/>
      <c r="B15" s="22" t="s">
        <v>36</v>
      </c>
      <c r="C15" s="49">
        <f>2500+456</f>
        <v>2956</v>
      </c>
      <c r="D15" s="36">
        <f>Itemized!R1</f>
        <v>3955.7799999999997</v>
      </c>
      <c r="E15" s="55">
        <f t="shared" si="3"/>
        <v>-999.77999999999975</v>
      </c>
      <c r="G15" s="20">
        <f>C15/C17</f>
        <v>2.8152380952380953E-2</v>
      </c>
      <c r="H15" s="16">
        <f t="shared" si="2"/>
        <v>-0.33822056833558856</v>
      </c>
      <c r="K15" s="17"/>
      <c r="L15" s="17"/>
    </row>
    <row r="16" spans="1:12" s="23" customFormat="1" x14ac:dyDescent="0.25">
      <c r="A16" s="22"/>
      <c r="B16" s="22" t="s">
        <v>13</v>
      </c>
      <c r="C16" s="49">
        <f>2000+342.51</f>
        <v>2342.5100000000002</v>
      </c>
      <c r="D16" s="36">
        <f>Itemized!J1</f>
        <v>2436.38</v>
      </c>
      <c r="E16" s="55">
        <f t="shared" si="3"/>
        <v>-93.869999999999891</v>
      </c>
      <c r="G16" s="20">
        <f>C16/C17</f>
        <v>2.230961904761905E-2</v>
      </c>
      <c r="H16" s="16">
        <f t="shared" si="2"/>
        <v>-4.007240097160733E-2</v>
      </c>
      <c r="I16" s="17" t="s">
        <v>43</v>
      </c>
      <c r="K16" s="17"/>
      <c r="L16" s="17"/>
    </row>
    <row r="17" spans="1:10" ht="15.75" thickBot="1" x14ac:dyDescent="0.3">
      <c r="C17" s="51">
        <f>SUM(C3:C16)</f>
        <v>105000</v>
      </c>
      <c r="D17" s="38">
        <f>SUM(D3:D16)</f>
        <v>110041.19</v>
      </c>
      <c r="E17" s="42">
        <f>C17-D17</f>
        <v>-5041.1900000000023</v>
      </c>
      <c r="F17" s="17"/>
      <c r="G17" s="25">
        <f>SUM(G3:G16)</f>
        <v>1</v>
      </c>
      <c r="H17" s="58">
        <f>E17/C17</f>
        <v>-4.8011333333333357E-2</v>
      </c>
      <c r="I17" s="59" t="s">
        <v>41</v>
      </c>
      <c r="J17" s="21"/>
    </row>
    <row r="18" spans="1:10" ht="15.75" thickTop="1" x14ac:dyDescent="0.25">
      <c r="D18" s="17"/>
      <c r="E18" s="43"/>
      <c r="F18" s="17"/>
      <c r="G18" s="16"/>
      <c r="I18" s="17"/>
    </row>
    <row r="19" spans="1:10" x14ac:dyDescent="0.25">
      <c r="A19" s="11" t="s">
        <v>4</v>
      </c>
      <c r="B19" s="11" t="s">
        <v>15</v>
      </c>
      <c r="C19" s="39" t="s">
        <v>40</v>
      </c>
      <c r="D19" s="14" t="s">
        <v>16</v>
      </c>
      <c r="E19" s="39" t="s">
        <v>40</v>
      </c>
      <c r="F19" s="17"/>
      <c r="J19" s="57"/>
    </row>
    <row r="20" spans="1:10" x14ac:dyDescent="0.25">
      <c r="A20" s="17" t="s">
        <v>54</v>
      </c>
      <c r="B20" s="13"/>
      <c r="C20" s="45"/>
      <c r="D20" s="13">
        <v>2500</v>
      </c>
      <c r="E20" s="44">
        <f>D20-Itemized!C1</f>
        <v>1110.73</v>
      </c>
      <c r="F20" s="17"/>
      <c r="I20" s="17"/>
    </row>
    <row r="21" spans="1:10" x14ac:dyDescent="0.25">
      <c r="A21" s="26" t="s">
        <v>17</v>
      </c>
      <c r="B21" s="13">
        <v>11250</v>
      </c>
      <c r="C21" s="46">
        <f>B21-Itemized!D1</f>
        <v>1283.1999999999971</v>
      </c>
      <c r="D21" s="27">
        <v>4000</v>
      </c>
      <c r="E21" s="46">
        <f>D21-Itemized!F1</f>
        <v>-4122.9599999999982</v>
      </c>
      <c r="F21" s="17"/>
      <c r="H21" s="32"/>
      <c r="I21" s="27"/>
    </row>
    <row r="22" spans="1:10" x14ac:dyDescent="0.25">
      <c r="A22" s="17" t="s">
        <v>22</v>
      </c>
      <c r="B22" s="13">
        <v>8000</v>
      </c>
      <c r="C22" s="45">
        <f>B22-(Itemized!L1+Itemized!O1)</f>
        <v>-1011.9600000000028</v>
      </c>
      <c r="D22" s="13">
        <f>3750+500</f>
        <v>4250</v>
      </c>
      <c r="E22" s="45">
        <f>D22-Itemized!M1</f>
        <v>-425.78000000000065</v>
      </c>
      <c r="F22" s="24"/>
      <c r="I22" s="13"/>
      <c r="J22" s="21"/>
    </row>
    <row r="23" spans="1:10" ht="15.75" thickBot="1" x14ac:dyDescent="0.3">
      <c r="A23" s="17" t="s">
        <v>14</v>
      </c>
      <c r="B23" s="33">
        <f>SUM(B20:B22)</f>
        <v>19250</v>
      </c>
      <c r="C23" s="42">
        <f>SUM(C20:C22)</f>
        <v>271.23999999999432</v>
      </c>
      <c r="D23" s="33">
        <f>SUM(D20:D22)</f>
        <v>10750</v>
      </c>
      <c r="E23" s="42">
        <f>SUM(E20:E22)</f>
        <v>-3438.0099999999989</v>
      </c>
      <c r="F23" s="24"/>
      <c r="H23" s="32"/>
      <c r="I23" s="13"/>
    </row>
    <row r="24" spans="1:10" ht="15.75" thickTop="1" x14ac:dyDescent="0.25">
      <c r="A24" s="17" t="s">
        <v>14</v>
      </c>
      <c r="E24" s="43"/>
      <c r="I24" s="13"/>
    </row>
    <row r="25" spans="1:10" x14ac:dyDescent="0.25">
      <c r="A25" s="17" t="s">
        <v>14</v>
      </c>
      <c r="E25" s="43"/>
      <c r="I25" s="13"/>
    </row>
    <row r="26" spans="1:10" x14ac:dyDescent="0.25">
      <c r="A26" s="17" t="s">
        <v>14</v>
      </c>
    </row>
    <row r="27" spans="1:10" x14ac:dyDescent="0.25">
      <c r="A27" s="17" t="s">
        <v>14</v>
      </c>
    </row>
  </sheetData>
  <phoneticPr fontId="1" type="noConversion"/>
  <pageMargins left="0.32" right="0.36" top="1" bottom="1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0"/>
  <sheetViews>
    <sheetView zoomScaleNormal="100" workbookViewId="0">
      <pane xSplit="2" ySplit="2" topLeftCell="C223" activePane="bottomRight" state="frozen"/>
      <selection pane="topRight" activeCell="B1" sqref="B1"/>
      <selection pane="bottomLeft" activeCell="A3" sqref="A3"/>
      <selection pane="bottomRight" activeCell="B238" sqref="B238"/>
    </sheetView>
  </sheetViews>
  <sheetFormatPr defaultColWidth="7.7109375" defaultRowHeight="11.25" x14ac:dyDescent="0.2"/>
  <cols>
    <col min="1" max="1" width="7.28515625" style="8" customWidth="1"/>
    <col min="2" max="2" width="11.85546875" style="2" customWidth="1"/>
    <col min="3" max="3" width="7.7109375" style="1" customWidth="1"/>
    <col min="4" max="4" width="8.42578125" style="1" customWidth="1"/>
    <col min="5" max="8" width="7.7109375" style="1" customWidth="1"/>
    <col min="9" max="9" width="9.140625" style="1" customWidth="1"/>
    <col min="10" max="13" width="7.7109375" style="1" customWidth="1"/>
    <col min="14" max="14" width="8.5703125" style="1" customWidth="1"/>
    <col min="15" max="15" width="7.7109375" style="1" customWidth="1"/>
    <col min="16" max="16" width="8.140625" style="1" customWidth="1"/>
    <col min="17" max="17" width="8.85546875" style="1" customWidth="1"/>
    <col min="18" max="18" width="7.7109375" style="1"/>
    <col min="19" max="19" width="7.7109375" style="10"/>
    <col min="20" max="20" width="7.7109375" style="2"/>
    <col min="21" max="21" width="8.42578125" style="2" bestFit="1" customWidth="1"/>
    <col min="22" max="16384" width="7.7109375" style="2"/>
  </cols>
  <sheetData>
    <row r="1" spans="1:20" x14ac:dyDescent="0.2">
      <c r="A1" s="6"/>
      <c r="C1" s="3">
        <f>SUM(C3:C253)</f>
        <v>1389.27</v>
      </c>
      <c r="D1" s="3">
        <f t="shared" ref="D1:T1" si="0">SUM(D3:D253)</f>
        <v>9966.8000000000029</v>
      </c>
      <c r="E1" s="3">
        <f t="shared" si="0"/>
        <v>1940.9</v>
      </c>
      <c r="F1" s="3">
        <f t="shared" si="0"/>
        <v>8122.9599999999982</v>
      </c>
      <c r="G1" s="3">
        <f t="shared" si="0"/>
        <v>3238.9700000000007</v>
      </c>
      <c r="H1" s="3">
        <f t="shared" si="0"/>
        <v>576.58000000000004</v>
      </c>
      <c r="I1" s="3">
        <f t="shared" si="0"/>
        <v>18377.800000000007</v>
      </c>
      <c r="J1" s="3">
        <f t="shared" si="0"/>
        <v>2436.38</v>
      </c>
      <c r="K1" s="3">
        <f t="shared" si="0"/>
        <v>5479.5499999999993</v>
      </c>
      <c r="L1" s="3">
        <f t="shared" si="0"/>
        <v>7669.8300000000027</v>
      </c>
      <c r="M1" s="3">
        <f t="shared" si="0"/>
        <v>4675.7800000000007</v>
      </c>
      <c r="N1" s="3">
        <f t="shared" si="0"/>
        <v>19421.369999999995</v>
      </c>
      <c r="O1" s="3">
        <f t="shared" si="0"/>
        <v>1342.13</v>
      </c>
      <c r="P1" s="3">
        <f t="shared" si="0"/>
        <v>4600.68</v>
      </c>
      <c r="Q1" s="3">
        <f t="shared" si="0"/>
        <v>8098.82</v>
      </c>
      <c r="R1" s="3">
        <f t="shared" si="0"/>
        <v>3955.7799999999997</v>
      </c>
      <c r="S1" s="3">
        <f t="shared" si="0"/>
        <v>4500</v>
      </c>
      <c r="T1" s="3">
        <f t="shared" si="0"/>
        <v>4247.59</v>
      </c>
    </row>
    <row r="2" spans="1:20" s="4" customFormat="1" x14ac:dyDescent="0.2">
      <c r="A2" s="7" t="s">
        <v>10</v>
      </c>
      <c r="B2" s="4" t="s">
        <v>26</v>
      </c>
      <c r="C2" s="5" t="s">
        <v>50</v>
      </c>
      <c r="D2" s="5" t="s">
        <v>0</v>
      </c>
      <c r="E2" s="5" t="s">
        <v>31</v>
      </c>
      <c r="F2" s="5" t="s">
        <v>1</v>
      </c>
      <c r="G2" s="5" t="s">
        <v>57</v>
      </c>
      <c r="H2" s="5" t="s">
        <v>42</v>
      </c>
      <c r="I2" s="5" t="s">
        <v>9</v>
      </c>
      <c r="J2" s="5" t="s">
        <v>44</v>
      </c>
      <c r="K2" s="5" t="s">
        <v>46</v>
      </c>
      <c r="L2" s="5" t="s">
        <v>2</v>
      </c>
      <c r="M2" s="5" t="s">
        <v>3</v>
      </c>
      <c r="N2" s="5" t="s">
        <v>25</v>
      </c>
      <c r="O2" s="5" t="s">
        <v>55</v>
      </c>
      <c r="P2" s="5" t="s">
        <v>37</v>
      </c>
      <c r="Q2" s="5" t="s">
        <v>28</v>
      </c>
      <c r="R2" s="5" t="s">
        <v>36</v>
      </c>
      <c r="S2" s="9" t="s">
        <v>45</v>
      </c>
      <c r="T2" s="56" t="s">
        <v>47</v>
      </c>
    </row>
    <row r="3" spans="1:20" x14ac:dyDescent="0.2">
      <c r="A3" s="8">
        <v>42552</v>
      </c>
      <c r="B3" s="2" t="s">
        <v>51</v>
      </c>
      <c r="E3" s="1">
        <v>106.82</v>
      </c>
      <c r="F3" s="1">
        <v>401.3</v>
      </c>
      <c r="L3" s="1">
        <v>850.83</v>
      </c>
      <c r="M3" s="1">
        <v>734.67</v>
      </c>
      <c r="O3" s="1">
        <v>127.14</v>
      </c>
    </row>
    <row r="4" spans="1:20" x14ac:dyDescent="0.2">
      <c r="A4" s="8">
        <v>42552</v>
      </c>
      <c r="B4" s="2" t="s">
        <v>52</v>
      </c>
      <c r="H4" s="1">
        <v>105</v>
      </c>
    </row>
    <row r="5" spans="1:20" x14ac:dyDescent="0.2">
      <c r="A5" s="8">
        <v>42552</v>
      </c>
      <c r="B5" s="2" t="s">
        <v>51</v>
      </c>
      <c r="T5" s="2">
        <f>1252.11+3086.76</f>
        <v>4338.87</v>
      </c>
    </row>
    <row r="6" spans="1:20" x14ac:dyDescent="0.2">
      <c r="A6" s="8">
        <v>42556</v>
      </c>
      <c r="B6" s="2" t="s">
        <v>51</v>
      </c>
      <c r="G6" s="1">
        <v>531.44000000000005</v>
      </c>
    </row>
    <row r="7" spans="1:20" x14ac:dyDescent="0.2">
      <c r="A7" s="8">
        <v>42556</v>
      </c>
      <c r="B7" s="2" t="s">
        <v>49</v>
      </c>
      <c r="M7" s="1">
        <v>35.31</v>
      </c>
      <c r="N7" s="1">
        <v>832.64</v>
      </c>
    </row>
    <row r="8" spans="1:20" x14ac:dyDescent="0.2">
      <c r="A8" s="8">
        <v>42556</v>
      </c>
      <c r="B8" s="2" t="s">
        <v>51</v>
      </c>
      <c r="E8" s="1">
        <f>-28.27-10.58</f>
        <v>-38.85</v>
      </c>
    </row>
    <row r="9" spans="1:20" x14ac:dyDescent="0.2">
      <c r="A9" s="8">
        <v>42557</v>
      </c>
      <c r="B9" s="2" t="s">
        <v>49</v>
      </c>
      <c r="N9" s="1">
        <v>484.43</v>
      </c>
    </row>
    <row r="10" spans="1:20" x14ac:dyDescent="0.2">
      <c r="A10" s="8">
        <v>42557</v>
      </c>
      <c r="B10" s="2" t="s">
        <v>51</v>
      </c>
      <c r="L10" s="1">
        <v>47.59</v>
      </c>
      <c r="N10" s="1">
        <v>80.209999999999994</v>
      </c>
    </row>
    <row r="11" spans="1:20" x14ac:dyDescent="0.2">
      <c r="A11" s="8">
        <v>42558</v>
      </c>
      <c r="B11" s="2" t="s">
        <v>51</v>
      </c>
      <c r="C11" s="1">
        <f>-14.81-14.26</f>
        <v>-29.07</v>
      </c>
    </row>
    <row r="12" spans="1:20" x14ac:dyDescent="0.2">
      <c r="A12" s="8">
        <v>42558</v>
      </c>
      <c r="B12" s="2" t="s">
        <v>51</v>
      </c>
      <c r="C12" s="1">
        <v>967.18</v>
      </c>
    </row>
    <row r="13" spans="1:20" x14ac:dyDescent="0.2">
      <c r="A13" s="8">
        <v>42559</v>
      </c>
      <c r="B13" s="2" t="s">
        <v>49</v>
      </c>
      <c r="N13" s="1">
        <v>1199.1500000000001</v>
      </c>
    </row>
    <row r="14" spans="1:20" x14ac:dyDescent="0.2">
      <c r="A14" s="8">
        <v>42564</v>
      </c>
      <c r="B14" s="2" t="s">
        <v>51</v>
      </c>
      <c r="D14" s="1">
        <v>530.70000000000005</v>
      </c>
      <c r="E14" s="1">
        <v>268.07</v>
      </c>
      <c r="F14" s="1">
        <v>219.28</v>
      </c>
    </row>
    <row r="15" spans="1:20" x14ac:dyDescent="0.2">
      <c r="A15" s="8">
        <v>42566</v>
      </c>
      <c r="B15" s="2" t="s">
        <v>51</v>
      </c>
      <c r="D15" s="1">
        <v>232.98</v>
      </c>
      <c r="F15" s="1">
        <v>42.06</v>
      </c>
      <c r="Q15" s="52"/>
    </row>
    <row r="16" spans="1:20" x14ac:dyDescent="0.2">
      <c r="A16" s="8">
        <v>42569</v>
      </c>
      <c r="B16" s="2" t="s">
        <v>51</v>
      </c>
      <c r="L16" s="1">
        <f>-20.9-18-14.2</f>
        <v>-53.099999999999994</v>
      </c>
    </row>
    <row r="17" spans="1:18" x14ac:dyDescent="0.2">
      <c r="A17" s="8">
        <v>42572</v>
      </c>
      <c r="B17" s="2" t="s">
        <v>51</v>
      </c>
      <c r="D17" s="1">
        <v>130.69</v>
      </c>
      <c r="E17" s="1">
        <v>32.29</v>
      </c>
      <c r="F17" s="1">
        <v>135.03</v>
      </c>
    </row>
    <row r="18" spans="1:18" x14ac:dyDescent="0.2">
      <c r="A18" s="8">
        <v>42573</v>
      </c>
      <c r="B18" s="2" t="s">
        <v>51</v>
      </c>
      <c r="K18" s="1">
        <v>175.41</v>
      </c>
    </row>
    <row r="19" spans="1:18" x14ac:dyDescent="0.2">
      <c r="A19" s="8">
        <v>42576</v>
      </c>
      <c r="B19" s="2" t="s">
        <v>49</v>
      </c>
      <c r="N19" s="1">
        <v>406.2</v>
      </c>
    </row>
    <row r="20" spans="1:18" x14ac:dyDescent="0.2">
      <c r="A20" s="8">
        <v>42576</v>
      </c>
      <c r="B20" s="2" t="s">
        <v>53</v>
      </c>
      <c r="I20" s="1">
        <v>211</v>
      </c>
    </row>
    <row r="21" spans="1:18" x14ac:dyDescent="0.2">
      <c r="A21" s="8">
        <v>42578</v>
      </c>
      <c r="B21" s="2" t="s">
        <v>51</v>
      </c>
      <c r="E21" s="1">
        <v>163.97</v>
      </c>
      <c r="F21" s="1">
        <v>502.36</v>
      </c>
      <c r="G21" s="1">
        <v>511.62</v>
      </c>
    </row>
    <row r="22" spans="1:18" x14ac:dyDescent="0.2">
      <c r="A22" s="8">
        <v>42579</v>
      </c>
      <c r="B22" s="2" t="s">
        <v>51</v>
      </c>
      <c r="I22" s="1">
        <v>148.71</v>
      </c>
    </row>
    <row r="23" spans="1:18" x14ac:dyDescent="0.2">
      <c r="A23" s="8">
        <v>42579</v>
      </c>
      <c r="B23" s="2" t="s">
        <v>51</v>
      </c>
      <c r="K23" s="1">
        <v>178.41</v>
      </c>
    </row>
    <row r="24" spans="1:18" x14ac:dyDescent="0.2">
      <c r="A24" s="8">
        <v>42583</v>
      </c>
      <c r="B24" s="2" t="s">
        <v>68</v>
      </c>
      <c r="R24" s="1">
        <v>2956</v>
      </c>
    </row>
    <row r="25" spans="1:18" x14ac:dyDescent="0.2">
      <c r="A25" s="8">
        <v>42583</v>
      </c>
      <c r="B25" s="2" t="s">
        <v>51</v>
      </c>
      <c r="L25" s="1">
        <v>264.24</v>
      </c>
      <c r="M25" s="1">
        <v>246.16</v>
      </c>
      <c r="O25" s="1">
        <v>22.56</v>
      </c>
    </row>
    <row r="26" spans="1:18" x14ac:dyDescent="0.2">
      <c r="A26" s="8">
        <v>42583</v>
      </c>
      <c r="B26" s="2" t="s">
        <v>49</v>
      </c>
      <c r="H26" s="1">
        <v>16.88</v>
      </c>
      <c r="N26" s="1">
        <v>125.93</v>
      </c>
    </row>
    <row r="27" spans="1:18" x14ac:dyDescent="0.2">
      <c r="A27" s="8">
        <v>42583</v>
      </c>
      <c r="B27" s="2" t="s">
        <v>51</v>
      </c>
      <c r="I27" s="1">
        <v>47.59</v>
      </c>
    </row>
    <row r="28" spans="1:18" x14ac:dyDescent="0.2">
      <c r="A28" s="8">
        <v>42590</v>
      </c>
      <c r="B28" s="2" t="s">
        <v>58</v>
      </c>
      <c r="P28" s="1">
        <v>2500</v>
      </c>
    </row>
    <row r="29" spans="1:18" x14ac:dyDescent="0.2">
      <c r="A29" s="8">
        <v>42591</v>
      </c>
      <c r="B29" s="2" t="s">
        <v>51</v>
      </c>
      <c r="K29" s="1">
        <v>411.12</v>
      </c>
    </row>
    <row r="30" spans="1:18" x14ac:dyDescent="0.2">
      <c r="A30" s="8">
        <v>42592</v>
      </c>
      <c r="B30" s="2" t="s">
        <v>49</v>
      </c>
      <c r="N30" s="1">
        <v>83.58</v>
      </c>
    </row>
    <row r="31" spans="1:18" x14ac:dyDescent="0.2">
      <c r="A31" s="8">
        <v>42592</v>
      </c>
      <c r="B31" s="2" t="s">
        <v>51</v>
      </c>
      <c r="G31" s="1">
        <v>222.65</v>
      </c>
    </row>
    <row r="32" spans="1:18" x14ac:dyDescent="0.2">
      <c r="A32" s="8">
        <v>42592</v>
      </c>
      <c r="B32" s="2" t="s">
        <v>51</v>
      </c>
      <c r="K32" s="1">
        <v>-21.97</v>
      </c>
    </row>
    <row r="33" spans="1:17" x14ac:dyDescent="0.2">
      <c r="A33" s="8">
        <v>42592</v>
      </c>
      <c r="B33" s="2" t="s">
        <v>51</v>
      </c>
      <c r="G33" s="1">
        <v>-15.29</v>
      </c>
    </row>
    <row r="34" spans="1:17" x14ac:dyDescent="0.2">
      <c r="A34" s="8">
        <v>42592</v>
      </c>
      <c r="B34" s="2" t="s">
        <v>49</v>
      </c>
      <c r="J34" s="1">
        <v>112.14</v>
      </c>
    </row>
    <row r="35" spans="1:17" x14ac:dyDescent="0.2">
      <c r="A35" s="8">
        <v>42593</v>
      </c>
      <c r="B35" s="2" t="s">
        <v>51</v>
      </c>
      <c r="D35" s="1">
        <v>767.64</v>
      </c>
      <c r="F35" s="1">
        <v>498.08</v>
      </c>
    </row>
    <row r="36" spans="1:17" x14ac:dyDescent="0.2">
      <c r="A36" s="8">
        <v>42597</v>
      </c>
      <c r="B36" s="2" t="s">
        <v>51</v>
      </c>
      <c r="G36" s="1">
        <v>26.19</v>
      </c>
    </row>
    <row r="37" spans="1:17" x14ac:dyDescent="0.2">
      <c r="A37" s="8">
        <v>42598</v>
      </c>
      <c r="B37" s="2" t="s">
        <v>49</v>
      </c>
      <c r="N37" s="1">
        <v>176.87</v>
      </c>
    </row>
    <row r="38" spans="1:17" x14ac:dyDescent="0.2">
      <c r="A38" s="8">
        <v>42599</v>
      </c>
      <c r="B38" s="2" t="s">
        <v>49</v>
      </c>
      <c r="M38" s="1">
        <v>19.64</v>
      </c>
      <c r="N38" s="1">
        <v>226.85</v>
      </c>
      <c r="O38" s="1">
        <v>103.5</v>
      </c>
      <c r="Q38" s="52"/>
    </row>
    <row r="39" spans="1:17" x14ac:dyDescent="0.2">
      <c r="A39" s="8">
        <v>42599</v>
      </c>
      <c r="B39" s="2" t="s">
        <v>51</v>
      </c>
      <c r="D39" s="1">
        <v>113.02</v>
      </c>
      <c r="E39" s="1">
        <v>70.86</v>
      </c>
      <c r="F39" s="1">
        <v>44.42</v>
      </c>
    </row>
    <row r="40" spans="1:17" x14ac:dyDescent="0.2">
      <c r="A40" s="8">
        <v>42600</v>
      </c>
      <c r="B40" s="2" t="s">
        <v>51</v>
      </c>
      <c r="D40" s="1" t="s">
        <v>62</v>
      </c>
      <c r="F40" s="1">
        <v>360.1</v>
      </c>
      <c r="L40" s="1">
        <v>309.16000000000003</v>
      </c>
      <c r="M40" s="1">
        <v>360.29</v>
      </c>
      <c r="N40" s="1">
        <v>189.95</v>
      </c>
    </row>
    <row r="41" spans="1:17" x14ac:dyDescent="0.2">
      <c r="A41" s="8">
        <v>42600</v>
      </c>
      <c r="B41" s="2" t="s">
        <v>49</v>
      </c>
      <c r="N41" s="1">
        <f>872.7+89.96</f>
        <v>962.66000000000008</v>
      </c>
    </row>
    <row r="42" spans="1:17" x14ac:dyDescent="0.2">
      <c r="A42" s="8">
        <v>42601</v>
      </c>
      <c r="B42" s="2" t="s">
        <v>49</v>
      </c>
      <c r="M42" s="1">
        <v>61.16</v>
      </c>
    </row>
    <row r="43" spans="1:17" x14ac:dyDescent="0.2">
      <c r="A43" s="8">
        <v>42601</v>
      </c>
      <c r="B43" s="2" t="s">
        <v>51</v>
      </c>
      <c r="D43" s="1">
        <v>244.6</v>
      </c>
      <c r="F43" s="1">
        <v>159.51</v>
      </c>
    </row>
    <row r="44" spans="1:17" x14ac:dyDescent="0.2">
      <c r="A44" s="8">
        <v>42606</v>
      </c>
      <c r="B44" s="2" t="s">
        <v>49</v>
      </c>
      <c r="H44" s="1">
        <v>16.59</v>
      </c>
      <c r="M44" s="1">
        <v>27.59</v>
      </c>
    </row>
    <row r="45" spans="1:17" x14ac:dyDescent="0.2">
      <c r="A45" s="8">
        <v>42606</v>
      </c>
      <c r="B45" s="2" t="s">
        <v>59</v>
      </c>
      <c r="I45" s="1">
        <v>3754.71</v>
      </c>
    </row>
    <row r="46" spans="1:17" x14ac:dyDescent="0.2">
      <c r="A46" s="8">
        <v>42607</v>
      </c>
      <c r="B46" s="2" t="s">
        <v>51</v>
      </c>
      <c r="K46" s="1">
        <f>298.86+420.67</f>
        <v>719.53</v>
      </c>
    </row>
    <row r="47" spans="1:17" x14ac:dyDescent="0.2">
      <c r="A47" s="8">
        <v>42608</v>
      </c>
      <c r="B47" s="2" t="s">
        <v>60</v>
      </c>
      <c r="I47" s="1">
        <v>193.91</v>
      </c>
    </row>
    <row r="48" spans="1:17" x14ac:dyDescent="0.2">
      <c r="A48" s="8">
        <v>42608</v>
      </c>
      <c r="B48" s="2" t="s">
        <v>51</v>
      </c>
      <c r="D48" s="1">
        <f>89.34+96.02</f>
        <v>185.36</v>
      </c>
    </row>
    <row r="49" spans="1:17" x14ac:dyDescent="0.2">
      <c r="A49" s="8">
        <v>42611</v>
      </c>
      <c r="B49" s="2" t="s">
        <v>63</v>
      </c>
      <c r="N49" s="1">
        <v>54</v>
      </c>
    </row>
    <row r="50" spans="1:17" x14ac:dyDescent="0.2">
      <c r="A50" s="8">
        <v>42613</v>
      </c>
      <c r="B50" s="2" t="s">
        <v>61</v>
      </c>
      <c r="Q50" s="1">
        <v>646.75</v>
      </c>
    </row>
    <row r="51" spans="1:17" x14ac:dyDescent="0.2">
      <c r="A51" s="8">
        <v>42613</v>
      </c>
      <c r="B51" s="2" t="s">
        <v>64</v>
      </c>
      <c r="I51" s="1">
        <v>263.76</v>
      </c>
    </row>
    <row r="52" spans="1:17" x14ac:dyDescent="0.2">
      <c r="A52" s="8">
        <v>42614</v>
      </c>
      <c r="B52" s="2" t="s">
        <v>51</v>
      </c>
      <c r="D52" s="1">
        <v>149.66</v>
      </c>
      <c r="E52" s="1">
        <v>124.79</v>
      </c>
      <c r="F52" s="1">
        <v>44.43</v>
      </c>
    </row>
    <row r="53" spans="1:17" x14ac:dyDescent="0.2">
      <c r="A53" s="8">
        <v>42615</v>
      </c>
      <c r="B53" s="2" t="s">
        <v>51</v>
      </c>
      <c r="I53" s="1">
        <v>620.58000000000004</v>
      </c>
    </row>
    <row r="54" spans="1:17" x14ac:dyDescent="0.2">
      <c r="A54" s="8">
        <v>42619</v>
      </c>
      <c r="B54" s="2" t="s">
        <v>49</v>
      </c>
      <c r="N54" s="1">
        <v>43.93</v>
      </c>
    </row>
    <row r="55" spans="1:17" x14ac:dyDescent="0.2">
      <c r="A55" s="8">
        <v>42621</v>
      </c>
      <c r="B55" s="2" t="s">
        <v>49</v>
      </c>
      <c r="N55" s="1">
        <v>163.71</v>
      </c>
    </row>
    <row r="56" spans="1:17" x14ac:dyDescent="0.2">
      <c r="A56" s="8">
        <v>42621</v>
      </c>
      <c r="B56" s="2" t="s">
        <v>51</v>
      </c>
      <c r="G56" s="1">
        <v>24.86</v>
      </c>
      <c r="L56" s="1">
        <v>440.47</v>
      </c>
      <c r="M56" s="1">
        <v>336.11</v>
      </c>
    </row>
    <row r="57" spans="1:17" x14ac:dyDescent="0.2">
      <c r="A57" s="8">
        <v>42621</v>
      </c>
      <c r="B57" s="2" t="s">
        <v>51</v>
      </c>
      <c r="K57" s="1">
        <v>-36.4</v>
      </c>
    </row>
    <row r="58" spans="1:17" x14ac:dyDescent="0.2">
      <c r="A58" s="8">
        <v>42623</v>
      </c>
      <c r="B58" s="2" t="s">
        <v>49</v>
      </c>
      <c r="J58" s="1">
        <v>246.01</v>
      </c>
    </row>
    <row r="59" spans="1:17" x14ac:dyDescent="0.2">
      <c r="A59" s="8">
        <v>42625</v>
      </c>
      <c r="B59" s="2" t="s">
        <v>49</v>
      </c>
      <c r="G59" s="1">
        <f>18.99+11.16</f>
        <v>30.15</v>
      </c>
      <c r="N59" s="1">
        <f>17+9</f>
        <v>26</v>
      </c>
    </row>
    <row r="60" spans="1:17" x14ac:dyDescent="0.2">
      <c r="A60" s="8">
        <v>42625</v>
      </c>
      <c r="B60" s="2" t="s">
        <v>51</v>
      </c>
      <c r="G60" s="1">
        <v>101.49</v>
      </c>
    </row>
    <row r="61" spans="1:17" x14ac:dyDescent="0.2">
      <c r="A61" s="8">
        <v>42626</v>
      </c>
      <c r="B61" s="2" t="s">
        <v>49</v>
      </c>
      <c r="N61" s="1">
        <v>130.19</v>
      </c>
    </row>
    <row r="62" spans="1:17" x14ac:dyDescent="0.2">
      <c r="A62" s="8">
        <v>42628</v>
      </c>
      <c r="B62" s="2" t="s">
        <v>51</v>
      </c>
      <c r="K62" s="1">
        <v>401.4</v>
      </c>
    </row>
    <row r="63" spans="1:17" x14ac:dyDescent="0.2">
      <c r="A63" s="8">
        <v>42634</v>
      </c>
      <c r="B63" s="2" t="s">
        <v>51</v>
      </c>
      <c r="D63" s="1">
        <v>1060.83</v>
      </c>
      <c r="F63" s="1">
        <v>296.93</v>
      </c>
    </row>
    <row r="64" spans="1:17" x14ac:dyDescent="0.2">
      <c r="A64" s="8">
        <v>42639</v>
      </c>
      <c r="B64" s="2" t="s">
        <v>49</v>
      </c>
      <c r="N64" s="1">
        <v>801.49</v>
      </c>
    </row>
    <row r="65" spans="1:17" x14ac:dyDescent="0.2">
      <c r="A65" s="8">
        <v>42639</v>
      </c>
      <c r="B65" s="2" t="s">
        <v>51</v>
      </c>
      <c r="D65" s="1">
        <v>526.15</v>
      </c>
      <c r="F65" s="1">
        <v>781.39</v>
      </c>
    </row>
    <row r="66" spans="1:17" x14ac:dyDescent="0.2">
      <c r="A66" s="8">
        <v>42640</v>
      </c>
      <c r="B66" s="2" t="s">
        <v>51</v>
      </c>
      <c r="L66" s="1">
        <v>229.2</v>
      </c>
      <c r="M66" s="1">
        <v>196.17</v>
      </c>
    </row>
    <row r="67" spans="1:17" x14ac:dyDescent="0.2">
      <c r="A67" s="8">
        <v>42640</v>
      </c>
      <c r="B67" s="2" t="s">
        <v>51</v>
      </c>
      <c r="D67" s="1">
        <v>28.57</v>
      </c>
      <c r="E67" s="1">
        <v>93.2</v>
      </c>
    </row>
    <row r="68" spans="1:17" x14ac:dyDescent="0.2">
      <c r="A68" s="8">
        <v>42642</v>
      </c>
      <c r="B68" s="2" t="s">
        <v>51</v>
      </c>
      <c r="D68" s="1">
        <v>118.85</v>
      </c>
      <c r="E68" s="1">
        <v>67.739999999999995</v>
      </c>
      <c r="F68" s="1">
        <v>118.85</v>
      </c>
    </row>
    <row r="69" spans="1:17" x14ac:dyDescent="0.2">
      <c r="A69" s="8">
        <v>42643</v>
      </c>
      <c r="B69" s="2" t="s">
        <v>49</v>
      </c>
      <c r="N69" s="1">
        <v>773.16</v>
      </c>
    </row>
    <row r="70" spans="1:17" x14ac:dyDescent="0.2">
      <c r="A70" s="8">
        <v>42643</v>
      </c>
      <c r="B70" s="2" t="s">
        <v>51</v>
      </c>
      <c r="N70" s="1">
        <v>88.38</v>
      </c>
    </row>
    <row r="71" spans="1:17" x14ac:dyDescent="0.2">
      <c r="A71" s="8">
        <v>42643</v>
      </c>
      <c r="B71" s="2" t="s">
        <v>51</v>
      </c>
      <c r="D71" s="1">
        <v>32.049999999999997</v>
      </c>
      <c r="E71" s="1">
        <v>57.89</v>
      </c>
      <c r="F71" s="1">
        <v>29.62</v>
      </c>
    </row>
    <row r="72" spans="1:17" x14ac:dyDescent="0.2">
      <c r="A72" s="8">
        <v>42648</v>
      </c>
      <c r="B72" s="2" t="s">
        <v>51</v>
      </c>
      <c r="O72" s="1">
        <v>62.6</v>
      </c>
    </row>
    <row r="73" spans="1:17" x14ac:dyDescent="0.2">
      <c r="A73" s="8">
        <v>42648</v>
      </c>
      <c r="B73" s="2" t="s">
        <v>51</v>
      </c>
      <c r="D73" s="1">
        <v>60.3</v>
      </c>
      <c r="F73" s="1">
        <v>50.3</v>
      </c>
    </row>
    <row r="74" spans="1:17" x14ac:dyDescent="0.2">
      <c r="A74" s="8">
        <v>42648</v>
      </c>
      <c r="B74" s="2" t="s">
        <v>51</v>
      </c>
      <c r="C74" s="1">
        <v>458.55</v>
      </c>
    </row>
    <row r="75" spans="1:17" x14ac:dyDescent="0.2">
      <c r="A75" s="8">
        <v>42649</v>
      </c>
      <c r="B75" s="2" t="s">
        <v>61</v>
      </c>
      <c r="Q75" s="1">
        <v>318</v>
      </c>
    </row>
    <row r="76" spans="1:17" x14ac:dyDescent="0.2">
      <c r="A76" s="8">
        <v>42649</v>
      </c>
      <c r="B76" s="2" t="s">
        <v>51</v>
      </c>
      <c r="O76" s="1">
        <v>-10.57</v>
      </c>
    </row>
    <row r="77" spans="1:17" x14ac:dyDescent="0.2">
      <c r="A77" s="8">
        <v>42650</v>
      </c>
      <c r="B77" s="2" t="s">
        <v>51</v>
      </c>
      <c r="F77" s="1">
        <v>263.44</v>
      </c>
    </row>
    <row r="78" spans="1:17" x14ac:dyDescent="0.2">
      <c r="A78" s="8">
        <v>42650</v>
      </c>
      <c r="B78" s="2" t="s">
        <v>51</v>
      </c>
      <c r="I78" s="1">
        <v>184.07</v>
      </c>
    </row>
    <row r="79" spans="1:17" x14ac:dyDescent="0.2">
      <c r="A79" s="8">
        <v>42650</v>
      </c>
      <c r="B79" s="2" t="s">
        <v>51</v>
      </c>
      <c r="K79" s="1">
        <v>-24.74</v>
      </c>
    </row>
    <row r="80" spans="1:17" x14ac:dyDescent="0.2">
      <c r="A80" s="8">
        <v>42653</v>
      </c>
      <c r="B80" s="2" t="s">
        <v>49</v>
      </c>
      <c r="J80" s="1">
        <v>236.57</v>
      </c>
    </row>
    <row r="81" spans="1:17" x14ac:dyDescent="0.2">
      <c r="A81" s="8">
        <v>42654</v>
      </c>
      <c r="B81" s="2" t="s">
        <v>51</v>
      </c>
      <c r="O81" s="1">
        <v>57.66</v>
      </c>
    </row>
    <row r="82" spans="1:17" x14ac:dyDescent="0.2">
      <c r="A82" s="8">
        <v>42654</v>
      </c>
      <c r="B82" s="2" t="s">
        <v>51</v>
      </c>
      <c r="I82" s="1">
        <v>242.41</v>
      </c>
    </row>
    <row r="83" spans="1:17" x14ac:dyDescent="0.2">
      <c r="A83" s="8">
        <v>42656</v>
      </c>
      <c r="B83" s="2" t="s">
        <v>51</v>
      </c>
      <c r="I83" s="1">
        <v>157.61000000000001</v>
      </c>
    </row>
    <row r="84" spans="1:17" x14ac:dyDescent="0.2">
      <c r="A84" s="8">
        <v>42657</v>
      </c>
      <c r="B84" s="2" t="s">
        <v>51</v>
      </c>
      <c r="I84" s="1">
        <v>394.93</v>
      </c>
    </row>
    <row r="85" spans="1:17" x14ac:dyDescent="0.2">
      <c r="A85" s="8">
        <v>42659</v>
      </c>
      <c r="B85" s="2" t="s">
        <v>65</v>
      </c>
      <c r="H85" s="1">
        <v>68.900000000000006</v>
      </c>
    </row>
    <row r="86" spans="1:17" x14ac:dyDescent="0.2">
      <c r="A86" s="8">
        <v>42660</v>
      </c>
      <c r="B86" s="2" t="s">
        <v>51</v>
      </c>
      <c r="O86" s="1">
        <v>130.30000000000001</v>
      </c>
    </row>
    <row r="87" spans="1:17" x14ac:dyDescent="0.2">
      <c r="A87" s="8">
        <v>42660</v>
      </c>
      <c r="B87" s="2" t="s">
        <v>51</v>
      </c>
      <c r="I87" s="1">
        <v>-8.44</v>
      </c>
    </row>
    <row r="88" spans="1:17" x14ac:dyDescent="0.2">
      <c r="A88" s="8">
        <v>42662</v>
      </c>
      <c r="B88" s="2" t="s">
        <v>53</v>
      </c>
      <c r="I88" s="1">
        <v>136.80000000000001</v>
      </c>
    </row>
    <row r="89" spans="1:17" x14ac:dyDescent="0.2">
      <c r="A89" s="8">
        <v>42662</v>
      </c>
      <c r="B89" s="2" t="s">
        <v>51</v>
      </c>
      <c r="L89" s="1">
        <v>546.99</v>
      </c>
      <c r="M89" s="1">
        <f>265.77+296.92</f>
        <v>562.69000000000005</v>
      </c>
    </row>
    <row r="90" spans="1:17" x14ac:dyDescent="0.2">
      <c r="A90" s="8">
        <v>42662</v>
      </c>
      <c r="B90" s="2" t="s">
        <v>51</v>
      </c>
      <c r="D90" s="1">
        <v>606.58000000000004</v>
      </c>
      <c r="E90" s="1">
        <v>29.44</v>
      </c>
      <c r="F90" s="1">
        <v>157.37</v>
      </c>
    </row>
    <row r="91" spans="1:17" x14ac:dyDescent="0.2">
      <c r="A91" s="8">
        <v>42662</v>
      </c>
      <c r="B91" s="2" t="s">
        <v>51</v>
      </c>
      <c r="C91" s="1">
        <v>17.149999999999999</v>
      </c>
    </row>
    <row r="92" spans="1:17" x14ac:dyDescent="0.2">
      <c r="A92" s="8">
        <v>42667</v>
      </c>
      <c r="B92" s="2" t="s">
        <v>51</v>
      </c>
      <c r="M92" s="1">
        <v>-13.22</v>
      </c>
      <c r="O92" s="1">
        <v>-12.95</v>
      </c>
    </row>
    <row r="93" spans="1:17" x14ac:dyDescent="0.2">
      <c r="A93" s="8">
        <v>42668</v>
      </c>
      <c r="B93" s="2" t="s">
        <v>51</v>
      </c>
      <c r="D93" s="1">
        <v>60.92</v>
      </c>
      <c r="F93" s="1">
        <v>241.41</v>
      </c>
    </row>
    <row r="94" spans="1:17" x14ac:dyDescent="0.2">
      <c r="A94" s="8">
        <v>42668</v>
      </c>
      <c r="B94" s="2" t="s">
        <v>67</v>
      </c>
      <c r="Q94" s="1">
        <v>480</v>
      </c>
    </row>
    <row r="95" spans="1:17" x14ac:dyDescent="0.2">
      <c r="A95" s="8">
        <v>42669</v>
      </c>
      <c r="B95" s="2" t="s">
        <v>51</v>
      </c>
      <c r="D95" s="1">
        <v>45.96</v>
      </c>
    </row>
    <row r="96" spans="1:17" x14ac:dyDescent="0.2">
      <c r="A96" s="8">
        <v>42670</v>
      </c>
      <c r="B96" s="2" t="s">
        <v>49</v>
      </c>
      <c r="N96" s="1">
        <v>353.15</v>
      </c>
    </row>
    <row r="97" spans="1:17" x14ac:dyDescent="0.2">
      <c r="A97" s="8">
        <v>42670</v>
      </c>
      <c r="B97" s="2" t="s">
        <v>51</v>
      </c>
      <c r="K97" s="1">
        <v>662.87</v>
      </c>
    </row>
    <row r="98" spans="1:17" x14ac:dyDescent="0.2">
      <c r="A98" s="8">
        <v>42674</v>
      </c>
      <c r="B98" s="2" t="s">
        <v>61</v>
      </c>
      <c r="Q98" s="1">
        <v>319.25</v>
      </c>
    </row>
    <row r="99" spans="1:17" x14ac:dyDescent="0.2">
      <c r="A99" s="8">
        <v>42675</v>
      </c>
      <c r="B99" s="2" t="s">
        <v>66</v>
      </c>
      <c r="Q99" s="1">
        <v>42</v>
      </c>
    </row>
    <row r="100" spans="1:17" x14ac:dyDescent="0.2">
      <c r="A100" s="8">
        <v>42677</v>
      </c>
      <c r="B100" s="2" t="s">
        <v>53</v>
      </c>
      <c r="I100" s="1">
        <v>20.6</v>
      </c>
    </row>
    <row r="101" spans="1:17" x14ac:dyDescent="0.2">
      <c r="A101" s="8">
        <v>42677</v>
      </c>
      <c r="B101" s="2" t="s">
        <v>51</v>
      </c>
      <c r="D101" s="1">
        <v>176.7</v>
      </c>
      <c r="E101" s="1">
        <v>102.19</v>
      </c>
      <c r="F101" s="1">
        <v>383.42</v>
      </c>
    </row>
    <row r="102" spans="1:17" x14ac:dyDescent="0.2">
      <c r="A102" s="8">
        <v>42678</v>
      </c>
      <c r="B102" s="2" t="s">
        <v>51</v>
      </c>
      <c r="O102" s="1">
        <v>-12.19</v>
      </c>
    </row>
    <row r="103" spans="1:17" x14ac:dyDescent="0.2">
      <c r="A103" s="8">
        <v>42683</v>
      </c>
      <c r="B103" s="2" t="s">
        <v>51</v>
      </c>
      <c r="I103" s="1">
        <f>20.45+521.88+84.16</f>
        <v>626.49</v>
      </c>
    </row>
    <row r="104" spans="1:17" x14ac:dyDescent="0.2">
      <c r="A104" s="8">
        <v>42684</v>
      </c>
      <c r="B104" s="2" t="s">
        <v>51</v>
      </c>
      <c r="D104" s="1">
        <f>41.26+81.35</f>
        <v>122.60999999999999</v>
      </c>
      <c r="F104" s="1">
        <v>55.01</v>
      </c>
    </row>
    <row r="105" spans="1:17" x14ac:dyDescent="0.2">
      <c r="A105" s="8">
        <v>42684</v>
      </c>
      <c r="B105" s="2" t="s">
        <v>49</v>
      </c>
      <c r="J105" s="1">
        <v>524.64</v>
      </c>
    </row>
    <row r="106" spans="1:17" x14ac:dyDescent="0.2">
      <c r="A106" s="8">
        <v>42685</v>
      </c>
      <c r="B106" s="2" t="s">
        <v>59</v>
      </c>
      <c r="I106" s="1">
        <v>1219.9100000000001</v>
      </c>
    </row>
    <row r="107" spans="1:17" x14ac:dyDescent="0.2">
      <c r="A107" s="8">
        <v>42689</v>
      </c>
      <c r="B107" s="2" t="s">
        <v>51</v>
      </c>
      <c r="O107" s="1">
        <v>99.58</v>
      </c>
    </row>
    <row r="108" spans="1:17" x14ac:dyDescent="0.2">
      <c r="A108" s="8">
        <v>42690</v>
      </c>
      <c r="B108" s="2" t="s">
        <v>51</v>
      </c>
      <c r="I108" s="1">
        <v>81.53</v>
      </c>
    </row>
    <row r="109" spans="1:17" x14ac:dyDescent="0.2">
      <c r="A109" s="8">
        <v>42691</v>
      </c>
      <c r="B109" s="2" t="s">
        <v>51</v>
      </c>
      <c r="D109" s="1">
        <v>501.6</v>
      </c>
      <c r="F109" s="1">
        <v>316.07</v>
      </c>
    </row>
    <row r="110" spans="1:17" x14ac:dyDescent="0.2">
      <c r="A110" s="8">
        <v>42692</v>
      </c>
      <c r="B110" s="2" t="s">
        <v>51</v>
      </c>
      <c r="F110" s="1">
        <v>21.9</v>
      </c>
    </row>
    <row r="111" spans="1:17" x14ac:dyDescent="0.2">
      <c r="A111" s="8">
        <v>42695</v>
      </c>
      <c r="B111" s="2" t="s">
        <v>51</v>
      </c>
      <c r="L111" s="1">
        <v>222.51</v>
      </c>
      <c r="M111" s="1">
        <v>273.33</v>
      </c>
    </row>
    <row r="112" spans="1:17" x14ac:dyDescent="0.2">
      <c r="A112" s="8">
        <v>42695</v>
      </c>
      <c r="B112" s="2" t="s">
        <v>51</v>
      </c>
      <c r="I112" s="1">
        <v>185.68</v>
      </c>
    </row>
    <row r="113" spans="1:17" x14ac:dyDescent="0.2">
      <c r="A113" s="8">
        <v>42695</v>
      </c>
      <c r="B113" s="2" t="s">
        <v>69</v>
      </c>
      <c r="Q113" s="1">
        <v>2053.9499999999998</v>
      </c>
    </row>
    <row r="114" spans="1:17" x14ac:dyDescent="0.2">
      <c r="A114" s="8">
        <v>42696</v>
      </c>
      <c r="B114" s="2" t="s">
        <v>49</v>
      </c>
      <c r="N114" s="1">
        <f>1287.98+798.59</f>
        <v>2086.5700000000002</v>
      </c>
    </row>
    <row r="115" spans="1:17" x14ac:dyDescent="0.2">
      <c r="A115" s="8">
        <v>42696</v>
      </c>
      <c r="B115" s="2" t="s">
        <v>51</v>
      </c>
      <c r="N115" s="1">
        <v>201.59</v>
      </c>
    </row>
    <row r="116" spans="1:17" x14ac:dyDescent="0.2">
      <c r="A116" s="8">
        <v>42696</v>
      </c>
      <c r="B116" s="2" t="s">
        <v>51</v>
      </c>
      <c r="K116" s="1">
        <v>351.77</v>
      </c>
    </row>
    <row r="117" spans="1:17" x14ac:dyDescent="0.2">
      <c r="A117" s="8">
        <v>42697</v>
      </c>
      <c r="B117" s="2" t="s">
        <v>49</v>
      </c>
      <c r="N117" s="1">
        <v>368.94</v>
      </c>
    </row>
    <row r="118" spans="1:17" x14ac:dyDescent="0.2">
      <c r="A118" s="8">
        <v>42697</v>
      </c>
      <c r="B118" s="2" t="s">
        <v>51</v>
      </c>
      <c r="I118" s="1">
        <f>29.78+352.59</f>
        <v>382.37</v>
      </c>
    </row>
    <row r="119" spans="1:17" x14ac:dyDescent="0.2">
      <c r="A119" s="8">
        <v>42704</v>
      </c>
      <c r="B119" s="2" t="s">
        <v>61</v>
      </c>
      <c r="Q119" s="1">
        <v>309.5</v>
      </c>
    </row>
    <row r="120" spans="1:17" x14ac:dyDescent="0.2">
      <c r="A120" s="8">
        <v>42709</v>
      </c>
      <c r="B120" s="2" t="s">
        <v>49</v>
      </c>
      <c r="N120" s="1">
        <f>651.92+607.16+162.67</f>
        <v>1421.75</v>
      </c>
    </row>
    <row r="121" spans="1:17" x14ac:dyDescent="0.2">
      <c r="A121" s="8">
        <v>42709</v>
      </c>
      <c r="B121" s="2" t="s">
        <v>51</v>
      </c>
      <c r="L121" s="1">
        <v>238.11</v>
      </c>
      <c r="M121" s="1">
        <v>307.3</v>
      </c>
    </row>
    <row r="122" spans="1:17" x14ac:dyDescent="0.2">
      <c r="A122" s="8">
        <v>42709</v>
      </c>
      <c r="B122" s="2" t="s">
        <v>51</v>
      </c>
      <c r="D122" s="1">
        <v>195.97</v>
      </c>
      <c r="F122" s="1">
        <v>162.15</v>
      </c>
    </row>
    <row r="123" spans="1:17" x14ac:dyDescent="0.2">
      <c r="A123" s="8">
        <v>42711</v>
      </c>
      <c r="B123" s="2" t="s">
        <v>51</v>
      </c>
      <c r="D123" s="1">
        <v>-14.79</v>
      </c>
    </row>
    <row r="124" spans="1:17" x14ac:dyDescent="0.2">
      <c r="A124" s="8">
        <v>42712</v>
      </c>
      <c r="B124" s="2" t="s">
        <v>51</v>
      </c>
      <c r="D124" s="1">
        <v>62.39</v>
      </c>
    </row>
    <row r="125" spans="1:17" x14ac:dyDescent="0.2">
      <c r="A125" s="8">
        <v>42712</v>
      </c>
      <c r="B125" s="2" t="s">
        <v>80</v>
      </c>
      <c r="K125" s="1">
        <v>25.02</v>
      </c>
    </row>
    <row r="126" spans="1:17" x14ac:dyDescent="0.2">
      <c r="A126" s="8">
        <v>42713</v>
      </c>
      <c r="B126" s="2" t="s">
        <v>49</v>
      </c>
      <c r="N126" s="1">
        <v>235.17</v>
      </c>
    </row>
    <row r="127" spans="1:17" x14ac:dyDescent="0.2">
      <c r="A127" s="8">
        <v>42714</v>
      </c>
      <c r="B127" s="2" t="s">
        <v>49</v>
      </c>
      <c r="J127" s="1">
        <v>369.36</v>
      </c>
    </row>
    <row r="128" spans="1:17" x14ac:dyDescent="0.2">
      <c r="A128" s="8">
        <v>42716</v>
      </c>
      <c r="B128" s="2" t="s">
        <v>51</v>
      </c>
      <c r="O128" s="1">
        <v>86.57</v>
      </c>
    </row>
    <row r="129" spans="1:17" x14ac:dyDescent="0.2">
      <c r="A129" s="8">
        <v>42717</v>
      </c>
      <c r="B129" s="2" t="s">
        <v>49</v>
      </c>
      <c r="N129" s="1">
        <v>513.29999999999995</v>
      </c>
    </row>
    <row r="130" spans="1:17" x14ac:dyDescent="0.2">
      <c r="A130" s="8">
        <v>42718</v>
      </c>
      <c r="B130" s="2" t="s">
        <v>49</v>
      </c>
      <c r="N130" s="1">
        <v>241.33</v>
      </c>
    </row>
    <row r="131" spans="1:17" x14ac:dyDescent="0.2">
      <c r="A131" s="8">
        <v>42718</v>
      </c>
      <c r="B131" s="2" t="s">
        <v>51</v>
      </c>
      <c r="O131" s="1">
        <v>97.07</v>
      </c>
    </row>
    <row r="132" spans="1:17" x14ac:dyDescent="0.2">
      <c r="A132" s="8">
        <v>42720</v>
      </c>
      <c r="B132" s="2" t="s">
        <v>51</v>
      </c>
      <c r="L132" s="1">
        <v>467.11</v>
      </c>
      <c r="M132" s="1">
        <v>262.13</v>
      </c>
      <c r="N132" s="1">
        <v>33.99</v>
      </c>
    </row>
    <row r="133" spans="1:17" x14ac:dyDescent="0.2">
      <c r="A133" s="8">
        <v>42723</v>
      </c>
      <c r="B133" s="2" t="s">
        <v>51</v>
      </c>
      <c r="D133" s="1">
        <v>25.02</v>
      </c>
      <c r="F133" s="1">
        <v>254.4</v>
      </c>
      <c r="I133" s="1">
        <v>185</v>
      </c>
    </row>
    <row r="134" spans="1:17" x14ac:dyDescent="0.2">
      <c r="A134" s="8">
        <v>42724</v>
      </c>
      <c r="B134" s="2" t="s">
        <v>51</v>
      </c>
      <c r="I134" s="1">
        <f>96.3+60.32</f>
        <v>156.62</v>
      </c>
    </row>
    <row r="135" spans="1:17" x14ac:dyDescent="0.2">
      <c r="A135" s="8">
        <v>42725</v>
      </c>
      <c r="B135" s="2" t="s">
        <v>51</v>
      </c>
      <c r="I135" s="1">
        <v>35.36</v>
      </c>
    </row>
    <row r="136" spans="1:17" x14ac:dyDescent="0.2">
      <c r="A136" s="8">
        <v>42726</v>
      </c>
      <c r="B136" s="2" t="s">
        <v>49</v>
      </c>
      <c r="N136" s="1">
        <v>125.77</v>
      </c>
    </row>
    <row r="137" spans="1:17" x14ac:dyDescent="0.2">
      <c r="A137" s="8">
        <v>42731</v>
      </c>
      <c r="B137" s="2" t="s">
        <v>49</v>
      </c>
      <c r="N137" s="1">
        <v>88.17</v>
      </c>
    </row>
    <row r="138" spans="1:17" x14ac:dyDescent="0.2">
      <c r="A138" s="8">
        <v>42733</v>
      </c>
      <c r="B138" s="2" t="s">
        <v>49</v>
      </c>
      <c r="N138" s="1">
        <v>115.71</v>
      </c>
    </row>
    <row r="139" spans="1:17" x14ac:dyDescent="0.2">
      <c r="A139" s="8">
        <v>42734</v>
      </c>
      <c r="B139" s="2" t="s">
        <v>51</v>
      </c>
      <c r="L139" s="1">
        <f>-14.26-(14.98*3)-(14.28*2)</f>
        <v>-87.759999999999991</v>
      </c>
    </row>
    <row r="140" spans="1:17" x14ac:dyDescent="0.2">
      <c r="A140" s="8">
        <v>42735</v>
      </c>
      <c r="B140" s="2" t="s">
        <v>70</v>
      </c>
      <c r="I140" s="1">
        <v>2063.1999999999998</v>
      </c>
    </row>
    <row r="141" spans="1:17" x14ac:dyDescent="0.2">
      <c r="A141" s="8">
        <v>42738</v>
      </c>
      <c r="B141" s="2" t="s">
        <v>52</v>
      </c>
      <c r="H141" s="1">
        <v>75</v>
      </c>
    </row>
    <row r="142" spans="1:17" x14ac:dyDescent="0.2">
      <c r="A142" s="8">
        <v>42739</v>
      </c>
      <c r="B142" s="2" t="s">
        <v>51</v>
      </c>
      <c r="D142" s="1">
        <v>59.03</v>
      </c>
      <c r="F142" s="1">
        <v>69.87</v>
      </c>
    </row>
    <row r="143" spans="1:17" x14ac:dyDescent="0.2">
      <c r="A143" s="8">
        <v>42742</v>
      </c>
      <c r="B143" s="2" t="s">
        <v>51</v>
      </c>
      <c r="K143" s="1">
        <v>108.31</v>
      </c>
    </row>
    <row r="144" spans="1:17" x14ac:dyDescent="0.2">
      <c r="A144" s="8">
        <v>42744</v>
      </c>
      <c r="B144" s="2" t="s">
        <v>61</v>
      </c>
      <c r="Q144" s="1">
        <v>305.75</v>
      </c>
    </row>
    <row r="145" spans="1:15" x14ac:dyDescent="0.2">
      <c r="A145" s="8">
        <v>42744</v>
      </c>
      <c r="B145" s="2" t="s">
        <v>51</v>
      </c>
      <c r="C145" s="1">
        <f>-(9.73+14.81)</f>
        <v>-24.54</v>
      </c>
      <c r="D145" s="1">
        <f>-(6.09+9.12)</f>
        <v>-15.209999999999999</v>
      </c>
    </row>
    <row r="146" spans="1:15" x14ac:dyDescent="0.2">
      <c r="A146" s="8">
        <v>42744</v>
      </c>
      <c r="B146" s="2" t="s">
        <v>51</v>
      </c>
      <c r="D146" s="1">
        <v>956.92</v>
      </c>
      <c r="F146" s="1">
        <v>486.13</v>
      </c>
    </row>
    <row r="147" spans="1:15" x14ac:dyDescent="0.2">
      <c r="A147" s="8">
        <v>42745</v>
      </c>
      <c r="B147" s="2" t="s">
        <v>49</v>
      </c>
      <c r="N147" s="1">
        <v>130.03</v>
      </c>
    </row>
    <row r="148" spans="1:15" x14ac:dyDescent="0.2">
      <c r="A148" s="8">
        <v>42745</v>
      </c>
      <c r="B148" s="2" t="s">
        <v>51</v>
      </c>
      <c r="O148" s="1">
        <v>98.08</v>
      </c>
    </row>
    <row r="149" spans="1:15" x14ac:dyDescent="0.2">
      <c r="A149" s="8">
        <v>42745</v>
      </c>
      <c r="B149" s="2" t="s">
        <v>49</v>
      </c>
      <c r="J149" s="1">
        <v>204.95</v>
      </c>
    </row>
    <row r="150" spans="1:15" x14ac:dyDescent="0.2">
      <c r="A150" s="8">
        <v>42747</v>
      </c>
      <c r="B150" s="2" t="s">
        <v>49</v>
      </c>
      <c r="N150" s="1">
        <v>372.9</v>
      </c>
    </row>
    <row r="151" spans="1:15" x14ac:dyDescent="0.2">
      <c r="A151" s="8">
        <v>42747</v>
      </c>
      <c r="B151" s="2" t="s">
        <v>51</v>
      </c>
      <c r="L151" s="1">
        <v>376.25</v>
      </c>
      <c r="M151" s="1">
        <v>84.1</v>
      </c>
    </row>
    <row r="152" spans="1:15" x14ac:dyDescent="0.2">
      <c r="A152" s="8">
        <v>42748</v>
      </c>
      <c r="B152" s="2" t="s">
        <v>51</v>
      </c>
      <c r="D152" s="1">
        <f>-(14.26*3)-19</f>
        <v>-61.78</v>
      </c>
      <c r="L152" s="1">
        <v>-14</v>
      </c>
    </row>
    <row r="153" spans="1:15" x14ac:dyDescent="0.2">
      <c r="A153" s="8">
        <v>42748</v>
      </c>
      <c r="B153" s="2" t="s">
        <v>51</v>
      </c>
      <c r="I153" s="1">
        <f>215.16+207.31</f>
        <v>422.47</v>
      </c>
    </row>
    <row r="154" spans="1:15" x14ac:dyDescent="0.2">
      <c r="A154" s="8">
        <v>42753</v>
      </c>
      <c r="B154" s="2" t="s">
        <v>49</v>
      </c>
      <c r="L154" s="1">
        <v>35.03</v>
      </c>
      <c r="N154" s="1">
        <v>34.22</v>
      </c>
    </row>
    <row r="155" spans="1:15" x14ac:dyDescent="0.2">
      <c r="A155" s="8">
        <v>42754</v>
      </c>
      <c r="B155" s="2" t="s">
        <v>49</v>
      </c>
      <c r="N155" s="1">
        <v>178.82</v>
      </c>
    </row>
    <row r="156" spans="1:15" x14ac:dyDescent="0.2">
      <c r="A156" s="8">
        <v>42754</v>
      </c>
      <c r="B156" s="2" t="s">
        <v>49</v>
      </c>
      <c r="N156" s="1">
        <v>1054.49</v>
      </c>
    </row>
    <row r="157" spans="1:15" x14ac:dyDescent="0.2">
      <c r="A157" s="8">
        <v>42755</v>
      </c>
      <c r="B157" s="2" t="s">
        <v>51</v>
      </c>
      <c r="D157" s="1">
        <v>256.83</v>
      </c>
      <c r="F157" s="1">
        <v>182.79</v>
      </c>
    </row>
    <row r="158" spans="1:15" x14ac:dyDescent="0.2">
      <c r="A158" s="8">
        <v>42755</v>
      </c>
      <c r="B158" s="2" t="s">
        <v>51</v>
      </c>
      <c r="K158" s="1">
        <v>779.85</v>
      </c>
    </row>
    <row r="159" spans="1:15" x14ac:dyDescent="0.2">
      <c r="A159" s="8">
        <v>42758</v>
      </c>
      <c r="B159" s="2" t="s">
        <v>51</v>
      </c>
      <c r="I159" s="1">
        <v>26.76</v>
      </c>
      <c r="K159" s="1">
        <v>-19.25</v>
      </c>
    </row>
    <row r="160" spans="1:15" x14ac:dyDescent="0.2">
      <c r="A160" s="8">
        <v>42759</v>
      </c>
      <c r="B160" s="2" t="s">
        <v>51</v>
      </c>
      <c r="D160" s="1">
        <f>-13.75-13.75</f>
        <v>-27.5</v>
      </c>
      <c r="M160" s="1">
        <f>-14.79-10.95</f>
        <v>-25.74</v>
      </c>
    </row>
    <row r="161" spans="1:19" x14ac:dyDescent="0.2">
      <c r="A161" s="8">
        <v>42760</v>
      </c>
      <c r="B161" s="2" t="s">
        <v>51</v>
      </c>
      <c r="L161" s="1">
        <v>44.44</v>
      </c>
      <c r="M161" s="1">
        <v>27.51</v>
      </c>
    </row>
    <row r="162" spans="1:19" x14ac:dyDescent="0.2">
      <c r="A162" s="8">
        <v>42760</v>
      </c>
      <c r="B162" s="2" t="s">
        <v>51</v>
      </c>
      <c r="D162" s="1">
        <v>434.58</v>
      </c>
      <c r="F162" s="1">
        <v>58.15</v>
      </c>
    </row>
    <row r="163" spans="1:19" x14ac:dyDescent="0.2">
      <c r="A163" s="8">
        <v>42761</v>
      </c>
      <c r="B163" s="2" t="s">
        <v>49</v>
      </c>
      <c r="N163" s="1">
        <v>754.37</v>
      </c>
      <c r="O163" s="1">
        <v>11.95</v>
      </c>
    </row>
    <row r="164" spans="1:19" x14ac:dyDescent="0.2">
      <c r="A164" s="8">
        <v>42761</v>
      </c>
      <c r="B164" s="2" t="s">
        <v>60</v>
      </c>
      <c r="I164" s="1">
        <v>193.91</v>
      </c>
    </row>
    <row r="165" spans="1:19" x14ac:dyDescent="0.2">
      <c r="A165" s="8">
        <v>42762</v>
      </c>
      <c r="B165" s="2" t="s">
        <v>51</v>
      </c>
      <c r="M165" s="1">
        <v>19.510000000000002</v>
      </c>
    </row>
    <row r="166" spans="1:19" x14ac:dyDescent="0.2">
      <c r="A166" s="8">
        <v>42766</v>
      </c>
      <c r="B166" s="2" t="s">
        <v>49</v>
      </c>
      <c r="L166" s="1">
        <v>90.98</v>
      </c>
      <c r="N166" s="1">
        <v>82.56</v>
      </c>
    </row>
    <row r="167" spans="1:19" x14ac:dyDescent="0.2">
      <c r="A167" s="8">
        <v>42766</v>
      </c>
      <c r="B167" s="2" t="s">
        <v>71</v>
      </c>
      <c r="P167" s="1">
        <v>345.68</v>
      </c>
    </row>
    <row r="168" spans="1:19" x14ac:dyDescent="0.2">
      <c r="A168" s="8">
        <v>42767</v>
      </c>
      <c r="B168" s="2" t="s">
        <v>51</v>
      </c>
      <c r="G168" s="1">
        <v>462.38</v>
      </c>
    </row>
    <row r="169" spans="1:19" x14ac:dyDescent="0.2">
      <c r="A169" s="8">
        <v>42767</v>
      </c>
      <c r="B169" s="2" t="s">
        <v>61</v>
      </c>
      <c r="Q169" s="1">
        <v>296</v>
      </c>
    </row>
    <row r="170" spans="1:19" x14ac:dyDescent="0.2">
      <c r="A170" s="8">
        <v>42768</v>
      </c>
      <c r="B170" s="2" t="s">
        <v>51</v>
      </c>
      <c r="L170" s="1">
        <v>28.59</v>
      </c>
      <c r="M170" s="1">
        <v>19.510000000000002</v>
      </c>
    </row>
    <row r="171" spans="1:19" x14ac:dyDescent="0.2">
      <c r="A171" s="8">
        <v>42768</v>
      </c>
      <c r="B171" s="2" t="s">
        <v>51</v>
      </c>
      <c r="K171" s="1">
        <v>671.91</v>
      </c>
    </row>
    <row r="172" spans="1:19" x14ac:dyDescent="0.2">
      <c r="A172" s="8">
        <v>42769</v>
      </c>
      <c r="B172" s="2" t="s">
        <v>72</v>
      </c>
      <c r="S172" s="10">
        <v>4500</v>
      </c>
    </row>
    <row r="173" spans="1:19" x14ac:dyDescent="0.2">
      <c r="A173" s="8">
        <v>42772</v>
      </c>
      <c r="B173" s="2" t="s">
        <v>53</v>
      </c>
      <c r="I173" s="1">
        <v>203</v>
      </c>
    </row>
    <row r="174" spans="1:19" x14ac:dyDescent="0.2">
      <c r="A174" s="8">
        <v>42773</v>
      </c>
      <c r="B174" s="2" t="s">
        <v>51</v>
      </c>
      <c r="D174" s="1">
        <v>1040.0999999999999</v>
      </c>
      <c r="E174" s="1">
        <v>35.14</v>
      </c>
      <c r="F174" s="1">
        <v>297.69</v>
      </c>
    </row>
    <row r="175" spans="1:19" x14ac:dyDescent="0.2">
      <c r="A175" s="8">
        <v>42774</v>
      </c>
      <c r="B175" s="2" t="s">
        <v>49</v>
      </c>
      <c r="N175" s="1">
        <v>148.82</v>
      </c>
    </row>
    <row r="176" spans="1:19" x14ac:dyDescent="0.2">
      <c r="A176" s="8">
        <v>42774</v>
      </c>
      <c r="B176" s="2" t="s">
        <v>51</v>
      </c>
      <c r="I176" s="1">
        <v>113.24</v>
      </c>
    </row>
    <row r="177" spans="1:17" x14ac:dyDescent="0.2">
      <c r="A177" s="8">
        <v>42776</v>
      </c>
      <c r="B177" s="2" t="s">
        <v>49</v>
      </c>
      <c r="J177" s="1">
        <v>113.6</v>
      </c>
    </row>
    <row r="178" spans="1:17" x14ac:dyDescent="0.2">
      <c r="A178" s="8">
        <v>42776</v>
      </c>
      <c r="B178" s="2" t="s">
        <v>51</v>
      </c>
      <c r="D178" s="1">
        <v>185.36</v>
      </c>
      <c r="F178" s="1">
        <v>190.99</v>
      </c>
    </row>
    <row r="179" spans="1:17" x14ac:dyDescent="0.2">
      <c r="A179" s="8">
        <v>42778</v>
      </c>
      <c r="B179" s="2" t="s">
        <v>51</v>
      </c>
      <c r="O179" s="1">
        <v>172.63</v>
      </c>
    </row>
    <row r="180" spans="1:17" x14ac:dyDescent="0.2">
      <c r="A180" s="8">
        <v>42779</v>
      </c>
      <c r="B180" s="2" t="s">
        <v>51</v>
      </c>
      <c r="L180" s="1">
        <v>210.16</v>
      </c>
      <c r="M180" s="1">
        <v>101.26</v>
      </c>
    </row>
    <row r="181" spans="1:17" x14ac:dyDescent="0.2">
      <c r="A181" s="8">
        <v>42779</v>
      </c>
      <c r="B181" s="2" t="s">
        <v>51</v>
      </c>
      <c r="G181" s="1">
        <v>-10.050000000000001</v>
      </c>
      <c r="L181" s="1">
        <v>-9.75</v>
      </c>
    </row>
    <row r="182" spans="1:17" x14ac:dyDescent="0.2">
      <c r="A182" s="8">
        <v>42781</v>
      </c>
      <c r="B182" s="2" t="s">
        <v>51</v>
      </c>
      <c r="D182" s="1">
        <v>81.86</v>
      </c>
      <c r="E182" s="1">
        <v>67.94</v>
      </c>
      <c r="F182" s="1">
        <v>12.14</v>
      </c>
    </row>
    <row r="183" spans="1:17" x14ac:dyDescent="0.2">
      <c r="A183" s="8">
        <v>42787</v>
      </c>
      <c r="B183" s="2" t="s">
        <v>49</v>
      </c>
      <c r="H183" s="1">
        <v>21.99</v>
      </c>
      <c r="N183" s="1">
        <v>268.42</v>
      </c>
    </row>
    <row r="184" spans="1:17" x14ac:dyDescent="0.2">
      <c r="A184" s="8">
        <v>42788</v>
      </c>
      <c r="B184" s="2" t="s">
        <v>49</v>
      </c>
      <c r="N184" s="1">
        <v>138.27000000000001</v>
      </c>
    </row>
    <row r="185" spans="1:17" x14ac:dyDescent="0.2">
      <c r="A185" s="8">
        <v>42788</v>
      </c>
      <c r="B185" s="2" t="s">
        <v>51</v>
      </c>
      <c r="E185" s="1">
        <v>32.29</v>
      </c>
      <c r="F185" s="1">
        <v>67.05</v>
      </c>
    </row>
    <row r="186" spans="1:17" x14ac:dyDescent="0.2">
      <c r="A186" s="8">
        <v>42789</v>
      </c>
      <c r="B186" s="2" t="s">
        <v>49</v>
      </c>
      <c r="N186" s="1">
        <v>119.96</v>
      </c>
    </row>
    <row r="187" spans="1:17" x14ac:dyDescent="0.2">
      <c r="A187" s="8">
        <v>42790</v>
      </c>
      <c r="B187" s="2" t="s">
        <v>51</v>
      </c>
      <c r="M187" s="1">
        <v>46.68</v>
      </c>
    </row>
    <row r="188" spans="1:17" x14ac:dyDescent="0.2">
      <c r="A188" s="8">
        <v>42790</v>
      </c>
      <c r="B188" s="2" t="s">
        <v>61</v>
      </c>
      <c r="Q188" s="1">
        <v>277</v>
      </c>
    </row>
    <row r="189" spans="1:17" x14ac:dyDescent="0.2">
      <c r="A189" s="8">
        <v>42790</v>
      </c>
      <c r="B189" s="2" t="s">
        <v>51</v>
      </c>
      <c r="D189" s="1">
        <v>349.97</v>
      </c>
      <c r="F189" s="1">
        <v>81.150000000000006</v>
      </c>
    </row>
    <row r="190" spans="1:17" x14ac:dyDescent="0.2">
      <c r="A190" s="8">
        <v>42793</v>
      </c>
      <c r="B190" s="2" t="s">
        <v>49</v>
      </c>
      <c r="N190" s="1">
        <v>48.56</v>
      </c>
    </row>
    <row r="191" spans="1:17" x14ac:dyDescent="0.2">
      <c r="A191" s="8">
        <v>42793</v>
      </c>
      <c r="B191" s="2" t="s">
        <v>51</v>
      </c>
      <c r="L191" s="1">
        <v>198.47</v>
      </c>
      <c r="M191" s="1">
        <v>188.38</v>
      </c>
    </row>
    <row r="192" spans="1:17" x14ac:dyDescent="0.2">
      <c r="A192" s="8">
        <v>42793</v>
      </c>
      <c r="B192" s="2" t="s">
        <v>51</v>
      </c>
      <c r="I192" s="1">
        <f>127.93+150.24+282.8+464.62+163.1</f>
        <v>1188.69</v>
      </c>
    </row>
    <row r="193" spans="1:20" x14ac:dyDescent="0.2">
      <c r="A193" s="8">
        <v>42795</v>
      </c>
      <c r="B193" s="2" t="s">
        <v>73</v>
      </c>
      <c r="H193" s="1">
        <v>200</v>
      </c>
    </row>
    <row r="194" spans="1:20" x14ac:dyDescent="0.2">
      <c r="A194" s="8">
        <v>42796</v>
      </c>
      <c r="B194" s="2" t="s">
        <v>51</v>
      </c>
      <c r="I194" s="1">
        <f>272.88+501.55</f>
        <v>774.43000000000006</v>
      </c>
    </row>
    <row r="195" spans="1:20" x14ac:dyDescent="0.2">
      <c r="A195" s="8">
        <v>42796</v>
      </c>
      <c r="B195" s="2" t="s">
        <v>51</v>
      </c>
      <c r="K195" s="1">
        <v>881.15</v>
      </c>
    </row>
    <row r="196" spans="1:20" x14ac:dyDescent="0.2">
      <c r="A196" s="8">
        <v>42797</v>
      </c>
      <c r="B196" s="2" t="s">
        <v>51</v>
      </c>
      <c r="I196" s="1">
        <v>141.97</v>
      </c>
    </row>
    <row r="197" spans="1:20" x14ac:dyDescent="0.2">
      <c r="A197" s="8">
        <v>42798</v>
      </c>
      <c r="B197" s="2" t="s">
        <v>51</v>
      </c>
      <c r="D197" s="1">
        <v>99.51</v>
      </c>
      <c r="E197" s="1">
        <v>71.23</v>
      </c>
      <c r="F197" s="1">
        <v>77.2</v>
      </c>
    </row>
    <row r="198" spans="1:20" x14ac:dyDescent="0.2">
      <c r="A198" s="8">
        <v>42801</v>
      </c>
      <c r="B198" s="2" t="s">
        <v>49</v>
      </c>
      <c r="M198" s="1">
        <v>16.95</v>
      </c>
      <c r="N198" s="1">
        <v>756.61</v>
      </c>
    </row>
    <row r="199" spans="1:20" x14ac:dyDescent="0.2">
      <c r="A199" s="8">
        <v>42802</v>
      </c>
      <c r="B199" s="2" t="s">
        <v>51</v>
      </c>
      <c r="L199" s="1">
        <v>157.94999999999999</v>
      </c>
      <c r="M199" s="1">
        <v>84.06</v>
      </c>
    </row>
    <row r="200" spans="1:20" x14ac:dyDescent="0.2">
      <c r="A200" s="8">
        <v>42803</v>
      </c>
      <c r="B200" s="2" t="s">
        <v>51</v>
      </c>
      <c r="D200" s="1">
        <v>200.45</v>
      </c>
      <c r="F200" s="1">
        <v>152.66999999999999</v>
      </c>
    </row>
    <row r="201" spans="1:20" x14ac:dyDescent="0.2">
      <c r="A201" s="8">
        <v>42803</v>
      </c>
      <c r="B201" s="2" t="s">
        <v>51</v>
      </c>
      <c r="T201" s="2">
        <v>-14.28</v>
      </c>
    </row>
    <row r="202" spans="1:20" x14ac:dyDescent="0.2">
      <c r="A202" s="8">
        <v>42804</v>
      </c>
      <c r="B202" s="2" t="s">
        <v>49</v>
      </c>
      <c r="J202" s="1">
        <v>148.80000000000001</v>
      </c>
    </row>
    <row r="203" spans="1:20" x14ac:dyDescent="0.2">
      <c r="A203" s="8">
        <v>42807</v>
      </c>
      <c r="B203" s="2" t="s">
        <v>49</v>
      </c>
      <c r="M203" s="1">
        <v>11.43</v>
      </c>
      <c r="N203" s="1">
        <v>486.24</v>
      </c>
    </row>
    <row r="204" spans="1:20" x14ac:dyDescent="0.2">
      <c r="A204" s="8">
        <v>42809</v>
      </c>
      <c r="B204" s="2" t="s">
        <v>51</v>
      </c>
      <c r="T204" s="2">
        <v>-7.32</v>
      </c>
    </row>
    <row r="205" spans="1:20" x14ac:dyDescent="0.2">
      <c r="A205" s="8">
        <v>42810</v>
      </c>
      <c r="B205" s="2" t="s">
        <v>49</v>
      </c>
      <c r="N205" s="1">
        <v>106.69</v>
      </c>
    </row>
    <row r="206" spans="1:20" x14ac:dyDescent="0.2">
      <c r="A206" s="8">
        <v>42810</v>
      </c>
      <c r="B206" s="2" t="s">
        <v>51</v>
      </c>
      <c r="G206" s="1">
        <v>520.19000000000005</v>
      </c>
      <c r="O206" s="1">
        <v>115.71</v>
      </c>
    </row>
    <row r="207" spans="1:20" x14ac:dyDescent="0.2">
      <c r="A207" s="8">
        <v>42815</v>
      </c>
      <c r="B207" s="2" t="s">
        <v>51</v>
      </c>
      <c r="G207" s="1">
        <v>-11.47</v>
      </c>
    </row>
    <row r="208" spans="1:20" x14ac:dyDescent="0.2">
      <c r="A208" s="8">
        <v>42817</v>
      </c>
      <c r="B208" s="2" t="s">
        <v>51</v>
      </c>
      <c r="D208" s="1">
        <v>144.81</v>
      </c>
      <c r="E208" s="1">
        <v>326.33</v>
      </c>
      <c r="F208" s="1">
        <v>163.43</v>
      </c>
      <c r="K208" s="1">
        <v>215.16</v>
      </c>
    </row>
    <row r="209" spans="1:20" x14ac:dyDescent="0.2">
      <c r="A209" s="8">
        <v>42818</v>
      </c>
      <c r="B209" s="2" t="s">
        <v>49</v>
      </c>
      <c r="N209" s="1">
        <v>50.13</v>
      </c>
    </row>
    <row r="210" spans="1:20" x14ac:dyDescent="0.2">
      <c r="A210" s="8">
        <v>42821</v>
      </c>
      <c r="B210" s="2" t="s">
        <v>51</v>
      </c>
      <c r="E210" s="1">
        <f>-21.35-30.39-32.25</f>
        <v>-83.990000000000009</v>
      </c>
      <c r="F210" s="1">
        <v>-15.35</v>
      </c>
      <c r="M210" s="1">
        <v>-14.98</v>
      </c>
    </row>
    <row r="211" spans="1:20" x14ac:dyDescent="0.2">
      <c r="A211" s="8">
        <v>42823</v>
      </c>
      <c r="B211" s="2" t="s">
        <v>51</v>
      </c>
      <c r="D211" s="1">
        <v>248.44</v>
      </c>
      <c r="E211" s="1">
        <v>85.17</v>
      </c>
      <c r="F211" s="1">
        <v>556.11</v>
      </c>
    </row>
    <row r="212" spans="1:20" x14ac:dyDescent="0.2">
      <c r="A212" s="8">
        <v>42824</v>
      </c>
      <c r="B212" s="2" t="s">
        <v>49</v>
      </c>
      <c r="N212" s="1">
        <v>151.91</v>
      </c>
    </row>
    <row r="213" spans="1:20" x14ac:dyDescent="0.2">
      <c r="A213" s="8">
        <v>42825</v>
      </c>
      <c r="B213" s="2" t="s">
        <v>51</v>
      </c>
      <c r="D213" s="1">
        <v>14.81</v>
      </c>
      <c r="F213" s="1">
        <f>42.31+57.07</f>
        <v>99.38</v>
      </c>
    </row>
    <row r="214" spans="1:20" x14ac:dyDescent="0.2">
      <c r="A214" s="8">
        <v>42826</v>
      </c>
      <c r="B214" s="2" t="s">
        <v>51</v>
      </c>
      <c r="G214" s="1">
        <v>440.92</v>
      </c>
      <c r="O214" s="1">
        <v>203.06</v>
      </c>
    </row>
    <row r="215" spans="1:20" x14ac:dyDescent="0.2">
      <c r="A215" s="8">
        <v>42826</v>
      </c>
      <c r="B215" s="2" t="s">
        <v>75</v>
      </c>
      <c r="P215" s="1">
        <v>1455</v>
      </c>
    </row>
    <row r="216" spans="1:20" x14ac:dyDescent="0.2">
      <c r="A216" s="8">
        <v>42828</v>
      </c>
      <c r="B216" s="2" t="s">
        <v>61</v>
      </c>
      <c r="Q216" s="1">
        <v>305.5</v>
      </c>
    </row>
    <row r="217" spans="1:20" x14ac:dyDescent="0.2">
      <c r="A217" s="8">
        <v>42829</v>
      </c>
      <c r="B217" s="2" t="s">
        <v>51</v>
      </c>
      <c r="L217" s="1">
        <v>203.18</v>
      </c>
      <c r="M217" s="1">
        <v>59.63</v>
      </c>
    </row>
    <row r="218" spans="1:20" x14ac:dyDescent="0.2">
      <c r="A218" s="8">
        <v>42830</v>
      </c>
      <c r="B218" s="2" t="s">
        <v>49</v>
      </c>
      <c r="N218" s="1">
        <v>145.41999999999999</v>
      </c>
    </row>
    <row r="219" spans="1:20" x14ac:dyDescent="0.2">
      <c r="A219" s="8">
        <v>42830</v>
      </c>
      <c r="B219" s="2" t="s">
        <v>51</v>
      </c>
      <c r="D219" s="1">
        <v>50.42</v>
      </c>
      <c r="F219" s="1">
        <v>120.6</v>
      </c>
    </row>
    <row r="220" spans="1:20" x14ac:dyDescent="0.2">
      <c r="A220" s="8">
        <v>42832</v>
      </c>
      <c r="B220" s="2" t="s">
        <v>51</v>
      </c>
      <c r="E220" s="1">
        <f>212.76+109.43</f>
        <v>322.19</v>
      </c>
    </row>
    <row r="221" spans="1:20" x14ac:dyDescent="0.2">
      <c r="A221" s="8">
        <v>42832</v>
      </c>
      <c r="B221" s="2" t="s">
        <v>51</v>
      </c>
      <c r="D221" s="1">
        <v>-16.16</v>
      </c>
      <c r="E221" s="1">
        <f>-28.45-28.95</f>
        <v>-57.4</v>
      </c>
      <c r="F221" s="1">
        <v>-15.87</v>
      </c>
      <c r="T221" s="2">
        <v>-10.97</v>
      </c>
    </row>
    <row r="222" spans="1:20" x14ac:dyDescent="0.2">
      <c r="A222" s="8">
        <v>42835</v>
      </c>
      <c r="B222" s="2" t="s">
        <v>49</v>
      </c>
      <c r="J222" s="1">
        <v>386.44</v>
      </c>
    </row>
    <row r="223" spans="1:20" x14ac:dyDescent="0.2">
      <c r="A223" s="8">
        <v>42835</v>
      </c>
      <c r="B223" s="2" t="s">
        <v>51</v>
      </c>
      <c r="I223" s="1">
        <f>241.27+46+71.64</f>
        <v>358.90999999999997</v>
      </c>
    </row>
    <row r="224" spans="1:20" x14ac:dyDescent="0.2">
      <c r="A224" s="8">
        <v>42837</v>
      </c>
      <c r="B224" s="2" t="s">
        <v>51</v>
      </c>
      <c r="E224" s="1">
        <v>63.59</v>
      </c>
      <c r="L224" s="1">
        <v>178.25</v>
      </c>
      <c r="M224" s="1">
        <v>187.27</v>
      </c>
      <c r="N224" s="1">
        <v>33.979999999999997</v>
      </c>
    </row>
    <row r="225" spans="1:20" x14ac:dyDescent="0.2">
      <c r="A225" s="8">
        <v>42839</v>
      </c>
      <c r="B225" s="2" t="s">
        <v>78</v>
      </c>
      <c r="Q225" s="1">
        <v>60</v>
      </c>
    </row>
    <row r="226" spans="1:20" x14ac:dyDescent="0.2">
      <c r="A226" s="8">
        <v>42843</v>
      </c>
      <c r="B226" s="2" t="s">
        <v>51</v>
      </c>
      <c r="L226" s="1">
        <v>-13.75</v>
      </c>
      <c r="O226" s="1">
        <v>-10.57</v>
      </c>
    </row>
    <row r="227" spans="1:20" x14ac:dyDescent="0.2">
      <c r="A227" s="8">
        <v>42849</v>
      </c>
      <c r="B227" s="2" t="s">
        <v>75</v>
      </c>
      <c r="Q227" s="1">
        <v>1939.37</v>
      </c>
    </row>
    <row r="228" spans="1:20" x14ac:dyDescent="0.2">
      <c r="A228" s="8">
        <v>42849</v>
      </c>
      <c r="B228" s="2" t="s">
        <v>51</v>
      </c>
      <c r="G228" s="1">
        <v>-6.7</v>
      </c>
      <c r="T228" s="2">
        <f>-(14.28+15.34+13.75+15.34)</f>
        <v>-58.709999999999994</v>
      </c>
    </row>
    <row r="229" spans="1:20" x14ac:dyDescent="0.2">
      <c r="A229" s="8">
        <v>42850</v>
      </c>
      <c r="B229" s="2" t="s">
        <v>49</v>
      </c>
      <c r="N229" s="1">
        <v>486.69</v>
      </c>
    </row>
    <row r="230" spans="1:20" x14ac:dyDescent="0.2">
      <c r="A230" s="8">
        <v>42851</v>
      </c>
      <c r="B230" s="2" t="s">
        <v>61</v>
      </c>
      <c r="Q230" s="1">
        <v>298.75</v>
      </c>
    </row>
    <row r="231" spans="1:20" x14ac:dyDescent="0.2">
      <c r="A231" s="8">
        <v>42852</v>
      </c>
      <c r="B231" s="2" t="s">
        <v>77</v>
      </c>
      <c r="L231" s="1">
        <v>2032.19</v>
      </c>
    </row>
    <row r="232" spans="1:20" x14ac:dyDescent="0.2">
      <c r="A232" s="8">
        <v>42853</v>
      </c>
      <c r="B232" s="2" t="s">
        <v>51</v>
      </c>
      <c r="L232" s="1">
        <v>368.51</v>
      </c>
      <c r="M232" s="1">
        <v>178.73</v>
      </c>
    </row>
    <row r="233" spans="1:20" x14ac:dyDescent="0.2">
      <c r="A233" s="8">
        <v>42856</v>
      </c>
      <c r="B233" s="2" t="s">
        <v>79</v>
      </c>
      <c r="P233" s="1">
        <v>300</v>
      </c>
    </row>
    <row r="234" spans="1:20" x14ac:dyDescent="0.2">
      <c r="A234" s="8">
        <v>42860</v>
      </c>
      <c r="B234" s="2" t="s">
        <v>51</v>
      </c>
      <c r="L234" s="1">
        <v>148.46</v>
      </c>
      <c r="M234" s="1">
        <v>67.66</v>
      </c>
    </row>
    <row r="235" spans="1:20" x14ac:dyDescent="0.2">
      <c r="A235" s="8">
        <v>42864</v>
      </c>
      <c r="B235" s="2" t="s">
        <v>51</v>
      </c>
      <c r="G235" s="1">
        <f>140.87+269.72</f>
        <v>410.59000000000003</v>
      </c>
    </row>
    <row r="236" spans="1:20" x14ac:dyDescent="0.2">
      <c r="A236" s="8">
        <v>42866</v>
      </c>
      <c r="B236" s="2" t="s">
        <v>49</v>
      </c>
      <c r="N236" s="1">
        <v>318.77999999999997</v>
      </c>
    </row>
    <row r="237" spans="1:20" x14ac:dyDescent="0.2">
      <c r="A237" s="8">
        <v>42866</v>
      </c>
      <c r="B237" s="2" t="s">
        <v>60</v>
      </c>
      <c r="I237" s="1">
        <v>195.54</v>
      </c>
    </row>
    <row r="238" spans="1:20" x14ac:dyDescent="0.2">
      <c r="A238" s="8">
        <v>42871</v>
      </c>
      <c r="B238" s="2" t="s">
        <v>49</v>
      </c>
      <c r="N238" s="1">
        <v>87.11</v>
      </c>
    </row>
    <row r="239" spans="1:20" x14ac:dyDescent="0.2">
      <c r="A239" s="8">
        <v>42872</v>
      </c>
      <c r="B239" s="2" t="s">
        <v>65</v>
      </c>
      <c r="H239" s="1">
        <v>72.22</v>
      </c>
    </row>
    <row r="240" spans="1:20" x14ac:dyDescent="0.2">
      <c r="A240" s="8">
        <v>42873</v>
      </c>
      <c r="B240" s="2" t="s">
        <v>51</v>
      </c>
      <c r="N240" s="1">
        <v>282.89999999999998</v>
      </c>
    </row>
    <row r="241" spans="1:18" x14ac:dyDescent="0.2">
      <c r="A241" s="8">
        <v>42874</v>
      </c>
      <c r="B241" s="2" t="s">
        <v>51</v>
      </c>
      <c r="I241" s="1">
        <v>262.37</v>
      </c>
    </row>
    <row r="242" spans="1:18" x14ac:dyDescent="0.2">
      <c r="A242" s="8">
        <v>42876</v>
      </c>
      <c r="B242" s="2" t="s">
        <v>81</v>
      </c>
      <c r="N242" s="1">
        <v>494.34</v>
      </c>
    </row>
    <row r="243" spans="1:18" x14ac:dyDescent="0.2">
      <c r="A243" s="8">
        <v>42877</v>
      </c>
      <c r="B243" s="2" t="s">
        <v>68</v>
      </c>
      <c r="R243" s="1">
        <v>999.78</v>
      </c>
    </row>
    <row r="244" spans="1:18" x14ac:dyDescent="0.2">
      <c r="A244" s="8">
        <v>42877</v>
      </c>
      <c r="B244" s="2" t="s">
        <v>51</v>
      </c>
      <c r="L244" s="1">
        <v>159.52000000000001</v>
      </c>
      <c r="M244" s="1">
        <v>214.49</v>
      </c>
    </row>
    <row r="245" spans="1:18" x14ac:dyDescent="0.2">
      <c r="A245" s="8">
        <v>42877</v>
      </c>
      <c r="B245" s="2" t="s">
        <v>49</v>
      </c>
      <c r="J245" s="1">
        <v>93.87</v>
      </c>
    </row>
    <row r="246" spans="1:18" x14ac:dyDescent="0.2">
      <c r="A246" s="8">
        <v>42879</v>
      </c>
      <c r="B246" s="2" t="s">
        <v>59</v>
      </c>
      <c r="I246" s="1">
        <v>2813.24</v>
      </c>
    </row>
    <row r="247" spans="1:18" x14ac:dyDescent="0.2">
      <c r="A247" s="8">
        <v>42886</v>
      </c>
      <c r="B247" s="2" t="s">
        <v>51</v>
      </c>
      <c r="N247" s="1">
        <v>54.38</v>
      </c>
    </row>
    <row r="248" spans="1:18" x14ac:dyDescent="0.2">
      <c r="A248" s="8">
        <v>42879</v>
      </c>
      <c r="B248" s="2" t="s">
        <v>53</v>
      </c>
      <c r="I248" s="1">
        <v>231</v>
      </c>
    </row>
    <row r="249" spans="1:18" x14ac:dyDescent="0.2">
      <c r="A249" s="8">
        <v>42881</v>
      </c>
      <c r="B249" s="2" t="s">
        <v>61</v>
      </c>
      <c r="Q249" s="1">
        <v>447</v>
      </c>
    </row>
    <row r="250" spans="1:18" x14ac:dyDescent="0.2">
      <c r="A250" s="8">
        <v>42892</v>
      </c>
      <c r="B250" s="2" t="s">
        <v>59</v>
      </c>
      <c r="I250" s="1">
        <v>147.87</v>
      </c>
    </row>
  </sheetData>
  <sortState ref="A232:U245">
    <sortCondition ref="A245"/>
  </sortState>
  <phoneticPr fontId="1" type="noConversion"/>
  <pageMargins left="0.18" right="0.18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Itemized</vt:lpstr>
    </vt:vector>
  </TitlesOfParts>
  <Company>Town of Greenfield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CHKOUT02</cp:lastModifiedBy>
  <cp:lastPrinted>2017-01-10T20:30:48Z</cp:lastPrinted>
  <dcterms:created xsi:type="dcterms:W3CDTF">2009-03-16T17:10:57Z</dcterms:created>
  <dcterms:modified xsi:type="dcterms:W3CDTF">2017-06-20T15:18:21Z</dcterms:modified>
</cp:coreProperties>
</file>