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book order information\past years\"/>
    </mc:Choice>
  </mc:AlternateContent>
  <bookViews>
    <workbookView xWindow="-1019" yWindow="-109" windowWidth="6168" windowHeight="8328"/>
  </bookViews>
  <sheets>
    <sheet name="Totals" sheetId="1" r:id="rId1"/>
    <sheet name="Itemized" sheetId="2" r:id="rId2"/>
  </sheets>
  <calcPr calcId="162913"/>
</workbook>
</file>

<file path=xl/calcChain.xml><?xml version="1.0" encoding="utf-8"?>
<calcChain xmlns="http://schemas.openxmlformats.org/spreadsheetml/2006/main">
  <c r="U160" i="2" l="1"/>
  <c r="C7" i="1" l="1"/>
  <c r="C10" i="1"/>
  <c r="C3" i="1" l="1"/>
  <c r="C4" i="1"/>
  <c r="C6" i="1"/>
  <c r="R188" i="2" l="1"/>
  <c r="R213" i="2" l="1"/>
  <c r="Q211" i="2" l="1"/>
  <c r="R205" i="2" l="1"/>
  <c r="C13" i="1" l="1"/>
  <c r="C14" i="1"/>
  <c r="O191" i="2"/>
  <c r="M189" i="2"/>
  <c r="M181" i="2" l="1"/>
  <c r="M176" i="2" l="1"/>
  <c r="R171" i="2" l="1"/>
  <c r="P170" i="2" l="1"/>
  <c r="C9" i="1" l="1"/>
  <c r="R169" i="2" l="1"/>
  <c r="R159" i="2" l="1"/>
  <c r="R153" i="2" l="1"/>
  <c r="H146" i="2" l="1"/>
  <c r="D1" i="2"/>
  <c r="C1" i="2"/>
  <c r="R139" i="2" l="1"/>
  <c r="R134" i="2" l="1"/>
  <c r="J117" i="2" l="1"/>
  <c r="M110" i="2" l="1"/>
  <c r="R93" i="2" l="1"/>
  <c r="J90" i="2" l="1"/>
  <c r="Q89" i="2" l="1"/>
  <c r="M88" i="2"/>
  <c r="H72" i="2" l="1"/>
  <c r="M61" i="2" l="1"/>
  <c r="M57" i="2"/>
  <c r="H34" i="2" l="1"/>
  <c r="P25" i="2" l="1"/>
  <c r="E1" i="2"/>
  <c r="F1" i="2"/>
  <c r="J17" i="2"/>
  <c r="H17" i="2"/>
  <c r="A26" i="1" l="1"/>
  <c r="C15" i="1" l="1"/>
  <c r="J1" i="2" l="1"/>
  <c r="L1" i="2"/>
  <c r="N1" i="2"/>
  <c r="S1" i="2"/>
  <c r="T1" i="2"/>
  <c r="U1" i="2"/>
  <c r="D12" i="1" s="1"/>
  <c r="V1" i="2"/>
  <c r="W1" i="2"/>
  <c r="M1" i="2" l="1"/>
  <c r="Q1" i="2" l="1"/>
  <c r="K1" i="2" l="1"/>
  <c r="X1" i="2" l="1"/>
  <c r="H1" i="2" l="1"/>
  <c r="O1" i="2"/>
  <c r="R1" i="2" l="1"/>
  <c r="P1" i="2" l="1"/>
  <c r="D3" i="1" s="1"/>
  <c r="I1" i="2" l="1"/>
  <c r="G1" i="2"/>
  <c r="D4" i="1" s="1"/>
  <c r="D14" i="1" l="1"/>
  <c r="E14" i="1" s="1"/>
  <c r="H14" i="1" s="1"/>
  <c r="D9" i="1"/>
  <c r="E9" i="1" s="1"/>
  <c r="H9" i="1" s="1"/>
  <c r="D15" i="1"/>
  <c r="D10" i="1"/>
  <c r="E10" i="1" s="1"/>
  <c r="H10" i="1" s="1"/>
  <c r="D11" i="1"/>
  <c r="E11" i="1" s="1"/>
  <c r="E12" i="1"/>
  <c r="H12" i="1" s="1"/>
  <c r="D8" i="1"/>
  <c r="E8" i="1" s="1"/>
  <c r="H8" i="1" s="1"/>
  <c r="D6" i="1"/>
  <c r="E6" i="1" s="1"/>
  <c r="H6" i="1" s="1"/>
  <c r="B1" i="1"/>
  <c r="E4" i="1" l="1"/>
  <c r="H4" i="1" s="1"/>
  <c r="E3" i="1"/>
  <c r="H3" i="1" s="1"/>
  <c r="D13" i="1"/>
  <c r="E13" i="1" s="1"/>
  <c r="H13" i="1" s="1"/>
  <c r="H11" i="1"/>
  <c r="D5" i="1"/>
  <c r="E5" i="1" s="1"/>
  <c r="H5" i="1" s="1"/>
  <c r="E15" i="1"/>
  <c r="D7" i="1"/>
  <c r="E7" i="1" s="1"/>
  <c r="H7" i="1" s="1"/>
  <c r="C16" i="1"/>
  <c r="D16" i="1" l="1"/>
  <c r="E16" i="1" s="1"/>
  <c r="H15" i="1"/>
  <c r="G12" i="1"/>
  <c r="G11" i="1"/>
  <c r="G9" i="1"/>
  <c r="G7" i="1"/>
  <c r="G5" i="1"/>
  <c r="G3" i="1"/>
  <c r="G14" i="1"/>
  <c r="G10" i="1"/>
  <c r="G8" i="1"/>
  <c r="G6" i="1"/>
  <c r="G4" i="1"/>
  <c r="G15" i="1"/>
  <c r="G13" i="1"/>
  <c r="H16" i="1" l="1"/>
  <c r="G16" i="1"/>
</calcChain>
</file>

<file path=xl/sharedStrings.xml><?xml version="1.0" encoding="utf-8"?>
<sst xmlns="http://schemas.openxmlformats.org/spreadsheetml/2006/main" count="296" uniqueCount="94">
  <si>
    <t>lpfic</t>
  </si>
  <si>
    <t>lpnon</t>
  </si>
  <si>
    <t>Selector</t>
  </si>
  <si>
    <t>Budget</t>
  </si>
  <si>
    <t>Spent to date</t>
  </si>
  <si>
    <t>Left to Spend</t>
  </si>
  <si>
    <t>To Date</t>
  </si>
  <si>
    <t>kl</t>
  </si>
  <si>
    <t>date</t>
  </si>
  <si>
    <t>BoCD</t>
  </si>
  <si>
    <t>DVD</t>
  </si>
  <si>
    <t>CD</t>
  </si>
  <si>
    <t xml:space="preserve"> </t>
  </si>
  <si>
    <t>Fiction</t>
  </si>
  <si>
    <t>Nonfiction</t>
  </si>
  <si>
    <t>Teen</t>
  </si>
  <si>
    <t>Large Print</t>
  </si>
  <si>
    <t>Reference</t>
  </si>
  <si>
    <t>Kay</t>
  </si>
  <si>
    <t>Lisa</t>
  </si>
  <si>
    <t>Graphic Novels</t>
  </si>
  <si>
    <t>Magazines</t>
  </si>
  <si>
    <t>lpDVD</t>
  </si>
  <si>
    <t>vendor</t>
  </si>
  <si>
    <t>Databases</t>
  </si>
  <si>
    <t>Mags</t>
  </si>
  <si>
    <t>Category</t>
  </si>
  <si>
    <t>Misc.</t>
  </si>
  <si>
    <t>to spend</t>
  </si>
  <si>
    <t>% left</t>
  </si>
  <si>
    <t>% of</t>
  </si>
  <si>
    <t>Total</t>
  </si>
  <si>
    <t>Overdrive</t>
  </si>
  <si>
    <t>DBs</t>
  </si>
  <si>
    <t>Youth</t>
  </si>
  <si>
    <t>Notes</t>
  </si>
  <si>
    <t>left to spend overall</t>
  </si>
  <si>
    <t>ref</t>
  </si>
  <si>
    <t>Diane</t>
  </si>
  <si>
    <t>dhCD</t>
  </si>
  <si>
    <t>Hoopla</t>
  </si>
  <si>
    <t>dhBoCD</t>
  </si>
  <si>
    <t>Standing Orders</t>
  </si>
  <si>
    <t>tfnon</t>
  </si>
  <si>
    <t>smgns</t>
  </si>
  <si>
    <t>Steve</t>
  </si>
  <si>
    <t>teen</t>
  </si>
  <si>
    <t>mkcfic</t>
  </si>
  <si>
    <t>mkcnon</t>
  </si>
  <si>
    <t>mkcLP</t>
  </si>
  <si>
    <t>Francesca, Steve</t>
  </si>
  <si>
    <t>Marjorie</t>
  </si>
  <si>
    <t>*Need to subtract out the S/O amount from the fiction column.</t>
  </si>
  <si>
    <t>Amazon</t>
  </si>
  <si>
    <t>Ingram</t>
  </si>
  <si>
    <t>Lisa, Marjorie, Cynthia</t>
  </si>
  <si>
    <t>Lisa, Marjorie, Tony, Cynthia</t>
  </si>
  <si>
    <t>NADA</t>
  </si>
  <si>
    <t>Lerner</t>
  </si>
  <si>
    <t>Proquest</t>
  </si>
  <si>
    <t>Rosen</t>
  </si>
  <si>
    <t>ccfic</t>
  </si>
  <si>
    <t>ccnon</t>
  </si>
  <si>
    <t>Recorded Books</t>
  </si>
  <si>
    <t>Signature Sounds</t>
  </si>
  <si>
    <t>Baker</t>
  </si>
  <si>
    <t>Five Colleges</t>
  </si>
  <si>
    <t>Scholastic</t>
  </si>
  <si>
    <t>B&amp;N</t>
  </si>
  <si>
    <t>Blackstone</t>
  </si>
  <si>
    <t>Cavendish</t>
  </si>
  <si>
    <t>National Highlights</t>
  </si>
  <si>
    <t>Patomi Media</t>
  </si>
  <si>
    <t>Appleseed</t>
  </si>
  <si>
    <t>WT Cox</t>
  </si>
  <si>
    <t>Growing Minds</t>
  </si>
  <si>
    <t>The Sun</t>
  </si>
  <si>
    <t>Bookpage</t>
  </si>
  <si>
    <t>Dex</t>
  </si>
  <si>
    <t>Midwest Tape</t>
  </si>
  <si>
    <t>World Book</t>
  </si>
  <si>
    <t>Kanopy</t>
  </si>
  <si>
    <t>Findaway</t>
  </si>
  <si>
    <t>ebfic</t>
  </si>
  <si>
    <t>ebnon</t>
  </si>
  <si>
    <t>Infogroup</t>
  </si>
  <si>
    <t>C/W MARS</t>
  </si>
  <si>
    <t>American Ancestors</t>
  </si>
  <si>
    <t>EBSCO</t>
  </si>
  <si>
    <t>Montague Reporter</t>
  </si>
  <si>
    <t>GHS Yearbooks</t>
  </si>
  <si>
    <t>Friends</t>
  </si>
  <si>
    <t>Baker Office</t>
  </si>
  <si>
    <t>Imagine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</si>
</sst>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m/d/yy;@"/>
    <numFmt numFmtId="166" formatCode="&quot;$&quot;#,##0"/>
  </numFmts>
  <fonts count="1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b/>
      <sz val="8"/>
      <color rgb="FF7030A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b/>
      <i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0" fontId="1" fillId="0" borderId="1" xfId="0" applyNumberFormat="1" applyFont="1" applyBorder="1"/>
    <xf numFmtId="40" fontId="1" fillId="0" borderId="0" xfId="0" applyNumberFormat="1" applyFont="1"/>
    <xf numFmtId="40" fontId="3" fillId="0" borderId="1" xfId="0" applyNumberFormat="1" applyFont="1" applyBorder="1"/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165" fontId="4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1" fillId="0" borderId="5" xfId="0" applyNumberFormat="1" applyFont="1" applyBorder="1"/>
    <xf numFmtId="40" fontId="2" fillId="0" borderId="6" xfId="0" applyNumberFormat="1" applyFont="1" applyBorder="1" applyAlignment="1">
      <alignment horizontal="center"/>
    </xf>
    <xf numFmtId="40" fontId="1" fillId="0" borderId="5" xfId="0" applyNumberFormat="1" applyFont="1" applyBorder="1"/>
    <xf numFmtId="0" fontId="5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7" fillId="0" borderId="0" xfId="0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9" fontId="6" fillId="0" borderId="0" xfId="0" applyNumberFormat="1" applyFont="1" applyFill="1"/>
    <xf numFmtId="9" fontId="6" fillId="0" borderId="0" xfId="0" applyNumberFormat="1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164" fontId="6" fillId="0" borderId="0" xfId="0" applyNumberFormat="1" applyFont="1" applyFill="1"/>
    <xf numFmtId="9" fontId="5" fillId="0" borderId="2" xfId="0" applyNumberFormat="1" applyFont="1" applyBorder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9" fontId="6" fillId="0" borderId="0" xfId="0" applyNumberFormat="1" applyFont="1" applyBorder="1"/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2" xfId="0" applyNumberFormat="1" applyFont="1" applyBorder="1"/>
    <xf numFmtId="8" fontId="5" fillId="0" borderId="0" xfId="0" applyNumberFormat="1" applyFont="1"/>
    <xf numFmtId="8" fontId="7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right"/>
    </xf>
    <xf numFmtId="8" fontId="8" fillId="0" borderId="2" xfId="0" applyNumberFormat="1" applyFont="1" applyBorder="1"/>
    <xf numFmtId="8" fontId="6" fillId="0" borderId="0" xfId="0" applyNumberFormat="1" applyFont="1"/>
    <xf numFmtId="8" fontId="7" fillId="0" borderId="0" xfId="0" applyNumberFormat="1" applyFont="1"/>
    <xf numFmtId="8" fontId="8" fillId="0" borderId="0" xfId="0" applyNumberFormat="1" applyFont="1"/>
    <xf numFmtId="8" fontId="8" fillId="0" borderId="0" xfId="0" applyNumberFormat="1" applyFont="1" applyBorder="1"/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right"/>
    </xf>
    <xf numFmtId="8" fontId="6" fillId="0" borderId="0" xfId="0" applyNumberFormat="1" applyFont="1" applyFill="1" applyAlignment="1">
      <alignment horizontal="right" wrapText="1"/>
    </xf>
    <xf numFmtId="8" fontId="6" fillId="0" borderId="0" xfId="0" applyNumberFormat="1" applyFont="1" applyAlignment="1">
      <alignment horizontal="right" wrapText="1"/>
    </xf>
    <xf numFmtId="8" fontId="5" fillId="0" borderId="2" xfId="0" applyNumberFormat="1" applyFont="1" applyBorder="1"/>
    <xf numFmtId="40" fontId="11" fillId="0" borderId="1" xfId="0" applyNumberFormat="1" applyFont="1" applyBorder="1"/>
    <xf numFmtId="8" fontId="12" fillId="0" borderId="0" xfId="0" applyNumberFormat="1" applyFont="1"/>
    <xf numFmtId="8" fontId="7" fillId="0" borderId="0" xfId="0" applyNumberFormat="1" applyFont="1" applyFill="1" applyAlignment="1">
      <alignment horizontal="right" wrapText="1"/>
    </xf>
    <xf numFmtId="8" fontId="7" fillId="0" borderId="0" xfId="0" applyNumberFormat="1" applyFont="1" applyAlignment="1">
      <alignment horizontal="right" wrapText="1"/>
    </xf>
    <xf numFmtId="40" fontId="2" fillId="0" borderId="3" xfId="0" applyNumberFormat="1" applyFont="1" applyBorder="1" applyAlignment="1">
      <alignment horizontal="left"/>
    </xf>
    <xf numFmtId="0" fontId="5" fillId="0" borderId="0" xfId="0" applyFont="1" applyBorder="1"/>
    <xf numFmtId="9" fontId="5" fillId="2" borderId="0" xfId="0" applyNumberFormat="1" applyFont="1" applyFill="1" applyBorder="1"/>
    <xf numFmtId="0" fontId="5" fillId="2" borderId="0" xfId="0" applyFont="1" applyFill="1" applyBorder="1"/>
    <xf numFmtId="166" fontId="6" fillId="0" borderId="0" xfId="0" applyNumberFormat="1" applyFont="1"/>
    <xf numFmtId="40" fontId="1" fillId="0" borderId="0" xfId="0" applyNumberFormat="1" applyFont="1" applyBorder="1"/>
    <xf numFmtId="40" fontId="3" fillId="0" borderId="5" xfId="0" applyNumberFormat="1" applyFont="1" applyBorder="1"/>
    <xf numFmtId="165" fontId="13" fillId="0" borderId="5" xfId="0" applyNumberFormat="1" applyFont="1" applyBorder="1"/>
    <xf numFmtId="40" fontId="13" fillId="0" borderId="0" xfId="0" applyNumberFormat="1" applyFont="1"/>
    <xf numFmtId="40" fontId="13" fillId="0" borderId="1" xfId="0" applyNumberFormat="1" applyFont="1" applyBorder="1"/>
    <xf numFmtId="40" fontId="13" fillId="0" borderId="5" xfId="0" applyNumberFormat="1" applyFont="1" applyBorder="1"/>
    <xf numFmtId="165" fontId="11" fillId="0" borderId="5" xfId="0" applyNumberFormat="1" applyFont="1" applyBorder="1"/>
    <xf numFmtId="40" fontId="11" fillId="0" borderId="0" xfId="0" applyNumberFormat="1" applyFont="1"/>
    <xf numFmtId="40" fontId="1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0" sqref="C20"/>
    </sheetView>
  </sheetViews>
  <sheetFormatPr defaultColWidth="9.125" defaultRowHeight="14.3" x14ac:dyDescent="0.25"/>
  <cols>
    <col min="1" max="1" width="14.5" style="17" customWidth="1"/>
    <col min="2" max="2" width="14.125" style="17" customWidth="1"/>
    <col min="3" max="3" width="13.875" style="42" customWidth="1"/>
    <col min="4" max="4" width="13.5" style="13" customWidth="1"/>
    <col min="5" max="5" width="13.625" style="38" customWidth="1"/>
    <col min="6" max="6" width="1.875" style="13" customWidth="1"/>
    <col min="7" max="7" width="9.125" style="21"/>
    <col min="8" max="8" width="9.5" style="21" customWidth="1"/>
    <col min="9" max="9" width="17.375" style="15" customWidth="1"/>
    <col min="10" max="16384" width="9.125" style="17"/>
  </cols>
  <sheetData>
    <row r="1" spans="1:12" x14ac:dyDescent="0.25">
      <c r="A1" s="11" t="s">
        <v>6</v>
      </c>
      <c r="B1" s="12">
        <f ca="1">TODAY()</f>
        <v>43424</v>
      </c>
      <c r="C1" s="52"/>
      <c r="G1" s="16" t="s">
        <v>30</v>
      </c>
      <c r="H1" s="16" t="s">
        <v>29</v>
      </c>
    </row>
    <row r="2" spans="1:12" x14ac:dyDescent="0.25">
      <c r="A2" s="18" t="s">
        <v>26</v>
      </c>
      <c r="B2" s="18" t="s">
        <v>35</v>
      </c>
      <c r="C2" s="46" t="s">
        <v>3</v>
      </c>
      <c r="D2" s="33" t="s">
        <v>4</v>
      </c>
      <c r="E2" s="39" t="s">
        <v>5</v>
      </c>
      <c r="F2" s="17"/>
      <c r="G2" s="16" t="s">
        <v>31</v>
      </c>
      <c r="H2" s="16" t="s">
        <v>28</v>
      </c>
      <c r="I2" s="18" t="s">
        <v>2</v>
      </c>
    </row>
    <row r="3" spans="1:12" x14ac:dyDescent="0.25">
      <c r="A3" s="28" t="s">
        <v>13</v>
      </c>
      <c r="B3" s="18"/>
      <c r="C3" s="47">
        <f>17000+300</f>
        <v>17300</v>
      </c>
      <c r="D3" s="34">
        <f>Itemized!H1+Itemized!P1+Itemized!X1+Itemized!E1+Itemized!C1</f>
        <v>18468.1855</v>
      </c>
      <c r="E3" s="40">
        <f>C3-D3</f>
        <v>-1168.1854999999996</v>
      </c>
      <c r="F3" s="17"/>
      <c r="G3" s="21">
        <f>C3/C16</f>
        <v>0.16729164116194392</v>
      </c>
      <c r="H3" s="16">
        <f>E3/C3</f>
        <v>-6.7525173410404607E-2</v>
      </c>
      <c r="I3" s="31" t="s">
        <v>55</v>
      </c>
    </row>
    <row r="4" spans="1:12" x14ac:dyDescent="0.25">
      <c r="A4" s="28" t="s">
        <v>14</v>
      </c>
      <c r="B4" s="18"/>
      <c r="C4" s="47">
        <f>9000+1000-17.17</f>
        <v>9982.83</v>
      </c>
      <c r="D4" s="34">
        <f>Itemized!G1+Itemized!J1+Itemized!Q1+Itemized!F1+Itemized!D1</f>
        <v>10440.600000000002</v>
      </c>
      <c r="E4" s="40">
        <f>C4-D4</f>
        <v>-457.77000000000226</v>
      </c>
      <c r="F4" s="17"/>
      <c r="G4" s="21">
        <f>C4/C16</f>
        <v>9.6534336077496452E-2</v>
      </c>
      <c r="H4" s="16">
        <f t="shared" ref="H4:H9" si="0">E4/C4</f>
        <v>-4.5855734295786092E-2</v>
      </c>
      <c r="I4" s="31" t="s">
        <v>56</v>
      </c>
      <c r="L4" s="21"/>
    </row>
    <row r="5" spans="1:12" x14ac:dyDescent="0.25">
      <c r="A5" s="28" t="s">
        <v>20</v>
      </c>
      <c r="B5" s="18"/>
      <c r="C5" s="47">
        <v>1400</v>
      </c>
      <c r="D5" s="34">
        <f>Itemized!S1</f>
        <v>1398.23</v>
      </c>
      <c r="E5" s="40">
        <f t="shared" ref="E5:E11" si="1">C5-D5</f>
        <v>1.7699999999999818</v>
      </c>
      <c r="F5" s="17"/>
      <c r="G5" s="21">
        <f>C5/C16</f>
        <v>1.3538051885937657E-2</v>
      </c>
      <c r="H5" s="16">
        <f t="shared" si="0"/>
        <v>1.2642857142857013E-3</v>
      </c>
      <c r="I5" s="31" t="s">
        <v>45</v>
      </c>
      <c r="L5" s="21"/>
    </row>
    <row r="6" spans="1:12" x14ac:dyDescent="0.25">
      <c r="A6" s="28" t="s">
        <v>16</v>
      </c>
      <c r="B6" s="18"/>
      <c r="C6" s="47">
        <f>7000</f>
        <v>7000</v>
      </c>
      <c r="D6" s="34">
        <f>Itemized!I1</f>
        <v>7018.7</v>
      </c>
      <c r="E6" s="40">
        <f t="shared" si="1"/>
        <v>-18.699999999999818</v>
      </c>
      <c r="F6" s="17"/>
      <c r="G6" s="21">
        <f>C6/C16</f>
        <v>6.7690259429688288E-2</v>
      </c>
      <c r="H6" s="16">
        <f t="shared" si="0"/>
        <v>-2.6714285714285455E-3</v>
      </c>
      <c r="I6" s="31" t="s">
        <v>51</v>
      </c>
      <c r="L6" s="21"/>
    </row>
    <row r="7" spans="1:12" x14ac:dyDescent="0.25">
      <c r="A7" s="11" t="s">
        <v>17</v>
      </c>
      <c r="B7" s="18"/>
      <c r="C7" s="47">
        <f>1250+350+16.39</f>
        <v>1616.39</v>
      </c>
      <c r="D7" s="34">
        <f>Itemized!L1</f>
        <v>1904.7900000000002</v>
      </c>
      <c r="E7" s="40">
        <f t="shared" si="1"/>
        <v>-288.40000000000009</v>
      </c>
      <c r="F7" s="17"/>
      <c r="G7" s="21">
        <f>C7/C16</f>
        <v>1.5630551205650552E-2</v>
      </c>
      <c r="H7" s="16">
        <f t="shared" si="0"/>
        <v>-0.17842228670061067</v>
      </c>
      <c r="I7" s="31" t="s">
        <v>19</v>
      </c>
      <c r="J7" s="21"/>
      <c r="L7" s="21"/>
    </row>
    <row r="8" spans="1:12" x14ac:dyDescent="0.25">
      <c r="A8" s="28" t="s">
        <v>15</v>
      </c>
      <c r="B8" s="18"/>
      <c r="C8" s="47">
        <v>3500</v>
      </c>
      <c r="D8" s="34">
        <f>Itemized!K1</f>
        <v>3664.8399999999997</v>
      </c>
      <c r="E8" s="40">
        <f t="shared" si="1"/>
        <v>-164.83999999999969</v>
      </c>
      <c r="F8" s="17"/>
      <c r="G8" s="21">
        <f>C8/C16</f>
        <v>3.3845129714844144E-2</v>
      </c>
      <c r="H8" s="16">
        <f t="shared" si="0"/>
        <v>-4.7097142857142768E-2</v>
      </c>
      <c r="I8" s="31" t="s">
        <v>50</v>
      </c>
      <c r="J8" s="42"/>
      <c r="K8" s="23"/>
      <c r="L8" s="20"/>
    </row>
    <row r="9" spans="1:12" x14ac:dyDescent="0.25">
      <c r="A9" s="28" t="s">
        <v>34</v>
      </c>
      <c r="B9" s="18"/>
      <c r="C9" s="47">
        <f>15000-350-500-500</f>
        <v>13650</v>
      </c>
      <c r="D9" s="34">
        <f>Itemized!M1</f>
        <v>13941.880000000001</v>
      </c>
      <c r="E9" s="40">
        <f t="shared" si="1"/>
        <v>-291.88000000000102</v>
      </c>
      <c r="F9" s="17"/>
      <c r="G9" s="21">
        <f>C9/C16</f>
        <v>0.13199600588789218</v>
      </c>
      <c r="H9" s="16">
        <f t="shared" si="0"/>
        <v>-2.1383150183150259E-2</v>
      </c>
      <c r="I9" s="31" t="s">
        <v>18</v>
      </c>
      <c r="L9" s="21"/>
    </row>
    <row r="10" spans="1:12" x14ac:dyDescent="0.25">
      <c r="A10" s="28" t="s">
        <v>9</v>
      </c>
      <c r="B10" s="18"/>
      <c r="C10" s="47">
        <f>5000+369.25</f>
        <v>5369.25</v>
      </c>
      <c r="D10" s="34">
        <f>Itemized!O1</f>
        <v>6029.4800000000014</v>
      </c>
      <c r="E10" s="40">
        <f t="shared" si="1"/>
        <v>-660.23000000000138</v>
      </c>
      <c r="F10" s="17"/>
      <c r="G10" s="21">
        <f>C10/C16</f>
        <v>5.1920846491836266E-2</v>
      </c>
      <c r="H10" s="16">
        <f t="shared" ref="H10:H15" si="2">E10/C10</f>
        <v>-0.12296503236019954</v>
      </c>
      <c r="I10" s="31" t="s">
        <v>38</v>
      </c>
      <c r="K10" s="23"/>
      <c r="L10" s="20"/>
    </row>
    <row r="11" spans="1:12" x14ac:dyDescent="0.25">
      <c r="A11" s="28" t="s">
        <v>10</v>
      </c>
      <c r="B11" s="18"/>
      <c r="C11" s="47">
        <v>15470</v>
      </c>
      <c r="D11" s="34">
        <f>Itemized!R1</f>
        <v>15518.210000000001</v>
      </c>
      <c r="E11" s="40">
        <f t="shared" si="1"/>
        <v>-48.210000000000946</v>
      </c>
      <c r="F11" s="17"/>
      <c r="G11" s="21">
        <f>C11/C16</f>
        <v>0.14959547333961112</v>
      </c>
      <c r="H11" s="16">
        <f t="shared" si="2"/>
        <v>-3.1163542340013539E-3</v>
      </c>
      <c r="I11" s="31" t="s">
        <v>19</v>
      </c>
      <c r="K11" s="23"/>
      <c r="L11" s="20"/>
    </row>
    <row r="12" spans="1:12" x14ac:dyDescent="0.25">
      <c r="A12" s="30" t="s">
        <v>21</v>
      </c>
      <c r="B12" s="22"/>
      <c r="C12" s="48">
        <v>10000</v>
      </c>
      <c r="D12" s="35">
        <f>Itemized!U1</f>
        <v>9411.5600000000013</v>
      </c>
      <c r="E12" s="53">
        <f>SUM(C12-D12)</f>
        <v>588.43999999999869</v>
      </c>
      <c r="F12" s="17"/>
      <c r="G12" s="20">
        <f>C12/C16</f>
        <v>9.6700370613840417E-2</v>
      </c>
      <c r="H12" s="16">
        <f t="shared" si="2"/>
        <v>5.8843999999999869E-2</v>
      </c>
      <c r="I12" s="23"/>
      <c r="L12" s="21"/>
    </row>
    <row r="13" spans="1:12" s="23" customFormat="1" x14ac:dyDescent="0.25">
      <c r="A13" s="29" t="s">
        <v>27</v>
      </c>
      <c r="B13" s="19" t="s">
        <v>24</v>
      </c>
      <c r="C13" s="49">
        <f>11000+293+200+1525</f>
        <v>13018</v>
      </c>
      <c r="D13" s="36">
        <f>Itemized!T1+Itemized!W1</f>
        <v>13018</v>
      </c>
      <c r="E13" s="54">
        <f>SUM(C13-D13)</f>
        <v>0</v>
      </c>
      <c r="G13" s="20">
        <f>C13/C16</f>
        <v>0.12588454246509745</v>
      </c>
      <c r="H13" s="16">
        <f t="shared" si="2"/>
        <v>0</v>
      </c>
      <c r="I13" s="15"/>
      <c r="K13" s="17"/>
      <c r="L13" s="21"/>
    </row>
    <row r="14" spans="1:12" s="23" customFormat="1" x14ac:dyDescent="0.25">
      <c r="A14" s="22"/>
      <c r="B14" s="22" t="s">
        <v>32</v>
      </c>
      <c r="C14" s="48">
        <f>5000-369.25-1525</f>
        <v>3105.75</v>
      </c>
      <c r="D14" s="35">
        <f>Itemized!V1</f>
        <v>2840</v>
      </c>
      <c r="E14" s="54">
        <f>SUM(C14-D14)</f>
        <v>265.75</v>
      </c>
      <c r="G14" s="20">
        <f>C14/C16</f>
        <v>3.0032717603393485E-2</v>
      </c>
      <c r="H14" s="16">
        <f t="shared" si="2"/>
        <v>8.5567093294695321E-2</v>
      </c>
      <c r="K14" s="17"/>
      <c r="L14" s="17"/>
    </row>
    <row r="15" spans="1:12" s="23" customFormat="1" x14ac:dyDescent="0.25">
      <c r="A15" s="22"/>
      <c r="B15" s="22" t="s">
        <v>11</v>
      </c>
      <c r="C15" s="48">
        <f>2000</f>
        <v>2000</v>
      </c>
      <c r="D15" s="35">
        <f>Itemized!N1</f>
        <v>2338.4399999999996</v>
      </c>
      <c r="E15" s="54">
        <f>SUM(C15-D15)</f>
        <v>-338.4399999999996</v>
      </c>
      <c r="G15" s="20">
        <f>C15/C16</f>
        <v>1.9340074122768083E-2</v>
      </c>
      <c r="H15" s="16">
        <f t="shared" si="2"/>
        <v>-0.16921999999999979</v>
      </c>
      <c r="I15" s="17" t="s">
        <v>38</v>
      </c>
      <c r="K15" s="17"/>
      <c r="L15" s="17"/>
    </row>
    <row r="16" spans="1:12" ht="14.95" thickBot="1" x14ac:dyDescent="0.3">
      <c r="C16" s="50">
        <f>SUM(C3:C15)</f>
        <v>103412.22</v>
      </c>
      <c r="D16" s="37">
        <f>SUM(D3:D15)</f>
        <v>105992.9155</v>
      </c>
      <c r="E16" s="41">
        <f>C16-D16</f>
        <v>-2580.6955000000016</v>
      </c>
      <c r="F16" s="17"/>
      <c r="G16" s="25">
        <f>SUM(G3:G15)</f>
        <v>0.99999999999999978</v>
      </c>
      <c r="H16" s="57">
        <f>E16/C16</f>
        <v>-2.4955421129147035E-2</v>
      </c>
      <c r="I16" s="58" t="s">
        <v>36</v>
      </c>
      <c r="J16" s="21"/>
    </row>
    <row r="17" spans="1:10" ht="14.95" thickTop="1" x14ac:dyDescent="0.25">
      <c r="D17" s="17"/>
      <c r="E17" s="42"/>
      <c r="F17" s="17"/>
      <c r="G17" s="16"/>
      <c r="I17" s="17"/>
    </row>
    <row r="18" spans="1:10" x14ac:dyDescent="0.25">
      <c r="A18" s="11"/>
      <c r="B18" s="11"/>
      <c r="C18" s="38"/>
      <c r="D18" s="14"/>
      <c r="F18" s="17"/>
      <c r="G18" s="21" t="s">
        <v>52</v>
      </c>
      <c r="J18" s="56"/>
    </row>
    <row r="19" spans="1:10" x14ac:dyDescent="0.25">
      <c r="B19" s="13"/>
      <c r="C19" s="44"/>
      <c r="E19" s="43"/>
      <c r="F19" s="17"/>
      <c r="I19" s="17"/>
    </row>
    <row r="20" spans="1:10" x14ac:dyDescent="0.25">
      <c r="A20" s="26"/>
      <c r="B20" s="13"/>
      <c r="C20" s="45"/>
      <c r="D20" s="27"/>
      <c r="E20" s="45"/>
      <c r="F20" s="17"/>
      <c r="H20" s="32"/>
      <c r="I20" s="27"/>
    </row>
    <row r="21" spans="1:10" x14ac:dyDescent="0.25">
      <c r="B21" s="13"/>
      <c r="C21" s="44"/>
      <c r="E21" s="44"/>
      <c r="F21" s="24"/>
      <c r="I21" s="13"/>
      <c r="J21" s="21"/>
    </row>
    <row r="22" spans="1:10" x14ac:dyDescent="0.25">
      <c r="B22" s="27"/>
      <c r="C22" s="45"/>
      <c r="D22" s="27"/>
      <c r="E22" s="45"/>
      <c r="F22" s="24"/>
      <c r="H22" s="32"/>
      <c r="I22" s="13"/>
    </row>
    <row r="23" spans="1:10" x14ac:dyDescent="0.25">
      <c r="E23" s="42"/>
      <c r="I23" s="13"/>
    </row>
    <row r="24" spans="1:10" x14ac:dyDescent="0.25">
      <c r="A24" s="17" t="s">
        <v>12</v>
      </c>
      <c r="E24" s="42"/>
      <c r="I24" s="13"/>
    </row>
    <row r="25" spans="1:10" x14ac:dyDescent="0.25">
      <c r="A25" s="17" t="s">
        <v>12</v>
      </c>
    </row>
    <row r="26" spans="1:10" x14ac:dyDescent="0.25">
      <c r="A26" s="59">
        <f>689123*0.15+2</f>
        <v>103370.45</v>
      </c>
    </row>
  </sheetData>
  <phoneticPr fontId="1" type="noConversion"/>
  <pageMargins left="0.32" right="0.36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5"/>
  <sheetViews>
    <sheetView zoomScaleNormal="100" workbookViewId="0">
      <pane xSplit="2" ySplit="2" topLeftCell="C222" activePane="bottomRight" state="frozen"/>
      <selection pane="topRight" activeCell="B1" sqref="B1"/>
      <selection pane="bottomLeft" activeCell="A3" sqref="A3"/>
      <selection pane="bottomRight" activeCell="H240" sqref="H240"/>
    </sheetView>
  </sheetViews>
  <sheetFormatPr defaultColWidth="7.625" defaultRowHeight="10.9" x14ac:dyDescent="0.2"/>
  <cols>
    <col min="1" max="1" width="7.375" style="8" customWidth="1"/>
    <col min="2" max="2" width="11.875" style="2" customWidth="1"/>
    <col min="3" max="3" width="7.625" style="1" customWidth="1"/>
    <col min="4" max="4" width="7.5" style="2" customWidth="1"/>
    <col min="5" max="5" width="8.125" style="1" customWidth="1"/>
    <col min="6" max="6" width="6.625" style="1" customWidth="1"/>
    <col min="7" max="7" width="7.625" style="1" customWidth="1"/>
    <col min="8" max="8" width="8.5" style="1" customWidth="1"/>
    <col min="9" max="12" width="7.625" style="1" customWidth="1"/>
    <col min="13" max="13" width="9.125" style="1" customWidth="1"/>
    <col min="14" max="15" width="7.625" style="1" customWidth="1"/>
    <col min="16" max="16" width="9.125" style="1" customWidth="1"/>
    <col min="17" max="17" width="7.625" style="1" customWidth="1"/>
    <col min="18" max="18" width="8.5" style="1" customWidth="1"/>
    <col min="19" max="19" width="7.625" style="1" customWidth="1"/>
    <col min="20" max="20" width="8.125" style="1" customWidth="1"/>
    <col min="21" max="21" width="8.875" style="1" customWidth="1"/>
    <col min="22" max="22" width="7.625" style="1"/>
    <col min="23" max="23" width="7.625" style="10"/>
    <col min="24" max="24" width="7.625" style="2"/>
    <col min="25" max="25" width="8.5" style="2" bestFit="1" customWidth="1"/>
    <col min="26" max="16384" width="7.625" style="2"/>
  </cols>
  <sheetData>
    <row r="1" spans="1:24" x14ac:dyDescent="0.2">
      <c r="A1" s="6"/>
      <c r="C1" s="3">
        <f>SUM(C3:C256)</f>
        <v>5418.51</v>
      </c>
      <c r="D1" s="61">
        <f>SUM(D3:D256)</f>
        <v>1309.1400000000001</v>
      </c>
      <c r="E1" s="3">
        <f>SUM(E3:E256)</f>
        <v>380.72</v>
      </c>
      <c r="F1" s="3">
        <f>SUM(F3:F256)</f>
        <v>607.28</v>
      </c>
      <c r="G1" s="3">
        <f>SUM(G3:G256)</f>
        <v>216.97</v>
      </c>
      <c r="H1" s="3">
        <f t="shared" ref="H1:X1" si="0">SUM(H3:H256)</f>
        <v>2381.25</v>
      </c>
      <c r="I1" s="3">
        <f t="shared" si="0"/>
        <v>7018.7</v>
      </c>
      <c r="J1" s="3">
        <f t="shared" si="0"/>
        <v>2367.48</v>
      </c>
      <c r="K1" s="3">
        <f t="shared" si="0"/>
        <v>3664.8399999999997</v>
      </c>
      <c r="L1" s="3">
        <f t="shared" si="0"/>
        <v>1904.7900000000002</v>
      </c>
      <c r="M1" s="3">
        <f t="shared" si="0"/>
        <v>13941.880000000001</v>
      </c>
      <c r="N1" s="3">
        <f t="shared" si="0"/>
        <v>2338.4399999999996</v>
      </c>
      <c r="O1" s="3">
        <f t="shared" si="0"/>
        <v>6029.4800000000014</v>
      </c>
      <c r="P1" s="3">
        <f t="shared" si="0"/>
        <v>10287.7055</v>
      </c>
      <c r="Q1" s="3">
        <f t="shared" si="0"/>
        <v>5939.7300000000023</v>
      </c>
      <c r="R1" s="3">
        <f t="shared" si="0"/>
        <v>15518.210000000001</v>
      </c>
      <c r="S1" s="3">
        <f t="shared" si="0"/>
        <v>1398.23</v>
      </c>
      <c r="T1" s="3">
        <f t="shared" si="0"/>
        <v>7018</v>
      </c>
      <c r="U1" s="3">
        <f t="shared" si="0"/>
        <v>9411.5600000000013</v>
      </c>
      <c r="V1" s="3">
        <f t="shared" si="0"/>
        <v>2840</v>
      </c>
      <c r="W1" s="3">
        <f t="shared" si="0"/>
        <v>6000</v>
      </c>
      <c r="X1" s="3">
        <f t="shared" si="0"/>
        <v>0</v>
      </c>
    </row>
    <row r="2" spans="1:24" s="4" customFormat="1" x14ac:dyDescent="0.2">
      <c r="A2" s="7" t="s">
        <v>8</v>
      </c>
      <c r="B2" s="4" t="s">
        <v>23</v>
      </c>
      <c r="C2" s="5" t="s">
        <v>83</v>
      </c>
      <c r="D2" s="4" t="s">
        <v>84</v>
      </c>
      <c r="E2" s="5" t="s">
        <v>61</v>
      </c>
      <c r="F2" s="5" t="s">
        <v>62</v>
      </c>
      <c r="G2" s="5" t="s">
        <v>43</v>
      </c>
      <c r="H2" s="5" t="s">
        <v>47</v>
      </c>
      <c r="I2" s="5" t="s">
        <v>49</v>
      </c>
      <c r="J2" s="5" t="s">
        <v>48</v>
      </c>
      <c r="K2" s="5" t="s">
        <v>46</v>
      </c>
      <c r="L2" s="5" t="s">
        <v>37</v>
      </c>
      <c r="M2" s="5" t="s">
        <v>7</v>
      </c>
      <c r="N2" s="5" t="s">
        <v>39</v>
      </c>
      <c r="O2" s="5" t="s">
        <v>41</v>
      </c>
      <c r="P2" s="5" t="s">
        <v>0</v>
      </c>
      <c r="Q2" s="5" t="s">
        <v>1</v>
      </c>
      <c r="R2" s="5" t="s">
        <v>22</v>
      </c>
      <c r="S2" s="5" t="s">
        <v>44</v>
      </c>
      <c r="T2" s="5" t="s">
        <v>33</v>
      </c>
      <c r="U2" s="5" t="s">
        <v>25</v>
      </c>
      <c r="V2" s="5" t="s">
        <v>32</v>
      </c>
      <c r="W2" s="9" t="s">
        <v>40</v>
      </c>
      <c r="X2" s="55" t="s">
        <v>42</v>
      </c>
    </row>
    <row r="3" spans="1:24" x14ac:dyDescent="0.2">
      <c r="A3" s="8">
        <v>42917</v>
      </c>
      <c r="B3" s="2" t="s">
        <v>57</v>
      </c>
      <c r="L3" s="1">
        <v>115</v>
      </c>
    </row>
    <row r="4" spans="1:24" x14ac:dyDescent="0.2">
      <c r="A4" s="8">
        <v>42917</v>
      </c>
      <c r="B4" s="2" t="s">
        <v>59</v>
      </c>
      <c r="T4" s="1">
        <v>2293</v>
      </c>
    </row>
    <row r="5" spans="1:24" x14ac:dyDescent="0.2">
      <c r="A5" s="8">
        <v>42917</v>
      </c>
      <c r="B5" s="2" t="s">
        <v>86</v>
      </c>
      <c r="V5" s="1">
        <v>2840</v>
      </c>
    </row>
    <row r="6" spans="1:24" x14ac:dyDescent="0.2">
      <c r="A6" s="8">
        <v>42919</v>
      </c>
      <c r="B6" s="2" t="s">
        <v>53</v>
      </c>
      <c r="R6" s="1">
        <v>1148.47</v>
      </c>
    </row>
    <row r="7" spans="1:24" x14ac:dyDescent="0.2">
      <c r="A7" s="8">
        <v>42921</v>
      </c>
      <c r="B7" s="2" t="s">
        <v>54</v>
      </c>
      <c r="P7" s="1">
        <v>1908.26</v>
      </c>
      <c r="Q7" s="1">
        <v>710.15</v>
      </c>
    </row>
    <row r="8" spans="1:24" x14ac:dyDescent="0.2">
      <c r="A8" s="8">
        <v>42921</v>
      </c>
      <c r="B8" s="2" t="s">
        <v>53</v>
      </c>
      <c r="Q8" s="1">
        <v>47.88</v>
      </c>
    </row>
    <row r="9" spans="1:24" x14ac:dyDescent="0.2">
      <c r="A9" s="8">
        <v>42923</v>
      </c>
      <c r="B9" s="2" t="s">
        <v>58</v>
      </c>
      <c r="M9" s="1">
        <v>926.57</v>
      </c>
    </row>
    <row r="10" spans="1:24" x14ac:dyDescent="0.2">
      <c r="A10" s="8">
        <v>42926</v>
      </c>
      <c r="B10" s="2" t="s">
        <v>54</v>
      </c>
      <c r="Q10" s="1">
        <v>163.83000000000001</v>
      </c>
    </row>
    <row r="11" spans="1:24" x14ac:dyDescent="0.2">
      <c r="A11" s="8">
        <v>42926</v>
      </c>
      <c r="B11" s="2" t="s">
        <v>53</v>
      </c>
      <c r="R11" s="1">
        <v>172.76</v>
      </c>
    </row>
    <row r="12" spans="1:24" x14ac:dyDescent="0.2">
      <c r="A12" s="8">
        <v>42926</v>
      </c>
      <c r="B12" s="2" t="s">
        <v>60</v>
      </c>
      <c r="M12" s="1">
        <v>777.87</v>
      </c>
    </row>
    <row r="13" spans="1:24" x14ac:dyDescent="0.2">
      <c r="A13" s="8">
        <v>42927</v>
      </c>
      <c r="B13" s="2" t="s">
        <v>54</v>
      </c>
      <c r="E13" s="1">
        <v>43.51</v>
      </c>
      <c r="F13" s="1">
        <v>35</v>
      </c>
      <c r="I13" s="1">
        <v>38.99</v>
      </c>
    </row>
    <row r="14" spans="1:24" x14ac:dyDescent="0.2">
      <c r="A14" s="8">
        <v>42934</v>
      </c>
      <c r="B14" s="2" t="s">
        <v>54</v>
      </c>
      <c r="P14" s="1">
        <v>409.99</v>
      </c>
      <c r="Q14" s="1">
        <v>141.11000000000001</v>
      </c>
    </row>
    <row r="15" spans="1:24" x14ac:dyDescent="0.2">
      <c r="A15" s="8">
        <v>42934</v>
      </c>
      <c r="B15" s="2" t="s">
        <v>67</v>
      </c>
      <c r="M15" s="1">
        <v>563.45000000000005</v>
      </c>
    </row>
    <row r="16" spans="1:24" x14ac:dyDescent="0.2">
      <c r="A16" s="8">
        <v>42935</v>
      </c>
      <c r="B16" s="2" t="s">
        <v>64</v>
      </c>
      <c r="L16" s="1">
        <v>25</v>
      </c>
      <c r="Q16" s="1">
        <v>25</v>
      </c>
    </row>
    <row r="17" spans="1:21" x14ac:dyDescent="0.2">
      <c r="A17" s="8">
        <v>42936</v>
      </c>
      <c r="B17" s="2" t="s">
        <v>54</v>
      </c>
      <c r="H17" s="1">
        <f>29.28</f>
        <v>29.28</v>
      </c>
      <c r="I17" s="1">
        <v>428.01</v>
      </c>
      <c r="J17" s="1">
        <f>91.4+91.2</f>
        <v>182.60000000000002</v>
      </c>
    </row>
    <row r="18" spans="1:21" x14ac:dyDescent="0.2">
      <c r="A18" s="8">
        <v>42937</v>
      </c>
      <c r="B18" s="2" t="s">
        <v>54</v>
      </c>
      <c r="K18" s="1">
        <v>574.76</v>
      </c>
    </row>
    <row r="19" spans="1:21" x14ac:dyDescent="0.2">
      <c r="A19" s="8">
        <v>42941</v>
      </c>
      <c r="B19" s="2" t="s">
        <v>54</v>
      </c>
      <c r="S19" s="1">
        <v>249.3</v>
      </c>
    </row>
    <row r="20" spans="1:21" x14ac:dyDescent="0.2">
      <c r="A20" s="8">
        <v>42941</v>
      </c>
      <c r="B20" s="2" t="s">
        <v>54</v>
      </c>
      <c r="P20" s="1">
        <v>512.84</v>
      </c>
    </row>
    <row r="21" spans="1:21" x14ac:dyDescent="0.2">
      <c r="A21" s="8">
        <v>42941</v>
      </c>
      <c r="B21" s="2" t="s">
        <v>65</v>
      </c>
      <c r="U21" s="1">
        <v>318.75</v>
      </c>
    </row>
    <row r="22" spans="1:21" x14ac:dyDescent="0.2">
      <c r="A22" s="8">
        <v>42941</v>
      </c>
      <c r="B22" s="2" t="s">
        <v>66</v>
      </c>
      <c r="T22" s="1">
        <v>3000</v>
      </c>
    </row>
    <row r="23" spans="1:21" x14ac:dyDescent="0.2">
      <c r="A23" s="8">
        <v>42942</v>
      </c>
      <c r="B23" s="2" t="s">
        <v>54</v>
      </c>
      <c r="J23" s="1">
        <v>68.11</v>
      </c>
    </row>
    <row r="24" spans="1:21" x14ac:dyDescent="0.2">
      <c r="A24" s="8">
        <v>42943</v>
      </c>
      <c r="B24" s="2" t="s">
        <v>53</v>
      </c>
      <c r="R24" s="1">
        <v>1283.93</v>
      </c>
      <c r="U24" s="51"/>
    </row>
    <row r="25" spans="1:21" x14ac:dyDescent="0.2">
      <c r="A25" s="8">
        <v>42943</v>
      </c>
      <c r="B25" s="2" t="s">
        <v>54</v>
      </c>
      <c r="P25" s="1">
        <f>521.7+547.43</f>
        <v>1069.1300000000001</v>
      </c>
    </row>
    <row r="26" spans="1:21" x14ac:dyDescent="0.2">
      <c r="A26" s="8">
        <v>42944</v>
      </c>
      <c r="B26" s="2" t="s">
        <v>54</v>
      </c>
      <c r="Q26" s="1">
        <v>33.799999999999997</v>
      </c>
    </row>
    <row r="27" spans="1:21" x14ac:dyDescent="0.2">
      <c r="A27" s="8">
        <v>42948</v>
      </c>
      <c r="B27" s="2" t="s">
        <v>54</v>
      </c>
      <c r="E27" s="1">
        <v>231.83</v>
      </c>
      <c r="F27" s="1">
        <v>121.47</v>
      </c>
    </row>
    <row r="28" spans="1:21" x14ac:dyDescent="0.2">
      <c r="A28" s="8">
        <v>42949</v>
      </c>
      <c r="B28" s="2" t="s">
        <v>63</v>
      </c>
      <c r="M28" s="1">
        <v>210.2</v>
      </c>
    </row>
    <row r="29" spans="1:21" x14ac:dyDescent="0.2">
      <c r="A29" s="8">
        <v>42955</v>
      </c>
      <c r="B29" s="2" t="s">
        <v>54</v>
      </c>
      <c r="I29" s="1">
        <v>79.95</v>
      </c>
      <c r="P29" s="1">
        <v>91.72</v>
      </c>
      <c r="Q29" s="1">
        <v>165.28</v>
      </c>
    </row>
    <row r="30" spans="1:21" x14ac:dyDescent="0.2">
      <c r="A30" s="8">
        <v>42956</v>
      </c>
      <c r="B30" s="2" t="s">
        <v>54</v>
      </c>
      <c r="H30" s="1">
        <v>146.16999999999999</v>
      </c>
      <c r="J30" s="1">
        <v>136.49</v>
      </c>
      <c r="K30" s="1">
        <v>398.81</v>
      </c>
    </row>
    <row r="31" spans="1:21" x14ac:dyDescent="0.2">
      <c r="A31" s="8">
        <v>42959</v>
      </c>
      <c r="B31" s="2" t="s">
        <v>68</v>
      </c>
      <c r="R31" s="1">
        <v>276.62</v>
      </c>
    </row>
    <row r="32" spans="1:21" x14ac:dyDescent="0.2">
      <c r="A32" s="8">
        <v>42961</v>
      </c>
      <c r="B32" s="2" t="s">
        <v>54</v>
      </c>
      <c r="Q32" s="1">
        <v>36.4</v>
      </c>
    </row>
    <row r="33" spans="1:21" x14ac:dyDescent="0.2">
      <c r="A33" s="8">
        <v>42963</v>
      </c>
      <c r="B33" s="2" t="s">
        <v>53</v>
      </c>
      <c r="R33" s="1">
        <v>283.22000000000003</v>
      </c>
    </row>
    <row r="34" spans="1:21" x14ac:dyDescent="0.2">
      <c r="A34" s="8">
        <v>42965</v>
      </c>
      <c r="B34" s="2" t="s">
        <v>54</v>
      </c>
      <c r="H34" s="1">
        <f>54.6+185.84</f>
        <v>240.44</v>
      </c>
      <c r="J34" s="1">
        <v>151.41999999999999</v>
      </c>
      <c r="P34" s="1">
        <v>447.36</v>
      </c>
      <c r="Q34" s="1">
        <v>214.64</v>
      </c>
    </row>
    <row r="35" spans="1:21" x14ac:dyDescent="0.2">
      <c r="A35" s="8">
        <v>42965</v>
      </c>
      <c r="B35" s="2" t="s">
        <v>53</v>
      </c>
      <c r="R35" s="1">
        <v>47.91</v>
      </c>
    </row>
    <row r="36" spans="1:21" x14ac:dyDescent="0.2">
      <c r="A36" s="8">
        <v>42970</v>
      </c>
      <c r="B36" s="2" t="s">
        <v>54</v>
      </c>
      <c r="I36" s="1">
        <v>1061.82</v>
      </c>
      <c r="S36" s="1">
        <v>112.72</v>
      </c>
    </row>
    <row r="37" spans="1:21" x14ac:dyDescent="0.2">
      <c r="A37" s="8">
        <v>42972</v>
      </c>
      <c r="B37" s="2" t="s">
        <v>65</v>
      </c>
      <c r="U37" s="1">
        <v>328.5</v>
      </c>
    </row>
    <row r="38" spans="1:21" x14ac:dyDescent="0.2">
      <c r="A38" s="8">
        <v>42978</v>
      </c>
      <c r="B38" s="2" t="s">
        <v>69</v>
      </c>
      <c r="O38" s="1">
        <v>32</v>
      </c>
    </row>
    <row r="39" spans="1:21" x14ac:dyDescent="0.2">
      <c r="A39" s="8">
        <v>42983</v>
      </c>
      <c r="B39" s="2" t="s">
        <v>54</v>
      </c>
      <c r="K39" s="1">
        <v>296.69</v>
      </c>
    </row>
    <row r="40" spans="1:21" x14ac:dyDescent="0.2">
      <c r="A40" s="8">
        <v>42984</v>
      </c>
      <c r="B40" s="2" t="s">
        <v>70</v>
      </c>
      <c r="M40" s="1">
        <v>195.54</v>
      </c>
    </row>
    <row r="41" spans="1:21" x14ac:dyDescent="0.2">
      <c r="A41" s="8">
        <v>42985</v>
      </c>
      <c r="B41" s="2" t="s">
        <v>53</v>
      </c>
      <c r="R41" s="1">
        <v>34.96</v>
      </c>
    </row>
    <row r="42" spans="1:21" x14ac:dyDescent="0.2">
      <c r="A42" s="8">
        <v>42985</v>
      </c>
      <c r="B42" s="2" t="s">
        <v>54</v>
      </c>
      <c r="H42" s="1">
        <v>241.1</v>
      </c>
      <c r="U42" s="51"/>
    </row>
    <row r="43" spans="1:21" x14ac:dyDescent="0.2">
      <c r="A43" s="8">
        <v>42985</v>
      </c>
      <c r="B43" s="2" t="s">
        <v>69</v>
      </c>
      <c r="O43" s="1">
        <v>32</v>
      </c>
    </row>
    <row r="44" spans="1:21" x14ac:dyDescent="0.2">
      <c r="A44" s="8">
        <v>42988</v>
      </c>
      <c r="B44" s="2" t="s">
        <v>53</v>
      </c>
      <c r="Q44" s="1">
        <v>198.7</v>
      </c>
    </row>
    <row r="45" spans="1:21" x14ac:dyDescent="0.2">
      <c r="A45" s="8">
        <v>42989</v>
      </c>
      <c r="B45" s="2" t="s">
        <v>54</v>
      </c>
      <c r="Q45" s="1">
        <v>53.23</v>
      </c>
    </row>
    <row r="46" spans="1:21" x14ac:dyDescent="0.2">
      <c r="A46" s="8">
        <v>42990</v>
      </c>
      <c r="B46" s="2" t="s">
        <v>54</v>
      </c>
      <c r="Q46" s="1">
        <v>39</v>
      </c>
    </row>
    <row r="47" spans="1:21" x14ac:dyDescent="0.2">
      <c r="A47" s="8">
        <v>42990</v>
      </c>
      <c r="B47" s="2" t="s">
        <v>53</v>
      </c>
      <c r="R47" s="1">
        <v>598.94000000000005</v>
      </c>
    </row>
    <row r="48" spans="1:21" x14ac:dyDescent="0.2">
      <c r="A48" s="8">
        <v>42991</v>
      </c>
      <c r="B48" s="2" t="s">
        <v>53</v>
      </c>
      <c r="R48" s="1">
        <v>354.92</v>
      </c>
    </row>
    <row r="49" spans="1:21" x14ac:dyDescent="0.2">
      <c r="A49" s="8">
        <v>42991</v>
      </c>
      <c r="B49" s="2" t="s">
        <v>54</v>
      </c>
      <c r="O49" s="1">
        <v>763.76</v>
      </c>
    </row>
    <row r="50" spans="1:21" x14ac:dyDescent="0.2">
      <c r="A50" s="8">
        <v>42991</v>
      </c>
      <c r="B50" s="2" t="s">
        <v>71</v>
      </c>
      <c r="M50" s="1">
        <v>1071.75</v>
      </c>
    </row>
    <row r="51" spans="1:21" x14ac:dyDescent="0.2">
      <c r="A51" s="8">
        <v>42991</v>
      </c>
      <c r="B51" s="2" t="s">
        <v>69</v>
      </c>
      <c r="O51" s="1">
        <v>63.98</v>
      </c>
    </row>
    <row r="52" spans="1:21" x14ac:dyDescent="0.2">
      <c r="A52" s="8">
        <v>42996</v>
      </c>
      <c r="B52" s="2" t="s">
        <v>53</v>
      </c>
      <c r="Q52" s="1">
        <v>11.66</v>
      </c>
      <c r="R52" s="1">
        <v>318.17</v>
      </c>
    </row>
    <row r="53" spans="1:21" x14ac:dyDescent="0.2">
      <c r="A53" s="8">
        <v>42996</v>
      </c>
      <c r="B53" s="2" t="s">
        <v>67</v>
      </c>
      <c r="M53" s="1">
        <v>24.48</v>
      </c>
    </row>
    <row r="54" spans="1:21" x14ac:dyDescent="0.2">
      <c r="A54" s="8">
        <v>42996</v>
      </c>
      <c r="B54" s="2" t="s">
        <v>63</v>
      </c>
      <c r="M54" s="1">
        <v>202.4</v>
      </c>
    </row>
    <row r="55" spans="1:21" x14ac:dyDescent="0.2">
      <c r="A55" s="8">
        <v>42997</v>
      </c>
      <c r="B55" s="2" t="s">
        <v>54</v>
      </c>
      <c r="M55" s="1">
        <v>33.729999999999997</v>
      </c>
      <c r="P55" s="1">
        <v>802.28</v>
      </c>
      <c r="Q55" s="1">
        <v>476.13</v>
      </c>
    </row>
    <row r="56" spans="1:21" x14ac:dyDescent="0.2">
      <c r="A56" s="8">
        <v>42997</v>
      </c>
      <c r="B56" s="2" t="s">
        <v>72</v>
      </c>
      <c r="U56" s="1">
        <v>40</v>
      </c>
    </row>
    <row r="57" spans="1:21" x14ac:dyDescent="0.2">
      <c r="A57" s="8">
        <v>42999</v>
      </c>
      <c r="B57" s="2" t="s">
        <v>54</v>
      </c>
      <c r="M57" s="1">
        <f>103.7+280.45</f>
        <v>384.15</v>
      </c>
    </row>
    <row r="58" spans="1:21" x14ac:dyDescent="0.2">
      <c r="A58" s="8">
        <v>43001</v>
      </c>
      <c r="B58" s="2" t="s">
        <v>54</v>
      </c>
      <c r="R58" s="1">
        <v>89.97</v>
      </c>
    </row>
    <row r="59" spans="1:21" x14ac:dyDescent="0.2">
      <c r="A59" s="8">
        <v>43001</v>
      </c>
      <c r="B59" s="2" t="s">
        <v>53</v>
      </c>
      <c r="R59" s="1">
        <v>277.95</v>
      </c>
    </row>
    <row r="60" spans="1:21" x14ac:dyDescent="0.2">
      <c r="A60" s="8">
        <v>43001</v>
      </c>
      <c r="B60" s="2" t="s">
        <v>54</v>
      </c>
      <c r="P60" s="1">
        <v>-135.82</v>
      </c>
    </row>
    <row r="61" spans="1:21" x14ac:dyDescent="0.2">
      <c r="A61" s="8">
        <v>43005</v>
      </c>
      <c r="B61" s="2" t="s">
        <v>54</v>
      </c>
      <c r="M61" s="1">
        <f>46.68+227.12+143.19</f>
        <v>416.99</v>
      </c>
    </row>
    <row r="62" spans="1:21" x14ac:dyDescent="0.2">
      <c r="A62" s="8">
        <v>43006</v>
      </c>
      <c r="B62" s="2" t="s">
        <v>54</v>
      </c>
      <c r="K62" s="1">
        <v>253.49</v>
      </c>
      <c r="S62" s="1">
        <v>138.33000000000001</v>
      </c>
    </row>
    <row r="63" spans="1:21" x14ac:dyDescent="0.2">
      <c r="A63" s="8">
        <v>43006</v>
      </c>
      <c r="B63" s="2" t="s">
        <v>65</v>
      </c>
      <c r="U63" s="1">
        <v>316.25</v>
      </c>
    </row>
    <row r="64" spans="1:21" x14ac:dyDescent="0.2">
      <c r="A64" s="8">
        <v>43006</v>
      </c>
      <c r="B64" s="2" t="s">
        <v>73</v>
      </c>
      <c r="M64" s="1">
        <v>2778.85</v>
      </c>
    </row>
    <row r="65" spans="1:21" x14ac:dyDescent="0.2">
      <c r="A65" s="8">
        <v>43007</v>
      </c>
      <c r="B65" s="2" t="s">
        <v>54</v>
      </c>
      <c r="M65" s="1">
        <v>106.6</v>
      </c>
      <c r="P65" s="1">
        <v>361.55</v>
      </c>
      <c r="Q65" s="1">
        <v>182.17</v>
      </c>
    </row>
    <row r="66" spans="1:21" x14ac:dyDescent="0.2">
      <c r="A66" s="8">
        <v>43014</v>
      </c>
      <c r="B66" s="2" t="s">
        <v>54</v>
      </c>
      <c r="H66" s="1">
        <v>120.89</v>
      </c>
      <c r="I66" s="1">
        <v>320.93</v>
      </c>
    </row>
    <row r="67" spans="1:21" x14ac:dyDescent="0.2">
      <c r="A67" s="8">
        <v>43017</v>
      </c>
      <c r="B67" s="2" t="s">
        <v>74</v>
      </c>
      <c r="U67" s="1">
        <v>1980.62</v>
      </c>
    </row>
    <row r="68" spans="1:21" x14ac:dyDescent="0.2">
      <c r="A68" s="8">
        <v>43018</v>
      </c>
      <c r="B68" s="2" t="s">
        <v>75</v>
      </c>
      <c r="M68" s="1">
        <v>897</v>
      </c>
    </row>
    <row r="69" spans="1:21" x14ac:dyDescent="0.2">
      <c r="A69" s="8">
        <v>43018</v>
      </c>
      <c r="B69" s="2" t="s">
        <v>53</v>
      </c>
      <c r="N69" s="1">
        <v>338.59</v>
      </c>
    </row>
    <row r="70" spans="1:21" x14ac:dyDescent="0.2">
      <c r="A70" s="8">
        <v>43020</v>
      </c>
      <c r="B70" s="2" t="s">
        <v>53</v>
      </c>
      <c r="Q70" s="1">
        <v>46.36</v>
      </c>
    </row>
    <row r="71" spans="1:21" x14ac:dyDescent="0.2">
      <c r="A71" s="8">
        <v>43025</v>
      </c>
      <c r="B71" s="2" t="s">
        <v>53</v>
      </c>
      <c r="P71" s="1">
        <v>16.829999999999998</v>
      </c>
      <c r="R71" s="1">
        <v>28.97</v>
      </c>
    </row>
    <row r="72" spans="1:21" x14ac:dyDescent="0.2">
      <c r="A72" s="8">
        <v>43025</v>
      </c>
      <c r="B72" s="2" t="s">
        <v>54</v>
      </c>
      <c r="H72" s="1">
        <f>148.17+139.09</f>
        <v>287.26</v>
      </c>
      <c r="J72" s="1">
        <v>73.98</v>
      </c>
    </row>
    <row r="73" spans="1:21" x14ac:dyDescent="0.2">
      <c r="A73" s="8">
        <v>43027</v>
      </c>
      <c r="B73" s="2" t="s">
        <v>53</v>
      </c>
      <c r="Q73" s="1">
        <v>12.48</v>
      </c>
    </row>
    <row r="74" spans="1:21" x14ac:dyDescent="0.2">
      <c r="A74" s="8">
        <v>43027</v>
      </c>
      <c r="B74" s="2" t="s">
        <v>54</v>
      </c>
      <c r="J74" s="1">
        <v>113.54</v>
      </c>
    </row>
    <row r="75" spans="1:21" x14ac:dyDescent="0.2">
      <c r="A75" s="8">
        <v>43028</v>
      </c>
      <c r="B75" s="2" t="s">
        <v>54</v>
      </c>
      <c r="Q75" s="1">
        <v>208.16</v>
      </c>
    </row>
    <row r="76" spans="1:21" x14ac:dyDescent="0.2">
      <c r="A76" s="8">
        <v>43029</v>
      </c>
      <c r="B76" s="2" t="s">
        <v>76</v>
      </c>
      <c r="U76" s="1">
        <v>42</v>
      </c>
    </row>
    <row r="77" spans="1:21" x14ac:dyDescent="0.2">
      <c r="A77" s="8">
        <v>43031</v>
      </c>
      <c r="B77" s="2" t="s">
        <v>54</v>
      </c>
      <c r="M77" s="1">
        <v>391.86</v>
      </c>
    </row>
    <row r="78" spans="1:21" x14ac:dyDescent="0.2">
      <c r="A78" s="8">
        <v>43033</v>
      </c>
      <c r="B78" s="2" t="s">
        <v>54</v>
      </c>
      <c r="S78" s="1">
        <v>184.04</v>
      </c>
    </row>
    <row r="79" spans="1:21" x14ac:dyDescent="0.2">
      <c r="A79" s="8">
        <v>43033</v>
      </c>
      <c r="B79" s="2" t="s">
        <v>65</v>
      </c>
      <c r="U79" s="1">
        <v>321.25</v>
      </c>
    </row>
    <row r="80" spans="1:21" x14ac:dyDescent="0.2">
      <c r="A80" s="8">
        <v>43034</v>
      </c>
      <c r="B80" s="2" t="s">
        <v>54</v>
      </c>
      <c r="P80" s="1">
        <v>569.63</v>
      </c>
      <c r="Q80" s="1">
        <v>123.43</v>
      </c>
    </row>
    <row r="81" spans="1:18" x14ac:dyDescent="0.2">
      <c r="A81" s="8">
        <v>43034</v>
      </c>
      <c r="B81" s="2" t="s">
        <v>53</v>
      </c>
      <c r="P81" s="1">
        <v>29.95</v>
      </c>
      <c r="R81" s="1">
        <v>19.95</v>
      </c>
    </row>
    <row r="82" spans="1:18" x14ac:dyDescent="0.2">
      <c r="A82" s="8">
        <v>43039</v>
      </c>
      <c r="B82" s="2" t="s">
        <v>54</v>
      </c>
      <c r="H82" s="1">
        <v>172.06</v>
      </c>
      <c r="J82" s="1">
        <v>33.6</v>
      </c>
    </row>
    <row r="83" spans="1:18" x14ac:dyDescent="0.2">
      <c r="A83" s="8">
        <v>43040</v>
      </c>
      <c r="B83" s="2" t="s">
        <v>53</v>
      </c>
      <c r="R83" s="1">
        <v>736.67</v>
      </c>
    </row>
    <row r="84" spans="1:18" x14ac:dyDescent="0.2">
      <c r="A84" s="8">
        <v>43040</v>
      </c>
      <c r="B84" s="2" t="s">
        <v>54</v>
      </c>
      <c r="O84" s="1">
        <v>866.8</v>
      </c>
    </row>
    <row r="85" spans="1:18" x14ac:dyDescent="0.2">
      <c r="A85" s="8">
        <v>43041</v>
      </c>
      <c r="B85" s="2" t="s">
        <v>54</v>
      </c>
      <c r="H85" s="1">
        <v>21.54</v>
      </c>
      <c r="P85" s="1">
        <v>192.02</v>
      </c>
      <c r="Q85" s="1">
        <v>45.48</v>
      </c>
    </row>
    <row r="86" spans="1:18" x14ac:dyDescent="0.2">
      <c r="A86" s="8">
        <v>43041</v>
      </c>
      <c r="B86" s="2" t="s">
        <v>63</v>
      </c>
      <c r="M86" s="1">
        <v>20.6</v>
      </c>
    </row>
    <row r="87" spans="1:18" x14ac:dyDescent="0.2">
      <c r="A87" s="8">
        <v>43045</v>
      </c>
      <c r="B87" s="2" t="s">
        <v>54</v>
      </c>
      <c r="E87" s="1">
        <v>21.54</v>
      </c>
      <c r="F87" s="1">
        <v>53.24</v>
      </c>
    </row>
    <row r="88" spans="1:18" x14ac:dyDescent="0.2">
      <c r="A88" s="8">
        <v>43046</v>
      </c>
      <c r="B88" s="2" t="s">
        <v>54</v>
      </c>
      <c r="M88" s="1">
        <f>320.92+231.56</f>
        <v>552.48</v>
      </c>
    </row>
    <row r="89" spans="1:18" x14ac:dyDescent="0.2">
      <c r="A89" s="8">
        <v>43047</v>
      </c>
      <c r="B89" s="2" t="s">
        <v>54</v>
      </c>
      <c r="Q89" s="1">
        <f>366.91+107.1</f>
        <v>474.01</v>
      </c>
    </row>
    <row r="90" spans="1:18" x14ac:dyDescent="0.2">
      <c r="A90" s="8">
        <v>43048</v>
      </c>
      <c r="B90" s="2" t="s">
        <v>54</v>
      </c>
      <c r="H90" s="1">
        <v>68.180000000000007</v>
      </c>
      <c r="I90" s="1">
        <v>563.6</v>
      </c>
      <c r="J90" s="1">
        <f>174.45+10.4</f>
        <v>184.85</v>
      </c>
    </row>
    <row r="91" spans="1:18" x14ac:dyDescent="0.2">
      <c r="A91" s="8">
        <v>43049</v>
      </c>
      <c r="B91" s="2" t="s">
        <v>53</v>
      </c>
      <c r="N91" s="1">
        <v>50.82</v>
      </c>
    </row>
    <row r="92" spans="1:18" x14ac:dyDescent="0.2">
      <c r="A92" s="8">
        <v>43052</v>
      </c>
      <c r="B92" s="2" t="s">
        <v>54</v>
      </c>
      <c r="O92" s="60"/>
      <c r="P92" s="1">
        <v>54.6</v>
      </c>
    </row>
    <row r="93" spans="1:18" x14ac:dyDescent="0.2">
      <c r="A93" s="8">
        <v>43053</v>
      </c>
      <c r="B93" s="2" t="s">
        <v>53</v>
      </c>
      <c r="Q93" s="1">
        <v>45</v>
      </c>
      <c r="R93" s="1">
        <f>19.17+658.51</f>
        <v>677.68</v>
      </c>
    </row>
    <row r="94" spans="1:18" x14ac:dyDescent="0.2">
      <c r="A94" s="8">
        <v>43053</v>
      </c>
      <c r="B94" s="2" t="s">
        <v>54</v>
      </c>
      <c r="E94" s="1">
        <v>83.84</v>
      </c>
      <c r="F94" s="1">
        <v>75.36</v>
      </c>
    </row>
    <row r="95" spans="1:18" x14ac:dyDescent="0.2">
      <c r="A95" s="8">
        <v>43054</v>
      </c>
      <c r="B95" s="2" t="s">
        <v>54</v>
      </c>
      <c r="J95" s="1">
        <v>106.7</v>
      </c>
      <c r="K95" s="1">
        <v>269.5</v>
      </c>
    </row>
    <row r="96" spans="1:18" x14ac:dyDescent="0.2">
      <c r="A96" s="8">
        <v>43055</v>
      </c>
      <c r="B96" s="2" t="s">
        <v>78</v>
      </c>
      <c r="L96" s="1">
        <v>72</v>
      </c>
    </row>
    <row r="97" spans="1:23" x14ac:dyDescent="0.2">
      <c r="A97" s="8">
        <v>43060</v>
      </c>
      <c r="B97" s="2" t="s">
        <v>54</v>
      </c>
      <c r="H97" s="1">
        <v>157.12</v>
      </c>
      <c r="I97" s="1">
        <v>290.54000000000002</v>
      </c>
      <c r="J97" s="1">
        <v>162.44999999999999</v>
      </c>
    </row>
    <row r="98" spans="1:23" x14ac:dyDescent="0.2">
      <c r="A98" s="8">
        <v>43064</v>
      </c>
      <c r="B98" s="2" t="s">
        <v>77</v>
      </c>
      <c r="U98" s="1">
        <v>528</v>
      </c>
    </row>
    <row r="99" spans="1:23" x14ac:dyDescent="0.2">
      <c r="A99" s="8">
        <v>43068</v>
      </c>
      <c r="B99" s="2" t="s">
        <v>53</v>
      </c>
      <c r="R99" s="1">
        <v>51.64</v>
      </c>
    </row>
    <row r="100" spans="1:23" x14ac:dyDescent="0.2">
      <c r="A100" s="8">
        <v>43068</v>
      </c>
      <c r="B100" s="2" t="s">
        <v>54</v>
      </c>
      <c r="P100" s="1">
        <v>18.84</v>
      </c>
      <c r="Q100" s="1">
        <v>94.9</v>
      </c>
    </row>
    <row r="101" spans="1:23" x14ac:dyDescent="0.2">
      <c r="A101" s="8">
        <v>43068</v>
      </c>
      <c r="B101" s="2" t="s">
        <v>54</v>
      </c>
      <c r="G101" s="1">
        <v>155.25</v>
      </c>
      <c r="O101" s="1">
        <v>589.4</v>
      </c>
    </row>
    <row r="102" spans="1:23" x14ac:dyDescent="0.2">
      <c r="A102" s="8">
        <v>43069</v>
      </c>
      <c r="B102" s="2" t="s">
        <v>54</v>
      </c>
      <c r="S102" s="1">
        <v>155.22999999999999</v>
      </c>
    </row>
    <row r="103" spans="1:23" x14ac:dyDescent="0.2">
      <c r="A103" s="8">
        <v>43069</v>
      </c>
      <c r="B103" s="2" t="s">
        <v>65</v>
      </c>
      <c r="U103" s="1">
        <v>308.5</v>
      </c>
    </row>
    <row r="104" spans="1:23" x14ac:dyDescent="0.2">
      <c r="A104" s="8">
        <v>43070</v>
      </c>
      <c r="B104" s="2" t="s">
        <v>53</v>
      </c>
      <c r="R104" s="1">
        <v>72.930000000000007</v>
      </c>
    </row>
    <row r="105" spans="1:23" x14ac:dyDescent="0.2">
      <c r="A105" s="8">
        <v>43070</v>
      </c>
      <c r="B105" s="2" t="s">
        <v>54</v>
      </c>
      <c r="P105" s="1">
        <v>927.18</v>
      </c>
      <c r="Q105" s="1">
        <v>303.43</v>
      </c>
    </row>
    <row r="106" spans="1:23" x14ac:dyDescent="0.2">
      <c r="A106" s="8">
        <v>43074</v>
      </c>
      <c r="B106" s="2" t="s">
        <v>54</v>
      </c>
      <c r="K106" s="1">
        <v>303.42</v>
      </c>
    </row>
    <row r="107" spans="1:23" x14ac:dyDescent="0.2">
      <c r="A107" s="8">
        <v>43077</v>
      </c>
      <c r="B107" s="2" t="s">
        <v>79</v>
      </c>
      <c r="W107" s="10">
        <v>6000</v>
      </c>
    </row>
    <row r="108" spans="1:23" x14ac:dyDescent="0.2">
      <c r="A108" s="8">
        <v>43079</v>
      </c>
      <c r="B108" s="2" t="s">
        <v>53</v>
      </c>
      <c r="N108" s="1">
        <v>344.64</v>
      </c>
    </row>
    <row r="109" spans="1:23" x14ac:dyDescent="0.2">
      <c r="A109" s="8">
        <v>43081</v>
      </c>
      <c r="B109" s="2" t="s">
        <v>53</v>
      </c>
      <c r="M109" s="1">
        <v>201.1</v>
      </c>
      <c r="R109" s="1">
        <v>503.38</v>
      </c>
    </row>
    <row r="110" spans="1:23" x14ac:dyDescent="0.2">
      <c r="A110" s="8">
        <v>43081</v>
      </c>
      <c r="B110" s="2" t="s">
        <v>54</v>
      </c>
      <c r="H110" s="1">
        <v>96.2</v>
      </c>
      <c r="M110" s="1">
        <f>125.83+296.07</f>
        <v>421.9</v>
      </c>
    </row>
    <row r="111" spans="1:23" x14ac:dyDescent="0.2">
      <c r="A111" s="8">
        <v>43082</v>
      </c>
      <c r="B111" s="2" t="s">
        <v>54</v>
      </c>
      <c r="P111" s="1">
        <v>1056.0899999999999</v>
      </c>
      <c r="Q111" s="1">
        <v>469.51</v>
      </c>
    </row>
    <row r="112" spans="1:23" x14ac:dyDescent="0.2">
      <c r="A112" s="8">
        <v>43083</v>
      </c>
      <c r="B112" s="2" t="s">
        <v>53</v>
      </c>
      <c r="R112" s="1">
        <v>308.08</v>
      </c>
    </row>
    <row r="113" spans="1:21" x14ac:dyDescent="0.2">
      <c r="A113" s="8">
        <v>43083</v>
      </c>
      <c r="B113" s="2" t="s">
        <v>82</v>
      </c>
      <c r="M113" s="1">
        <v>321.86</v>
      </c>
    </row>
    <row r="114" spans="1:21" x14ac:dyDescent="0.2">
      <c r="A114" s="8">
        <v>43084</v>
      </c>
      <c r="B114" s="2" t="s">
        <v>80</v>
      </c>
      <c r="L114" s="1">
        <v>999</v>
      </c>
    </row>
    <row r="115" spans="1:21" x14ac:dyDescent="0.2">
      <c r="A115" s="8">
        <v>43088</v>
      </c>
      <c r="B115" s="2" t="s">
        <v>53</v>
      </c>
      <c r="R115" s="1">
        <v>16.510000000000002</v>
      </c>
    </row>
    <row r="116" spans="1:21" x14ac:dyDescent="0.2">
      <c r="A116" s="8">
        <v>43088</v>
      </c>
      <c r="B116" s="2" t="s">
        <v>54</v>
      </c>
      <c r="G116" s="1">
        <v>61.72</v>
      </c>
    </row>
    <row r="117" spans="1:21" x14ac:dyDescent="0.2">
      <c r="A117" s="8">
        <v>43090</v>
      </c>
      <c r="B117" s="2" t="s">
        <v>54</v>
      </c>
      <c r="I117" s="1">
        <v>38.35</v>
      </c>
      <c r="J117" s="1">
        <f>148.62+257</f>
        <v>405.62</v>
      </c>
    </row>
    <row r="118" spans="1:21" x14ac:dyDescent="0.2">
      <c r="A118" s="8">
        <v>43098</v>
      </c>
      <c r="B118" s="2" t="s">
        <v>65</v>
      </c>
      <c r="U118" s="1">
        <v>378.75</v>
      </c>
    </row>
    <row r="119" spans="1:21" x14ac:dyDescent="0.2">
      <c r="A119" s="8">
        <v>43102</v>
      </c>
      <c r="B119" s="2" t="s">
        <v>54</v>
      </c>
      <c r="S119" s="1">
        <v>104.88</v>
      </c>
    </row>
    <row r="120" spans="1:21" x14ac:dyDescent="0.2">
      <c r="A120" s="8">
        <v>43103</v>
      </c>
      <c r="B120" s="2" t="s">
        <v>54</v>
      </c>
      <c r="O120" s="1">
        <v>1059.4000000000001</v>
      </c>
    </row>
    <row r="121" spans="1:21" x14ac:dyDescent="0.2">
      <c r="A121" s="8">
        <v>43105</v>
      </c>
      <c r="B121" s="2" t="s">
        <v>54</v>
      </c>
      <c r="H121" s="1">
        <v>231.57</v>
      </c>
    </row>
    <row r="122" spans="1:21" x14ac:dyDescent="0.2">
      <c r="A122" s="8">
        <v>43109</v>
      </c>
      <c r="B122" s="2" t="s">
        <v>54</v>
      </c>
      <c r="H122" s="1">
        <v>82.17</v>
      </c>
      <c r="J122" s="1">
        <v>72.8</v>
      </c>
    </row>
    <row r="123" spans="1:21" x14ac:dyDescent="0.2">
      <c r="A123" s="8">
        <v>43110</v>
      </c>
      <c r="B123" s="2" t="s">
        <v>53</v>
      </c>
      <c r="R123" s="1">
        <v>179.27</v>
      </c>
    </row>
    <row r="124" spans="1:21" x14ac:dyDescent="0.2">
      <c r="A124" s="8">
        <v>43110</v>
      </c>
      <c r="B124" s="2" t="s">
        <v>54</v>
      </c>
      <c r="K124" s="1">
        <v>315.31</v>
      </c>
      <c r="O124" s="1">
        <v>221.69</v>
      </c>
    </row>
    <row r="125" spans="1:21" x14ac:dyDescent="0.2">
      <c r="A125" s="8">
        <v>43110</v>
      </c>
      <c r="B125" s="2" t="s">
        <v>53</v>
      </c>
      <c r="N125" s="1">
        <v>180.21</v>
      </c>
    </row>
    <row r="126" spans="1:21" x14ac:dyDescent="0.2">
      <c r="A126" s="8">
        <v>43112</v>
      </c>
      <c r="B126" s="2" t="s">
        <v>53</v>
      </c>
      <c r="R126" s="1">
        <v>136.41999999999999</v>
      </c>
    </row>
    <row r="127" spans="1:21" x14ac:dyDescent="0.2">
      <c r="A127" s="8">
        <v>43112</v>
      </c>
      <c r="B127" s="2" t="s">
        <v>54</v>
      </c>
      <c r="P127" s="1">
        <v>586.78</v>
      </c>
      <c r="Q127" s="1">
        <v>155.88999999999999</v>
      </c>
    </row>
    <row r="128" spans="1:21" x14ac:dyDescent="0.2">
      <c r="A128" s="8">
        <v>43116</v>
      </c>
      <c r="B128" s="2" t="s">
        <v>54</v>
      </c>
      <c r="Q128" s="1">
        <v>56.25</v>
      </c>
    </row>
    <row r="129" spans="1:21" x14ac:dyDescent="0.2">
      <c r="A129" s="8">
        <v>43117</v>
      </c>
      <c r="B129" s="2" t="s">
        <v>70</v>
      </c>
      <c r="M129" s="1">
        <v>195.54</v>
      </c>
    </row>
    <row r="130" spans="1:21" x14ac:dyDescent="0.2">
      <c r="A130" s="8">
        <v>43118</v>
      </c>
      <c r="B130" s="2" t="s">
        <v>54</v>
      </c>
      <c r="I130" s="1">
        <v>382.38</v>
      </c>
    </row>
    <row r="131" spans="1:21" x14ac:dyDescent="0.2">
      <c r="A131" s="8">
        <v>43122</v>
      </c>
      <c r="B131" s="2" t="s">
        <v>53</v>
      </c>
      <c r="Q131" s="1">
        <v>39.78</v>
      </c>
    </row>
    <row r="132" spans="1:21" x14ac:dyDescent="0.2">
      <c r="A132" s="8">
        <v>43122</v>
      </c>
      <c r="B132" s="2" t="s">
        <v>54</v>
      </c>
      <c r="Q132" s="1">
        <v>22.06</v>
      </c>
    </row>
    <row r="133" spans="1:21" x14ac:dyDescent="0.2">
      <c r="A133" s="8">
        <v>43123</v>
      </c>
      <c r="B133" s="2" t="s">
        <v>53</v>
      </c>
      <c r="R133" s="1">
        <v>392.93</v>
      </c>
    </row>
    <row r="134" spans="1:21" x14ac:dyDescent="0.2">
      <c r="A134" s="8">
        <v>43124</v>
      </c>
      <c r="B134" s="2" t="s">
        <v>53</v>
      </c>
      <c r="R134" s="1">
        <f>24.95+19.99+45.05</f>
        <v>89.99</v>
      </c>
    </row>
    <row r="135" spans="1:21" x14ac:dyDescent="0.2">
      <c r="A135" s="8">
        <v>43124</v>
      </c>
      <c r="B135" s="2" t="s">
        <v>54</v>
      </c>
      <c r="L135" s="1">
        <v>16.22</v>
      </c>
      <c r="Q135" s="1">
        <v>32.44</v>
      </c>
    </row>
    <row r="136" spans="1:21" x14ac:dyDescent="0.2">
      <c r="A136" s="8">
        <v>43125</v>
      </c>
      <c r="B136" s="2" t="s">
        <v>53</v>
      </c>
      <c r="R136" s="1">
        <v>-19.989999999999998</v>
      </c>
    </row>
    <row r="137" spans="1:21" x14ac:dyDescent="0.2">
      <c r="A137" s="8">
        <v>43126</v>
      </c>
      <c r="B137" s="2" t="s">
        <v>54</v>
      </c>
      <c r="Q137" s="1">
        <v>151.27000000000001</v>
      </c>
    </row>
    <row r="138" spans="1:21" x14ac:dyDescent="0.2">
      <c r="A138" s="8">
        <v>43129</v>
      </c>
      <c r="B138" s="2" t="s">
        <v>65</v>
      </c>
      <c r="U138" s="1">
        <v>394.5</v>
      </c>
    </row>
    <row r="139" spans="1:21" x14ac:dyDescent="0.2">
      <c r="A139" s="8">
        <v>43131</v>
      </c>
      <c r="B139" s="2" t="s">
        <v>53</v>
      </c>
      <c r="R139" s="1">
        <f>50.01+10.87</f>
        <v>60.879999999999995</v>
      </c>
    </row>
    <row r="140" spans="1:21" x14ac:dyDescent="0.2">
      <c r="A140" s="8">
        <v>43136</v>
      </c>
      <c r="B140" s="2" t="s">
        <v>53</v>
      </c>
      <c r="R140" s="1">
        <v>388.47</v>
      </c>
    </row>
    <row r="141" spans="1:21" x14ac:dyDescent="0.2">
      <c r="A141" s="8">
        <v>43137</v>
      </c>
      <c r="B141" s="2" t="s">
        <v>81</v>
      </c>
      <c r="R141" s="1">
        <v>4000</v>
      </c>
    </row>
    <row r="142" spans="1:21" x14ac:dyDescent="0.2">
      <c r="A142" s="8">
        <v>43137</v>
      </c>
      <c r="B142" s="2" t="s">
        <v>54</v>
      </c>
      <c r="I142" s="1">
        <v>151.65</v>
      </c>
      <c r="J142" s="1">
        <v>72.95</v>
      </c>
    </row>
    <row r="143" spans="1:21" x14ac:dyDescent="0.2">
      <c r="A143" s="8">
        <v>43138</v>
      </c>
      <c r="B143" s="2" t="s">
        <v>53</v>
      </c>
      <c r="R143" s="1">
        <v>9.9600000000000009</v>
      </c>
    </row>
    <row r="144" spans="1:21" x14ac:dyDescent="0.2">
      <c r="A144" s="8">
        <v>43138</v>
      </c>
      <c r="B144" s="2" t="s">
        <v>54</v>
      </c>
      <c r="C144" s="1">
        <v>791.82</v>
      </c>
      <c r="D144" s="2">
        <v>69.64</v>
      </c>
      <c r="K144" s="1">
        <v>280.64</v>
      </c>
    </row>
    <row r="145" spans="1:24" x14ac:dyDescent="0.2">
      <c r="A145" s="8">
        <v>43138</v>
      </c>
      <c r="B145" s="2" t="s">
        <v>57</v>
      </c>
      <c r="L145" s="1">
        <v>80</v>
      </c>
    </row>
    <row r="146" spans="1:24" x14ac:dyDescent="0.2">
      <c r="A146" s="8">
        <v>43139</v>
      </c>
      <c r="B146" s="2" t="s">
        <v>54</v>
      </c>
      <c r="C146" s="1">
        <v>42.12</v>
      </c>
      <c r="D146" s="2">
        <v>54.06</v>
      </c>
      <c r="H146" s="1">
        <f>50.2+58.2</f>
        <v>108.4</v>
      </c>
    </row>
    <row r="147" spans="1:24" x14ac:dyDescent="0.2">
      <c r="A147" s="8">
        <v>43140</v>
      </c>
      <c r="B147" s="2" t="s">
        <v>54</v>
      </c>
      <c r="J147" s="1">
        <v>37.5</v>
      </c>
    </row>
    <row r="148" spans="1:24" x14ac:dyDescent="0.2">
      <c r="A148" s="8">
        <v>43141</v>
      </c>
      <c r="B148" s="2" t="s">
        <v>54</v>
      </c>
      <c r="C148" s="1">
        <v>109.69</v>
      </c>
    </row>
    <row r="149" spans="1:24" x14ac:dyDescent="0.2">
      <c r="A149" s="8">
        <v>43141</v>
      </c>
      <c r="B149" s="2" t="s">
        <v>53</v>
      </c>
      <c r="N149" s="1">
        <v>357.03</v>
      </c>
    </row>
    <row r="150" spans="1:24" x14ac:dyDescent="0.2">
      <c r="A150" s="8">
        <v>43143</v>
      </c>
      <c r="B150" s="2" t="s">
        <v>85</v>
      </c>
      <c r="L150" s="1">
        <v>292</v>
      </c>
    </row>
    <row r="151" spans="1:24" x14ac:dyDescent="0.2">
      <c r="A151" s="8">
        <v>43144</v>
      </c>
      <c r="B151" s="2" t="s">
        <v>54</v>
      </c>
      <c r="C151" s="1">
        <v>535.35</v>
      </c>
      <c r="D151" s="2">
        <v>186.97</v>
      </c>
      <c r="S151" s="1">
        <v>169.92</v>
      </c>
    </row>
    <row r="152" spans="1:24" x14ac:dyDescent="0.2">
      <c r="A152" s="8">
        <v>43145</v>
      </c>
      <c r="B152" s="2" t="s">
        <v>54</v>
      </c>
      <c r="H152" s="1">
        <v>215.87</v>
      </c>
      <c r="I152" s="1">
        <v>34.51</v>
      </c>
      <c r="J152" s="1">
        <v>193.85</v>
      </c>
      <c r="O152" s="1">
        <v>953.19</v>
      </c>
    </row>
    <row r="153" spans="1:24" x14ac:dyDescent="0.2">
      <c r="A153" s="8">
        <v>43147</v>
      </c>
      <c r="B153" s="2" t="s">
        <v>53</v>
      </c>
      <c r="R153" s="1">
        <f>263.38+21.99</f>
        <v>285.37</v>
      </c>
    </row>
    <row r="154" spans="1:24" x14ac:dyDescent="0.2">
      <c r="A154" s="8">
        <v>43147</v>
      </c>
      <c r="B154" s="2" t="s">
        <v>54</v>
      </c>
      <c r="P154" s="1">
        <v>138.32</v>
      </c>
      <c r="Q154" s="1">
        <v>196.47</v>
      </c>
      <c r="R154" s="1">
        <v>40</v>
      </c>
    </row>
    <row r="155" spans="1:24" x14ac:dyDescent="0.2">
      <c r="A155" s="8">
        <v>43154</v>
      </c>
      <c r="B155" s="2" t="s">
        <v>63</v>
      </c>
      <c r="M155" s="1">
        <v>235.8</v>
      </c>
    </row>
    <row r="156" spans="1:24" x14ac:dyDescent="0.2">
      <c r="A156" s="8">
        <v>43157</v>
      </c>
      <c r="B156" s="2" t="s">
        <v>54</v>
      </c>
      <c r="C156" s="1">
        <v>254.59</v>
      </c>
      <c r="D156" s="2">
        <v>90.94</v>
      </c>
    </row>
    <row r="157" spans="1:24" s="63" customFormat="1" x14ac:dyDescent="0.2">
      <c r="A157" s="8">
        <v>43157</v>
      </c>
      <c r="B157" s="2" t="s">
        <v>65</v>
      </c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322</v>
      </c>
      <c r="V157" s="1"/>
      <c r="W157" s="10"/>
      <c r="X157" s="2"/>
    </row>
    <row r="158" spans="1:24" x14ac:dyDescent="0.2">
      <c r="A158" s="8">
        <v>43158</v>
      </c>
      <c r="B158" s="2" t="s">
        <v>54</v>
      </c>
      <c r="I158" s="1">
        <v>187.37</v>
      </c>
      <c r="J158" s="1">
        <v>160.22</v>
      </c>
    </row>
    <row r="159" spans="1:24" x14ac:dyDescent="0.2">
      <c r="A159" s="8">
        <v>43158</v>
      </c>
      <c r="B159" s="2" t="s">
        <v>53</v>
      </c>
      <c r="R159" s="1">
        <f>920.33+459.56</f>
        <v>1379.89</v>
      </c>
    </row>
    <row r="160" spans="1:24" x14ac:dyDescent="0.2">
      <c r="A160" s="62">
        <v>43159</v>
      </c>
      <c r="B160" s="63" t="s">
        <v>65</v>
      </c>
      <c r="C160" s="64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>
        <f>2000-322-374.5-356.6-60+360</f>
        <v>1246.9000000000001</v>
      </c>
      <c r="V160" s="64"/>
      <c r="W160" s="65"/>
      <c r="X160" s="63"/>
    </row>
    <row r="161" spans="1:20" x14ac:dyDescent="0.2">
      <c r="A161" s="8">
        <v>43166</v>
      </c>
      <c r="B161" s="2" t="s">
        <v>53</v>
      </c>
      <c r="R161" s="1">
        <v>17.73</v>
      </c>
    </row>
    <row r="162" spans="1:20" x14ac:dyDescent="0.2">
      <c r="A162" s="8">
        <v>43166</v>
      </c>
      <c r="B162" s="2" t="s">
        <v>54</v>
      </c>
      <c r="C162" s="1">
        <v>91.51</v>
      </c>
      <c r="K162" s="1">
        <v>202.75</v>
      </c>
    </row>
    <row r="163" spans="1:20" x14ac:dyDescent="0.2">
      <c r="A163" s="8">
        <v>43168</v>
      </c>
      <c r="B163" s="2" t="s">
        <v>54</v>
      </c>
      <c r="P163" s="1">
        <v>209.34</v>
      </c>
      <c r="Q163" s="1">
        <v>170.89</v>
      </c>
    </row>
    <row r="164" spans="1:20" x14ac:dyDescent="0.2">
      <c r="A164" s="8">
        <v>43168</v>
      </c>
      <c r="B164" s="2" t="s">
        <v>87</v>
      </c>
      <c r="T164" s="1">
        <v>200</v>
      </c>
    </row>
    <row r="165" spans="1:20" x14ac:dyDescent="0.2">
      <c r="A165" s="8">
        <v>43171</v>
      </c>
      <c r="B165" s="2" t="s">
        <v>54</v>
      </c>
      <c r="J165" s="1">
        <v>210.8</v>
      </c>
    </row>
    <row r="166" spans="1:20" x14ac:dyDescent="0.2">
      <c r="A166" s="8">
        <v>43171</v>
      </c>
      <c r="B166" s="2" t="s">
        <v>69</v>
      </c>
      <c r="O166" s="1">
        <v>136.47</v>
      </c>
    </row>
    <row r="167" spans="1:20" x14ac:dyDescent="0.2">
      <c r="A167" s="8">
        <v>43171</v>
      </c>
      <c r="B167" s="2" t="s">
        <v>69</v>
      </c>
      <c r="O167" s="1">
        <v>18.940000000000001</v>
      </c>
    </row>
    <row r="168" spans="1:20" x14ac:dyDescent="0.2">
      <c r="A168" s="8">
        <v>43171</v>
      </c>
      <c r="B168" s="2" t="s">
        <v>69</v>
      </c>
      <c r="O168" s="1">
        <v>128.66999999999999</v>
      </c>
    </row>
    <row r="169" spans="1:20" x14ac:dyDescent="0.2">
      <c r="A169" s="8">
        <v>43173</v>
      </c>
      <c r="B169" s="2" t="s">
        <v>53</v>
      </c>
      <c r="R169" s="1">
        <f>-956.58+35.92</f>
        <v>-920.66000000000008</v>
      </c>
    </row>
    <row r="170" spans="1:20" x14ac:dyDescent="0.2">
      <c r="A170" s="8">
        <v>43173</v>
      </c>
      <c r="B170" s="2" t="s">
        <v>54</v>
      </c>
      <c r="P170" s="1">
        <f>-(15.99*0.55)-87.31</f>
        <v>-96.104500000000002</v>
      </c>
    </row>
    <row r="171" spans="1:20" x14ac:dyDescent="0.2">
      <c r="A171" s="8">
        <v>43174</v>
      </c>
      <c r="B171" s="2" t="s">
        <v>53</v>
      </c>
      <c r="R171" s="1">
        <f>1071.31+184.53</f>
        <v>1255.8399999999999</v>
      </c>
    </row>
    <row r="172" spans="1:20" x14ac:dyDescent="0.2">
      <c r="A172" s="8">
        <v>43174</v>
      </c>
      <c r="B172" s="2" t="s">
        <v>54</v>
      </c>
      <c r="P172" s="1">
        <v>87.31</v>
      </c>
    </row>
    <row r="173" spans="1:20" x14ac:dyDescent="0.2">
      <c r="A173" s="8">
        <v>43174</v>
      </c>
      <c r="B173" s="2" t="s">
        <v>54</v>
      </c>
      <c r="F173" s="1">
        <v>35.74</v>
      </c>
    </row>
    <row r="174" spans="1:20" x14ac:dyDescent="0.2">
      <c r="A174" s="8">
        <v>43175</v>
      </c>
      <c r="B174" s="2" t="s">
        <v>54</v>
      </c>
      <c r="I174" s="1">
        <v>529.55999999999995</v>
      </c>
      <c r="P174" s="1">
        <v>158.31</v>
      </c>
      <c r="Q174" s="1">
        <v>151.36000000000001</v>
      </c>
    </row>
    <row r="175" spans="1:20" x14ac:dyDescent="0.2">
      <c r="A175" s="8">
        <v>43178</v>
      </c>
      <c r="B175" s="2" t="s">
        <v>53</v>
      </c>
      <c r="L175" s="1">
        <v>17.170000000000002</v>
      </c>
      <c r="Q175" s="1">
        <v>17.170000000000002</v>
      </c>
    </row>
    <row r="176" spans="1:20" x14ac:dyDescent="0.2">
      <c r="A176" s="8">
        <v>43179</v>
      </c>
      <c r="B176" s="2" t="s">
        <v>54</v>
      </c>
      <c r="M176" s="1">
        <f>258.85+56.69+396.61</f>
        <v>712.15000000000009</v>
      </c>
    </row>
    <row r="177" spans="1:21" x14ac:dyDescent="0.2">
      <c r="A177" s="8">
        <v>43180</v>
      </c>
      <c r="B177" s="2" t="s">
        <v>53</v>
      </c>
      <c r="R177" s="1">
        <v>103.16</v>
      </c>
    </row>
    <row r="178" spans="1:21" x14ac:dyDescent="0.2">
      <c r="A178" s="8">
        <v>43180</v>
      </c>
      <c r="B178" s="2" t="s">
        <v>53</v>
      </c>
      <c r="D178" s="2">
        <v>235.99</v>
      </c>
    </row>
    <row r="179" spans="1:21" x14ac:dyDescent="0.2">
      <c r="A179" s="8">
        <v>43181</v>
      </c>
      <c r="B179" s="2" t="s">
        <v>70</v>
      </c>
      <c r="M179" s="1">
        <v>195.54</v>
      </c>
    </row>
    <row r="180" spans="1:21" x14ac:dyDescent="0.2">
      <c r="A180" s="8">
        <v>43185</v>
      </c>
      <c r="B180" s="2" t="s">
        <v>54</v>
      </c>
      <c r="P180" s="1">
        <v>160.49</v>
      </c>
      <c r="Q180" s="1">
        <v>136.96</v>
      </c>
    </row>
    <row r="181" spans="1:21" x14ac:dyDescent="0.2">
      <c r="A181" s="8">
        <v>43186</v>
      </c>
      <c r="B181" s="2" t="s">
        <v>54</v>
      </c>
      <c r="M181" s="1">
        <f>142.73+390.56+66.31</f>
        <v>599.59999999999991</v>
      </c>
      <c r="S181" s="1">
        <v>106.49</v>
      </c>
    </row>
    <row r="182" spans="1:21" x14ac:dyDescent="0.2">
      <c r="A182" s="8">
        <v>43187</v>
      </c>
      <c r="B182" s="2" t="s">
        <v>53</v>
      </c>
      <c r="R182" s="1">
        <v>14.96</v>
      </c>
    </row>
    <row r="183" spans="1:21" x14ac:dyDescent="0.2">
      <c r="A183" s="8">
        <v>43187</v>
      </c>
      <c r="B183" s="2" t="s">
        <v>54</v>
      </c>
      <c r="D183" s="2">
        <v>307.61</v>
      </c>
      <c r="I183" s="1">
        <v>858.74</v>
      </c>
    </row>
    <row r="184" spans="1:21" x14ac:dyDescent="0.2">
      <c r="A184" s="8">
        <v>43189</v>
      </c>
      <c r="B184" s="2" t="s">
        <v>54</v>
      </c>
      <c r="F184" s="1">
        <v>286.47000000000003</v>
      </c>
    </row>
    <row r="185" spans="1:21" x14ac:dyDescent="0.2">
      <c r="A185" s="8">
        <v>43189</v>
      </c>
      <c r="B185" s="2" t="s">
        <v>53</v>
      </c>
      <c r="N185" s="1">
        <v>164.32</v>
      </c>
    </row>
    <row r="186" spans="1:21" x14ac:dyDescent="0.2">
      <c r="A186" s="8">
        <v>43190</v>
      </c>
      <c r="B186" s="2" t="s">
        <v>65</v>
      </c>
      <c r="U186" s="1">
        <v>374.5</v>
      </c>
    </row>
    <row r="187" spans="1:21" x14ac:dyDescent="0.2">
      <c r="A187" s="8">
        <v>43191</v>
      </c>
      <c r="B187" s="2" t="s">
        <v>88</v>
      </c>
      <c r="T187" s="1">
        <v>1525</v>
      </c>
      <c r="U187" s="1">
        <v>1734.54</v>
      </c>
    </row>
    <row r="188" spans="1:21" x14ac:dyDescent="0.2">
      <c r="A188" s="8">
        <v>43193</v>
      </c>
      <c r="B188" s="2" t="s">
        <v>53</v>
      </c>
      <c r="R188" s="1">
        <f>113.02+35.92-17.89-17.89-14.96-14.96</f>
        <v>83.240000000000009</v>
      </c>
    </row>
    <row r="189" spans="1:21" x14ac:dyDescent="0.2">
      <c r="A189" s="8">
        <v>43195</v>
      </c>
      <c r="B189" s="2" t="s">
        <v>54</v>
      </c>
      <c r="M189" s="1">
        <f>44.54+161.59+204.57</f>
        <v>410.7</v>
      </c>
    </row>
    <row r="190" spans="1:21" x14ac:dyDescent="0.2">
      <c r="A190" s="8">
        <v>43196</v>
      </c>
      <c r="B190" s="2" t="s">
        <v>53</v>
      </c>
      <c r="R190" s="1">
        <v>14.29</v>
      </c>
    </row>
    <row r="191" spans="1:21" x14ac:dyDescent="0.2">
      <c r="A191" s="8">
        <v>43196</v>
      </c>
      <c r="B191" s="2" t="s">
        <v>54</v>
      </c>
      <c r="O191" s="1">
        <f>325.65+324.91</f>
        <v>650.55999999999995</v>
      </c>
    </row>
    <row r="192" spans="1:21" x14ac:dyDescent="0.2">
      <c r="A192" s="8">
        <v>43201</v>
      </c>
      <c r="B192" s="2" t="s">
        <v>53</v>
      </c>
      <c r="R192" s="1">
        <v>75.290000000000006</v>
      </c>
    </row>
    <row r="193" spans="1:21" x14ac:dyDescent="0.2">
      <c r="A193" s="8">
        <v>43201</v>
      </c>
      <c r="B193" s="2" t="s">
        <v>54</v>
      </c>
      <c r="P193" s="1">
        <v>64.63</v>
      </c>
      <c r="Q193" s="1">
        <v>65.52</v>
      </c>
    </row>
    <row r="194" spans="1:21" x14ac:dyDescent="0.2">
      <c r="A194" s="8">
        <v>43207</v>
      </c>
      <c r="B194" s="2" t="s">
        <v>54</v>
      </c>
      <c r="H194" s="1">
        <v>163</v>
      </c>
    </row>
    <row r="195" spans="1:21" x14ac:dyDescent="0.2">
      <c r="A195" s="8">
        <v>43208</v>
      </c>
      <c r="B195" s="2" t="s">
        <v>89</v>
      </c>
      <c r="U195" s="1">
        <v>60</v>
      </c>
    </row>
    <row r="196" spans="1:21" x14ac:dyDescent="0.2">
      <c r="A196" s="8">
        <v>43210</v>
      </c>
      <c r="B196" s="2" t="s">
        <v>54</v>
      </c>
      <c r="I196" s="1">
        <v>255.67</v>
      </c>
    </row>
    <row r="197" spans="1:21" x14ac:dyDescent="0.2">
      <c r="A197" s="8">
        <v>43214</v>
      </c>
      <c r="B197" s="2" t="s">
        <v>82</v>
      </c>
      <c r="M197" s="1">
        <v>76.88</v>
      </c>
    </row>
    <row r="198" spans="1:21" x14ac:dyDescent="0.2">
      <c r="A198" s="8">
        <v>43215</v>
      </c>
      <c r="B198" s="2" t="s">
        <v>53</v>
      </c>
      <c r="R198" s="1">
        <v>29.16</v>
      </c>
    </row>
    <row r="199" spans="1:21" x14ac:dyDescent="0.2">
      <c r="A199" s="8">
        <v>43215</v>
      </c>
      <c r="B199" s="2" t="s">
        <v>54</v>
      </c>
      <c r="M199" s="1">
        <v>334.25</v>
      </c>
    </row>
    <row r="200" spans="1:21" x14ac:dyDescent="0.2">
      <c r="A200" s="8">
        <v>43215</v>
      </c>
      <c r="B200" s="2" t="s">
        <v>53</v>
      </c>
      <c r="N200" s="1">
        <v>276.14999999999998</v>
      </c>
    </row>
    <row r="201" spans="1:21" x14ac:dyDescent="0.2">
      <c r="A201" s="8">
        <v>43215</v>
      </c>
      <c r="B201" s="2" t="s">
        <v>93</v>
      </c>
      <c r="R201" s="1">
        <v>49.85</v>
      </c>
    </row>
    <row r="202" spans="1:21" x14ac:dyDescent="0.2">
      <c r="A202" s="8">
        <v>43216</v>
      </c>
      <c r="B202" s="2" t="s">
        <v>54</v>
      </c>
      <c r="K202" s="1">
        <v>276.19</v>
      </c>
      <c r="M202" s="1">
        <v>93.47</v>
      </c>
      <c r="P202" s="1">
        <v>122.94</v>
      </c>
      <c r="Q202" s="1">
        <v>176.72</v>
      </c>
    </row>
    <row r="203" spans="1:21" x14ac:dyDescent="0.2">
      <c r="A203" s="8">
        <v>43216</v>
      </c>
      <c r="B203" s="2" t="s">
        <v>53</v>
      </c>
      <c r="N203" s="1">
        <v>146.12</v>
      </c>
    </row>
    <row r="204" spans="1:21" x14ac:dyDescent="0.2">
      <c r="A204" s="8">
        <v>43217</v>
      </c>
      <c r="B204" s="2" t="s">
        <v>65</v>
      </c>
      <c r="U204" s="1">
        <v>356.5</v>
      </c>
    </row>
    <row r="205" spans="1:21" x14ac:dyDescent="0.2">
      <c r="A205" s="8">
        <v>43220</v>
      </c>
      <c r="B205" s="2" t="s">
        <v>53</v>
      </c>
      <c r="R205" s="1">
        <f>13.94+19.59</f>
        <v>33.53</v>
      </c>
    </row>
    <row r="206" spans="1:21" x14ac:dyDescent="0.2">
      <c r="A206" s="8">
        <v>43220</v>
      </c>
      <c r="B206" s="2" t="s">
        <v>54</v>
      </c>
      <c r="R206" s="1">
        <v>41.38</v>
      </c>
    </row>
    <row r="207" spans="1:21" x14ac:dyDescent="0.2">
      <c r="A207" s="8">
        <v>43223</v>
      </c>
      <c r="B207" s="2" t="s">
        <v>54</v>
      </c>
      <c r="D207" s="2">
        <v>179.91</v>
      </c>
      <c r="P207" s="1">
        <v>85.39</v>
      </c>
      <c r="Q207" s="1">
        <v>73.36</v>
      </c>
    </row>
    <row r="208" spans="1:21" x14ac:dyDescent="0.2">
      <c r="A208" s="8">
        <v>43224</v>
      </c>
      <c r="B208" s="2" t="s">
        <v>54</v>
      </c>
      <c r="I208" s="1">
        <v>409.8</v>
      </c>
    </row>
    <row r="209" spans="1:25" x14ac:dyDescent="0.2">
      <c r="A209" s="8">
        <v>43228</v>
      </c>
      <c r="B209" s="2" t="s">
        <v>53</v>
      </c>
      <c r="R209" s="1">
        <v>73.89</v>
      </c>
    </row>
    <row r="210" spans="1:25" x14ac:dyDescent="0.2">
      <c r="A210" s="8">
        <v>43229</v>
      </c>
      <c r="B210" s="2" t="s">
        <v>54</v>
      </c>
      <c r="M210" s="1">
        <v>52.46</v>
      </c>
    </row>
    <row r="211" spans="1:25" x14ac:dyDescent="0.2">
      <c r="A211" s="8">
        <v>43230</v>
      </c>
      <c r="B211" s="2" t="s">
        <v>54</v>
      </c>
      <c r="C211" s="1">
        <v>452.25</v>
      </c>
      <c r="D211" s="2">
        <v>60.32</v>
      </c>
      <c r="Q211" s="1">
        <f>56.86+14.55</f>
        <v>71.41</v>
      </c>
    </row>
    <row r="212" spans="1:25" x14ac:dyDescent="0.2">
      <c r="A212" s="8">
        <v>43230</v>
      </c>
      <c r="B212" s="2" t="s">
        <v>69</v>
      </c>
      <c r="O212" s="1">
        <v>49.85</v>
      </c>
    </row>
    <row r="213" spans="1:25" x14ac:dyDescent="0.2">
      <c r="A213" s="8">
        <v>43231</v>
      </c>
      <c r="B213" s="2" t="s">
        <v>53</v>
      </c>
      <c r="R213" s="1">
        <f>9.99+9.27+13.57</f>
        <v>32.83</v>
      </c>
    </row>
    <row r="214" spans="1:25" x14ac:dyDescent="0.2">
      <c r="A214" s="8">
        <v>43231</v>
      </c>
      <c r="B214" s="2" t="s">
        <v>54</v>
      </c>
      <c r="I214" s="1">
        <v>746.02</v>
      </c>
    </row>
    <row r="215" spans="1:25" x14ac:dyDescent="0.2">
      <c r="A215" s="8">
        <v>43231</v>
      </c>
      <c r="B215" s="2" t="s">
        <v>69</v>
      </c>
      <c r="O215" s="1">
        <v>96.76</v>
      </c>
    </row>
    <row r="216" spans="1:25" x14ac:dyDescent="0.2">
      <c r="A216" s="8">
        <v>43234</v>
      </c>
      <c r="B216" s="2" t="s">
        <v>54</v>
      </c>
      <c r="O216" s="1">
        <v>366.01</v>
      </c>
    </row>
    <row r="217" spans="1:25" x14ac:dyDescent="0.2">
      <c r="A217" s="8">
        <v>43235</v>
      </c>
      <c r="B217" s="2" t="s">
        <v>63</v>
      </c>
      <c r="M217" s="1">
        <v>206.2</v>
      </c>
    </row>
    <row r="218" spans="1:25" x14ac:dyDescent="0.2">
      <c r="A218" s="8">
        <v>43235</v>
      </c>
      <c r="B218" s="2" t="s">
        <v>54</v>
      </c>
      <c r="S218" s="1">
        <v>177.32</v>
      </c>
    </row>
    <row r="219" spans="1:25" x14ac:dyDescent="0.2">
      <c r="A219" s="8">
        <v>43236</v>
      </c>
      <c r="B219" s="2" t="s">
        <v>54</v>
      </c>
      <c r="I219" s="1">
        <v>595.1</v>
      </c>
    </row>
    <row r="220" spans="1:25" s="67" customFormat="1" x14ac:dyDescent="0.2">
      <c r="A220" s="8">
        <v>43236</v>
      </c>
      <c r="B220" s="2" t="s">
        <v>78</v>
      </c>
      <c r="C220" s="1"/>
      <c r="D220" s="2"/>
      <c r="E220" s="1"/>
      <c r="F220" s="1"/>
      <c r="G220" s="1"/>
      <c r="H220" s="1"/>
      <c r="I220" s="1"/>
      <c r="J220" s="1"/>
      <c r="K220" s="1"/>
      <c r="L220" s="1">
        <v>68.400000000000006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0"/>
      <c r="X220" s="2"/>
      <c r="Y220" s="2"/>
    </row>
    <row r="221" spans="1:25" x14ac:dyDescent="0.2">
      <c r="A221" s="8">
        <v>43238</v>
      </c>
      <c r="B221" s="2" t="s">
        <v>53</v>
      </c>
      <c r="R221" s="1">
        <v>190.39</v>
      </c>
    </row>
    <row r="222" spans="1:25" x14ac:dyDescent="0.2">
      <c r="A222" s="8">
        <v>43242</v>
      </c>
      <c r="B222" s="2" t="s">
        <v>54</v>
      </c>
      <c r="I222" s="1">
        <v>28.03</v>
      </c>
    </row>
    <row r="223" spans="1:25" x14ac:dyDescent="0.2">
      <c r="A223" s="8">
        <v>43243</v>
      </c>
      <c r="B223" s="2" t="s">
        <v>53</v>
      </c>
    </row>
    <row r="224" spans="1:25" x14ac:dyDescent="0.2">
      <c r="A224" s="8">
        <v>43243</v>
      </c>
      <c r="B224" s="2" t="s">
        <v>54</v>
      </c>
      <c r="I224" s="1">
        <v>17.68</v>
      </c>
    </row>
    <row r="225" spans="1:25" x14ac:dyDescent="0.2">
      <c r="A225" s="8">
        <v>43243</v>
      </c>
      <c r="B225" s="2" t="s">
        <v>82</v>
      </c>
      <c r="M225" s="1">
        <v>209.97</v>
      </c>
    </row>
    <row r="226" spans="1:25" x14ac:dyDescent="0.2">
      <c r="A226" s="8">
        <v>43244</v>
      </c>
      <c r="B226" s="2" t="s">
        <v>54</v>
      </c>
      <c r="P226" s="1">
        <v>437.85</v>
      </c>
      <c r="Q226" s="1">
        <v>58.35</v>
      </c>
    </row>
    <row r="227" spans="1:25" x14ac:dyDescent="0.2">
      <c r="A227" s="8">
        <v>43245</v>
      </c>
      <c r="B227" s="2" t="s">
        <v>90</v>
      </c>
      <c r="L227" s="1">
        <v>220</v>
      </c>
    </row>
    <row r="228" spans="1:25" x14ac:dyDescent="0.2">
      <c r="A228" s="8">
        <v>43245</v>
      </c>
      <c r="B228" s="2" t="s">
        <v>91</v>
      </c>
      <c r="C228" s="1">
        <v>3000</v>
      </c>
    </row>
    <row r="229" spans="1:25" x14ac:dyDescent="0.2">
      <c r="A229" s="66">
        <v>43245</v>
      </c>
      <c r="B229" s="67" t="s">
        <v>53</v>
      </c>
      <c r="C229" s="51"/>
      <c r="D229" s="67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>
        <v>176.51</v>
      </c>
      <c r="S229" s="51"/>
      <c r="T229" s="51"/>
      <c r="U229" s="51"/>
      <c r="V229" s="51"/>
      <c r="W229" s="68"/>
      <c r="X229" s="67"/>
      <c r="Y229" s="67"/>
    </row>
    <row r="230" spans="1:25" x14ac:dyDescent="0.2">
      <c r="A230" s="8">
        <v>43245</v>
      </c>
      <c r="B230" s="2" t="s">
        <v>54</v>
      </c>
      <c r="K230" s="1">
        <v>400.87</v>
      </c>
    </row>
    <row r="231" spans="1:25" x14ac:dyDescent="0.2">
      <c r="A231" s="8">
        <v>43246</v>
      </c>
      <c r="B231" s="2" t="s">
        <v>92</v>
      </c>
      <c r="U231" s="1">
        <v>360</v>
      </c>
    </row>
    <row r="232" spans="1:25" x14ac:dyDescent="0.2">
      <c r="A232" s="8">
        <v>43251</v>
      </c>
      <c r="B232" s="2" t="s">
        <v>54</v>
      </c>
      <c r="K232" s="1">
        <v>92.41</v>
      </c>
      <c r="M232" s="1">
        <v>119.94</v>
      </c>
    </row>
    <row r="233" spans="1:25" x14ac:dyDescent="0.2">
      <c r="A233" s="8">
        <v>43256</v>
      </c>
      <c r="B233" s="2" t="s">
        <v>54</v>
      </c>
      <c r="Q233" s="1">
        <v>42.09</v>
      </c>
    </row>
    <row r="234" spans="1:25" x14ac:dyDescent="0.2">
      <c r="A234" s="8">
        <v>43262</v>
      </c>
      <c r="B234" s="2" t="s">
        <v>54</v>
      </c>
      <c r="C234" s="1">
        <v>141.18</v>
      </c>
      <c r="D234" s="2">
        <v>123.7</v>
      </c>
    </row>
    <row r="235" spans="1:25" x14ac:dyDescent="0.2">
      <c r="A235" s="8">
        <v>43262</v>
      </c>
      <c r="B235" s="2" t="s">
        <v>53</v>
      </c>
      <c r="N235" s="1">
        <v>480.56</v>
      </c>
    </row>
  </sheetData>
  <sortState ref="A152:Y235">
    <sortCondition ref="A235"/>
  </sortState>
  <phoneticPr fontId="1" type="noConversion"/>
  <pageMargins left="0.18" right="0.18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Itemized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2018-05-08T13:47:17Z</cp:lastPrinted>
  <dcterms:created xsi:type="dcterms:W3CDTF">2009-03-16T17:10:57Z</dcterms:created>
  <dcterms:modified xsi:type="dcterms:W3CDTF">2018-11-20T21:47:16Z</dcterms:modified>
</cp:coreProperties>
</file>