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book order information\"/>
    </mc:Choice>
  </mc:AlternateContent>
  <bookViews>
    <workbookView xWindow="0" yWindow="0" windowWidth="25445" windowHeight="10882"/>
  </bookViews>
  <sheets>
    <sheet name="Totals" sheetId="1" r:id="rId1"/>
    <sheet name="Itemized" sheetId="2" r:id="rId2"/>
  </sheets>
  <calcPr calcId="162913"/>
</workbook>
</file>

<file path=xl/calcChain.xml><?xml version="1.0" encoding="utf-8"?>
<calcChain xmlns="http://schemas.openxmlformats.org/spreadsheetml/2006/main">
  <c r="C13" i="1" l="1"/>
  <c r="C12" i="1"/>
  <c r="M217" i="2" l="1"/>
  <c r="C10" i="1" l="1"/>
  <c r="C3" i="1" l="1"/>
  <c r="M203" i="2" l="1"/>
  <c r="R192" i="2" l="1"/>
  <c r="R185" i="2" l="1"/>
  <c r="C5" i="1" l="1"/>
  <c r="M153" i="2" l="1"/>
  <c r="M148" i="2" l="1"/>
  <c r="R141" i="2"/>
  <c r="M140" i="2"/>
  <c r="C139" i="2"/>
  <c r="R132" i="2"/>
  <c r="R122" i="2"/>
  <c r="R116" i="2"/>
  <c r="O83" i="2" l="1"/>
  <c r="M89" i="2" l="1"/>
  <c r="M82" i="2"/>
  <c r="P78" i="2" l="1"/>
  <c r="M76" i="2"/>
  <c r="M54" i="2" l="1"/>
  <c r="R57" i="2" l="1"/>
  <c r="M53" i="2" l="1"/>
  <c r="R48" i="2" l="1"/>
  <c r="R44" i="2" l="1"/>
  <c r="M38" i="2" l="1"/>
  <c r="R37" i="2" l="1"/>
  <c r="D32" i="2" l="1"/>
  <c r="C32" i="2"/>
  <c r="D1" i="2" l="1"/>
  <c r="C1" i="2"/>
  <c r="E1" i="2" l="1"/>
  <c r="F1" i="2"/>
  <c r="C14" i="1" l="1"/>
  <c r="J1" i="2" l="1"/>
  <c r="L1" i="2"/>
  <c r="N1" i="2"/>
  <c r="S1" i="2"/>
  <c r="T1" i="2"/>
  <c r="U1" i="2"/>
  <c r="D12" i="1" s="1"/>
  <c r="V1" i="2"/>
  <c r="W1" i="2"/>
  <c r="M1" i="2" l="1"/>
  <c r="Q1" i="2" l="1"/>
  <c r="K1" i="2" l="1"/>
  <c r="X1" i="2" l="1"/>
  <c r="H1" i="2" l="1"/>
  <c r="O1" i="2"/>
  <c r="R1" i="2" l="1"/>
  <c r="P1" i="2" l="1"/>
  <c r="D3" i="1" s="1"/>
  <c r="I1" i="2" l="1"/>
  <c r="G1" i="2"/>
  <c r="D4" i="1" s="1"/>
  <c r="D20" i="1" l="1"/>
  <c r="E20" i="1" s="1"/>
  <c r="H20" i="1" s="1"/>
  <c r="D9" i="1"/>
  <c r="E9" i="1" s="1"/>
  <c r="H9" i="1" s="1"/>
  <c r="D14" i="1"/>
  <c r="D10" i="1"/>
  <c r="E10" i="1" s="1"/>
  <c r="H10" i="1" s="1"/>
  <c r="D11" i="1"/>
  <c r="E11" i="1" s="1"/>
  <c r="E12" i="1"/>
  <c r="H12" i="1" s="1"/>
  <c r="D8" i="1"/>
  <c r="E8" i="1" s="1"/>
  <c r="H8" i="1" s="1"/>
  <c r="D5" i="1"/>
  <c r="E5" i="1" s="1"/>
  <c r="H5" i="1" s="1"/>
  <c r="B1" i="1"/>
  <c r="E4" i="1" l="1"/>
  <c r="H4" i="1" s="1"/>
  <c r="E3" i="1"/>
  <c r="H3" i="1" s="1"/>
  <c r="D13" i="1"/>
  <c r="E13" i="1" s="1"/>
  <c r="H13" i="1" s="1"/>
  <c r="H11" i="1"/>
  <c r="D7" i="1"/>
  <c r="E7" i="1" s="1"/>
  <c r="H7" i="1" s="1"/>
  <c r="E14" i="1"/>
  <c r="D6" i="1"/>
  <c r="E6" i="1" s="1"/>
  <c r="H6" i="1" s="1"/>
  <c r="C15" i="1"/>
  <c r="D15" i="1" l="1"/>
  <c r="H14" i="1"/>
  <c r="G12" i="1"/>
  <c r="G11" i="1"/>
  <c r="G9" i="1"/>
  <c r="G6" i="1"/>
  <c r="G7" i="1"/>
  <c r="G3" i="1"/>
  <c r="G20" i="1"/>
  <c r="G10" i="1"/>
  <c r="G8" i="1"/>
  <c r="G5" i="1"/>
  <c r="G4" i="1"/>
  <c r="G14" i="1"/>
  <c r="G13" i="1"/>
  <c r="E15" i="1" l="1"/>
  <c r="H15" i="1" s="1"/>
  <c r="D22" i="1"/>
  <c r="G15" i="1"/>
</calcChain>
</file>

<file path=xl/comments1.xml><?xml version="1.0" encoding="utf-8"?>
<comments xmlns="http://schemas.openxmlformats.org/spreadsheetml/2006/main">
  <authors>
    <author>chkout01</author>
  </authors>
  <commentList>
    <comment ref="Q21" authorId="0" shapeId="0">
      <text>
        <r>
          <rPr>
            <b/>
            <sz val="9"/>
            <color indexed="81"/>
            <rFont val="Tahoma"/>
            <charset val="1"/>
          </rPr>
          <t>chkout01:</t>
        </r>
        <r>
          <rPr>
            <sz val="9"/>
            <color indexed="81"/>
            <rFont val="Tahoma"/>
            <charset val="1"/>
          </rPr>
          <t xml:space="preserve">
Steve</t>
        </r>
      </text>
    </comment>
  </commentList>
</comments>
</file>

<file path=xl/sharedStrings.xml><?xml version="1.0" encoding="utf-8"?>
<sst xmlns="http://schemas.openxmlformats.org/spreadsheetml/2006/main" count="278" uniqueCount="73">
  <si>
    <t>lpfic</t>
  </si>
  <si>
    <t>lpnon</t>
  </si>
  <si>
    <t>Budget</t>
  </si>
  <si>
    <t>Spent to date</t>
  </si>
  <si>
    <t>Left to Spend</t>
  </si>
  <si>
    <t>To Date</t>
  </si>
  <si>
    <t>kl</t>
  </si>
  <si>
    <t>date</t>
  </si>
  <si>
    <t>BoCD</t>
  </si>
  <si>
    <t>DVD</t>
  </si>
  <si>
    <t>CD</t>
  </si>
  <si>
    <t xml:space="preserve"> </t>
  </si>
  <si>
    <t>Fiction</t>
  </si>
  <si>
    <t>Nonfiction</t>
  </si>
  <si>
    <t>Teen</t>
  </si>
  <si>
    <t>Large Print</t>
  </si>
  <si>
    <t>Reference</t>
  </si>
  <si>
    <t>Graphic Novels</t>
  </si>
  <si>
    <t>Magazines</t>
  </si>
  <si>
    <t>lpDVD</t>
  </si>
  <si>
    <t>vendor</t>
  </si>
  <si>
    <t>Databases</t>
  </si>
  <si>
    <t>Mags</t>
  </si>
  <si>
    <t>Category</t>
  </si>
  <si>
    <t>Misc.</t>
  </si>
  <si>
    <t>to spend</t>
  </si>
  <si>
    <t>% left</t>
  </si>
  <si>
    <t>% of</t>
  </si>
  <si>
    <t>Total</t>
  </si>
  <si>
    <t>Overdrive</t>
  </si>
  <si>
    <t>DBs</t>
  </si>
  <si>
    <t>Youth</t>
  </si>
  <si>
    <t>Notes</t>
  </si>
  <si>
    <t>ref</t>
  </si>
  <si>
    <t>dhCD</t>
  </si>
  <si>
    <t>Hoopla</t>
  </si>
  <si>
    <t>dhBoCD</t>
  </si>
  <si>
    <t>Standing Orders</t>
  </si>
  <si>
    <t>tfnon</t>
  </si>
  <si>
    <t>smgns</t>
  </si>
  <si>
    <t>teen</t>
  </si>
  <si>
    <t>mkcfic</t>
  </si>
  <si>
    <t>mkcnon</t>
  </si>
  <si>
    <t>mkcLP</t>
  </si>
  <si>
    <t>ccfic</t>
  </si>
  <si>
    <t>ccnon</t>
  </si>
  <si>
    <t>ebfic</t>
  </si>
  <si>
    <t>ebnon</t>
  </si>
  <si>
    <t>Amazon</t>
  </si>
  <si>
    <t>Ingram</t>
  </si>
  <si>
    <t>NADA</t>
  </si>
  <si>
    <t>Blackstone</t>
  </si>
  <si>
    <t>ABDO</t>
  </si>
  <si>
    <t>Baker Office</t>
  </si>
  <si>
    <t>Cavendish</t>
  </si>
  <si>
    <t>Recorded Books</t>
  </si>
  <si>
    <t>ingram</t>
  </si>
  <si>
    <t>Newsbank</t>
  </si>
  <si>
    <t>Proquest</t>
  </si>
  <si>
    <t>Midwest Tapes</t>
  </si>
  <si>
    <t>Findaway</t>
  </si>
  <si>
    <t>Bookpage</t>
  </si>
  <si>
    <t>WT Cox</t>
  </si>
  <si>
    <t>Sweetwater</t>
  </si>
  <si>
    <t>Lerner</t>
  </si>
  <si>
    <t>Rosen</t>
  </si>
  <si>
    <t>Scholastic</t>
  </si>
  <si>
    <t>Weston Woods</t>
  </si>
  <si>
    <t>NEHGS</t>
  </si>
  <si>
    <t>EBSCO</t>
  </si>
  <si>
    <t>Gale</t>
  </si>
  <si>
    <t>Steve</t>
  </si>
  <si>
    <t>Levellers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</si>
</sst>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m/d/yy;@"/>
    <numFmt numFmtId="166" formatCode="&quot;$&quot;#,##0"/>
  </numFmts>
  <fonts count="1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b/>
      <sz val="8"/>
      <color rgb="FF7030A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b/>
      <i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0" fontId="1" fillId="0" borderId="1" xfId="0" applyNumberFormat="1" applyFont="1" applyBorder="1"/>
    <xf numFmtId="40" fontId="1" fillId="0" borderId="0" xfId="0" applyNumberFormat="1" applyFont="1"/>
    <xf numFmtId="40" fontId="3" fillId="0" borderId="1" xfId="0" applyNumberFormat="1" applyFont="1" applyBorder="1"/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165" fontId="4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1" fillId="0" borderId="5" xfId="0" applyNumberFormat="1" applyFont="1" applyBorder="1"/>
    <xf numFmtId="40" fontId="2" fillId="0" borderId="6" xfId="0" applyNumberFormat="1" applyFont="1" applyBorder="1" applyAlignment="1">
      <alignment horizontal="center"/>
    </xf>
    <xf numFmtId="40" fontId="1" fillId="0" borderId="5" xfId="0" applyNumberFormat="1" applyFont="1" applyBorder="1"/>
    <xf numFmtId="0" fontId="5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9" fontId="6" fillId="0" borderId="0" xfId="0" applyNumberFormat="1" applyFont="1" applyFill="1"/>
    <xf numFmtId="9" fontId="6" fillId="0" borderId="0" xfId="0" applyNumberFormat="1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164" fontId="6" fillId="0" borderId="0" xfId="0" applyNumberFormat="1" applyFont="1" applyFill="1"/>
    <xf numFmtId="9" fontId="5" fillId="0" borderId="2" xfId="0" applyNumberFormat="1" applyFont="1" applyBorder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9" fontId="6" fillId="0" borderId="0" xfId="0" applyNumberFormat="1" applyFont="1" applyBorder="1"/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2" xfId="0" applyNumberFormat="1" applyFont="1" applyBorder="1"/>
    <xf numFmtId="8" fontId="5" fillId="0" borderId="0" xfId="0" applyNumberFormat="1" applyFont="1"/>
    <xf numFmtId="8" fontId="7" fillId="0" borderId="0" xfId="0" applyNumberFormat="1" applyFont="1" applyAlignment="1">
      <alignment horizontal="right"/>
    </xf>
    <xf numFmtId="8" fontId="6" fillId="0" borderId="0" xfId="0" applyNumberFormat="1" applyFont="1"/>
    <xf numFmtId="8" fontId="8" fillId="0" borderId="0" xfId="0" applyNumberFormat="1" applyFont="1"/>
    <xf numFmtId="8" fontId="8" fillId="0" borderId="0" xfId="0" applyNumberFormat="1" applyFont="1" applyBorder="1"/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right"/>
    </xf>
    <xf numFmtId="8" fontId="6" fillId="0" borderId="0" xfId="0" applyNumberFormat="1" applyFont="1" applyFill="1" applyAlignment="1">
      <alignment horizontal="right" wrapText="1"/>
    </xf>
    <xf numFmtId="8" fontId="6" fillId="0" borderId="0" xfId="0" applyNumberFormat="1" applyFont="1" applyAlignment="1">
      <alignment horizontal="right" wrapText="1"/>
    </xf>
    <xf numFmtId="8" fontId="5" fillId="0" borderId="2" xfId="0" applyNumberFormat="1" applyFont="1" applyBorder="1"/>
    <xf numFmtId="40" fontId="11" fillId="0" borderId="1" xfId="0" applyNumberFormat="1" applyFont="1" applyBorder="1"/>
    <xf numFmtId="8" fontId="12" fillId="0" borderId="0" xfId="0" applyNumberFormat="1" applyFont="1"/>
    <xf numFmtId="8" fontId="7" fillId="0" borderId="0" xfId="0" applyNumberFormat="1" applyFont="1" applyFill="1" applyAlignment="1">
      <alignment horizontal="right" wrapText="1"/>
    </xf>
    <xf numFmtId="8" fontId="7" fillId="0" borderId="0" xfId="0" applyNumberFormat="1" applyFont="1" applyAlignment="1">
      <alignment horizontal="right" wrapText="1"/>
    </xf>
    <xf numFmtId="40" fontId="2" fillId="0" borderId="3" xfId="0" applyNumberFormat="1" applyFont="1" applyBorder="1" applyAlignment="1">
      <alignment horizontal="left"/>
    </xf>
    <xf numFmtId="0" fontId="5" fillId="0" borderId="0" xfId="0" applyFont="1" applyBorder="1"/>
    <xf numFmtId="9" fontId="5" fillId="2" borderId="0" xfId="0" applyNumberFormat="1" applyFont="1" applyFill="1" applyBorder="1"/>
    <xf numFmtId="166" fontId="6" fillId="0" borderId="0" xfId="0" applyNumberFormat="1" applyFont="1"/>
    <xf numFmtId="40" fontId="1" fillId="0" borderId="0" xfId="0" applyNumberFormat="1" applyFont="1" applyBorder="1"/>
    <xf numFmtId="40" fontId="3" fillId="0" borderId="5" xfId="0" applyNumberFormat="1" applyFont="1" applyBorder="1"/>
    <xf numFmtId="40" fontId="13" fillId="0" borderId="0" xfId="0" applyNumberFormat="1" applyFont="1"/>
    <xf numFmtId="40" fontId="11" fillId="0" borderId="0" xfId="0" applyNumberFormat="1" applyFont="1"/>
    <xf numFmtId="8" fontId="5" fillId="0" borderId="0" xfId="0" applyNumberFormat="1" applyFont="1" applyAlignment="1">
      <alignment horizontal="right"/>
    </xf>
    <xf numFmtId="8" fontId="8" fillId="0" borderId="2" xfId="0" applyNumberFormat="1" applyFont="1" applyBorder="1" applyAlignment="1">
      <alignment horizontal="right"/>
    </xf>
    <xf numFmtId="8" fontId="8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ColWidth="9.125" defaultRowHeight="14.3" x14ac:dyDescent="0.25"/>
  <cols>
    <col min="1" max="1" width="14.625" style="16" customWidth="1"/>
    <col min="2" max="2" width="14.125" style="16" customWidth="1"/>
    <col min="3" max="3" width="13.875" style="38" customWidth="1"/>
    <col min="4" max="4" width="13.625" style="13" customWidth="1"/>
    <col min="5" max="5" width="13.75" style="58" customWidth="1"/>
    <col min="6" max="6" width="1.875" style="13" customWidth="1"/>
    <col min="7" max="7" width="9.125" style="20"/>
    <col min="8" max="8" width="9.625" style="20" customWidth="1"/>
    <col min="9" max="9" width="9.125" style="16"/>
    <col min="10" max="10" width="10.875" style="16" bestFit="1" customWidth="1"/>
    <col min="11" max="16384" width="9.125" style="16"/>
  </cols>
  <sheetData>
    <row r="1" spans="1:11" x14ac:dyDescent="0.25">
      <c r="A1" s="11" t="s">
        <v>5</v>
      </c>
      <c r="B1" s="12">
        <f ca="1">TODAY()</f>
        <v>43655</v>
      </c>
      <c r="C1" s="47"/>
      <c r="G1" s="15" t="s">
        <v>27</v>
      </c>
      <c r="H1" s="15" t="s">
        <v>26</v>
      </c>
    </row>
    <row r="2" spans="1:11" x14ac:dyDescent="0.25">
      <c r="A2" s="17" t="s">
        <v>23</v>
      </c>
      <c r="B2" s="17" t="s">
        <v>32</v>
      </c>
      <c r="C2" s="41" t="s">
        <v>2</v>
      </c>
      <c r="D2" s="31" t="s">
        <v>3</v>
      </c>
      <c r="E2" s="37" t="s">
        <v>4</v>
      </c>
      <c r="F2" s="16"/>
      <c r="G2" s="15" t="s">
        <v>28</v>
      </c>
      <c r="H2" s="15" t="s">
        <v>25</v>
      </c>
    </row>
    <row r="3" spans="1:11" x14ac:dyDescent="0.25">
      <c r="A3" s="27" t="s">
        <v>12</v>
      </c>
      <c r="B3" s="17"/>
      <c r="C3" s="42">
        <f>18500-222.38-646.36</f>
        <v>17631.259999999998</v>
      </c>
      <c r="D3" s="32">
        <f>Itemized!H1+Itemized!P1+Itemized!X1+Itemized!E1+Itemized!C1</f>
        <v>15678.230000000001</v>
      </c>
      <c r="E3" s="37">
        <f>C3-D3</f>
        <v>1953.029999999997</v>
      </c>
      <c r="F3" s="16"/>
      <c r="G3" s="20">
        <f>C3/C15</f>
        <v>0.17234863314231663</v>
      </c>
      <c r="H3" s="15">
        <f>E3/C3</f>
        <v>0.11077086946707139</v>
      </c>
    </row>
    <row r="4" spans="1:11" x14ac:dyDescent="0.25">
      <c r="A4" s="27" t="s">
        <v>13</v>
      </c>
      <c r="B4" s="17"/>
      <c r="C4" s="42">
        <v>12500</v>
      </c>
      <c r="D4" s="32">
        <f>Itemized!G1+Itemized!J1+Itemized!Q1+Itemized!F1+Itemized!D1</f>
        <v>11938.05</v>
      </c>
      <c r="E4" s="37">
        <f>C4-D4</f>
        <v>561.95000000000073</v>
      </c>
      <c r="F4" s="16"/>
      <c r="G4" s="20">
        <f>C4/C15</f>
        <v>0.1221896741514196</v>
      </c>
      <c r="H4" s="15">
        <f t="shared" ref="H4:H9" si="0">E4/C4</f>
        <v>4.4956000000000058E-2</v>
      </c>
      <c r="J4" s="38"/>
      <c r="K4" s="20"/>
    </row>
    <row r="5" spans="1:11" x14ac:dyDescent="0.25">
      <c r="A5" s="27" t="s">
        <v>15</v>
      </c>
      <c r="B5" s="17"/>
      <c r="C5" s="42">
        <f>8000+500</f>
        <v>8500</v>
      </c>
      <c r="D5" s="32">
        <f>Itemized!I1</f>
        <v>8401.59</v>
      </c>
      <c r="E5" s="37">
        <f>C5-D5</f>
        <v>98.409999999999854</v>
      </c>
      <c r="F5" s="16"/>
      <c r="G5" s="20">
        <f>C5/C15</f>
        <v>8.3088978422965323E-2</v>
      </c>
      <c r="H5" s="15">
        <f>E5/C5</f>
        <v>1.1577647058823512E-2</v>
      </c>
      <c r="K5" s="20"/>
    </row>
    <row r="6" spans="1:11" x14ac:dyDescent="0.25">
      <c r="A6" s="11" t="s">
        <v>16</v>
      </c>
      <c r="B6" s="17"/>
      <c r="C6" s="42">
        <v>265.33</v>
      </c>
      <c r="D6" s="32">
        <f>Itemized!L1</f>
        <v>265.33</v>
      </c>
      <c r="E6" s="37">
        <f t="shared" ref="E6:E11" si="1">C6-D6</f>
        <v>0</v>
      </c>
      <c r="F6" s="16"/>
      <c r="G6" s="20">
        <f>C6/C15</f>
        <v>2.5936468994076927E-3</v>
      </c>
      <c r="H6" s="15">
        <f t="shared" si="0"/>
        <v>0</v>
      </c>
      <c r="I6" s="20"/>
      <c r="K6" s="20"/>
    </row>
    <row r="7" spans="1:11" x14ac:dyDescent="0.25">
      <c r="A7" s="27" t="s">
        <v>17</v>
      </c>
      <c r="B7" s="17"/>
      <c r="C7" s="42">
        <v>1500</v>
      </c>
      <c r="D7" s="32">
        <f>Itemized!S1</f>
        <v>1167.6399999999999</v>
      </c>
      <c r="E7" s="37">
        <f>C7-D7</f>
        <v>332.36000000000013</v>
      </c>
      <c r="F7" s="16"/>
      <c r="G7" s="20">
        <f>C7/C15</f>
        <v>1.4662760898170351E-2</v>
      </c>
      <c r="H7" s="15">
        <f>E7/C7</f>
        <v>0.22157333333333343</v>
      </c>
      <c r="K7" s="20"/>
    </row>
    <row r="8" spans="1:11" x14ac:dyDescent="0.25">
      <c r="A8" s="27" t="s">
        <v>14</v>
      </c>
      <c r="B8" s="17"/>
      <c r="C8" s="42">
        <v>3500</v>
      </c>
      <c r="D8" s="32">
        <f>Itemized!K1</f>
        <v>3464.4499999999994</v>
      </c>
      <c r="E8" s="37">
        <f t="shared" si="1"/>
        <v>35.550000000000637</v>
      </c>
      <c r="F8" s="16"/>
      <c r="G8" s="20">
        <f>C8/C15</f>
        <v>3.4213108762397484E-2</v>
      </c>
      <c r="H8" s="15">
        <f t="shared" si="0"/>
        <v>1.015714285714304E-2</v>
      </c>
      <c r="I8" s="38"/>
      <c r="J8" s="22"/>
      <c r="K8" s="19"/>
    </row>
    <row r="9" spans="1:11" x14ac:dyDescent="0.25">
      <c r="A9" s="27" t="s">
        <v>31</v>
      </c>
      <c r="B9" s="17"/>
      <c r="C9" s="42">
        <v>13000</v>
      </c>
      <c r="D9" s="32">
        <f>Itemized!M1</f>
        <v>13399.699999999999</v>
      </c>
      <c r="E9" s="37">
        <f t="shared" si="1"/>
        <v>-399.69999999999891</v>
      </c>
      <c r="F9" s="16"/>
      <c r="G9" s="20">
        <f>C9/C15</f>
        <v>0.12707726111747639</v>
      </c>
      <c r="H9" s="15">
        <f t="shared" si="0"/>
        <v>-3.0746153846153763E-2</v>
      </c>
      <c r="K9" s="20"/>
    </row>
    <row r="10" spans="1:11" x14ac:dyDescent="0.25">
      <c r="A10" s="27" t="s">
        <v>8</v>
      </c>
      <c r="B10" s="17"/>
      <c r="C10" s="42">
        <f>6000+222.38+500</f>
        <v>6722.38</v>
      </c>
      <c r="D10" s="32">
        <f>Itemized!O1</f>
        <v>6831.46</v>
      </c>
      <c r="E10" s="37">
        <f t="shared" si="1"/>
        <v>-109.07999999999993</v>
      </c>
      <c r="F10" s="16"/>
      <c r="G10" s="20">
        <f>C10/C15</f>
        <v>6.5712433737761602E-2</v>
      </c>
      <c r="H10" s="15">
        <f t="shared" ref="H10:H14" si="2">E10/C10</f>
        <v>-1.6226396008556482E-2</v>
      </c>
      <c r="J10" s="22"/>
      <c r="K10" s="19"/>
    </row>
    <row r="11" spans="1:11" x14ac:dyDescent="0.25">
      <c r="A11" s="27" t="s">
        <v>9</v>
      </c>
      <c r="B11" s="17"/>
      <c r="C11" s="42">
        <v>15000</v>
      </c>
      <c r="D11" s="32">
        <f>Itemized!R1</f>
        <v>15078.199999999997</v>
      </c>
      <c r="E11" s="37">
        <f t="shared" si="1"/>
        <v>-78.19999999999709</v>
      </c>
      <c r="F11" s="16"/>
      <c r="G11" s="20">
        <f>C11/C15</f>
        <v>0.14662760898170352</v>
      </c>
      <c r="H11" s="15">
        <f t="shared" si="2"/>
        <v>-5.2133333333331394E-3</v>
      </c>
      <c r="J11" s="22"/>
      <c r="K11" s="19"/>
    </row>
    <row r="12" spans="1:11" x14ac:dyDescent="0.25">
      <c r="A12" s="29" t="s">
        <v>18</v>
      </c>
      <c r="B12" s="21"/>
      <c r="C12" s="43">
        <f>8500-300</f>
        <v>8200</v>
      </c>
      <c r="D12" s="33">
        <f>Itemized!U1</f>
        <v>6316.32</v>
      </c>
      <c r="E12" s="48">
        <f>SUM(C12-D12)</f>
        <v>1883.6800000000003</v>
      </c>
      <c r="F12" s="16"/>
      <c r="G12" s="19">
        <f>C12/C15</f>
        <v>8.0156426243331247E-2</v>
      </c>
      <c r="H12" s="15">
        <f t="shared" si="2"/>
        <v>0.22971707317073176</v>
      </c>
      <c r="K12" s="20"/>
    </row>
    <row r="13" spans="1:11" s="22" customFormat="1" x14ac:dyDescent="0.25">
      <c r="A13" s="28" t="s">
        <v>24</v>
      </c>
      <c r="B13" s="18" t="s">
        <v>21</v>
      </c>
      <c r="C13" s="44">
        <f>12000+534.67+646.33+300</f>
        <v>13481</v>
      </c>
      <c r="D13" s="34">
        <f>Itemized!T1+Itemized!W1</f>
        <v>13481</v>
      </c>
      <c r="E13" s="49">
        <f>SUM(C13-D13)</f>
        <v>0</v>
      </c>
      <c r="G13" s="19">
        <f>C13/C15</f>
        <v>0.13177911977882301</v>
      </c>
      <c r="H13" s="15">
        <f t="shared" si="2"/>
        <v>0</v>
      </c>
      <c r="J13" s="16"/>
      <c r="K13" s="20"/>
    </row>
    <row r="14" spans="1:11" s="22" customFormat="1" x14ac:dyDescent="0.25">
      <c r="A14" s="21"/>
      <c r="B14" s="21" t="s">
        <v>10</v>
      </c>
      <c r="C14" s="43">
        <f>2000</f>
        <v>2000</v>
      </c>
      <c r="D14" s="33">
        <f>Itemized!N1</f>
        <v>2205.1200000000003</v>
      </c>
      <c r="E14" s="49">
        <f>SUM(C14-D14)</f>
        <v>-205.12000000000035</v>
      </c>
      <c r="G14" s="19">
        <f>C14/C15</f>
        <v>1.9550347864227133E-2</v>
      </c>
      <c r="H14" s="15">
        <f t="shared" si="2"/>
        <v>-0.10256000000000018</v>
      </c>
      <c r="J14" s="16"/>
      <c r="K14" s="16"/>
    </row>
    <row r="15" spans="1:11" ht="14.95" thickBot="1" x14ac:dyDescent="0.3">
      <c r="C15" s="45">
        <f>SUM(C3:C14)</f>
        <v>102299.97</v>
      </c>
      <c r="D15" s="35">
        <f>SUM(D3:D14)</f>
        <v>98227.09</v>
      </c>
      <c r="E15" s="59">
        <f>C15-D15</f>
        <v>4072.8800000000047</v>
      </c>
      <c r="F15" s="16"/>
      <c r="G15" s="24">
        <f>SUM(G3:G14)</f>
        <v>0.99999999999999978</v>
      </c>
      <c r="H15" s="52">
        <f>E15/C15</f>
        <v>3.9813110404626754E-2</v>
      </c>
      <c r="I15" s="20"/>
    </row>
    <row r="16" spans="1:11" ht="14.95" thickTop="1" x14ac:dyDescent="0.25">
      <c r="D16" s="16"/>
      <c r="E16" s="42"/>
      <c r="F16" s="16"/>
      <c r="G16" s="15"/>
    </row>
    <row r="17" spans="1:11" x14ac:dyDescent="0.25">
      <c r="A17" s="11"/>
      <c r="B17" s="11"/>
      <c r="C17" s="36"/>
      <c r="D17" s="14"/>
      <c r="F17" s="16"/>
      <c r="I17" s="51"/>
    </row>
    <row r="18" spans="1:11" x14ac:dyDescent="0.25">
      <c r="B18" s="13"/>
      <c r="C18" s="39"/>
      <c r="E18" s="37"/>
      <c r="F18" s="16"/>
    </row>
    <row r="19" spans="1:11" x14ac:dyDescent="0.25">
      <c r="A19" s="25"/>
      <c r="B19" s="13"/>
      <c r="C19" s="40"/>
      <c r="D19" s="26"/>
      <c r="E19" s="60"/>
      <c r="F19" s="16"/>
      <c r="H19" s="30"/>
    </row>
    <row r="20" spans="1:11" s="22" customFormat="1" x14ac:dyDescent="0.25">
      <c r="A20" s="21"/>
      <c r="B20" s="21" t="s">
        <v>29</v>
      </c>
      <c r="C20" s="43">
        <v>8908</v>
      </c>
      <c r="D20" s="33">
        <f>Itemized!V1</f>
        <v>9154.98</v>
      </c>
      <c r="E20" s="49">
        <f>SUM(C20-D20)</f>
        <v>-246.97999999999956</v>
      </c>
      <c r="G20" s="19">
        <f>C20/C15</f>
        <v>8.7077249387267658E-2</v>
      </c>
      <c r="H20" s="15">
        <f>E20/C20</f>
        <v>-2.7725639874270271E-2</v>
      </c>
      <c r="J20" s="16"/>
      <c r="K20" s="16"/>
    </row>
    <row r="21" spans="1:11" x14ac:dyDescent="0.25">
      <c r="B21" s="26"/>
      <c r="C21" s="40"/>
      <c r="D21" s="26"/>
      <c r="E21" s="60"/>
      <c r="F21" s="23"/>
      <c r="H21" s="30"/>
    </row>
    <row r="22" spans="1:11" ht="14.95" thickBot="1" x14ac:dyDescent="0.3">
      <c r="D22" s="35">
        <f>SUM(D15:D21)</f>
        <v>107382.06999999999</v>
      </c>
      <c r="E22" s="42"/>
    </row>
    <row r="23" spans="1:11" ht="14.95" thickTop="1" x14ac:dyDescent="0.25">
      <c r="A23" s="16" t="s">
        <v>11</v>
      </c>
      <c r="E23" s="42"/>
    </row>
    <row r="24" spans="1:11" x14ac:dyDescent="0.25">
      <c r="A24" s="16" t="s">
        <v>11</v>
      </c>
    </row>
    <row r="25" spans="1:11" x14ac:dyDescent="0.25">
      <c r="A25" s="53"/>
    </row>
  </sheetData>
  <phoneticPr fontId="1" type="noConversion"/>
  <pageMargins left="0.32" right="0.36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0"/>
  <sheetViews>
    <sheetView zoomScaleNormal="100" workbookViewId="0">
      <pane xSplit="2" ySplit="2" topLeftCell="C197" activePane="bottomRight" state="frozen"/>
      <selection pane="topRight" activeCell="B1" sqref="B1"/>
      <selection pane="bottomLeft" activeCell="A3" sqref="A3"/>
      <selection pane="bottomRight" activeCell="A231" sqref="A231"/>
    </sheetView>
  </sheetViews>
  <sheetFormatPr defaultColWidth="7.75" defaultRowHeight="10.9" x14ac:dyDescent="0.2"/>
  <cols>
    <col min="1" max="1" width="7.25" style="8" customWidth="1"/>
    <col min="2" max="2" width="11.875" style="2" customWidth="1"/>
    <col min="3" max="3" width="7.75" style="1" customWidth="1"/>
    <col min="4" max="4" width="7.375" style="2" customWidth="1"/>
    <col min="5" max="5" width="8.125" style="1" customWidth="1"/>
    <col min="6" max="6" width="6.75" style="1" customWidth="1"/>
    <col min="7" max="7" width="7.75" style="1" customWidth="1"/>
    <col min="8" max="8" width="8.375" style="1" customWidth="1"/>
    <col min="9" max="12" width="7.75" style="1" customWidth="1"/>
    <col min="13" max="13" width="9.125" style="1" customWidth="1"/>
    <col min="14" max="15" width="7.75" style="1" customWidth="1"/>
    <col min="16" max="16" width="9.125" style="1" customWidth="1"/>
    <col min="17" max="17" width="7.75" style="1" customWidth="1"/>
    <col min="18" max="18" width="8.625" style="1" customWidth="1"/>
    <col min="19" max="19" width="7.75" style="1" customWidth="1"/>
    <col min="20" max="20" width="8.125" style="1" customWidth="1"/>
    <col min="21" max="21" width="8.875" style="1" customWidth="1"/>
    <col min="22" max="22" width="7.75" style="1"/>
    <col min="23" max="23" width="7.75" style="10"/>
    <col min="24" max="24" width="7.75" style="2"/>
    <col min="25" max="25" width="8.375" style="2" bestFit="1" customWidth="1"/>
    <col min="26" max="26" width="7.75" style="2"/>
    <col min="27" max="27" width="8.25" style="2" bestFit="1" customWidth="1"/>
    <col min="28" max="16384" width="7.75" style="2"/>
  </cols>
  <sheetData>
    <row r="1" spans="1:24" x14ac:dyDescent="0.2">
      <c r="A1" s="6"/>
      <c r="C1" s="3">
        <f>SUM(C3:C259)</f>
        <v>7079.2100000000009</v>
      </c>
      <c r="D1" s="55">
        <f>SUM(D3:D259)</f>
        <v>5126.6699999999992</v>
      </c>
      <c r="E1" s="3">
        <f>SUM(E3:E259)</f>
        <v>0</v>
      </c>
      <c r="F1" s="3">
        <f>SUM(F3:F259)</f>
        <v>0</v>
      </c>
      <c r="G1" s="3">
        <f>SUM(G3:G259)</f>
        <v>0</v>
      </c>
      <c r="H1" s="3">
        <f t="shared" ref="H1:X1" si="0">SUM(H3:H259)</f>
        <v>500.22</v>
      </c>
      <c r="I1" s="3">
        <f t="shared" si="0"/>
        <v>8401.59</v>
      </c>
      <c r="J1" s="3">
        <f t="shared" si="0"/>
        <v>1298.5700000000002</v>
      </c>
      <c r="K1" s="3">
        <f t="shared" si="0"/>
        <v>3464.4499999999994</v>
      </c>
      <c r="L1" s="3">
        <f t="shared" si="0"/>
        <v>265.33</v>
      </c>
      <c r="M1" s="3">
        <f t="shared" si="0"/>
        <v>13399.699999999999</v>
      </c>
      <c r="N1" s="3">
        <f t="shared" si="0"/>
        <v>2205.1200000000003</v>
      </c>
      <c r="O1" s="3">
        <f t="shared" si="0"/>
        <v>6831.46</v>
      </c>
      <c r="P1" s="3">
        <f t="shared" si="0"/>
        <v>8098.8</v>
      </c>
      <c r="Q1" s="3">
        <f t="shared" si="0"/>
        <v>5512.81</v>
      </c>
      <c r="R1" s="3">
        <f t="shared" si="0"/>
        <v>15078.199999999997</v>
      </c>
      <c r="S1" s="3">
        <f t="shared" si="0"/>
        <v>1167.6399999999999</v>
      </c>
      <c r="T1" s="3">
        <f t="shared" si="0"/>
        <v>7481</v>
      </c>
      <c r="U1" s="3">
        <f t="shared" si="0"/>
        <v>6316.32</v>
      </c>
      <c r="V1" s="3">
        <f t="shared" si="0"/>
        <v>9154.98</v>
      </c>
      <c r="W1" s="3">
        <f t="shared" si="0"/>
        <v>6000</v>
      </c>
      <c r="X1" s="3">
        <f t="shared" si="0"/>
        <v>0</v>
      </c>
    </row>
    <row r="2" spans="1:24" s="4" customFormat="1" x14ac:dyDescent="0.2">
      <c r="A2" s="7" t="s">
        <v>7</v>
      </c>
      <c r="B2" s="4" t="s">
        <v>20</v>
      </c>
      <c r="C2" s="5" t="s">
        <v>46</v>
      </c>
      <c r="D2" s="4" t="s">
        <v>47</v>
      </c>
      <c r="E2" s="5" t="s">
        <v>44</v>
      </c>
      <c r="F2" s="5" t="s">
        <v>45</v>
      </c>
      <c r="G2" s="5" t="s">
        <v>38</v>
      </c>
      <c r="H2" s="5" t="s">
        <v>41</v>
      </c>
      <c r="I2" s="5" t="s">
        <v>43</v>
      </c>
      <c r="J2" s="5" t="s">
        <v>42</v>
      </c>
      <c r="K2" s="5" t="s">
        <v>40</v>
      </c>
      <c r="L2" s="5" t="s">
        <v>33</v>
      </c>
      <c r="M2" s="5" t="s">
        <v>6</v>
      </c>
      <c r="N2" s="5" t="s">
        <v>34</v>
      </c>
      <c r="O2" s="5" t="s">
        <v>36</v>
      </c>
      <c r="P2" s="5" t="s">
        <v>0</v>
      </c>
      <c r="Q2" s="5" t="s">
        <v>1</v>
      </c>
      <c r="R2" s="5" t="s">
        <v>19</v>
      </c>
      <c r="S2" s="5" t="s">
        <v>39</v>
      </c>
      <c r="T2" s="5" t="s">
        <v>30</v>
      </c>
      <c r="U2" s="5" t="s">
        <v>22</v>
      </c>
      <c r="V2" s="5" t="s">
        <v>29</v>
      </c>
      <c r="W2" s="9" t="s">
        <v>35</v>
      </c>
      <c r="X2" s="50" t="s">
        <v>37</v>
      </c>
    </row>
    <row r="3" spans="1:24" x14ac:dyDescent="0.2">
      <c r="A3" s="8">
        <v>43282</v>
      </c>
      <c r="B3" s="2" t="s">
        <v>50</v>
      </c>
      <c r="L3" s="1">
        <v>125</v>
      </c>
    </row>
    <row r="4" spans="1:24" x14ac:dyDescent="0.2">
      <c r="A4" s="8">
        <v>43286</v>
      </c>
      <c r="B4" s="2" t="s">
        <v>49</v>
      </c>
      <c r="K4" s="1">
        <v>403.59</v>
      </c>
    </row>
    <row r="5" spans="1:24" x14ac:dyDescent="0.2">
      <c r="A5" s="8">
        <v>43290</v>
      </c>
      <c r="B5" s="2" t="s">
        <v>48</v>
      </c>
      <c r="R5" s="1">
        <v>809.78</v>
      </c>
    </row>
    <row r="6" spans="1:24" x14ac:dyDescent="0.2">
      <c r="A6" s="8">
        <v>43290</v>
      </c>
      <c r="B6" s="2" t="s">
        <v>49</v>
      </c>
      <c r="I6" s="1">
        <v>932.84</v>
      </c>
      <c r="P6" s="1">
        <v>2909.06</v>
      </c>
      <c r="Q6" s="1">
        <v>1100.19</v>
      </c>
    </row>
    <row r="7" spans="1:24" x14ac:dyDescent="0.2">
      <c r="A7" s="8">
        <v>43290</v>
      </c>
      <c r="B7" s="2" t="s">
        <v>51</v>
      </c>
      <c r="O7" s="1">
        <v>34.94</v>
      </c>
    </row>
    <row r="8" spans="1:24" x14ac:dyDescent="0.2">
      <c r="A8" s="8">
        <v>43291</v>
      </c>
      <c r="B8" s="2" t="s">
        <v>49</v>
      </c>
      <c r="S8" s="1">
        <v>233.13</v>
      </c>
    </row>
    <row r="9" spans="1:24" x14ac:dyDescent="0.2">
      <c r="A9" s="8">
        <v>43297</v>
      </c>
      <c r="B9" s="2" t="s">
        <v>49</v>
      </c>
      <c r="M9" s="1">
        <v>133.77000000000001</v>
      </c>
    </row>
    <row r="10" spans="1:24" x14ac:dyDescent="0.2">
      <c r="A10" s="8">
        <v>43297</v>
      </c>
      <c r="B10" s="2" t="s">
        <v>57</v>
      </c>
      <c r="T10" s="1">
        <v>3000</v>
      </c>
    </row>
    <row r="11" spans="1:24" x14ac:dyDescent="0.2">
      <c r="A11" s="8">
        <v>43297</v>
      </c>
      <c r="B11" s="2" t="s">
        <v>58</v>
      </c>
      <c r="T11" s="1">
        <v>2380</v>
      </c>
    </row>
    <row r="12" spans="1:24" x14ac:dyDescent="0.2">
      <c r="A12" s="8">
        <v>43297</v>
      </c>
      <c r="B12" s="2" t="s">
        <v>29</v>
      </c>
      <c r="V12" s="1">
        <v>8908</v>
      </c>
    </row>
    <row r="13" spans="1:24" x14ac:dyDescent="0.2">
      <c r="A13" s="8">
        <v>43298</v>
      </c>
      <c r="B13" s="2" t="s">
        <v>48</v>
      </c>
      <c r="R13" s="1">
        <v>626.69000000000005</v>
      </c>
    </row>
    <row r="14" spans="1:24" x14ac:dyDescent="0.2">
      <c r="A14" s="8">
        <v>43300</v>
      </c>
      <c r="B14" s="2" t="s">
        <v>52</v>
      </c>
      <c r="M14" s="1">
        <v>1525.8</v>
      </c>
    </row>
    <row r="15" spans="1:24" x14ac:dyDescent="0.2">
      <c r="A15" s="8">
        <v>43304</v>
      </c>
      <c r="B15" s="2" t="s">
        <v>49</v>
      </c>
      <c r="P15" s="1">
        <v>499.62</v>
      </c>
      <c r="Q15" s="1">
        <v>170.39</v>
      </c>
    </row>
    <row r="16" spans="1:24" x14ac:dyDescent="0.2">
      <c r="A16" s="8">
        <v>43304</v>
      </c>
      <c r="B16" s="2" t="s">
        <v>55</v>
      </c>
      <c r="M16" s="1">
        <v>247</v>
      </c>
    </row>
    <row r="17" spans="1:21" x14ac:dyDescent="0.2">
      <c r="A17" s="8">
        <v>43305</v>
      </c>
      <c r="B17" s="2" t="s">
        <v>48</v>
      </c>
      <c r="R17" s="1">
        <v>149.78</v>
      </c>
    </row>
    <row r="18" spans="1:21" x14ac:dyDescent="0.2">
      <c r="A18" s="8">
        <v>43306</v>
      </c>
      <c r="B18" s="2" t="s">
        <v>49</v>
      </c>
      <c r="I18" s="1">
        <v>274.24</v>
      </c>
    </row>
    <row r="19" spans="1:21" x14ac:dyDescent="0.2">
      <c r="A19" s="8">
        <v>43307</v>
      </c>
      <c r="B19" s="2" t="s">
        <v>49</v>
      </c>
      <c r="J19" s="1">
        <v>343.38</v>
      </c>
    </row>
    <row r="20" spans="1:21" x14ac:dyDescent="0.2">
      <c r="A20" s="8">
        <v>43308</v>
      </c>
      <c r="B20" s="2" t="s">
        <v>48</v>
      </c>
      <c r="P20" s="1">
        <v>48.95</v>
      </c>
      <c r="R20" s="1">
        <v>160.72999999999999</v>
      </c>
    </row>
    <row r="21" spans="1:21" x14ac:dyDescent="0.2">
      <c r="A21" s="8">
        <v>43308</v>
      </c>
      <c r="B21" s="2" t="s">
        <v>49</v>
      </c>
      <c r="D21" s="2">
        <v>392.64</v>
      </c>
      <c r="Q21" s="1">
        <v>392.64</v>
      </c>
    </row>
    <row r="22" spans="1:21" x14ac:dyDescent="0.2">
      <c r="A22" s="8">
        <v>43312</v>
      </c>
      <c r="B22" s="2" t="s">
        <v>53</v>
      </c>
      <c r="U22" s="1">
        <v>392</v>
      </c>
    </row>
    <row r="23" spans="1:21" x14ac:dyDescent="0.2">
      <c r="A23" s="8">
        <v>43312</v>
      </c>
      <c r="B23" s="2" t="s">
        <v>54</v>
      </c>
      <c r="M23" s="1">
        <v>195.54</v>
      </c>
    </row>
    <row r="24" spans="1:21" x14ac:dyDescent="0.2">
      <c r="A24" s="8">
        <v>43315</v>
      </c>
      <c r="B24" s="2" t="s">
        <v>48</v>
      </c>
      <c r="P24" s="1">
        <v>23.98</v>
      </c>
    </row>
    <row r="25" spans="1:21" x14ac:dyDescent="0.2">
      <c r="A25" s="8">
        <v>43318</v>
      </c>
      <c r="B25" s="2" t="s">
        <v>49</v>
      </c>
      <c r="C25" s="1">
        <v>675.16</v>
      </c>
      <c r="D25" s="2">
        <v>384.68</v>
      </c>
    </row>
    <row r="26" spans="1:21" x14ac:dyDescent="0.2">
      <c r="A26" s="8">
        <v>43320</v>
      </c>
      <c r="B26" s="2" t="s">
        <v>49</v>
      </c>
    </row>
    <row r="27" spans="1:21" x14ac:dyDescent="0.2">
      <c r="A27" s="8">
        <v>43320</v>
      </c>
      <c r="B27" s="2" t="s">
        <v>49</v>
      </c>
      <c r="D27" s="2">
        <v>192.76</v>
      </c>
      <c r="U27" s="46"/>
    </row>
    <row r="28" spans="1:21" x14ac:dyDescent="0.2">
      <c r="A28" s="8">
        <v>43321</v>
      </c>
      <c r="B28" s="2" t="s">
        <v>48</v>
      </c>
      <c r="R28" s="1">
        <v>538.16999999999996</v>
      </c>
    </row>
    <row r="29" spans="1:21" x14ac:dyDescent="0.2">
      <c r="A29" s="8">
        <v>43321</v>
      </c>
      <c r="B29" s="2" t="s">
        <v>49</v>
      </c>
      <c r="K29" s="1">
        <v>412.22</v>
      </c>
    </row>
    <row r="30" spans="1:21" x14ac:dyDescent="0.2">
      <c r="A30" s="8">
        <v>43322</v>
      </c>
      <c r="B30" s="2" t="s">
        <v>49</v>
      </c>
      <c r="P30" s="1">
        <v>68.569999999999993</v>
      </c>
      <c r="Q30" s="1">
        <v>56.67</v>
      </c>
    </row>
    <row r="31" spans="1:21" x14ac:dyDescent="0.2">
      <c r="A31" s="8">
        <v>43322</v>
      </c>
      <c r="B31" s="2" t="s">
        <v>48</v>
      </c>
      <c r="Q31" s="1">
        <v>19.18</v>
      </c>
    </row>
    <row r="32" spans="1:21" x14ac:dyDescent="0.2">
      <c r="A32" s="8">
        <v>43325</v>
      </c>
      <c r="B32" s="2" t="s">
        <v>49</v>
      </c>
      <c r="C32" s="1">
        <f>488.54+111.19</f>
        <v>599.73</v>
      </c>
      <c r="D32" s="2">
        <f>219.74+14.56</f>
        <v>234.3</v>
      </c>
    </row>
    <row r="33" spans="1:21" x14ac:dyDescent="0.2">
      <c r="A33" s="8">
        <v>43325</v>
      </c>
      <c r="B33" s="2" t="s">
        <v>49</v>
      </c>
      <c r="C33" s="1">
        <v>122.63</v>
      </c>
      <c r="D33" s="2">
        <v>14.56</v>
      </c>
    </row>
    <row r="34" spans="1:21" x14ac:dyDescent="0.2">
      <c r="A34" s="8">
        <v>43326</v>
      </c>
      <c r="B34" s="2" t="s">
        <v>48</v>
      </c>
      <c r="R34" s="1">
        <v>35.99</v>
      </c>
    </row>
    <row r="35" spans="1:21" x14ac:dyDescent="0.2">
      <c r="A35" s="8">
        <v>43326</v>
      </c>
      <c r="B35" s="2" t="s">
        <v>49</v>
      </c>
      <c r="O35" s="1">
        <v>1023.09</v>
      </c>
    </row>
    <row r="36" spans="1:21" x14ac:dyDescent="0.2">
      <c r="A36" s="8">
        <v>43329</v>
      </c>
      <c r="B36" s="2" t="s">
        <v>49</v>
      </c>
      <c r="I36" s="1">
        <v>608.89</v>
      </c>
    </row>
    <row r="37" spans="1:21" x14ac:dyDescent="0.2">
      <c r="A37" s="8">
        <v>43332</v>
      </c>
      <c r="B37" s="2" t="s">
        <v>48</v>
      </c>
      <c r="R37" s="1">
        <f>39.39+42.59</f>
        <v>81.98</v>
      </c>
    </row>
    <row r="38" spans="1:21" x14ac:dyDescent="0.2">
      <c r="A38" s="8">
        <v>43333</v>
      </c>
      <c r="B38" s="2" t="s">
        <v>49</v>
      </c>
      <c r="M38" s="1">
        <f>92.64+198.12</f>
        <v>290.76</v>
      </c>
    </row>
    <row r="39" spans="1:21" x14ac:dyDescent="0.2">
      <c r="A39" s="8">
        <v>43334</v>
      </c>
      <c r="B39" s="2" t="s">
        <v>48</v>
      </c>
      <c r="R39" s="1">
        <v>-0.97</v>
      </c>
    </row>
    <row r="40" spans="1:21" x14ac:dyDescent="0.2">
      <c r="A40" s="8">
        <v>43334</v>
      </c>
      <c r="B40" s="2" t="s">
        <v>52</v>
      </c>
      <c r="M40" s="1">
        <v>1338.6</v>
      </c>
    </row>
    <row r="41" spans="1:21" x14ac:dyDescent="0.2">
      <c r="A41" s="8">
        <v>43336</v>
      </c>
      <c r="B41" s="2" t="s">
        <v>48</v>
      </c>
      <c r="Q41" s="1">
        <v>24.25</v>
      </c>
    </row>
    <row r="42" spans="1:21" x14ac:dyDescent="0.2">
      <c r="A42" s="8">
        <v>43336</v>
      </c>
      <c r="B42" s="2" t="s">
        <v>49</v>
      </c>
      <c r="S42" s="1">
        <v>267.08999999999997</v>
      </c>
    </row>
    <row r="43" spans="1:21" x14ac:dyDescent="0.2">
      <c r="A43" s="8">
        <v>43340</v>
      </c>
      <c r="B43" s="2" t="s">
        <v>49</v>
      </c>
      <c r="C43" s="1">
        <v>267.72000000000003</v>
      </c>
      <c r="D43" s="2">
        <v>200.26</v>
      </c>
    </row>
    <row r="44" spans="1:21" x14ac:dyDescent="0.2">
      <c r="A44" s="8">
        <v>43342</v>
      </c>
      <c r="B44" s="2" t="s">
        <v>48</v>
      </c>
      <c r="R44" s="1">
        <f>-1.97-13.42-2.95-1.94</f>
        <v>-20.28</v>
      </c>
    </row>
    <row r="45" spans="1:21" x14ac:dyDescent="0.2">
      <c r="A45" s="8">
        <v>43342</v>
      </c>
      <c r="B45" s="2" t="s">
        <v>49</v>
      </c>
      <c r="P45" s="1">
        <v>372.53</v>
      </c>
      <c r="Q45" s="1">
        <v>228.4</v>
      </c>
    </row>
    <row r="46" spans="1:21" x14ac:dyDescent="0.2">
      <c r="A46" s="8">
        <v>43343</v>
      </c>
      <c r="B46" s="2" t="s">
        <v>49</v>
      </c>
      <c r="Q46" s="1">
        <v>52.34</v>
      </c>
      <c r="U46" s="46"/>
    </row>
    <row r="47" spans="1:21" x14ac:dyDescent="0.2">
      <c r="A47" s="8">
        <v>43348</v>
      </c>
      <c r="B47" s="2" t="s">
        <v>49</v>
      </c>
      <c r="Q47" s="1">
        <v>31.2</v>
      </c>
    </row>
    <row r="48" spans="1:21" x14ac:dyDescent="0.2">
      <c r="A48" s="8">
        <v>43349</v>
      </c>
      <c r="B48" s="2" t="s">
        <v>48</v>
      </c>
      <c r="R48" s="1">
        <f>26.89+598.38+18.43</f>
        <v>643.69999999999993</v>
      </c>
    </row>
    <row r="49" spans="1:18" x14ac:dyDescent="0.2">
      <c r="A49" s="8">
        <v>43350</v>
      </c>
      <c r="B49" s="2" t="s">
        <v>48</v>
      </c>
      <c r="R49" s="1">
        <v>60.91</v>
      </c>
    </row>
    <row r="50" spans="1:18" x14ac:dyDescent="0.2">
      <c r="A50" s="8">
        <v>43353</v>
      </c>
      <c r="B50" s="2" t="s">
        <v>49</v>
      </c>
      <c r="M50" s="1">
        <v>92.19</v>
      </c>
    </row>
    <row r="51" spans="1:18" x14ac:dyDescent="0.2">
      <c r="A51" s="8">
        <v>43354</v>
      </c>
      <c r="B51" s="2" t="s">
        <v>48</v>
      </c>
      <c r="R51" s="1">
        <v>61.79</v>
      </c>
    </row>
    <row r="52" spans="1:18" x14ac:dyDescent="0.2">
      <c r="A52" s="8">
        <v>43354</v>
      </c>
      <c r="B52" s="2" t="s">
        <v>49</v>
      </c>
      <c r="C52" s="1">
        <v>230.35</v>
      </c>
      <c r="D52" s="2">
        <v>288.23</v>
      </c>
    </row>
    <row r="53" spans="1:18" x14ac:dyDescent="0.2">
      <c r="A53" s="8">
        <v>43355</v>
      </c>
      <c r="B53" s="2" t="s">
        <v>49</v>
      </c>
      <c r="M53" s="1">
        <f>226.97+89.84+526.13</f>
        <v>842.94</v>
      </c>
      <c r="P53" s="1">
        <v>189.13</v>
      </c>
      <c r="Q53" s="1">
        <v>134.88</v>
      </c>
    </row>
    <row r="54" spans="1:18" x14ac:dyDescent="0.2">
      <c r="A54" s="8">
        <v>43356</v>
      </c>
      <c r="B54" s="2" t="s">
        <v>49</v>
      </c>
      <c r="I54" s="1">
        <v>316.38</v>
      </c>
      <c r="M54" s="1">
        <f>312.78+218.76</f>
        <v>531.54</v>
      </c>
    </row>
    <row r="55" spans="1:18" x14ac:dyDescent="0.2">
      <c r="A55" s="8">
        <v>43357</v>
      </c>
      <c r="B55" s="2" t="s">
        <v>49</v>
      </c>
      <c r="J55" s="1">
        <v>55.97</v>
      </c>
    </row>
    <row r="56" spans="1:18" x14ac:dyDescent="0.2">
      <c r="A56" s="8">
        <v>43361</v>
      </c>
      <c r="B56" s="2" t="s">
        <v>49</v>
      </c>
      <c r="O56" s="1">
        <v>274.29000000000002</v>
      </c>
    </row>
    <row r="57" spans="1:18" x14ac:dyDescent="0.2">
      <c r="A57" s="8">
        <v>43362</v>
      </c>
      <c r="B57" s="2" t="s">
        <v>48</v>
      </c>
      <c r="R57" s="1">
        <f>-19.14-0.03</f>
        <v>-19.170000000000002</v>
      </c>
    </row>
    <row r="58" spans="1:18" x14ac:dyDescent="0.2">
      <c r="A58" s="8">
        <v>43363</v>
      </c>
      <c r="B58" s="2" t="s">
        <v>48</v>
      </c>
      <c r="R58" s="1">
        <v>68.87</v>
      </c>
    </row>
    <row r="59" spans="1:18" x14ac:dyDescent="0.2">
      <c r="A59" s="8">
        <v>43363</v>
      </c>
      <c r="B59" s="2" t="s">
        <v>49</v>
      </c>
      <c r="P59" s="1">
        <v>33.549999999999997</v>
      </c>
      <c r="Q59" s="1">
        <v>27.02</v>
      </c>
    </row>
    <row r="60" spans="1:18" x14ac:dyDescent="0.2">
      <c r="A60" s="8">
        <v>43364</v>
      </c>
      <c r="B60" s="2" t="s">
        <v>56</v>
      </c>
      <c r="P60" s="1">
        <v>240.61</v>
      </c>
      <c r="Q60" s="1">
        <v>97.9</v>
      </c>
    </row>
    <row r="61" spans="1:18" x14ac:dyDescent="0.2">
      <c r="A61" s="8">
        <v>43367</v>
      </c>
      <c r="B61" s="2" t="s">
        <v>49</v>
      </c>
      <c r="Q61" s="1">
        <v>32.54</v>
      </c>
    </row>
    <row r="62" spans="1:18" x14ac:dyDescent="0.2">
      <c r="A62" s="8">
        <v>43368</v>
      </c>
      <c r="B62" s="2" t="s">
        <v>49</v>
      </c>
      <c r="I62" s="1">
        <v>354.41</v>
      </c>
      <c r="J62" s="1">
        <v>177.61</v>
      </c>
    </row>
    <row r="63" spans="1:18" x14ac:dyDescent="0.2">
      <c r="A63" s="8">
        <v>43369</v>
      </c>
      <c r="B63" s="2" t="s">
        <v>49</v>
      </c>
      <c r="C63" s="1">
        <v>109.14</v>
      </c>
      <c r="O63" s="1">
        <v>454.19</v>
      </c>
    </row>
    <row r="64" spans="1:18" x14ac:dyDescent="0.2">
      <c r="A64" s="8">
        <v>43369</v>
      </c>
      <c r="B64" s="2" t="s">
        <v>48</v>
      </c>
      <c r="N64" s="1">
        <v>289.37</v>
      </c>
    </row>
    <row r="65" spans="1:21" x14ac:dyDescent="0.2">
      <c r="A65" s="8">
        <v>43372</v>
      </c>
      <c r="B65" s="2" t="s">
        <v>53</v>
      </c>
      <c r="U65" s="1">
        <v>413.75</v>
      </c>
    </row>
    <row r="66" spans="1:21" x14ac:dyDescent="0.2">
      <c r="A66" s="8">
        <v>43374</v>
      </c>
      <c r="B66" s="2" t="s">
        <v>49</v>
      </c>
      <c r="P66" s="1">
        <v>-32.979999999999997</v>
      </c>
    </row>
    <row r="67" spans="1:21" x14ac:dyDescent="0.2">
      <c r="A67" s="8">
        <v>43375</v>
      </c>
      <c r="B67" s="2" t="s">
        <v>49</v>
      </c>
      <c r="I67" s="1">
        <v>609.44000000000005</v>
      </c>
    </row>
    <row r="68" spans="1:21" x14ac:dyDescent="0.2">
      <c r="A68" s="8">
        <v>43376</v>
      </c>
      <c r="B68" s="2" t="s">
        <v>48</v>
      </c>
      <c r="R68" s="1">
        <v>19.98</v>
      </c>
    </row>
    <row r="69" spans="1:21" x14ac:dyDescent="0.2">
      <c r="A69" s="8">
        <v>43376</v>
      </c>
      <c r="B69" s="2" t="s">
        <v>49</v>
      </c>
      <c r="C69" s="1">
        <v>237.53</v>
      </c>
      <c r="D69" s="2">
        <v>364.77</v>
      </c>
    </row>
    <row r="70" spans="1:21" x14ac:dyDescent="0.2">
      <c r="A70" s="8">
        <v>43378</v>
      </c>
      <c r="B70" s="2" t="s">
        <v>49</v>
      </c>
      <c r="P70" s="1">
        <v>310.14999999999998</v>
      </c>
      <c r="Q70" s="1">
        <v>219.93</v>
      </c>
    </row>
    <row r="71" spans="1:21" x14ac:dyDescent="0.2">
      <c r="A71" s="8">
        <v>43383</v>
      </c>
      <c r="B71" s="2" t="s">
        <v>48</v>
      </c>
      <c r="R71" s="1">
        <v>368.08</v>
      </c>
    </row>
    <row r="72" spans="1:21" x14ac:dyDescent="0.2">
      <c r="A72" s="8">
        <v>43383</v>
      </c>
      <c r="B72" s="2" t="s">
        <v>49</v>
      </c>
      <c r="Q72" s="1">
        <v>18.05</v>
      </c>
    </row>
    <row r="73" spans="1:21" x14ac:dyDescent="0.2">
      <c r="A73" s="8">
        <v>43384</v>
      </c>
      <c r="B73" s="2" t="s">
        <v>49</v>
      </c>
      <c r="C73" s="1">
        <v>190.8</v>
      </c>
    </row>
    <row r="74" spans="1:21" x14ac:dyDescent="0.2">
      <c r="A74" s="8">
        <v>43384</v>
      </c>
      <c r="B74" s="2" t="s">
        <v>48</v>
      </c>
      <c r="R74" s="1">
        <v>104.55</v>
      </c>
    </row>
    <row r="75" spans="1:21" x14ac:dyDescent="0.2">
      <c r="A75" s="8">
        <v>43385</v>
      </c>
      <c r="B75" s="2" t="s">
        <v>49</v>
      </c>
      <c r="D75" s="2">
        <v>123.31</v>
      </c>
    </row>
    <row r="76" spans="1:21" x14ac:dyDescent="0.2">
      <c r="A76" s="8">
        <v>43389</v>
      </c>
      <c r="B76" s="2" t="s">
        <v>49</v>
      </c>
      <c r="M76" s="1">
        <f>383.33+164.63+93.14+74.12+54.21</f>
        <v>769.43000000000006</v>
      </c>
    </row>
    <row r="77" spans="1:21" x14ac:dyDescent="0.2">
      <c r="A77" s="8">
        <v>43389</v>
      </c>
      <c r="B77" s="2" t="s">
        <v>59</v>
      </c>
      <c r="R77" s="1">
        <v>239.14</v>
      </c>
    </row>
    <row r="78" spans="1:21" x14ac:dyDescent="0.2">
      <c r="A78" s="8">
        <v>43390</v>
      </c>
      <c r="B78" s="2" t="s">
        <v>49</v>
      </c>
      <c r="P78" s="1">
        <f>9.76+9.76</f>
        <v>19.52</v>
      </c>
    </row>
    <row r="79" spans="1:21" x14ac:dyDescent="0.2">
      <c r="A79" s="8">
        <v>43391</v>
      </c>
      <c r="B79" s="2" t="s">
        <v>49</v>
      </c>
      <c r="K79" s="1">
        <v>234.09</v>
      </c>
    </row>
    <row r="80" spans="1:21" x14ac:dyDescent="0.2">
      <c r="A80" s="8">
        <v>43396</v>
      </c>
      <c r="B80" s="2" t="s">
        <v>49</v>
      </c>
      <c r="P80" s="1">
        <v>418.01</v>
      </c>
      <c r="Q80" s="1">
        <v>56.13</v>
      </c>
    </row>
    <row r="81" spans="1:21" x14ac:dyDescent="0.2">
      <c r="A81" s="8">
        <v>43397</v>
      </c>
      <c r="B81" s="2" t="s">
        <v>48</v>
      </c>
      <c r="R81" s="1">
        <v>148.62</v>
      </c>
    </row>
    <row r="82" spans="1:21" x14ac:dyDescent="0.2">
      <c r="A82" s="8">
        <v>43397</v>
      </c>
      <c r="B82" s="2" t="s">
        <v>49</v>
      </c>
      <c r="M82" s="1">
        <f>73.33+157.62</f>
        <v>230.95</v>
      </c>
    </row>
    <row r="83" spans="1:21" x14ac:dyDescent="0.2">
      <c r="A83" s="8">
        <v>43398</v>
      </c>
      <c r="B83" s="2" t="s">
        <v>49</v>
      </c>
      <c r="O83" s="1">
        <f>316.95+696.93</f>
        <v>1013.8799999999999</v>
      </c>
    </row>
    <row r="84" spans="1:21" x14ac:dyDescent="0.2">
      <c r="A84" s="8">
        <v>43398</v>
      </c>
      <c r="B84" s="2" t="s">
        <v>61</v>
      </c>
      <c r="U84" s="1">
        <v>528</v>
      </c>
    </row>
    <row r="85" spans="1:21" x14ac:dyDescent="0.2">
      <c r="A85" s="8">
        <v>43399</v>
      </c>
      <c r="B85" s="2" t="s">
        <v>59</v>
      </c>
      <c r="R85" s="1">
        <v>133.44</v>
      </c>
    </row>
    <row r="86" spans="1:21" x14ac:dyDescent="0.2">
      <c r="A86" s="8">
        <v>43399</v>
      </c>
      <c r="B86" s="2" t="s">
        <v>49</v>
      </c>
      <c r="C86" s="1">
        <v>213.67</v>
      </c>
      <c r="D86" s="2">
        <v>274.72000000000003</v>
      </c>
    </row>
    <row r="87" spans="1:21" x14ac:dyDescent="0.2">
      <c r="A87" s="8">
        <v>43399</v>
      </c>
      <c r="B87" s="2" t="s">
        <v>55</v>
      </c>
      <c r="M87" s="1">
        <v>176.6</v>
      </c>
    </row>
    <row r="88" spans="1:21" x14ac:dyDescent="0.2">
      <c r="A88" s="8">
        <v>43403</v>
      </c>
      <c r="B88" s="2" t="s">
        <v>48</v>
      </c>
      <c r="R88" s="1">
        <v>-13.94</v>
      </c>
    </row>
    <row r="89" spans="1:21" x14ac:dyDescent="0.2">
      <c r="A89" s="8">
        <v>43403</v>
      </c>
      <c r="B89" s="2" t="s">
        <v>49</v>
      </c>
      <c r="H89" s="1">
        <v>42.76</v>
      </c>
      <c r="M89" s="1">
        <f>76.83+40.46</f>
        <v>117.28999999999999</v>
      </c>
      <c r="P89" s="1">
        <v>26.04</v>
      </c>
    </row>
    <row r="90" spans="1:21" x14ac:dyDescent="0.2">
      <c r="A90" s="8">
        <v>43404</v>
      </c>
      <c r="B90" s="2" t="s">
        <v>53</v>
      </c>
      <c r="U90" s="1">
        <v>399.5</v>
      </c>
    </row>
    <row r="91" spans="1:21" x14ac:dyDescent="0.2">
      <c r="A91" s="8">
        <v>43404</v>
      </c>
      <c r="B91" s="2" t="s">
        <v>49</v>
      </c>
      <c r="I91" s="1">
        <v>644.76</v>
      </c>
      <c r="M91" s="1">
        <v>124.08</v>
      </c>
    </row>
    <row r="92" spans="1:21" x14ac:dyDescent="0.2">
      <c r="A92" s="8">
        <v>43410</v>
      </c>
      <c r="B92" s="2" t="s">
        <v>48</v>
      </c>
      <c r="O92" s="54"/>
      <c r="R92" s="1">
        <v>25.99</v>
      </c>
    </row>
    <row r="93" spans="1:21" x14ac:dyDescent="0.2">
      <c r="A93" s="8">
        <v>43410</v>
      </c>
      <c r="B93" s="2" t="s">
        <v>49</v>
      </c>
      <c r="O93" s="1">
        <v>522.27</v>
      </c>
    </row>
    <row r="94" spans="1:21" x14ac:dyDescent="0.2">
      <c r="A94" s="8">
        <v>43410</v>
      </c>
      <c r="B94" s="2" t="s">
        <v>60</v>
      </c>
      <c r="M94" s="1">
        <v>286.95</v>
      </c>
    </row>
    <row r="95" spans="1:21" x14ac:dyDescent="0.2">
      <c r="A95" s="8">
        <v>43411</v>
      </c>
      <c r="B95" s="2" t="s">
        <v>48</v>
      </c>
      <c r="M95" s="1">
        <v>276.16000000000003</v>
      </c>
      <c r="R95" s="1">
        <v>807.48</v>
      </c>
    </row>
    <row r="96" spans="1:21" x14ac:dyDescent="0.2">
      <c r="A96" s="8">
        <v>43412</v>
      </c>
      <c r="B96" s="2" t="s">
        <v>49</v>
      </c>
      <c r="D96" s="2">
        <v>171.19</v>
      </c>
    </row>
    <row r="97" spans="1:22" x14ac:dyDescent="0.2">
      <c r="A97" s="8">
        <v>43413</v>
      </c>
      <c r="B97" s="2" t="s">
        <v>49</v>
      </c>
      <c r="Q97" s="1">
        <v>50</v>
      </c>
    </row>
    <row r="98" spans="1:22" x14ac:dyDescent="0.2">
      <c r="A98" s="8">
        <v>43416</v>
      </c>
      <c r="B98" s="2" t="s">
        <v>29</v>
      </c>
      <c r="V98" s="1">
        <v>246.98</v>
      </c>
    </row>
    <row r="99" spans="1:22" x14ac:dyDescent="0.2">
      <c r="A99" s="8">
        <v>43418</v>
      </c>
      <c r="B99" s="2" t="s">
        <v>49</v>
      </c>
      <c r="C99" s="1">
        <v>200.93</v>
      </c>
    </row>
    <row r="100" spans="1:22" x14ac:dyDescent="0.2">
      <c r="A100" s="8">
        <v>43419</v>
      </c>
      <c r="B100" s="2" t="s">
        <v>49</v>
      </c>
      <c r="K100" s="1">
        <v>176.85</v>
      </c>
      <c r="M100" s="1">
        <v>220.64</v>
      </c>
      <c r="P100" s="1">
        <v>222.67</v>
      </c>
      <c r="Q100" s="1">
        <v>165.29</v>
      </c>
    </row>
    <row r="101" spans="1:22" x14ac:dyDescent="0.2">
      <c r="A101" s="8">
        <v>43420</v>
      </c>
      <c r="B101" s="2" t="s">
        <v>49</v>
      </c>
      <c r="J101" s="1">
        <v>27.46</v>
      </c>
      <c r="M101" s="1">
        <v>125.67</v>
      </c>
    </row>
    <row r="102" spans="1:22" x14ac:dyDescent="0.2">
      <c r="A102" s="8">
        <v>43421</v>
      </c>
      <c r="B102" s="2" t="s">
        <v>49</v>
      </c>
      <c r="S102" s="1">
        <v>212.29</v>
      </c>
    </row>
    <row r="103" spans="1:22" x14ac:dyDescent="0.2">
      <c r="A103" s="8">
        <v>43424</v>
      </c>
      <c r="B103" s="2" t="s">
        <v>49</v>
      </c>
      <c r="I103" s="1">
        <v>728.64</v>
      </c>
    </row>
    <row r="104" spans="1:22" x14ac:dyDescent="0.2">
      <c r="A104" s="8">
        <v>43431</v>
      </c>
      <c r="B104" s="2" t="s">
        <v>49</v>
      </c>
      <c r="H104" s="1">
        <v>19.5</v>
      </c>
      <c r="L104" s="1">
        <v>50.33</v>
      </c>
      <c r="P104" s="1">
        <v>214.58</v>
      </c>
      <c r="Q104" s="1">
        <v>321.07</v>
      </c>
    </row>
    <row r="105" spans="1:22" x14ac:dyDescent="0.2">
      <c r="A105" s="8">
        <v>43432</v>
      </c>
      <c r="B105" s="2" t="s">
        <v>49</v>
      </c>
      <c r="Q105" s="1">
        <v>9.76</v>
      </c>
    </row>
    <row r="106" spans="1:22" x14ac:dyDescent="0.2">
      <c r="A106" s="8">
        <v>43433</v>
      </c>
      <c r="B106" s="2" t="s">
        <v>49</v>
      </c>
      <c r="H106" s="1">
        <v>87.29</v>
      </c>
      <c r="J106" s="1">
        <v>96.84</v>
      </c>
    </row>
    <row r="107" spans="1:22" x14ac:dyDescent="0.2">
      <c r="A107" s="8">
        <v>43434</v>
      </c>
      <c r="B107" s="2" t="s">
        <v>48</v>
      </c>
      <c r="R107" s="1">
        <v>64.97</v>
      </c>
    </row>
    <row r="108" spans="1:22" x14ac:dyDescent="0.2">
      <c r="A108" s="8">
        <v>43434</v>
      </c>
      <c r="B108" s="2" t="s">
        <v>53</v>
      </c>
      <c r="U108" s="1">
        <v>391.5</v>
      </c>
    </row>
    <row r="109" spans="1:22" x14ac:dyDescent="0.2">
      <c r="A109" s="8">
        <v>43438</v>
      </c>
      <c r="B109" s="2" t="s">
        <v>49</v>
      </c>
      <c r="K109" s="1">
        <v>754.38</v>
      </c>
    </row>
    <row r="110" spans="1:22" x14ac:dyDescent="0.2">
      <c r="A110" s="8">
        <v>43439</v>
      </c>
      <c r="B110" s="2" t="s">
        <v>48</v>
      </c>
      <c r="R110" s="1">
        <v>-4.04</v>
      </c>
    </row>
    <row r="111" spans="1:22" x14ac:dyDescent="0.2">
      <c r="A111" s="8">
        <v>43439</v>
      </c>
      <c r="B111" s="2" t="s">
        <v>54</v>
      </c>
      <c r="M111" s="1">
        <v>188.73</v>
      </c>
    </row>
    <row r="112" spans="1:22" x14ac:dyDescent="0.2">
      <c r="A112" s="8">
        <v>43440</v>
      </c>
      <c r="B112" s="2" t="s">
        <v>49</v>
      </c>
      <c r="M112" s="1">
        <v>158.34</v>
      </c>
    </row>
    <row r="113" spans="1:23" x14ac:dyDescent="0.2">
      <c r="A113" s="8">
        <v>43442</v>
      </c>
      <c r="B113" s="2" t="s">
        <v>49</v>
      </c>
      <c r="C113" s="1">
        <v>344.11</v>
      </c>
      <c r="D113" s="2">
        <v>306.94</v>
      </c>
    </row>
    <row r="114" spans="1:23" x14ac:dyDescent="0.2">
      <c r="A114" s="8">
        <v>43444</v>
      </c>
      <c r="B114" s="2" t="s">
        <v>62</v>
      </c>
      <c r="U114" s="1">
        <v>2138.8200000000002</v>
      </c>
    </row>
    <row r="115" spans="1:23" x14ac:dyDescent="0.2">
      <c r="A115" s="8">
        <v>43445</v>
      </c>
      <c r="B115" s="2" t="s">
        <v>49</v>
      </c>
      <c r="I115" s="1">
        <v>625.80999999999995</v>
      </c>
      <c r="J115" s="1">
        <v>83.1</v>
      </c>
    </row>
    <row r="116" spans="1:23" x14ac:dyDescent="0.2">
      <c r="A116" s="8">
        <v>43446</v>
      </c>
      <c r="B116" s="2" t="s">
        <v>48</v>
      </c>
      <c r="R116" s="1">
        <f>-2+125.24</f>
        <v>123.24</v>
      </c>
    </row>
    <row r="117" spans="1:23" x14ac:dyDescent="0.2">
      <c r="A117" s="8">
        <v>43447</v>
      </c>
      <c r="B117" s="2" t="s">
        <v>49</v>
      </c>
      <c r="M117" s="1">
        <v>106.66</v>
      </c>
      <c r="P117" s="1">
        <v>496.91</v>
      </c>
      <c r="Q117" s="1">
        <v>145.97999999999999</v>
      </c>
    </row>
    <row r="118" spans="1:23" x14ac:dyDescent="0.2">
      <c r="A118" s="8">
        <v>43447</v>
      </c>
      <c r="B118" s="2" t="s">
        <v>48</v>
      </c>
      <c r="R118" s="1">
        <v>89.96</v>
      </c>
    </row>
    <row r="119" spans="1:23" x14ac:dyDescent="0.2">
      <c r="A119" s="8">
        <v>43444</v>
      </c>
      <c r="B119" s="2" t="s">
        <v>48</v>
      </c>
      <c r="N119" s="1">
        <v>266.35000000000002</v>
      </c>
    </row>
    <row r="120" spans="1:23" x14ac:dyDescent="0.2">
      <c r="A120" s="8">
        <v>43448</v>
      </c>
      <c r="B120" s="2" t="s">
        <v>48</v>
      </c>
      <c r="Q120" s="1">
        <v>30.86</v>
      </c>
    </row>
    <row r="121" spans="1:23" x14ac:dyDescent="0.2">
      <c r="A121" s="8">
        <v>43451</v>
      </c>
      <c r="B121" s="2" t="s">
        <v>49</v>
      </c>
      <c r="K121" s="1">
        <v>110.06</v>
      </c>
    </row>
    <row r="122" spans="1:23" x14ac:dyDescent="0.2">
      <c r="A122" s="8">
        <v>43453</v>
      </c>
      <c r="B122" s="2" t="s">
        <v>48</v>
      </c>
      <c r="R122" s="1">
        <f>35.08+9.96</f>
        <v>45.04</v>
      </c>
    </row>
    <row r="123" spans="1:23" x14ac:dyDescent="0.2">
      <c r="A123" s="8">
        <v>43453</v>
      </c>
      <c r="B123" s="2" t="s">
        <v>49</v>
      </c>
      <c r="M123" s="1">
        <v>243.42</v>
      </c>
    </row>
    <row r="124" spans="1:23" x14ac:dyDescent="0.2">
      <c r="A124" s="8">
        <v>43455</v>
      </c>
      <c r="B124" s="2" t="s">
        <v>59</v>
      </c>
      <c r="W124" s="10">
        <v>6000</v>
      </c>
    </row>
    <row r="125" spans="1:23" x14ac:dyDescent="0.2">
      <c r="A125" s="8">
        <v>43455</v>
      </c>
      <c r="B125" s="2" t="s">
        <v>48</v>
      </c>
      <c r="R125" s="1">
        <v>-0.25</v>
      </c>
    </row>
    <row r="126" spans="1:23" x14ac:dyDescent="0.2">
      <c r="A126" s="8">
        <v>43460</v>
      </c>
      <c r="B126" s="2" t="s">
        <v>59</v>
      </c>
      <c r="R126" s="1">
        <v>1094.5</v>
      </c>
    </row>
    <row r="127" spans="1:23" x14ac:dyDescent="0.2">
      <c r="A127" s="8">
        <v>43462</v>
      </c>
      <c r="B127" s="2" t="s">
        <v>59</v>
      </c>
      <c r="R127" s="1">
        <v>688.99</v>
      </c>
    </row>
    <row r="128" spans="1:23" x14ac:dyDescent="0.2">
      <c r="A128" s="8">
        <v>43462</v>
      </c>
      <c r="B128" s="2" t="s">
        <v>49</v>
      </c>
      <c r="C128" s="1">
        <v>288.99</v>
      </c>
      <c r="D128" s="2">
        <v>83.1</v>
      </c>
    </row>
    <row r="129" spans="1:21" x14ac:dyDescent="0.2">
      <c r="A129" s="8">
        <v>43463</v>
      </c>
      <c r="B129" s="2" t="s">
        <v>53</v>
      </c>
      <c r="U129" s="1">
        <v>419.25</v>
      </c>
    </row>
    <row r="130" spans="1:21" x14ac:dyDescent="0.2">
      <c r="A130" s="8">
        <v>43467</v>
      </c>
      <c r="B130" s="2" t="s">
        <v>49</v>
      </c>
      <c r="H130" s="1">
        <v>83.77</v>
      </c>
      <c r="O130" s="1">
        <v>665.32</v>
      </c>
    </row>
    <row r="131" spans="1:21" x14ac:dyDescent="0.2">
      <c r="A131" s="8">
        <v>43468</v>
      </c>
      <c r="B131" s="2" t="s">
        <v>49</v>
      </c>
      <c r="C131" s="1">
        <v>351.91</v>
      </c>
      <c r="D131" s="2">
        <v>124.19</v>
      </c>
    </row>
    <row r="132" spans="1:21" x14ac:dyDescent="0.2">
      <c r="A132" s="8">
        <v>43472</v>
      </c>
      <c r="B132" s="2" t="s">
        <v>48</v>
      </c>
      <c r="R132" s="1">
        <f>-24.75+72.94</f>
        <v>48.19</v>
      </c>
    </row>
    <row r="133" spans="1:21" x14ac:dyDescent="0.2">
      <c r="A133" s="8">
        <v>43472</v>
      </c>
      <c r="B133" s="2" t="s">
        <v>59</v>
      </c>
      <c r="R133" s="1">
        <v>764.36</v>
      </c>
    </row>
    <row r="134" spans="1:21" x14ac:dyDescent="0.2">
      <c r="A134" s="8">
        <v>43472</v>
      </c>
      <c r="B134" s="2" t="s">
        <v>49</v>
      </c>
      <c r="I134" s="1">
        <v>562</v>
      </c>
      <c r="K134" s="1">
        <v>199.04</v>
      </c>
    </row>
    <row r="135" spans="1:21" x14ac:dyDescent="0.2">
      <c r="A135" s="8">
        <v>43473</v>
      </c>
      <c r="B135" s="2" t="s">
        <v>49</v>
      </c>
      <c r="P135" s="1">
        <v>378.02</v>
      </c>
      <c r="Q135" s="1">
        <v>275.95999999999998</v>
      </c>
    </row>
    <row r="136" spans="1:21" x14ac:dyDescent="0.2">
      <c r="A136" s="8">
        <v>43476</v>
      </c>
      <c r="B136" s="2" t="s">
        <v>49</v>
      </c>
      <c r="C136" s="1">
        <v>391.23</v>
      </c>
      <c r="D136" s="2">
        <v>143.97999999999999</v>
      </c>
    </row>
    <row r="137" spans="1:21" x14ac:dyDescent="0.2">
      <c r="A137" s="8">
        <v>43480</v>
      </c>
      <c r="B137" s="2" t="s">
        <v>49</v>
      </c>
      <c r="O137" s="1">
        <v>304.68</v>
      </c>
    </row>
    <row r="138" spans="1:21" x14ac:dyDescent="0.2">
      <c r="A138" s="8">
        <v>43481</v>
      </c>
      <c r="B138" s="2" t="s">
        <v>50</v>
      </c>
      <c r="L138" s="1">
        <v>90</v>
      </c>
    </row>
    <row r="139" spans="1:21" x14ac:dyDescent="0.2">
      <c r="A139" s="8">
        <v>43483</v>
      </c>
      <c r="B139" s="2" t="s">
        <v>49</v>
      </c>
      <c r="C139" s="1">
        <f>273.39+72.75</f>
        <v>346.14</v>
      </c>
      <c r="D139" s="2">
        <v>208.28</v>
      </c>
    </row>
    <row r="140" spans="1:21" x14ac:dyDescent="0.2">
      <c r="A140" s="8">
        <v>43487</v>
      </c>
      <c r="B140" s="2" t="s">
        <v>49</v>
      </c>
      <c r="M140" s="1">
        <f>88.71+206.66+244.98</f>
        <v>540.35</v>
      </c>
    </row>
    <row r="141" spans="1:21" x14ac:dyDescent="0.2">
      <c r="A141" s="8">
        <v>43491</v>
      </c>
      <c r="B141" s="2" t="s">
        <v>59</v>
      </c>
      <c r="R141" s="1">
        <f>65.97+607.29</f>
        <v>673.26</v>
      </c>
    </row>
    <row r="142" spans="1:21" x14ac:dyDescent="0.2">
      <c r="A142" s="8">
        <v>43493</v>
      </c>
      <c r="B142" s="2" t="s">
        <v>49</v>
      </c>
      <c r="I142" s="1">
        <v>517.19000000000005</v>
      </c>
    </row>
    <row r="143" spans="1:21" x14ac:dyDescent="0.2">
      <c r="A143" s="8">
        <v>43494</v>
      </c>
      <c r="B143" s="2" t="s">
        <v>49</v>
      </c>
      <c r="Q143" s="1">
        <v>29.12</v>
      </c>
    </row>
    <row r="144" spans="1:21" x14ac:dyDescent="0.2">
      <c r="A144" s="8">
        <v>43495</v>
      </c>
      <c r="B144" s="2" t="s">
        <v>53</v>
      </c>
      <c r="U144" s="1">
        <v>427.5</v>
      </c>
    </row>
    <row r="145" spans="1:27" x14ac:dyDescent="0.2">
      <c r="A145" s="8">
        <v>43496</v>
      </c>
      <c r="B145" s="2" t="s">
        <v>63</v>
      </c>
      <c r="Q145" s="1">
        <v>297</v>
      </c>
    </row>
    <row r="146" spans="1:27" x14ac:dyDescent="0.2">
      <c r="A146" s="8">
        <v>43496</v>
      </c>
      <c r="B146" s="2" t="s">
        <v>49</v>
      </c>
      <c r="C146" s="1">
        <v>182.41</v>
      </c>
      <c r="S146" s="1">
        <v>209.13</v>
      </c>
    </row>
    <row r="147" spans="1:27" x14ac:dyDescent="0.2">
      <c r="A147" s="8">
        <v>43497</v>
      </c>
      <c r="B147" s="2" t="s">
        <v>49</v>
      </c>
      <c r="K147" s="1">
        <v>216.04</v>
      </c>
    </row>
    <row r="148" spans="1:27" x14ac:dyDescent="0.2">
      <c r="A148" s="8">
        <v>43500</v>
      </c>
      <c r="B148" s="2" t="s">
        <v>49</v>
      </c>
      <c r="C148" s="1">
        <v>181.93</v>
      </c>
      <c r="D148" s="2">
        <v>257.5</v>
      </c>
      <c r="M148" s="1">
        <f>281.74+173.15</f>
        <v>454.89</v>
      </c>
    </row>
    <row r="149" spans="1:27" x14ac:dyDescent="0.2">
      <c r="A149" s="8">
        <v>43502</v>
      </c>
      <c r="B149" s="2" t="s">
        <v>51</v>
      </c>
      <c r="O149" s="1">
        <v>61.29</v>
      </c>
    </row>
    <row r="150" spans="1:27" x14ac:dyDescent="0.2">
      <c r="A150" s="8">
        <v>43503</v>
      </c>
      <c r="B150" s="2" t="s">
        <v>59</v>
      </c>
      <c r="R150" s="1">
        <v>524.24</v>
      </c>
    </row>
    <row r="151" spans="1:27" x14ac:dyDescent="0.2">
      <c r="A151" s="8">
        <v>43503</v>
      </c>
      <c r="B151" s="2" t="s">
        <v>49</v>
      </c>
      <c r="O151" s="1">
        <v>607.85</v>
      </c>
    </row>
    <row r="152" spans="1:27" x14ac:dyDescent="0.2">
      <c r="A152" s="8">
        <v>43506</v>
      </c>
      <c r="B152" s="2" t="s">
        <v>48</v>
      </c>
      <c r="N152" s="1">
        <v>584.35</v>
      </c>
    </row>
    <row r="153" spans="1:27" x14ac:dyDescent="0.2">
      <c r="A153" s="8">
        <v>43507</v>
      </c>
      <c r="B153" s="2" t="s">
        <v>49</v>
      </c>
      <c r="M153" s="1">
        <f>190.75+164.73</f>
        <v>355.48</v>
      </c>
    </row>
    <row r="154" spans="1:27" x14ac:dyDescent="0.2">
      <c r="A154" s="8">
        <v>43508</v>
      </c>
      <c r="B154" s="2" t="s">
        <v>49</v>
      </c>
      <c r="P154" s="1">
        <v>381.71</v>
      </c>
      <c r="Q154" s="1">
        <v>190.27</v>
      </c>
    </row>
    <row r="155" spans="1:27" x14ac:dyDescent="0.2">
      <c r="A155" s="8">
        <v>43509</v>
      </c>
      <c r="B155" s="2" t="s">
        <v>59</v>
      </c>
      <c r="R155" s="1">
        <v>214.71</v>
      </c>
    </row>
    <row r="156" spans="1:27" x14ac:dyDescent="0.2">
      <c r="A156" s="8">
        <v>43510</v>
      </c>
      <c r="B156" s="2" t="s">
        <v>48</v>
      </c>
      <c r="Q156" s="1">
        <v>55.57</v>
      </c>
    </row>
    <row r="157" spans="1:27" x14ac:dyDescent="0.2">
      <c r="A157" s="8">
        <v>43510</v>
      </c>
      <c r="B157" s="2" t="s">
        <v>49</v>
      </c>
      <c r="Q157" s="1">
        <v>205.63</v>
      </c>
    </row>
    <row r="158" spans="1:27" x14ac:dyDescent="0.2">
      <c r="A158" s="8">
        <v>43510</v>
      </c>
      <c r="B158" s="2" t="s">
        <v>55</v>
      </c>
      <c r="M158" s="1">
        <v>285.39999999999998</v>
      </c>
    </row>
    <row r="159" spans="1:27" x14ac:dyDescent="0.2">
      <c r="A159" s="8">
        <v>43512</v>
      </c>
      <c r="B159" s="2" t="s">
        <v>49</v>
      </c>
      <c r="C159" s="1">
        <v>459.87</v>
      </c>
      <c r="D159" s="2">
        <v>442.84</v>
      </c>
    </row>
    <row r="160" spans="1:27" s="56" customFormat="1" x14ac:dyDescent="0.2">
      <c r="A160" s="8">
        <v>43516</v>
      </c>
      <c r="B160" s="2" t="s">
        <v>49</v>
      </c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>
        <v>523.4</v>
      </c>
      <c r="N160" s="1"/>
      <c r="O160" s="1"/>
      <c r="P160" s="1"/>
      <c r="Q160" s="1"/>
      <c r="R160" s="1"/>
      <c r="S160" s="1"/>
      <c r="T160" s="1"/>
      <c r="U160" s="1"/>
      <c r="V160" s="1"/>
      <c r="W160" s="10"/>
      <c r="X160" s="2"/>
      <c r="Y160" s="2"/>
      <c r="Z160" s="2"/>
      <c r="AA160" s="2"/>
    </row>
    <row r="161" spans="1:27" x14ac:dyDescent="0.2">
      <c r="A161" s="8">
        <v>43518</v>
      </c>
      <c r="B161" s="2" t="s">
        <v>49</v>
      </c>
      <c r="C161" s="1">
        <v>318.56</v>
      </c>
      <c r="D161" s="2">
        <v>75.89</v>
      </c>
      <c r="H161" s="1">
        <v>147.74</v>
      </c>
      <c r="I161" s="1">
        <v>579</v>
      </c>
    </row>
    <row r="162" spans="1:27" x14ac:dyDescent="0.2">
      <c r="A162" s="8">
        <v>43521</v>
      </c>
      <c r="B162" s="2" t="s">
        <v>49</v>
      </c>
      <c r="J162" s="1">
        <v>232.19</v>
      </c>
      <c r="Y162" s="56"/>
      <c r="Z162" s="56"/>
      <c r="AA162" s="56"/>
    </row>
    <row r="163" spans="1:27" x14ac:dyDescent="0.2">
      <c r="A163" s="8">
        <v>43522</v>
      </c>
      <c r="B163" s="2" t="s">
        <v>49</v>
      </c>
      <c r="Q163" s="1">
        <v>29.1</v>
      </c>
    </row>
    <row r="164" spans="1:27" x14ac:dyDescent="0.2">
      <c r="A164" s="8">
        <v>43522</v>
      </c>
      <c r="B164" s="2" t="s">
        <v>59</v>
      </c>
      <c r="R164" s="1">
        <v>1422.05</v>
      </c>
    </row>
    <row r="165" spans="1:27" x14ac:dyDescent="0.2">
      <c r="A165" s="8">
        <v>43524</v>
      </c>
      <c r="B165" s="2" t="s">
        <v>49</v>
      </c>
      <c r="M165" s="1">
        <v>172.96</v>
      </c>
    </row>
    <row r="166" spans="1:27" x14ac:dyDescent="0.2">
      <c r="A166" s="8">
        <v>43524</v>
      </c>
      <c r="B166" s="2" t="s">
        <v>53</v>
      </c>
      <c r="U166" s="1">
        <v>365.5</v>
      </c>
    </row>
    <row r="167" spans="1:27" x14ac:dyDescent="0.2">
      <c r="A167" s="8">
        <v>43525</v>
      </c>
      <c r="B167" s="2" t="s">
        <v>55</v>
      </c>
      <c r="C167" s="10"/>
      <c r="O167" s="1">
        <v>17.989999999999998</v>
      </c>
    </row>
    <row r="168" spans="1:27" x14ac:dyDescent="0.2">
      <c r="A168" s="8">
        <v>43529</v>
      </c>
      <c r="B168" s="2" t="s">
        <v>65</v>
      </c>
      <c r="M168" s="1">
        <v>191.16</v>
      </c>
    </row>
    <row r="169" spans="1:27" x14ac:dyDescent="0.2">
      <c r="A169" s="8">
        <v>43530</v>
      </c>
      <c r="B169" s="2" t="s">
        <v>66</v>
      </c>
      <c r="M169" s="1">
        <v>123.76</v>
      </c>
    </row>
    <row r="170" spans="1:27" x14ac:dyDescent="0.2">
      <c r="A170" s="8">
        <v>43532</v>
      </c>
      <c r="B170" s="2" t="s">
        <v>48</v>
      </c>
      <c r="R170" s="1">
        <v>23.95</v>
      </c>
    </row>
    <row r="171" spans="1:27" x14ac:dyDescent="0.2">
      <c r="A171" s="8">
        <v>43532</v>
      </c>
      <c r="B171" s="2" t="s">
        <v>49</v>
      </c>
      <c r="K171" s="1">
        <v>312.5</v>
      </c>
    </row>
    <row r="172" spans="1:27" x14ac:dyDescent="0.2">
      <c r="A172" s="8">
        <v>43532</v>
      </c>
      <c r="B172" s="2" t="s">
        <v>64</v>
      </c>
      <c r="M172" s="1">
        <v>209.93</v>
      </c>
    </row>
    <row r="173" spans="1:27" x14ac:dyDescent="0.2">
      <c r="A173" s="8">
        <v>43535</v>
      </c>
      <c r="B173" s="2" t="s">
        <v>49</v>
      </c>
      <c r="J173" s="1">
        <v>48.4</v>
      </c>
    </row>
    <row r="174" spans="1:27" x14ac:dyDescent="0.2">
      <c r="A174" s="8">
        <v>43536</v>
      </c>
      <c r="B174" s="2" t="s">
        <v>49</v>
      </c>
      <c r="C174" s="1">
        <v>327.49</v>
      </c>
      <c r="P174" s="1">
        <v>290.29000000000002</v>
      </c>
      <c r="Q174" s="1">
        <v>160.52000000000001</v>
      </c>
    </row>
    <row r="175" spans="1:27" x14ac:dyDescent="0.2">
      <c r="A175" s="8">
        <v>43536</v>
      </c>
      <c r="B175" s="2" t="s">
        <v>59</v>
      </c>
      <c r="R175" s="1">
        <v>261.14</v>
      </c>
    </row>
    <row r="176" spans="1:27" x14ac:dyDescent="0.2">
      <c r="A176" s="8">
        <v>43537</v>
      </c>
      <c r="B176" s="2" t="s">
        <v>49</v>
      </c>
      <c r="D176" s="2">
        <v>159.72999999999999</v>
      </c>
      <c r="K176" s="1">
        <v>51.63</v>
      </c>
    </row>
    <row r="177" spans="1:21" x14ac:dyDescent="0.2">
      <c r="A177" s="8">
        <v>43538</v>
      </c>
      <c r="B177" s="2" t="s">
        <v>59</v>
      </c>
      <c r="R177" s="1">
        <v>285.56</v>
      </c>
    </row>
    <row r="178" spans="1:21" x14ac:dyDescent="0.2">
      <c r="A178" s="8">
        <v>43538</v>
      </c>
      <c r="B178" s="2" t="s">
        <v>49</v>
      </c>
      <c r="O178" s="1">
        <v>525.58000000000004</v>
      </c>
    </row>
    <row r="179" spans="1:21" x14ac:dyDescent="0.2">
      <c r="A179" s="8">
        <v>43542</v>
      </c>
      <c r="B179" s="2" t="s">
        <v>49</v>
      </c>
      <c r="I179" s="1">
        <v>497.19</v>
      </c>
    </row>
    <row r="180" spans="1:21" x14ac:dyDescent="0.2">
      <c r="A180" s="8">
        <v>43542</v>
      </c>
      <c r="B180" s="2" t="s">
        <v>67</v>
      </c>
      <c r="M180" s="1">
        <v>283.05</v>
      </c>
    </row>
    <row r="181" spans="1:21" x14ac:dyDescent="0.2">
      <c r="A181" s="8">
        <v>43545</v>
      </c>
      <c r="B181" s="2" t="s">
        <v>55</v>
      </c>
      <c r="O181" s="1">
        <v>14.39</v>
      </c>
    </row>
    <row r="182" spans="1:21" x14ac:dyDescent="0.2">
      <c r="A182" s="8">
        <v>43546</v>
      </c>
      <c r="B182" s="2" t="s">
        <v>59</v>
      </c>
      <c r="R182" s="1">
        <v>143.1</v>
      </c>
    </row>
    <row r="183" spans="1:21" x14ac:dyDescent="0.2">
      <c r="A183" s="8">
        <v>43546</v>
      </c>
      <c r="B183" s="2" t="s">
        <v>49</v>
      </c>
      <c r="M183" s="1">
        <v>63.88</v>
      </c>
    </row>
    <row r="184" spans="1:21" x14ac:dyDescent="0.2">
      <c r="A184" s="8">
        <v>43549</v>
      </c>
      <c r="B184" s="2" t="s">
        <v>68</v>
      </c>
      <c r="T184" s="1">
        <v>200</v>
      </c>
    </row>
    <row r="185" spans="1:21" x14ac:dyDescent="0.2">
      <c r="A185" s="8">
        <v>43551</v>
      </c>
      <c r="B185" s="2" t="s">
        <v>48</v>
      </c>
      <c r="R185" s="1">
        <f>-29.98+29.98+6.99</f>
        <v>6.99</v>
      </c>
    </row>
    <row r="186" spans="1:21" x14ac:dyDescent="0.2">
      <c r="A186" s="8">
        <v>43552</v>
      </c>
      <c r="B186" s="2" t="s">
        <v>49</v>
      </c>
      <c r="Q186" s="1">
        <v>45.22</v>
      </c>
    </row>
    <row r="187" spans="1:21" x14ac:dyDescent="0.2">
      <c r="A187" s="8">
        <v>43552</v>
      </c>
      <c r="B187" s="2" t="s">
        <v>48</v>
      </c>
      <c r="Q187" s="1">
        <v>29.99</v>
      </c>
    </row>
    <row r="188" spans="1:21" x14ac:dyDescent="0.2">
      <c r="A188" s="8">
        <v>43552</v>
      </c>
      <c r="B188" s="2" t="s">
        <v>67</v>
      </c>
      <c r="M188" s="1">
        <v>53.91</v>
      </c>
    </row>
    <row r="189" spans="1:21" x14ac:dyDescent="0.2">
      <c r="A189" s="8">
        <v>43536</v>
      </c>
      <c r="B189" s="2" t="s">
        <v>60</v>
      </c>
      <c r="M189" s="1">
        <v>209.97</v>
      </c>
    </row>
    <row r="190" spans="1:21" x14ac:dyDescent="0.2">
      <c r="A190" s="8">
        <v>43537</v>
      </c>
      <c r="B190" s="2" t="s">
        <v>48</v>
      </c>
      <c r="N190" s="1">
        <v>336</v>
      </c>
    </row>
    <row r="191" spans="1:21" x14ac:dyDescent="0.2">
      <c r="A191" s="8">
        <v>43554</v>
      </c>
      <c r="B191" s="2" t="s">
        <v>53</v>
      </c>
      <c r="U191" s="1">
        <v>430.5</v>
      </c>
    </row>
    <row r="192" spans="1:21" x14ac:dyDescent="0.2">
      <c r="A192" s="8">
        <v>43557</v>
      </c>
      <c r="B192" s="2" t="s">
        <v>59</v>
      </c>
      <c r="R192" s="1">
        <f>967.32+119.3</f>
        <v>1086.6200000000001</v>
      </c>
    </row>
    <row r="193" spans="1:20" x14ac:dyDescent="0.2">
      <c r="A193" s="8">
        <v>43559</v>
      </c>
      <c r="B193" s="2" t="s">
        <v>49</v>
      </c>
      <c r="K193" s="1">
        <v>152.19999999999999</v>
      </c>
      <c r="P193" s="1">
        <v>283.08</v>
      </c>
      <c r="Q193" s="1">
        <v>187.45</v>
      </c>
    </row>
    <row r="194" spans="1:20" x14ac:dyDescent="0.2">
      <c r="A194" s="8">
        <v>43560</v>
      </c>
      <c r="B194" s="2" t="s">
        <v>49</v>
      </c>
      <c r="C194" s="1">
        <v>392.92</v>
      </c>
      <c r="D194" s="2">
        <v>311.27999999999997</v>
      </c>
    </row>
    <row r="195" spans="1:20" x14ac:dyDescent="0.2">
      <c r="A195" s="8">
        <v>43563</v>
      </c>
      <c r="B195" s="2" t="s">
        <v>55</v>
      </c>
      <c r="M195" s="1">
        <v>20.6</v>
      </c>
    </row>
    <row r="196" spans="1:20" x14ac:dyDescent="0.2">
      <c r="A196" s="8">
        <v>43566</v>
      </c>
      <c r="B196" s="2" t="s">
        <v>48</v>
      </c>
      <c r="Q196" s="1">
        <v>30.74</v>
      </c>
    </row>
    <row r="197" spans="1:20" x14ac:dyDescent="0.2">
      <c r="A197" s="8">
        <v>43566</v>
      </c>
      <c r="B197" s="2" t="s">
        <v>49</v>
      </c>
      <c r="I197" s="1">
        <v>614.23</v>
      </c>
      <c r="J197" s="1">
        <v>233.62</v>
      </c>
    </row>
    <row r="198" spans="1:20" x14ac:dyDescent="0.2">
      <c r="A198" s="8">
        <v>43571</v>
      </c>
      <c r="B198" s="2" t="s">
        <v>49</v>
      </c>
      <c r="M198" s="1">
        <v>25.56</v>
      </c>
    </row>
    <row r="199" spans="1:20" x14ac:dyDescent="0.2">
      <c r="A199" s="8">
        <v>43572</v>
      </c>
      <c r="B199" s="2" t="s">
        <v>59</v>
      </c>
      <c r="R199" s="1">
        <v>932.09</v>
      </c>
    </row>
    <row r="200" spans="1:20" x14ac:dyDescent="0.2">
      <c r="A200" s="8">
        <v>43573</v>
      </c>
      <c r="B200" s="2" t="s">
        <v>48</v>
      </c>
      <c r="R200" s="1">
        <v>21.88</v>
      </c>
    </row>
    <row r="201" spans="1:20" x14ac:dyDescent="0.2">
      <c r="A201" s="8">
        <v>43573</v>
      </c>
      <c r="B201" s="2" t="s">
        <v>69</v>
      </c>
      <c r="T201" s="1">
        <v>1601</v>
      </c>
    </row>
    <row r="202" spans="1:20" x14ac:dyDescent="0.2">
      <c r="A202" s="8">
        <v>43579</v>
      </c>
      <c r="B202" s="2" t="s">
        <v>59</v>
      </c>
      <c r="R202" s="1">
        <v>331.53</v>
      </c>
    </row>
    <row r="203" spans="1:20" x14ac:dyDescent="0.2">
      <c r="A203" s="8">
        <v>43579</v>
      </c>
      <c r="B203" s="2" t="s">
        <v>49</v>
      </c>
      <c r="C203" s="1">
        <v>114.27</v>
      </c>
      <c r="D203" s="2">
        <v>89.66</v>
      </c>
      <c r="M203" s="1">
        <f>241.4+169.83+218.29</f>
        <v>629.52</v>
      </c>
      <c r="P203" s="1">
        <v>47.29</v>
      </c>
      <c r="Q203" s="1">
        <v>213.88</v>
      </c>
    </row>
    <row r="204" spans="1:20" x14ac:dyDescent="0.2">
      <c r="A204" s="8">
        <v>43578</v>
      </c>
      <c r="B204" s="2" t="s">
        <v>54</v>
      </c>
      <c r="M204" s="1">
        <v>119.95</v>
      </c>
    </row>
    <row r="205" spans="1:20" x14ac:dyDescent="0.2">
      <c r="A205" s="8">
        <v>43581</v>
      </c>
      <c r="B205" s="2" t="s">
        <v>49</v>
      </c>
      <c r="D205" s="2">
        <v>25.99</v>
      </c>
      <c r="O205" s="1">
        <v>702.62</v>
      </c>
    </row>
    <row r="206" spans="1:20" x14ac:dyDescent="0.2">
      <c r="A206" s="8">
        <v>43584</v>
      </c>
      <c r="B206" s="2" t="s">
        <v>67</v>
      </c>
      <c r="M206" s="1">
        <v>28.45</v>
      </c>
    </row>
    <row r="207" spans="1:20" x14ac:dyDescent="0.2">
      <c r="A207" s="8">
        <v>43584</v>
      </c>
      <c r="B207" s="2" t="s">
        <v>49</v>
      </c>
      <c r="M207" s="1">
        <v>126.85</v>
      </c>
    </row>
    <row r="208" spans="1:20" x14ac:dyDescent="0.2">
      <c r="A208" s="8">
        <v>43585</v>
      </c>
      <c r="B208" s="2" t="s">
        <v>48</v>
      </c>
      <c r="N208" s="1">
        <v>85.96</v>
      </c>
    </row>
    <row r="209" spans="1:27" x14ac:dyDescent="0.2">
      <c r="A209" s="8">
        <v>43587</v>
      </c>
      <c r="B209" s="2" t="s">
        <v>49</v>
      </c>
      <c r="H209" s="1">
        <v>119.16</v>
      </c>
      <c r="M209" s="1">
        <v>143.97999999999999</v>
      </c>
    </row>
    <row r="210" spans="1:27" x14ac:dyDescent="0.2">
      <c r="A210" s="8">
        <v>43591</v>
      </c>
      <c r="B210" s="2" t="s">
        <v>49</v>
      </c>
      <c r="C210" s="1">
        <v>224.06</v>
      </c>
    </row>
    <row r="211" spans="1:27" x14ac:dyDescent="0.2">
      <c r="A211" s="8">
        <v>43592</v>
      </c>
      <c r="B211" s="2" t="s">
        <v>59</v>
      </c>
      <c r="R211" s="1">
        <v>856.44</v>
      </c>
    </row>
    <row r="212" spans="1:27" x14ac:dyDescent="0.2">
      <c r="A212" s="8">
        <v>43585</v>
      </c>
      <c r="B212" s="2" t="s">
        <v>48</v>
      </c>
      <c r="N212" s="1">
        <v>326.77999999999997</v>
      </c>
    </row>
    <row r="213" spans="1:27" x14ac:dyDescent="0.2">
      <c r="A213" s="8">
        <v>43591</v>
      </c>
      <c r="B213" s="2" t="s">
        <v>72</v>
      </c>
      <c r="Q213" s="1">
        <v>53.19</v>
      </c>
    </row>
    <row r="214" spans="1:27" x14ac:dyDescent="0.2">
      <c r="A214" s="8">
        <v>43592</v>
      </c>
      <c r="B214" s="2" t="s">
        <v>49</v>
      </c>
      <c r="K214" s="1">
        <v>272.39</v>
      </c>
    </row>
    <row r="215" spans="1:27" x14ac:dyDescent="0.2">
      <c r="A215" s="8">
        <v>43594</v>
      </c>
      <c r="B215" s="2" t="s">
        <v>59</v>
      </c>
      <c r="R215" s="1">
        <v>91.41</v>
      </c>
    </row>
    <row r="216" spans="1:27" x14ac:dyDescent="0.2">
      <c r="A216" s="8">
        <v>43594</v>
      </c>
      <c r="B216" s="2" t="s">
        <v>49</v>
      </c>
      <c r="C216" s="1">
        <v>141.38</v>
      </c>
      <c r="D216" s="2">
        <v>111.75</v>
      </c>
    </row>
    <row r="217" spans="1:27" x14ac:dyDescent="0.2">
      <c r="A217" s="8">
        <v>43595</v>
      </c>
      <c r="B217" s="2" t="s">
        <v>49</v>
      </c>
      <c r="M217" s="1">
        <f>51.43+183.36</f>
        <v>234.79000000000002</v>
      </c>
      <c r="P217" s="1">
        <v>657.51</v>
      </c>
      <c r="Q217" s="1">
        <v>277.7</v>
      </c>
    </row>
    <row r="218" spans="1:27" x14ac:dyDescent="0.2">
      <c r="A218" s="8">
        <v>43595</v>
      </c>
      <c r="B218" s="2" t="s">
        <v>59</v>
      </c>
      <c r="R218" s="1">
        <v>256.95999999999998</v>
      </c>
    </row>
    <row r="219" spans="1:27" x14ac:dyDescent="0.2">
      <c r="A219" s="8">
        <v>43598</v>
      </c>
      <c r="B219" s="2" t="s">
        <v>70</v>
      </c>
      <c r="T219" s="1">
        <v>300</v>
      </c>
    </row>
    <row r="220" spans="1:27" x14ac:dyDescent="0.2">
      <c r="A220" s="8">
        <v>43599</v>
      </c>
      <c r="B220" s="2" t="s">
        <v>71</v>
      </c>
      <c r="S220" s="1">
        <v>246</v>
      </c>
    </row>
    <row r="221" spans="1:27" x14ac:dyDescent="0.2">
      <c r="A221" s="8">
        <v>43599</v>
      </c>
      <c r="B221" s="2" t="s">
        <v>49</v>
      </c>
      <c r="I221" s="1">
        <v>536.57000000000005</v>
      </c>
    </row>
    <row r="222" spans="1:27" x14ac:dyDescent="0.2">
      <c r="A222" s="8">
        <v>43600</v>
      </c>
      <c r="B222" s="2" t="s">
        <v>49</v>
      </c>
      <c r="O222" s="1">
        <v>510.08</v>
      </c>
      <c r="Q222" s="1">
        <v>46.8</v>
      </c>
    </row>
    <row r="223" spans="1:27" s="57" customFormat="1" x14ac:dyDescent="0.2">
      <c r="A223" s="8">
        <v>43606</v>
      </c>
      <c r="B223" s="2" t="s">
        <v>48</v>
      </c>
      <c r="C223" s="1"/>
      <c r="D223" s="2">
        <v>19.98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0"/>
      <c r="X223" s="2"/>
      <c r="Y223" s="2"/>
      <c r="Z223" s="2"/>
      <c r="AA223" s="2"/>
    </row>
    <row r="224" spans="1:27" x14ac:dyDescent="0.2">
      <c r="A224" s="8">
        <v>43608</v>
      </c>
      <c r="B224" s="2" t="s">
        <v>55</v>
      </c>
      <c r="M224" s="1">
        <v>227.2</v>
      </c>
    </row>
    <row r="225" spans="1:27" x14ac:dyDescent="0.2">
      <c r="A225" s="8">
        <v>43609</v>
      </c>
      <c r="B225" s="2" t="s">
        <v>49</v>
      </c>
      <c r="C225" s="1">
        <v>166.28</v>
      </c>
      <c r="D225" s="2">
        <v>124.14</v>
      </c>
    </row>
    <row r="226" spans="1:27" x14ac:dyDescent="0.2">
      <c r="A226" s="8">
        <v>43609</v>
      </c>
      <c r="B226" s="2" t="s">
        <v>52</v>
      </c>
      <c r="M226" s="1">
        <v>151.6</v>
      </c>
    </row>
    <row r="227" spans="1:27" x14ac:dyDescent="0.2">
      <c r="A227" s="8">
        <v>43609</v>
      </c>
      <c r="B227" s="2" t="s">
        <v>55</v>
      </c>
      <c r="O227" s="1">
        <v>99</v>
      </c>
    </row>
    <row r="228" spans="1:27" x14ac:dyDescent="0.2">
      <c r="A228" s="8">
        <v>43615</v>
      </c>
      <c r="B228" s="2" t="s">
        <v>53</v>
      </c>
      <c r="U228" s="1">
        <v>410</v>
      </c>
      <c r="Z228" s="57"/>
      <c r="AA228" s="57"/>
    </row>
    <row r="229" spans="1:27" x14ac:dyDescent="0.2">
      <c r="A229" s="8">
        <v>43619</v>
      </c>
      <c r="B229" s="2" t="s">
        <v>49</v>
      </c>
      <c r="K229" s="1">
        <v>169.46</v>
      </c>
    </row>
    <row r="230" spans="1:27" x14ac:dyDescent="0.2">
      <c r="A230" s="8">
        <v>43608</v>
      </c>
      <c r="B230" s="2" t="s">
        <v>48</v>
      </c>
      <c r="N230" s="1">
        <v>316.31</v>
      </c>
    </row>
  </sheetData>
  <sortState ref="A212:AA228">
    <sortCondition ref="A228"/>
  </sortState>
  <phoneticPr fontId="1" type="noConversion"/>
  <pageMargins left="0.18" right="0.18" top="1" bottom="1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Itemized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2018-10-15T18:40:26Z</cp:lastPrinted>
  <dcterms:created xsi:type="dcterms:W3CDTF">2009-03-16T17:10:57Z</dcterms:created>
  <dcterms:modified xsi:type="dcterms:W3CDTF">2019-07-09T17:07:52Z</dcterms:modified>
</cp:coreProperties>
</file>