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ryville/Math Modeling w:Excel/Week 7/"/>
    </mc:Choice>
  </mc:AlternateContent>
  <xr:revisionPtr revIDLastSave="0" documentId="8_{DCB35F76-CBC7-0E42-AACB-2CA9382D7707}" xr6:coauthVersionLast="36" xr6:coauthVersionMax="36" xr10:uidLastSave="{00000000-0000-0000-0000-000000000000}"/>
  <bookViews>
    <workbookView xWindow="0" yWindow="0" windowWidth="28800" windowHeight="18000" xr2:uid="{A333E6D1-1B1B-BC47-A2D7-0D5DAA0008F6}"/>
  </bookViews>
  <sheets>
    <sheet name="Age x Serv w Ave Salary" sheetId="13" r:id="rId1"/>
    <sheet name="Age x Status" sheetId="12" r:id="rId2"/>
    <sheet name="Total 2-Year Average" sheetId="11" r:id="rId3"/>
    <sheet name="Age by Serv" sheetId="10" r:id="rId4"/>
    <sheet name="Sheet1" sheetId="8" r:id="rId5"/>
    <sheet name="Weight Watch" sheetId="6" r:id="rId6"/>
    <sheet name="Sheet2" sheetId="7" state="hidden" r:id="rId7"/>
    <sheet name="Chart Progress" sheetId="4" r:id="rId8"/>
    <sheet name="HW Progress" sheetId="3" r:id="rId9"/>
    <sheet name="Grade Distribtuion" sheetId="1" r:id="rId10"/>
    <sheet name="Student Records" sheetId="2" r:id="rId11"/>
    <sheet name="Records" sheetId="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ssetM">[1]Table!$J$3:$K$13</definedName>
    <definedName name="Benjamin">OFFSET('[2]Weight Watch'!$B$9,'[2]Weight Watch'!$I$3-9,2,'[2]Weight Watch'!$I$2,1)</definedName>
    <definedName name="BenjaminC">OFFSET('Weight Watch'!$B$1,Sheet2!$H$6-1,2,Sheet2!$H$5,1)</definedName>
    <definedName name="Client">[1]X!$C$9</definedName>
    <definedName name="DateC">OFFSET('Weight Watch'!$B$1,Sheet2!$H$6-1,0,Sheet2!$H$5,1)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EricC">OFFSET('Weight Watch'!$B$1,Sheet2!$H$6-1,4,Sheet2!$H$5,1)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GeorgeC">OFFSET('Weight Watch'!$B$1,Sheet2!$H$6-1,3,Sheet2!$H$5,1)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81029"/>
  <pivotCaches>
    <pivotCache cacheId="3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H7" i="7" s="1"/>
  <c r="F3" i="6"/>
  <c r="K8" i="7" l="1"/>
  <c r="H8" i="7"/>
  <c r="H10" i="7"/>
  <c r="K7" i="7"/>
  <c r="H9" i="7"/>
  <c r="E6" i="6"/>
  <c r="F5" i="6"/>
  <c r="E7" i="6"/>
  <c r="D6" i="6"/>
  <c r="F6" i="6"/>
  <c r="D5" i="6"/>
  <c r="D7" i="6"/>
  <c r="F7" i="6"/>
  <c r="E5" i="6"/>
  <c r="D7" i="4"/>
  <c r="D6" i="4"/>
  <c r="D5" i="4"/>
  <c r="D4" i="4"/>
  <c r="D9" i="4" s="1"/>
  <c r="D12" i="4" s="1"/>
  <c r="C14" i="3" l="1"/>
  <c r="C13" i="3"/>
  <c r="C12" i="3"/>
  <c r="C11" i="3"/>
  <c r="C10" i="3"/>
  <c r="C9" i="3"/>
  <c r="C8" i="3"/>
  <c r="C7" i="3"/>
  <c r="C6" i="3"/>
  <c r="C5" i="3"/>
  <c r="C4" i="3"/>
  <c r="C5" i="1"/>
  <c r="C6" i="1"/>
  <c r="C7" i="1"/>
  <c r="C4" i="1"/>
  <c r="Z14" i="2"/>
  <c r="M14" i="2"/>
  <c r="D14" i="2"/>
  <c r="Z13" i="2"/>
  <c r="D13" i="2" s="1"/>
  <c r="M13" i="2"/>
  <c r="Z12" i="2"/>
  <c r="M12" i="2"/>
  <c r="D12" i="2" s="1"/>
  <c r="Z11" i="2"/>
  <c r="M11" i="2"/>
  <c r="D11" i="2"/>
  <c r="Z10" i="2"/>
  <c r="M10" i="2"/>
  <c r="D10" i="2" s="1"/>
  <c r="Z9" i="2"/>
  <c r="M9" i="2"/>
  <c r="D9" i="2" s="1"/>
  <c r="Z8" i="2"/>
  <c r="M8" i="2"/>
  <c r="D8" i="2"/>
  <c r="Z7" i="2"/>
  <c r="M7" i="2"/>
  <c r="D7" i="2"/>
  <c r="Z6" i="2"/>
  <c r="D6" i="2" s="1"/>
  <c r="M6" i="2"/>
  <c r="Z5" i="2"/>
  <c r="M5" i="2"/>
  <c r="D5" i="2" s="1"/>
  <c r="Z4" i="2"/>
  <c r="M4" i="2"/>
  <c r="D4" i="2"/>
  <c r="Z3" i="2"/>
  <c r="M3" i="2"/>
  <c r="D3" i="2"/>
</calcChain>
</file>

<file path=xl/sharedStrings.xml><?xml version="1.0" encoding="utf-8"?>
<sst xmlns="http://schemas.openxmlformats.org/spreadsheetml/2006/main" count="405" uniqueCount="124">
  <si>
    <t>Grade Distribution</t>
  </si>
  <si>
    <t>Letter Grade</t>
  </si>
  <si>
    <t>Number of Students</t>
  </si>
  <si>
    <t>A</t>
  </si>
  <si>
    <t>B</t>
  </si>
  <si>
    <t>C</t>
  </si>
  <si>
    <t>F</t>
  </si>
  <si>
    <t>Final</t>
  </si>
  <si>
    <t>Total</t>
  </si>
  <si>
    <t>Quizzes</t>
  </si>
  <si>
    <t>Homework</t>
  </si>
  <si>
    <t>Name</t>
  </si>
  <si>
    <t>Email address</t>
  </si>
  <si>
    <t>Grade</t>
  </si>
  <si>
    <t>Points</t>
  </si>
  <si>
    <t>Mid-Term</t>
  </si>
  <si>
    <t>Klendshoj,Roxanne L</t>
  </si>
  <si>
    <t>aa@maryville.edu</t>
  </si>
  <si>
    <t>Doll Woolley,Jeanne M</t>
  </si>
  <si>
    <t>bb@maryville.edu</t>
  </si>
  <si>
    <t>Bartho,Jerome F</t>
  </si>
  <si>
    <t>cc@maryville.edu</t>
  </si>
  <si>
    <t>Benson,Scott G</t>
  </si>
  <si>
    <t>dd@maryville.edu</t>
  </si>
  <si>
    <t>Aho,Diane M</t>
  </si>
  <si>
    <t>ee@maryville.edu</t>
  </si>
  <si>
    <t>Larson,DeeAnn S</t>
  </si>
  <si>
    <t>ff@maryville.edu</t>
  </si>
  <si>
    <t>Nelson,Susann K</t>
  </si>
  <si>
    <t>gg@maryville.edu</t>
  </si>
  <si>
    <t>Asche,Tracy A</t>
  </si>
  <si>
    <t>hh@maryville.edu</t>
  </si>
  <si>
    <t>Carlson,Robert L</t>
  </si>
  <si>
    <t>ii@maryville.edu</t>
  </si>
  <si>
    <t>Donovan,Richard G</t>
  </si>
  <si>
    <t>jj@maryville.edu</t>
  </si>
  <si>
    <t>Shapiro,Susan R</t>
  </si>
  <si>
    <t>kk@maryville.edu</t>
  </si>
  <si>
    <t>Johnson,Bruce D</t>
  </si>
  <si>
    <t>ll@maryville.edu</t>
  </si>
  <si>
    <t>Homework Progress</t>
  </si>
  <si>
    <t>HW #</t>
  </si>
  <si>
    <t>HW Score</t>
  </si>
  <si>
    <t>Input Student Name:</t>
  </si>
  <si>
    <t>Progress Toward the Goal</t>
  </si>
  <si>
    <t>Midterm</t>
  </si>
  <si>
    <t>Quiz</t>
  </si>
  <si>
    <t>Goal</t>
  </si>
  <si>
    <t>Percentage</t>
  </si>
  <si>
    <t>Input Student Name</t>
  </si>
  <si>
    <t>Grading Policy</t>
  </si>
  <si>
    <t>to</t>
  </si>
  <si>
    <t>A-</t>
  </si>
  <si>
    <t>B+</t>
  </si>
  <si>
    <t>B-</t>
  </si>
  <si>
    <t>C+</t>
  </si>
  <si>
    <t>C-</t>
  </si>
  <si>
    <t>D</t>
  </si>
  <si>
    <t>Weight Watch</t>
  </si>
  <si>
    <t>Time Period (Starting and Ending Dates)</t>
  </si>
  <si>
    <t>Summary Information over the Given Period above</t>
  </si>
  <si>
    <t>Average Weight</t>
  </si>
  <si>
    <t>Minimum Weight</t>
  </si>
  <si>
    <t>Maximum Weight</t>
  </si>
  <si>
    <t>Weights</t>
  </si>
  <si>
    <t>Date</t>
  </si>
  <si>
    <t>Benjamin</t>
  </si>
  <si>
    <t>George</t>
  </si>
  <si>
    <t>Eric</t>
  </si>
  <si>
    <t># of records</t>
  </si>
  <si>
    <t>Starting row</t>
  </si>
  <si>
    <t>ID</t>
  </si>
  <si>
    <t>Company Code</t>
  </si>
  <si>
    <t>Current Salary</t>
  </si>
  <si>
    <t>Prior Salary</t>
  </si>
  <si>
    <t xml:space="preserve">Age </t>
  </si>
  <si>
    <t xml:space="preserve">Service </t>
  </si>
  <si>
    <t>Status Code</t>
  </si>
  <si>
    <t>Prior Status</t>
  </si>
  <si>
    <t>R</t>
  </si>
  <si>
    <t>V</t>
  </si>
  <si>
    <t>T</t>
  </si>
  <si>
    <t>Age by Service Distribution for Active Participants</t>
  </si>
  <si>
    <t>Grand Total</t>
  </si>
  <si>
    <t>25-29</t>
  </si>
  <si>
    <t>30-34</t>
  </si>
  <si>
    <t>35-39</t>
  </si>
  <si>
    <t>40-44</t>
  </si>
  <si>
    <t>45-49</t>
  </si>
  <si>
    <t>50-54</t>
  </si>
  <si>
    <t>55-59</t>
  </si>
  <si>
    <t>65-70</t>
  </si>
  <si>
    <t>Under 25</t>
  </si>
  <si>
    <t>5-9</t>
  </si>
  <si>
    <t>10-14</t>
  </si>
  <si>
    <t>15-19</t>
  </si>
  <si>
    <t>20-24</t>
  </si>
  <si>
    <t>35-40</t>
  </si>
  <si>
    <t>1-4</t>
  </si>
  <si>
    <t>Service</t>
  </si>
  <si>
    <t>Age</t>
  </si>
  <si>
    <t xml:space="preserve">  </t>
  </si>
  <si>
    <t>Age By Service Distribution for Active Participants</t>
  </si>
  <si>
    <t>Age by Service with Total average of two-year Salaries for Active Participants</t>
  </si>
  <si>
    <t>&lt;25</t>
  </si>
  <si>
    <t xml:space="preserve">Count of Service </t>
  </si>
  <si>
    <t xml:space="preserve">Total Count of Service </t>
  </si>
  <si>
    <t>Total Average of Current Salary</t>
  </si>
  <si>
    <t>Average of Current Salary</t>
  </si>
  <si>
    <t>Values</t>
  </si>
  <si>
    <t>Sum of Avg2YrSal</t>
  </si>
  <si>
    <t>Total Sum of Avg2YrSal</t>
  </si>
  <si>
    <t>60-64</t>
  </si>
  <si>
    <t xml:space="preserve">Count of Age </t>
  </si>
  <si>
    <t>Running Total</t>
  </si>
  <si>
    <t>Count</t>
  </si>
  <si>
    <t>% of Total</t>
  </si>
  <si>
    <t xml:space="preserve"> </t>
  </si>
  <si>
    <t>Age by Status Count</t>
  </si>
  <si>
    <t>Running Total of Age by Status Count</t>
  </si>
  <si>
    <t>Percentage of Total for Each Status Count</t>
  </si>
  <si>
    <t>Participant Counts with Total, Running Total, and Percentage of Total for Each Status</t>
  </si>
  <si>
    <t xml:space="preserve">Total Count of Age </t>
  </si>
  <si>
    <t>Age by Service with Average Salary for Active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</si>
</sst>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m/d/yyyy\ ddd"/>
    <numFmt numFmtId="166" formatCode="0.0"/>
    <numFmt numFmtId="167" formatCode="m/d/yyyy"/>
    <numFmt numFmtId="168" formatCode="_(* #,##0_);_(* \(#,##0\);_(* &quot;-&quot;??_);_(@_)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 (Body)_x0000_"/>
    </font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CD6AB2"/>
      <name val="Calibri"/>
      <family val="2"/>
      <scheme val="minor"/>
    </font>
    <font>
      <sz val="12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8" fillId="0" borderId="0"/>
    <xf numFmtId="0" fontId="12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65">
    <xf numFmtId="0" fontId="0" fillId="0" borderId="0" xfId="0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center"/>
    </xf>
    <xf numFmtId="0" fontId="2" fillId="2" borderId="0" xfId="1" applyFill="1"/>
    <xf numFmtId="0" fontId="5" fillId="2" borderId="0" xfId="2" applyFill="1" applyAlignment="1" applyProtection="1"/>
    <xf numFmtId="0" fontId="2" fillId="0" borderId="0" xfId="1" applyAlignment="1">
      <alignment horizontal="center"/>
    </xf>
    <xf numFmtId="0" fontId="2" fillId="2" borderId="0" xfId="1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1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7" fillId="0" borderId="0" xfId="0" applyFont="1"/>
    <xf numFmtId="0" fontId="0" fillId="4" borderId="0" xfId="0" applyFill="1"/>
    <xf numFmtId="0" fontId="8" fillId="0" borderId="0" xfId="4"/>
    <xf numFmtId="0" fontId="9" fillId="0" borderId="11" xfId="4" applyFont="1" applyBorder="1" applyAlignment="1">
      <alignment horizontal="left" vertical="top" wrapText="1"/>
    </xf>
    <xf numFmtId="0" fontId="10" fillId="0" borderId="12" xfId="4" applyFont="1" applyBorder="1" applyAlignment="1">
      <alignment horizontal="center" vertical="top" wrapText="1"/>
    </xf>
    <xf numFmtId="0" fontId="8" fillId="0" borderId="13" xfId="4" applyBorder="1"/>
    <xf numFmtId="0" fontId="10" fillId="0" borderId="2" xfId="4" applyFont="1" applyBorder="1" applyAlignment="1">
      <alignment horizontal="left" vertical="top" wrapText="1"/>
    </xf>
    <xf numFmtId="0" fontId="11" fillId="0" borderId="0" xfId="4" applyFont="1" applyBorder="1" applyAlignment="1">
      <alignment horizontal="center" vertical="top" wrapText="1"/>
    </xf>
    <xf numFmtId="10" fontId="11" fillId="0" borderId="0" xfId="4" applyNumberFormat="1" applyFont="1" applyBorder="1" applyAlignment="1">
      <alignment horizontal="right" vertical="top" wrapText="1"/>
    </xf>
    <xf numFmtId="164" fontId="11" fillId="0" borderId="0" xfId="4" applyNumberFormat="1" applyFont="1" applyBorder="1" applyAlignment="1">
      <alignment horizontal="left" vertical="top" wrapText="1"/>
    </xf>
    <xf numFmtId="0" fontId="10" fillId="0" borderId="3" xfId="4" applyFont="1" applyBorder="1" applyAlignment="1">
      <alignment horizontal="left" vertical="top" wrapText="1"/>
    </xf>
    <xf numFmtId="10" fontId="11" fillId="0" borderId="0" xfId="4" applyNumberFormat="1" applyFont="1" applyBorder="1" applyAlignment="1">
      <alignment horizontal="left" vertical="top" wrapText="1"/>
    </xf>
    <xf numFmtId="0" fontId="10" fillId="0" borderId="4" xfId="4" applyFont="1" applyBorder="1" applyAlignment="1">
      <alignment horizontal="left" vertical="top" wrapText="1"/>
    </xf>
    <xf numFmtId="0" fontId="11" fillId="0" borderId="14" xfId="4" applyFont="1" applyBorder="1" applyAlignment="1">
      <alignment horizontal="center" vertical="top" wrapText="1"/>
    </xf>
    <xf numFmtId="10" fontId="11" fillId="0" borderId="14" xfId="4" applyNumberFormat="1" applyFont="1" applyBorder="1" applyAlignment="1">
      <alignment horizontal="right" vertical="top" wrapText="1"/>
    </xf>
    <xf numFmtId="10" fontId="11" fillId="0" borderId="14" xfId="4" applyNumberFormat="1" applyFont="1" applyBorder="1" applyAlignment="1">
      <alignment horizontal="left" vertical="top" wrapText="1"/>
    </xf>
    <xf numFmtId="0" fontId="10" fillId="0" borderId="5" xfId="4" applyFont="1" applyBorder="1" applyAlignment="1">
      <alignment horizontal="left" vertical="top" wrapText="1"/>
    </xf>
    <xf numFmtId="0" fontId="12" fillId="2" borderId="0" xfId="5" applyFill="1" applyAlignment="1" applyProtection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/>
    </xf>
    <xf numFmtId="9" fontId="13" fillId="0" borderId="9" xfId="3" applyFont="1" applyBorder="1" applyAlignment="1">
      <alignment horizontal="center"/>
    </xf>
    <xf numFmtId="0" fontId="1" fillId="0" borderId="0" xfId="0" applyFont="1" applyAlignment="1">
      <alignment horizontal="center"/>
    </xf>
    <xf numFmtId="0" fontId="15" fillId="7" borderId="2" xfId="0" applyFont="1" applyFill="1" applyBorder="1"/>
    <xf numFmtId="0" fontId="15" fillId="7" borderId="0" xfId="0" applyFont="1" applyFill="1" applyBorder="1"/>
    <xf numFmtId="0" fontId="15" fillId="7" borderId="4" xfId="0" applyFont="1" applyFill="1" applyBorder="1"/>
    <xf numFmtId="0" fontId="15" fillId="7" borderId="14" xfId="0" applyFont="1" applyFill="1" applyBorder="1"/>
    <xf numFmtId="165" fontId="2" fillId="8" borderId="9" xfId="1" applyNumberFormat="1" applyFill="1" applyBorder="1"/>
    <xf numFmtId="0" fontId="2" fillId="0" borderId="9" xfId="1" applyBorder="1"/>
    <xf numFmtId="166" fontId="2" fillId="2" borderId="9" xfId="1" applyNumberFormat="1" applyFill="1" applyBorder="1" applyAlignment="1">
      <alignment horizontal="center"/>
    </xf>
    <xf numFmtId="167" fontId="0" fillId="4" borderId="1" xfId="0" applyNumberFormat="1" applyFill="1" applyBorder="1"/>
    <xf numFmtId="166" fontId="15" fillId="7" borderId="0" xfId="0" applyNumberFormat="1" applyFont="1" applyFill="1" applyBorder="1" applyAlignment="1">
      <alignment horizontal="center"/>
    </xf>
    <xf numFmtId="166" fontId="15" fillId="7" borderId="3" xfId="0" applyNumberFormat="1" applyFont="1" applyFill="1" applyBorder="1" applyAlignment="1">
      <alignment horizontal="center"/>
    </xf>
    <xf numFmtId="166" fontId="15" fillId="7" borderId="14" xfId="0" applyNumberFormat="1" applyFont="1" applyFill="1" applyBorder="1" applyAlignment="1">
      <alignment horizontal="center"/>
    </xf>
    <xf numFmtId="166" fontId="15" fillId="7" borderId="5" xfId="0" applyNumberFormat="1" applyFont="1" applyFill="1" applyBorder="1" applyAlignment="1">
      <alignment horizontal="center"/>
    </xf>
    <xf numFmtId="0" fontId="14" fillId="0" borderId="0" xfId="0" applyFont="1" applyProtection="1">
      <protection hidden="1"/>
    </xf>
    <xf numFmtId="14" fontId="14" fillId="0" borderId="0" xfId="0" applyNumberFormat="1" applyFont="1" applyProtection="1">
      <protection hidden="1"/>
    </xf>
    <xf numFmtId="0" fontId="10" fillId="2" borderId="17" xfId="1" applyFont="1" applyFill="1" applyBorder="1" applyAlignment="1">
      <alignment horizontal="center"/>
    </xf>
    <xf numFmtId="0" fontId="10" fillId="2" borderId="18" xfId="1" applyFont="1" applyFill="1" applyBorder="1" applyAlignment="1">
      <alignment horizontal="center"/>
    </xf>
    <xf numFmtId="0" fontId="10" fillId="2" borderId="19" xfId="1" applyFont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168" fontId="0" fillId="8" borderId="9" xfId="6" applyNumberFormat="1" applyFont="1" applyFill="1" applyBorder="1"/>
    <xf numFmtId="0" fontId="0" fillId="0" borderId="0" xfId="0" pivotButton="1"/>
    <xf numFmtId="0" fontId="16" fillId="9" borderId="0" xfId="0" applyFont="1" applyFill="1"/>
    <xf numFmtId="0" fontId="16" fillId="9" borderId="0" xfId="0" applyFont="1" applyFill="1" applyAlignment="1">
      <alignment horizontal="right"/>
    </xf>
    <xf numFmtId="0" fontId="14" fillId="9" borderId="0" xfId="0" applyFont="1" applyFill="1" applyAlignment="1">
      <alignment horizontal="left"/>
    </xf>
    <xf numFmtId="0" fontId="16" fillId="9" borderId="0" xfId="0" applyNumberFormat="1" applyFont="1" applyFill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5" fillId="7" borderId="15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9" fillId="6" borderId="6" xfId="4" applyFont="1" applyFill="1" applyBorder="1" applyAlignment="1">
      <alignment horizontal="center" vertical="top" wrapText="1"/>
    </xf>
    <xf numFmtId="0" fontId="9" fillId="6" borderId="10" xfId="4" applyFont="1" applyFill="1" applyBorder="1" applyAlignment="1">
      <alignment horizontal="center" vertical="top" wrapText="1"/>
    </xf>
    <xf numFmtId="0" fontId="9" fillId="6" borderId="7" xfId="4" applyFont="1" applyFill="1" applyBorder="1" applyAlignment="1">
      <alignment horizontal="center" vertical="top" wrapText="1"/>
    </xf>
    <xf numFmtId="0" fontId="10" fillId="0" borderId="12" xfId="4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1" fontId="0" fillId="0" borderId="0" xfId="0" applyNumberFormat="1"/>
    <xf numFmtId="0" fontId="16" fillId="10" borderId="0" xfId="0" applyFont="1" applyFill="1" applyAlignment="1">
      <alignment horizontal="center" vertical="center" wrapText="1"/>
    </xf>
    <xf numFmtId="0" fontId="0" fillId="11" borderId="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/>
    </xf>
    <xf numFmtId="41" fontId="15" fillId="11" borderId="6" xfId="0" applyNumberFormat="1" applyFont="1" applyFill="1" applyBorder="1"/>
    <xf numFmtId="41" fontId="15" fillId="11" borderId="10" xfId="0" applyNumberFormat="1" applyFont="1" applyFill="1" applyBorder="1"/>
    <xf numFmtId="41" fontId="15" fillId="11" borderId="7" xfId="0" applyNumberFormat="1" applyFont="1" applyFill="1" applyBorder="1"/>
    <xf numFmtId="41" fontId="18" fillId="11" borderId="5" xfId="0" applyNumberFormat="1" applyFont="1" applyFill="1" applyBorder="1"/>
    <xf numFmtId="0" fontId="0" fillId="11" borderId="20" xfId="0" applyFill="1" applyBorder="1" applyAlignment="1">
      <alignment horizontal="center"/>
    </xf>
    <xf numFmtId="41" fontId="15" fillId="11" borderId="4" xfId="0" applyNumberFormat="1" applyFont="1" applyFill="1" applyBorder="1"/>
    <xf numFmtId="41" fontId="15" fillId="11" borderId="14" xfId="0" applyNumberFormat="1" applyFont="1" applyFill="1" applyBorder="1"/>
    <xf numFmtId="41" fontId="15" fillId="11" borderId="5" xfId="0" applyNumberFormat="1" applyFont="1" applyFill="1" applyBorder="1"/>
    <xf numFmtId="41" fontId="18" fillId="11" borderId="7" xfId="0" applyNumberFormat="1" applyFont="1" applyFill="1" applyBorder="1"/>
    <xf numFmtId="0" fontId="17" fillId="11" borderId="23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0" xfId="0" applyBorder="1"/>
    <xf numFmtId="0" fontId="0" fillId="0" borderId="3" xfId="0" applyBorder="1"/>
    <xf numFmtId="0" fontId="0" fillId="0" borderId="0" xfId="0" applyNumberFormat="1" applyBorder="1"/>
    <xf numFmtId="0" fontId="0" fillId="0" borderId="3" xfId="0" applyNumberFormat="1" applyBorder="1"/>
    <xf numFmtId="0" fontId="1" fillId="12" borderId="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10" xfId="0" applyNumberFormat="1" applyBorder="1"/>
    <xf numFmtId="0" fontId="0" fillId="0" borderId="7" xfId="0" applyNumberFormat="1" applyBorder="1"/>
    <xf numFmtId="0" fontId="0" fillId="0" borderId="6" xfId="0" applyBorder="1"/>
    <xf numFmtId="0" fontId="0" fillId="0" borderId="0" xfId="0" pivotButton="1" applyBorder="1"/>
    <xf numFmtId="10" fontId="0" fillId="0" borderId="0" xfId="0" applyNumberFormat="1" applyBorder="1"/>
    <xf numFmtId="10" fontId="0" fillId="0" borderId="3" xfId="0" applyNumberFormat="1" applyBorder="1"/>
    <xf numFmtId="10" fontId="0" fillId="0" borderId="2" xfId="0" applyNumberFormat="1" applyBorder="1"/>
    <xf numFmtId="0" fontId="0" fillId="0" borderId="23" xfId="0" pivotButton="1" applyBorder="1"/>
    <xf numFmtId="0" fontId="0" fillId="0" borderId="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11" xfId="0" applyNumberFormat="1" applyBorder="1"/>
    <xf numFmtId="0" fontId="0" fillId="0" borderId="22" xfId="0" applyNumberFormat="1" applyBorder="1"/>
    <xf numFmtId="0" fontId="0" fillId="0" borderId="13" xfId="0" applyNumberFormat="1" applyBorder="1"/>
    <xf numFmtId="0" fontId="0" fillId="0" borderId="2" xfId="0" applyNumberFormat="1" applyBorder="1"/>
    <xf numFmtId="0" fontId="0" fillId="0" borderId="1" xfId="0" pivotButton="1" applyBorder="1"/>
    <xf numFmtId="0" fontId="0" fillId="0" borderId="10" xfId="0" applyBorder="1"/>
    <xf numFmtId="0" fontId="0" fillId="0" borderId="7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6" xfId="0" applyNumberFormat="1" applyBorder="1"/>
    <xf numFmtId="0" fontId="16" fillId="10" borderId="20" xfId="0" applyFont="1" applyFill="1" applyBorder="1"/>
    <xf numFmtId="0" fontId="17" fillId="3" borderId="20" xfId="0" applyFont="1" applyFill="1" applyBorder="1"/>
    <xf numFmtId="0" fontId="17" fillId="3" borderId="1" xfId="0" applyFont="1" applyFill="1" applyBorder="1"/>
    <xf numFmtId="0" fontId="0" fillId="0" borderId="6" xfId="0" pivotButton="1" applyBorder="1"/>
    <xf numFmtId="0" fontId="16" fillId="10" borderId="22" xfId="0" applyFont="1" applyFill="1" applyBorder="1"/>
    <xf numFmtId="0" fontId="16" fillId="10" borderId="0" xfId="0" applyFont="1" applyFill="1" applyBorder="1"/>
    <xf numFmtId="0" fontId="17" fillId="3" borderId="0" xfId="0" applyFont="1" applyFill="1" applyBorder="1"/>
    <xf numFmtId="0" fontId="17" fillId="3" borderId="10" xfId="0" applyFont="1" applyFill="1" applyBorder="1"/>
    <xf numFmtId="0" fontId="16" fillId="10" borderId="21" xfId="0" applyFont="1" applyFill="1" applyBorder="1"/>
    <xf numFmtId="0" fontId="0" fillId="0" borderId="14" xfId="0" applyBorder="1"/>
    <xf numFmtId="0" fontId="17" fillId="3" borderId="20" xfId="0" applyNumberFormat="1" applyFont="1" applyFill="1" applyBorder="1"/>
    <xf numFmtId="168" fontId="0" fillId="0" borderId="14" xfId="0" applyNumberFormat="1" applyBorder="1"/>
    <xf numFmtId="168" fontId="0" fillId="0" borderId="5" xfId="0" applyNumberFormat="1" applyBorder="1"/>
    <xf numFmtId="168" fontId="17" fillId="3" borderId="21" xfId="0" applyNumberFormat="1" applyFont="1" applyFill="1" applyBorder="1"/>
    <xf numFmtId="168" fontId="0" fillId="0" borderId="22" xfId="0" applyNumberFormat="1" applyBorder="1"/>
    <xf numFmtId="168" fontId="0" fillId="0" borderId="13" xfId="0" applyNumberFormat="1" applyBorder="1"/>
    <xf numFmtId="168" fontId="17" fillId="3" borderId="20" xfId="0" applyNumberFormat="1" applyFont="1" applyFill="1" applyBorder="1"/>
    <xf numFmtId="168" fontId="0" fillId="0" borderId="11" xfId="0" applyNumberFormat="1" applyBorder="1"/>
    <xf numFmtId="168" fontId="0" fillId="0" borderId="4" xfId="0" applyNumberFormat="1" applyBorder="1"/>
    <xf numFmtId="168" fontId="17" fillId="3" borderId="11" xfId="0" applyNumberFormat="1" applyFont="1" applyFill="1" applyBorder="1"/>
    <xf numFmtId="168" fontId="17" fillId="3" borderId="22" xfId="0" applyNumberFormat="1" applyFont="1" applyFill="1" applyBorder="1"/>
    <xf numFmtId="168" fontId="17" fillId="3" borderId="13" xfId="0" applyNumberFormat="1" applyFont="1" applyFill="1" applyBorder="1"/>
    <xf numFmtId="168" fontId="17" fillId="3" borderId="1" xfId="0" applyNumberFormat="1" applyFont="1" applyFill="1" applyBorder="1"/>
    <xf numFmtId="168" fontId="17" fillId="3" borderId="6" xfId="0" applyNumberFormat="1" applyFont="1" applyFill="1" applyBorder="1"/>
    <xf numFmtId="168" fontId="17" fillId="3" borderId="10" xfId="0" applyNumberFormat="1" applyFont="1" applyFill="1" applyBorder="1"/>
    <xf numFmtId="168" fontId="17" fillId="3" borderId="7" xfId="0" applyNumberFormat="1" applyFont="1" applyFill="1" applyBorder="1"/>
    <xf numFmtId="0" fontId="0" fillId="11" borderId="1" xfId="0" applyFill="1" applyBorder="1"/>
  </cellXfs>
  <cellStyles count="7">
    <cellStyle name="Comma 2" xfId="6" xr:uid="{C003BDF5-2948-564B-B3F1-51A5E9A34BEB}"/>
    <cellStyle name="Hyperlink 2" xfId="2" xr:uid="{9A3CF243-03D6-1341-AAAC-4FD8EEEDA08C}"/>
    <cellStyle name="Hyperlink 2 2" xfId="5" xr:uid="{D84EDD08-9B76-844A-81CC-20196CE902ED}"/>
    <cellStyle name="Normal" xfId="0" builtinId="0"/>
    <cellStyle name="Normal 2" xfId="1" xr:uid="{CC1DF49A-9158-854E-AC55-2C9AB9087640}"/>
    <cellStyle name="Normal 4" xfId="4" xr:uid="{E831AF18-CD65-6043-81A8-99606529564F}"/>
    <cellStyle name="Percent" xfId="3" builtinId="5"/>
  </cellStyles>
  <dxfs count="301"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numFmt numFmtId="177" formatCode="_(* #,##0.0_);_(* \(#,##0.0\);_(* &quot;-&quot;??_);_(@_)"/>
    </dxf>
    <dxf>
      <numFmt numFmtId="168" formatCode="_(* #,##0_);_(* \(#,##0\);_(* &quot;-&quot;??_);_(@_)"/>
    </dxf>
    <dxf>
      <numFmt numFmtId="177" formatCode="_(* #,##0.0_);_(* \(#,##0.0\);_(* &quot;-&quot;??_);_(@_)"/>
    </dxf>
    <dxf>
      <numFmt numFmtId="168" formatCode="_(* #,##0_);_(* \(#,##0\);_(* &quot;-&quot;??_);_(@_)"/>
    </dxf>
    <dxf>
      <numFmt numFmtId="177" formatCode="_(* #,##0.0_);_(* \(#,##0.0\);_(* &quot;-&quot;??_);_(@_)"/>
    </dxf>
    <dxf>
      <numFmt numFmtId="168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76" formatCode="_(* #,##0.000_);_(* \(#,##0.000\);_(* &quot;-&quot;??_);_(@_)"/>
    </dxf>
    <dxf>
      <numFmt numFmtId="176" formatCode="_(* #,##0.000_);_(* \(#,##0.000\);_(* &quot;-&quot;??_);_(@_)"/>
    </dxf>
    <dxf>
      <numFmt numFmtId="176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border>
        <left style="medium">
          <color indexed="64"/>
        </left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D6AB2"/>
      </font>
    </dxf>
    <dxf>
      <font>
        <color rgb="FFCD6AB2"/>
      </font>
    </dxf>
    <dxf>
      <font>
        <color rgb="FFCD6AB2"/>
      </font>
    </dxf>
    <dxf>
      <font>
        <color rgb="FFCD6AB2"/>
      </font>
    </dxf>
    <dxf>
      <font>
        <color rgb="FFCD6AB2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CD6AB2"/>
      </font>
    </dxf>
    <dxf>
      <font>
        <color rgb="FFCD6AB2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rgb="FFFFFF00"/>
      </font>
    </dxf>
    <dxf>
      <fill>
        <patternFill>
          <bgColor theme="2" tint="-9.9978637043366805E-2"/>
        </patternFill>
      </fill>
    </dxf>
    <dxf>
      <fill>
        <patternFill patternType="solid">
          <bgColor theme="2"/>
        </patternFill>
      </fill>
    </dxf>
    <dxf>
      <alignment horizontal="right"/>
    </dxf>
    <dxf>
      <font>
        <color theme="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33" formatCode="_(* #,##0_);_(* \(#,##0\);_(* &quot;-&quot;_);_(@_)"/>
    </dxf>
    <dxf>
      <fill>
        <patternFill patternType="solid">
          <bgColor theme="2" tint="-9.9978637043366805E-2"/>
        </patternFill>
      </fill>
    </dxf>
    <dxf>
      <font>
        <color rgb="FFFFFF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</border>
    </dxf>
    <dxf>
      <font>
        <color rgb="FFCD6AB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font>
        <color theme="5" tint="-0.249977111117893"/>
      </font>
    </dxf>
    <dxf>
      <font>
        <color theme="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4"/>
      </font>
    </dxf>
    <dxf>
      <font>
        <color theme="5" tint="-0.249977111117893"/>
      </font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CD6AB2"/>
      </font>
    </dxf>
    <dxf>
      <border>
        <left style="medium">
          <color indexed="64"/>
        </left>
        <right style="medium">
          <color indexed="64"/>
        </right>
      </border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3" formatCode="_(* #,##0_);_(* \(#,##0\);_(* &quot;-&quot;_);_(@_)"/>
    </dxf>
    <dxf>
      <fill>
        <patternFill patternType="solid">
          <bgColor theme="2" tint="-9.9978637043366805E-2"/>
        </patternFill>
      </fill>
    </dxf>
    <dxf>
      <font>
        <color rgb="FFFFFF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theme="0"/>
      </font>
    </dxf>
    <dxf>
      <alignment horizontal="right"/>
    </dxf>
  </dxfs>
  <tableStyles count="0" defaultTableStyle="TableStyleMedium2" defaultPivotStyle="PivotStyleLight16"/>
  <colors>
    <mruColors>
      <color rgb="FFCD6AB2"/>
      <color rgb="FF0EFF0C"/>
      <color rgb="FF59B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53850260242889E-2"/>
          <c:y val="5.1498127340823971E-2"/>
          <c:w val="0.70846331576137733"/>
          <c:h val="0.75647357633666579"/>
        </c:manualLayout>
      </c:layout>
      <c:lineChart>
        <c:grouping val="standard"/>
        <c:varyColors val="0"/>
        <c:ser>
          <c:idx val="0"/>
          <c:order val="0"/>
          <c:tx>
            <c:strRef>
              <c:f>'Weight Watch'!$C$9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[0]!DateC</c:f>
              <c:numCache>
                <c:formatCode>m/d/yyyy\ ddd</c:formatCode>
                <c:ptCount val="6"/>
                <c:pt idx="0">
                  <c:v>42736</c:v>
                </c:pt>
                <c:pt idx="1">
                  <c:v>42810</c:v>
                </c:pt>
                <c:pt idx="2">
                  <c:v>42876</c:v>
                </c:pt>
                <c:pt idx="3">
                  <c:v>42960</c:v>
                </c:pt>
                <c:pt idx="4">
                  <c:v>43030</c:v>
                </c:pt>
                <c:pt idx="5">
                  <c:v>43086</c:v>
                </c:pt>
              </c:numCache>
            </c:numRef>
          </c:cat>
          <c:val>
            <c:numRef>
              <c:f>'Weight Watch'!$C$10:$C$34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8-A643-99CF-1045247C5637}"/>
            </c:ext>
          </c:extLst>
        </c:ser>
        <c:ser>
          <c:idx val="1"/>
          <c:order val="1"/>
          <c:tx>
            <c:strRef>
              <c:f>'Weight Watch'!$D$9</c:f>
              <c:strCache>
                <c:ptCount val="1"/>
                <c:pt idx="0">
                  <c:v>Benjamin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[0]!DateC</c:f>
              <c:numCache>
                <c:formatCode>m/d/yyyy\ ddd</c:formatCode>
                <c:ptCount val="6"/>
                <c:pt idx="0">
                  <c:v>42736</c:v>
                </c:pt>
                <c:pt idx="1">
                  <c:v>42810</c:v>
                </c:pt>
                <c:pt idx="2">
                  <c:v>42876</c:v>
                </c:pt>
                <c:pt idx="3">
                  <c:v>42960</c:v>
                </c:pt>
                <c:pt idx="4">
                  <c:v>43030</c:v>
                </c:pt>
                <c:pt idx="5">
                  <c:v>43086</c:v>
                </c:pt>
              </c:numCache>
            </c:numRef>
          </c:cat>
          <c:val>
            <c:numRef>
              <c:f>[0]!BenjaminC</c:f>
              <c:numCache>
                <c:formatCode>0.0</c:formatCode>
                <c:ptCount val="6"/>
                <c:pt idx="0">
                  <c:v>190</c:v>
                </c:pt>
                <c:pt idx="1">
                  <c:v>187</c:v>
                </c:pt>
                <c:pt idx="2">
                  <c:v>183.5</c:v>
                </c:pt>
                <c:pt idx="3">
                  <c:v>170</c:v>
                </c:pt>
                <c:pt idx="4">
                  <c:v>169.5</c:v>
                </c:pt>
                <c:pt idx="5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8-A643-99CF-1045247C5637}"/>
            </c:ext>
          </c:extLst>
        </c:ser>
        <c:ser>
          <c:idx val="2"/>
          <c:order val="2"/>
          <c:tx>
            <c:strRef>
              <c:f>'Weight Watch'!$E$9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[0]!DateC</c:f>
              <c:numCache>
                <c:formatCode>m/d/yyyy\ ddd</c:formatCode>
                <c:ptCount val="6"/>
                <c:pt idx="0">
                  <c:v>42736</c:v>
                </c:pt>
                <c:pt idx="1">
                  <c:v>42810</c:v>
                </c:pt>
                <c:pt idx="2">
                  <c:v>42876</c:v>
                </c:pt>
                <c:pt idx="3">
                  <c:v>42960</c:v>
                </c:pt>
                <c:pt idx="4">
                  <c:v>43030</c:v>
                </c:pt>
                <c:pt idx="5">
                  <c:v>43086</c:v>
                </c:pt>
              </c:numCache>
            </c:numRef>
          </c:cat>
          <c:val>
            <c:numRef>
              <c:f>[0]!GeorgeC</c:f>
              <c:numCache>
                <c:formatCode>0.0</c:formatCode>
                <c:ptCount val="6"/>
                <c:pt idx="0">
                  <c:v>172</c:v>
                </c:pt>
                <c:pt idx="1">
                  <c:v>164</c:v>
                </c:pt>
                <c:pt idx="2">
                  <c:v>161</c:v>
                </c:pt>
                <c:pt idx="3">
                  <c:v>160</c:v>
                </c:pt>
                <c:pt idx="4">
                  <c:v>156</c:v>
                </c:pt>
                <c:pt idx="5">
                  <c:v>163.5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8-A643-99CF-1045247C5637}"/>
            </c:ext>
          </c:extLst>
        </c:ser>
        <c:ser>
          <c:idx val="3"/>
          <c:order val="3"/>
          <c:tx>
            <c:strRef>
              <c:f>'Weight Watch'!$F$9</c:f>
              <c:strCache>
                <c:ptCount val="1"/>
                <c:pt idx="0">
                  <c:v>Eric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[0]!DateC</c:f>
              <c:numCache>
                <c:formatCode>m/d/yyyy\ ddd</c:formatCode>
                <c:ptCount val="6"/>
                <c:pt idx="0">
                  <c:v>42736</c:v>
                </c:pt>
                <c:pt idx="1">
                  <c:v>42810</c:v>
                </c:pt>
                <c:pt idx="2">
                  <c:v>42876</c:v>
                </c:pt>
                <c:pt idx="3">
                  <c:v>42960</c:v>
                </c:pt>
                <c:pt idx="4">
                  <c:v>43030</c:v>
                </c:pt>
                <c:pt idx="5">
                  <c:v>43086</c:v>
                </c:pt>
              </c:numCache>
            </c:numRef>
          </c:cat>
          <c:val>
            <c:numRef>
              <c:f>[0]!EricC</c:f>
              <c:numCache>
                <c:formatCode>0.0</c:formatCode>
                <c:ptCount val="6"/>
                <c:pt idx="0">
                  <c:v>169</c:v>
                </c:pt>
                <c:pt idx="1">
                  <c:v>158</c:v>
                </c:pt>
                <c:pt idx="2">
                  <c:v>156</c:v>
                </c:pt>
                <c:pt idx="3">
                  <c:v>152.5</c:v>
                </c:pt>
                <c:pt idx="4">
                  <c:v>153</c:v>
                </c:pt>
                <c:pt idx="5">
                  <c:v>155.5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8-A643-99CF-1045247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365520"/>
        <c:axId val="1154566448"/>
      </c:lineChart>
      <c:dateAx>
        <c:axId val="1297365520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66448"/>
        <c:crosses val="autoZero"/>
        <c:auto val="1"/>
        <c:lblOffset val="100"/>
        <c:baseTimeUnit val="months"/>
        <c:minorUnit val="1"/>
        <c:minorTimeUnit val="months"/>
      </c:dateAx>
      <c:valAx>
        <c:axId val="1154566448"/>
        <c:scaling>
          <c:orientation val="minMax"/>
          <c:max val="190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Progress'!$B$2</c:f>
          <c:strCache>
            <c:ptCount val="1"/>
            <c:pt idx="0">
              <c:v>Progress Toward the Goal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99351211905353"/>
          <c:y val="0.17453177208937443"/>
          <c:w val="0.6081014231019287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EFF0C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Progress'!$D$12</c:f>
              <c:numCache>
                <c:formatCode>0%</c:formatCode>
                <c:ptCount val="1"/>
                <c:pt idx="0">
                  <c:v>0.85607476635514024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6-6C4A-97B3-E6DC19D4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52598480"/>
        <c:axId val="1152649952"/>
      </c:barChart>
      <c:catAx>
        <c:axId val="115259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2649952"/>
        <c:crosses val="autoZero"/>
        <c:auto val="1"/>
        <c:lblAlgn val="ctr"/>
        <c:lblOffset val="100"/>
        <c:noMultiLvlLbl val="0"/>
      </c:catAx>
      <c:valAx>
        <c:axId val="11526499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8480"/>
        <c:crosses val="autoZero"/>
        <c:crossBetween val="between"/>
      </c:valAx>
      <c:spPr>
        <a:solidFill>
          <a:schemeClr val="bg1">
            <a:lumMod val="85000"/>
          </a:schemeClr>
        </a:solidFill>
        <a:ln w="254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'HW Progress'!$B$2</c:f>
          <c:strCache>
            <c:ptCount val="1"/>
            <c:pt idx="0">
              <c:v>Homework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CD6A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D6AB2"/>
              </a:solidFill>
              <a:ln w="47625">
                <a:solidFill>
                  <a:srgbClr val="CD6AB2"/>
                </a:solidFill>
              </a:ln>
              <a:effectLst/>
            </c:spPr>
          </c:marker>
          <c:dLbls>
            <c:delete val="1"/>
          </c:dLbls>
          <c:val>
            <c:numRef>
              <c:f>'HW Progress'!$C$4:$C$14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DB43-B3B0-8BDA859728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549712"/>
        <c:axId val="1157393104"/>
      </c:lineChart>
      <c:catAx>
        <c:axId val="1186549712"/>
        <c:scaling>
          <c:orientation val="minMax"/>
        </c:scaling>
        <c:delete val="0"/>
        <c:axPos val="b"/>
        <c:title>
          <c:tx>
            <c:strRef>
              <c:f>'HW Progress'!$B$3</c:f>
              <c:strCache>
                <c:ptCount val="1"/>
                <c:pt idx="0">
                  <c:v>HW #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3104"/>
        <c:crosses val="autoZero"/>
        <c:auto val="1"/>
        <c:lblAlgn val="ctr"/>
        <c:lblOffset val="100"/>
        <c:noMultiLvlLbl val="0"/>
      </c:catAx>
      <c:valAx>
        <c:axId val="1157393104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'HW Progress'!$C$3</c:f>
              <c:strCache>
                <c:ptCount val="1"/>
                <c:pt idx="0">
                  <c:v>HW 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49712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'Grade Distribtuion'!$B$2</c:f>
          <c:strCache>
            <c:ptCount val="1"/>
            <c:pt idx="0">
              <c:v>Grade Distribution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gradFill flip="none" rotWithShape="1">
              <a:gsLst>
                <a:gs pos="0">
                  <a:srgbClr val="00B0F0"/>
                </a:gs>
                <a:gs pos="84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  <a:bevelB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Distribtuion'!$B$4:$B$7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'Grade Distribtuion'!$C$4:$C$7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2944-B45E-0CE02AA888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4431376"/>
        <c:axId val="1184433056"/>
      </c:barChart>
      <c:catAx>
        <c:axId val="1184431376"/>
        <c:scaling>
          <c:orientation val="minMax"/>
        </c:scaling>
        <c:delete val="0"/>
        <c:axPos val="b"/>
        <c:title>
          <c:tx>
            <c:strRef>
              <c:f>'Grade Distribtuion'!$B$3</c:f>
              <c:strCache>
                <c:ptCount val="1"/>
                <c:pt idx="0">
                  <c:v>Letter Grade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3056"/>
        <c:crosses val="autoZero"/>
        <c:auto val="1"/>
        <c:lblAlgn val="ctr"/>
        <c:lblOffset val="100"/>
        <c:noMultiLvlLbl val="0"/>
      </c:catAx>
      <c:valAx>
        <c:axId val="11844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'Grade Distribtuion'!$C$3</c:f>
              <c:strCache>
                <c:ptCount val="1"/>
                <c:pt idx="0">
                  <c:v>Number of Students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193040</xdr:rowOff>
    </xdr:from>
    <xdr:to>
      <xdr:col>7</xdr:col>
      <xdr:colOff>375920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B58D5-0F6D-704F-B90A-2F25AC5C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165100</xdr:rowOff>
    </xdr:from>
    <xdr:to>
      <xdr:col>9</xdr:col>
      <xdr:colOff>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39FCA-8F6E-0A4F-9696-65AD8D3B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1422400</xdr:colOff>
      <xdr:row>0</xdr:row>
      <xdr:rowOff>25400</xdr:rowOff>
    </xdr:from>
    <xdr:to>
      <xdr:col>9</xdr:col>
      <xdr:colOff>749300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75373-F08C-9342-A576-72FF63A5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10</xdr:col>
      <xdr:colOff>762000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23057-0924-024D-83C6-CE0F4E87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7.525429861111" createdVersion="6" refreshedVersion="6" minRefreshableVersion="3" recordCount="49" xr:uid="{8407D9DA-A24D-4841-A57E-296382F56DB7}">
  <cacheSource type="worksheet">
    <worksheetSource ref="A3:H52" sheet="Sheet1"/>
  </cacheSource>
  <cacheFields count="9">
    <cacheField name="ID" numFmtId="0">
      <sharedItems containsSemiMixedTypes="0" containsString="0" containsNumber="1" containsInteger="1" minValue="375757" maxValue="582664" count="49">
        <n v="375757"/>
        <n v="384691"/>
        <n v="396332"/>
        <n v="401073"/>
        <n v="409118"/>
        <n v="411380"/>
        <n v="412092"/>
        <n v="413369"/>
        <n v="415179"/>
        <n v="422576"/>
        <n v="424060"/>
        <n v="431411"/>
        <n v="436028"/>
        <n v="437293"/>
        <n v="438052"/>
        <n v="438638"/>
        <n v="449418"/>
        <n v="449944"/>
        <n v="452656"/>
        <n v="463271"/>
        <n v="463938"/>
        <n v="479102"/>
        <n v="481800"/>
        <n v="482078"/>
        <n v="486583"/>
        <n v="492053"/>
        <n v="492133"/>
        <n v="492176"/>
        <n v="496907"/>
        <n v="507242"/>
        <n v="513820"/>
        <n v="514774"/>
        <n v="520201"/>
        <n v="520938"/>
        <n v="521501"/>
        <n v="526149"/>
        <n v="539134"/>
        <n v="540346"/>
        <n v="547503"/>
        <n v="552468"/>
        <n v="555539"/>
        <n v="561821"/>
        <n v="564037"/>
        <n v="564894"/>
        <n v="568218"/>
        <n v="568859"/>
        <n v="574304"/>
        <n v="574720"/>
        <n v="582664"/>
      </sharedItems>
    </cacheField>
    <cacheField name="Company Code" numFmtId="0">
      <sharedItems containsSemiMixedTypes="0" containsString="0" containsNumber="1" containsInteger="1" minValue="1" maxValue="3"/>
    </cacheField>
    <cacheField name="Current Salary" numFmtId="168">
      <sharedItems containsString="0" containsBlank="1" containsNumber="1" containsInteger="1" minValue="23000" maxValue="320000" count="28">
        <n v="96000"/>
        <n v="89000"/>
        <n v="85000"/>
        <m/>
        <n v="83000"/>
        <n v="86000"/>
        <n v="87000"/>
        <n v="75000"/>
        <n v="250000"/>
        <n v="91000"/>
        <n v="76000"/>
        <n v="93000"/>
        <n v="54000"/>
        <n v="110000"/>
        <n v="100000"/>
        <n v="92000"/>
        <n v="23000"/>
        <n v="79000"/>
        <n v="97000"/>
        <n v="94000"/>
        <n v="95000"/>
        <n v="90000"/>
        <n v="200000"/>
        <n v="320000"/>
        <n v="98000"/>
        <n v="88000"/>
        <n v="99000"/>
        <n v="84000"/>
      </sharedItems>
    </cacheField>
    <cacheField name="Prior Salary" numFmtId="168">
      <sharedItems containsString="0" containsBlank="1" containsNumber="1" minValue="11000" maxValue="320000"/>
    </cacheField>
    <cacheField name="Age " numFmtId="0">
      <sharedItems containsSemiMixedTypes="0" containsString="0" containsNumber="1" containsInteger="1" minValue="23" maxValue="67" count="23">
        <n v="55"/>
        <n v="52"/>
        <n v="48"/>
        <n v="66"/>
        <n v="28"/>
        <n v="57"/>
        <n v="32"/>
        <n v="44"/>
        <n v="51"/>
        <n v="49"/>
        <n v="23"/>
        <n v="47"/>
        <n v="45"/>
        <n v="46"/>
        <n v="64"/>
        <n v="34"/>
        <n v="59"/>
        <n v="62"/>
        <n v="36"/>
        <n v="26"/>
        <n v="67"/>
        <n v="58"/>
        <n v="42"/>
      </sharedItems>
      <fieldGroup base="4">
        <rangePr autoStart="0" autoEnd="0" startNum="25" endNum="70" groupInterval="5"/>
        <groupItems count="11">
          <s v="&lt;25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Service " numFmtId="0">
      <sharedItems containsString="0" containsBlank="1" containsNumber="1" containsInteger="1" minValue="1" maxValue="37" count="20">
        <n v="7"/>
        <n v="5"/>
        <n v="1"/>
        <m/>
        <n v="11"/>
        <n v="27"/>
        <n v="2"/>
        <n v="14"/>
        <n v="10"/>
        <n v="6"/>
        <n v="3"/>
        <n v="9"/>
        <n v="12"/>
        <n v="15"/>
        <n v="18"/>
        <n v="8"/>
        <n v="37"/>
        <n v="20"/>
        <n v="22"/>
        <n v="21"/>
      </sharedItems>
      <fieldGroup base="5">
        <rangePr autoStart="0" autoEnd="0" startNum="5" endNum="40" groupInterval="5"/>
        <groupItems count="9">
          <s v="&lt;5 or (blank)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Status Code" numFmtId="0">
      <sharedItems count="4">
        <s v="A"/>
        <s v="R"/>
        <s v="V"/>
        <s v="T"/>
      </sharedItems>
    </cacheField>
    <cacheField name="Prior Status" numFmtId="0">
      <sharedItems containsBlank="1"/>
    </cacheField>
    <cacheField name="Avg2YrSal" numFmtId="0" formula="('Current Salary' +'Prior Salary' 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2"/>
    <x v="0"/>
    <n v="91428.57142857142"/>
    <x v="0"/>
    <x v="0"/>
    <x v="0"/>
    <s v="A"/>
  </r>
  <r>
    <x v="1"/>
    <n v="1"/>
    <x v="1"/>
    <n v="84761.904761904763"/>
    <x v="1"/>
    <x v="1"/>
    <x v="0"/>
    <s v="A"/>
  </r>
  <r>
    <x v="2"/>
    <n v="3"/>
    <x v="2"/>
    <m/>
    <x v="2"/>
    <x v="2"/>
    <x v="0"/>
    <m/>
  </r>
  <r>
    <x v="3"/>
    <n v="1"/>
    <x v="3"/>
    <n v="80000"/>
    <x v="3"/>
    <x v="3"/>
    <x v="1"/>
    <s v="R"/>
  </r>
  <r>
    <x v="4"/>
    <n v="1"/>
    <x v="4"/>
    <n v="71000"/>
    <x v="4"/>
    <x v="4"/>
    <x v="0"/>
    <s v="A"/>
  </r>
  <r>
    <x v="5"/>
    <n v="1"/>
    <x v="5"/>
    <n v="74000"/>
    <x v="5"/>
    <x v="5"/>
    <x v="0"/>
    <s v="A"/>
  </r>
  <r>
    <x v="6"/>
    <n v="1"/>
    <x v="6"/>
    <m/>
    <x v="6"/>
    <x v="6"/>
    <x v="0"/>
    <m/>
  </r>
  <r>
    <x v="7"/>
    <n v="1"/>
    <x v="5"/>
    <m/>
    <x v="7"/>
    <x v="7"/>
    <x v="0"/>
    <m/>
  </r>
  <r>
    <x v="8"/>
    <n v="1"/>
    <x v="7"/>
    <n v="63000"/>
    <x v="6"/>
    <x v="6"/>
    <x v="0"/>
    <s v="A"/>
  </r>
  <r>
    <x v="9"/>
    <n v="1"/>
    <x v="5"/>
    <n v="80000"/>
    <x v="0"/>
    <x v="3"/>
    <x v="1"/>
    <s v="A"/>
  </r>
  <r>
    <x v="10"/>
    <n v="3"/>
    <x v="8"/>
    <n v="230000"/>
    <x v="8"/>
    <x v="8"/>
    <x v="0"/>
    <s v="A"/>
  </r>
  <r>
    <x v="11"/>
    <n v="3"/>
    <x v="9"/>
    <n v="86666.666666666657"/>
    <x v="9"/>
    <x v="9"/>
    <x v="0"/>
    <s v="A"/>
  </r>
  <r>
    <x v="12"/>
    <n v="1"/>
    <x v="5"/>
    <n v="74000"/>
    <x v="10"/>
    <x v="10"/>
    <x v="0"/>
    <s v="A"/>
  </r>
  <r>
    <x v="13"/>
    <n v="3"/>
    <x v="5"/>
    <n v="80000"/>
    <x v="8"/>
    <x v="3"/>
    <x v="2"/>
    <s v="A"/>
  </r>
  <r>
    <x v="14"/>
    <n v="1"/>
    <x v="5"/>
    <n v="74000"/>
    <x v="6"/>
    <x v="11"/>
    <x v="0"/>
    <s v="A"/>
  </r>
  <r>
    <x v="15"/>
    <n v="2"/>
    <x v="6"/>
    <n v="82857.142857142855"/>
    <x v="11"/>
    <x v="12"/>
    <x v="0"/>
    <s v="A"/>
  </r>
  <r>
    <x v="16"/>
    <n v="1"/>
    <x v="10"/>
    <n v="64000"/>
    <x v="12"/>
    <x v="13"/>
    <x v="0"/>
    <s v="A"/>
  </r>
  <r>
    <x v="17"/>
    <n v="1"/>
    <x v="5"/>
    <n v="80000"/>
    <x v="12"/>
    <x v="3"/>
    <x v="2"/>
    <s v="A"/>
  </r>
  <r>
    <x v="18"/>
    <n v="2"/>
    <x v="11"/>
    <n v="88571.428571428565"/>
    <x v="13"/>
    <x v="14"/>
    <x v="0"/>
    <s v="A"/>
  </r>
  <r>
    <x v="19"/>
    <n v="1"/>
    <x v="12"/>
    <n v="42000"/>
    <x v="6"/>
    <x v="15"/>
    <x v="0"/>
    <s v="A"/>
  </r>
  <r>
    <x v="20"/>
    <n v="1"/>
    <x v="0"/>
    <n v="84000"/>
    <x v="6"/>
    <x v="6"/>
    <x v="0"/>
    <s v="A"/>
  </r>
  <r>
    <x v="21"/>
    <n v="3"/>
    <x v="2"/>
    <m/>
    <x v="2"/>
    <x v="2"/>
    <x v="0"/>
    <m/>
  </r>
  <r>
    <x v="22"/>
    <n v="2"/>
    <x v="3"/>
    <n v="80000"/>
    <x v="14"/>
    <x v="3"/>
    <x v="1"/>
    <s v="R"/>
  </r>
  <r>
    <x v="23"/>
    <n v="1"/>
    <x v="13"/>
    <n v="98000"/>
    <x v="6"/>
    <x v="15"/>
    <x v="0"/>
    <s v="A"/>
  </r>
  <r>
    <x v="24"/>
    <n v="1"/>
    <x v="5"/>
    <n v="80000"/>
    <x v="6"/>
    <x v="3"/>
    <x v="3"/>
    <s v="A"/>
  </r>
  <r>
    <x v="25"/>
    <n v="1"/>
    <x v="5"/>
    <n v="74000"/>
    <x v="6"/>
    <x v="6"/>
    <x v="0"/>
    <s v="A"/>
  </r>
  <r>
    <x v="26"/>
    <n v="1"/>
    <x v="14"/>
    <n v="88000"/>
    <x v="6"/>
    <x v="8"/>
    <x v="0"/>
    <s v="A"/>
  </r>
  <r>
    <x v="27"/>
    <n v="1"/>
    <x v="5"/>
    <n v="80000"/>
    <x v="15"/>
    <x v="3"/>
    <x v="3"/>
    <s v="A"/>
  </r>
  <r>
    <x v="28"/>
    <n v="2"/>
    <x v="3"/>
    <n v="80000"/>
    <x v="16"/>
    <x v="3"/>
    <x v="1"/>
    <s v="V"/>
  </r>
  <r>
    <x v="29"/>
    <n v="1"/>
    <x v="15"/>
    <n v="40000"/>
    <x v="7"/>
    <x v="0"/>
    <x v="0"/>
    <s v="A"/>
  </r>
  <r>
    <x v="30"/>
    <n v="1"/>
    <x v="3"/>
    <n v="80000"/>
    <x v="17"/>
    <x v="3"/>
    <x v="1"/>
    <s v="V"/>
  </r>
  <r>
    <x v="31"/>
    <n v="3"/>
    <x v="3"/>
    <n v="80000"/>
    <x v="7"/>
    <x v="3"/>
    <x v="2"/>
    <s v="V"/>
  </r>
  <r>
    <x v="32"/>
    <n v="2"/>
    <x v="3"/>
    <n v="80000"/>
    <x v="18"/>
    <x v="3"/>
    <x v="2"/>
    <s v="V"/>
  </r>
  <r>
    <x v="33"/>
    <n v="1"/>
    <x v="16"/>
    <n v="11000"/>
    <x v="18"/>
    <x v="8"/>
    <x v="0"/>
    <s v="A"/>
  </r>
  <r>
    <x v="34"/>
    <n v="1"/>
    <x v="17"/>
    <n v="67000"/>
    <x v="19"/>
    <x v="15"/>
    <x v="0"/>
    <s v="A"/>
  </r>
  <r>
    <x v="35"/>
    <n v="3"/>
    <x v="18"/>
    <n v="92380.952380952382"/>
    <x v="0"/>
    <x v="11"/>
    <x v="0"/>
    <s v="A"/>
  </r>
  <r>
    <x v="36"/>
    <n v="1"/>
    <x v="19"/>
    <n v="82000"/>
    <x v="6"/>
    <x v="8"/>
    <x v="0"/>
    <s v="A"/>
  </r>
  <r>
    <x v="37"/>
    <n v="1"/>
    <x v="20"/>
    <n v="90476.190476190473"/>
    <x v="9"/>
    <x v="8"/>
    <x v="0"/>
    <s v="A"/>
  </r>
  <r>
    <x v="38"/>
    <n v="2"/>
    <x v="21"/>
    <n v="85714.28571428571"/>
    <x v="9"/>
    <x v="13"/>
    <x v="0"/>
    <s v="A"/>
  </r>
  <r>
    <x v="39"/>
    <n v="1"/>
    <x v="5"/>
    <n v="74000"/>
    <x v="20"/>
    <x v="16"/>
    <x v="0"/>
    <s v="A"/>
  </r>
  <r>
    <x v="40"/>
    <n v="2"/>
    <x v="5"/>
    <n v="80000"/>
    <x v="21"/>
    <x v="3"/>
    <x v="1"/>
    <s v="A"/>
  </r>
  <r>
    <x v="41"/>
    <n v="1"/>
    <x v="5"/>
    <n v="81904.761904761908"/>
    <x v="11"/>
    <x v="8"/>
    <x v="0"/>
    <s v="A"/>
  </r>
  <r>
    <x v="42"/>
    <n v="1"/>
    <x v="22"/>
    <n v="188000"/>
    <x v="6"/>
    <x v="15"/>
    <x v="0"/>
    <s v="A"/>
  </r>
  <r>
    <x v="43"/>
    <n v="3"/>
    <x v="23"/>
    <n v="320000"/>
    <x v="8"/>
    <x v="17"/>
    <x v="0"/>
    <s v="A"/>
  </r>
  <r>
    <x v="44"/>
    <n v="1"/>
    <x v="5"/>
    <n v="80000"/>
    <x v="22"/>
    <x v="18"/>
    <x v="0"/>
    <s v="A"/>
  </r>
  <r>
    <x v="45"/>
    <n v="1"/>
    <x v="24"/>
    <n v="93333.333333333328"/>
    <x v="11"/>
    <x v="4"/>
    <x v="0"/>
    <s v="A"/>
  </r>
  <r>
    <x v="46"/>
    <n v="3"/>
    <x v="25"/>
    <n v="83809.523809523802"/>
    <x v="1"/>
    <x v="7"/>
    <x v="0"/>
    <s v="A"/>
  </r>
  <r>
    <x v="47"/>
    <n v="2"/>
    <x v="26"/>
    <n v="94285.714285714275"/>
    <x v="1"/>
    <x v="19"/>
    <x v="0"/>
    <s v="A"/>
  </r>
  <r>
    <x v="48"/>
    <n v="2"/>
    <x v="27"/>
    <n v="80000"/>
    <x v="1"/>
    <x v="15"/>
    <x v="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573D5-9866-744C-BF50-61997C69F80B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5:K26" firstHeaderRow="1" firstDataRow="2" firstDataCol="2" rowPageCount="1" colPageCount="1"/>
  <pivotFields count="9">
    <pivotField compact="0" outline="0" showAll="0"/>
    <pivotField compact="0" outline="0" showAll="0"/>
    <pivotField dataField="1" compact="0" outline="0" showAll="0">
      <items count="29">
        <item x="16"/>
        <item x="12"/>
        <item x="7"/>
        <item x="10"/>
        <item x="17"/>
        <item x="4"/>
        <item x="27"/>
        <item x="2"/>
        <item x="5"/>
        <item x="6"/>
        <item x="25"/>
        <item x="1"/>
        <item x="21"/>
        <item x="9"/>
        <item x="15"/>
        <item x="11"/>
        <item x="19"/>
        <item x="20"/>
        <item x="0"/>
        <item x="18"/>
        <item x="24"/>
        <item x="26"/>
        <item x="14"/>
        <item x="13"/>
        <item x="22"/>
        <item x="8"/>
        <item x="23"/>
        <item x="3"/>
        <item t="default"/>
      </items>
    </pivotField>
    <pivotField compact="0" outline="0" showAll="0"/>
    <pivotField axis="axisRow" dataField="1" compact="0" outline="0" showAll="0">
      <items count="12">
        <item n="Under 25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howAll="0">
      <items count="10">
        <item n="1-4"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multipleItemSelectionAllowed="1" showAll="0">
      <items count="5">
        <item x="0"/>
        <item h="1" x="1"/>
        <item h="1" x="3"/>
        <item h="1" x="2"/>
        <item t="default"/>
      </items>
    </pivotField>
    <pivotField compact="0" outline="0" showAll="0"/>
    <pivotField compact="0" outline="0" dragToRow="0" dragToCol="0" dragToPage="0" showAll="0" defaultSubtotal="0"/>
  </pivotFields>
  <rowFields count="2">
    <field x="4"/>
    <field x="-2"/>
  </rowFields>
  <row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1">
    <pageField fld="6" hier="-1"/>
  </pageFields>
  <dataFields count="2">
    <dataField name="Count of Age " fld="4" subtotal="count" baseField="0" baseItem="0"/>
    <dataField name="Average of Current Salary" fld="2" subtotal="average" baseField="0" baseItem="0"/>
  </dataFields>
  <formats count="52">
    <format dxfId="101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00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99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98">
      <pivotArea field="5" type="button" dataOnly="0" labelOnly="1" outline="0" axis="axisCol" fieldPosition="0"/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95">
      <pivotArea dataOnly="0" labelOnly="1" grandCol="1" outline="0" fieldPosition="0"/>
    </format>
    <format dxfId="94">
      <pivotArea field="5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91">
      <pivotArea dataOnly="0" labelOnly="1" grandCol="1" outline="0" fieldPosition="0"/>
    </format>
    <format dxfId="90">
      <pivotArea grandCol="1" outline="0" collapsedLevelsAreSubtotals="1" fieldPosition="0"/>
    </format>
    <format dxfId="89">
      <pivotArea type="topRight" dataOnly="0" labelOnly="1" outline="0" offset="G1" fieldPosition="0"/>
    </format>
    <format dxfId="88">
      <pivotArea dataOnly="0" labelOnly="1" grandCol="1" outline="0" fieldPosition="0"/>
    </format>
    <format dxfId="87">
      <pivotArea grandCol="1" outline="0" collapsedLevelsAreSubtotals="1" fieldPosition="0"/>
    </format>
    <format dxfId="86">
      <pivotArea type="topRight" dataOnly="0" labelOnly="1" outline="0" offset="G1" fieldPosition="0"/>
    </format>
    <format dxfId="85">
      <pivotArea dataOnly="0" labelOnly="1" grandCol="1" outline="0" fieldPosition="0"/>
    </format>
    <format dxfId="84">
      <pivotArea dataOnly="0" labelOnly="1" grandCol="1" outline="0" fieldPosition="0"/>
    </format>
    <format dxfId="83">
      <pivotArea grandCol="1" outline="0" collapsedLevelsAreSubtotals="1" fieldPosition="0"/>
    </format>
    <format dxfId="82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8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9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77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76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4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71">
      <pivotArea type="all" dataOnly="0" outline="0" fieldPosition="0"/>
    </format>
    <format dxfId="64">
      <pivotArea field="5" grandRow="1" outline="0" axis="axisCol" fieldPosition="0">
        <references count="2">
          <reference field="4294967294" count="1" selected="0">
            <x v="1"/>
          </reference>
          <reference field="5" count="7" selected="0">
            <x v="0"/>
            <x v="1"/>
            <x v="2"/>
            <x v="3"/>
            <x v="4"/>
            <x v="5"/>
            <x v="7"/>
          </reference>
        </references>
      </pivotArea>
    </format>
    <format dxfId="63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2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61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60">
      <pivotArea dataOnly="0" labelOnly="1" outline="0" fieldPosition="0">
        <references count="1">
          <reference field="4" count="0"/>
        </references>
      </pivotArea>
    </format>
    <format dxfId="59">
      <pivotArea dataOnly="0" grandCol="1" outline="0" fieldPosition="0"/>
    </format>
    <format dxfId="58">
      <pivotArea outline="0" fieldPosition="0">
        <references count="2">
          <reference field="4294967294" count="2" selected="0">
            <x v="0"/>
            <x v="1"/>
          </reference>
          <reference field="4" count="1" selected="0">
            <x v="0"/>
          </reference>
        </references>
      </pivotArea>
    </format>
    <format dxfId="56">
      <pivotArea dataOnly="0" labelOnly="1" outline="0" fieldPosition="0">
        <references count="1">
          <reference field="4" count="1">
            <x v="0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2">
      <pivotArea outline="0" fieldPosition="0">
        <references count="2">
          <reference field="4294967294" count="2" selected="0">
            <x v="0"/>
            <x v="1"/>
          </reference>
          <reference field="4" count="1" selected="0">
            <x v="1"/>
          </reference>
        </references>
      </pivotArea>
    </format>
    <format dxfId="50">
      <pivotArea dataOnly="0" labelOnly="1" outline="0" fieldPosition="0">
        <references count="1">
          <reference field="4" count="1">
            <x v="1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46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4" count="1">
            <x v="2"/>
          </reference>
        </references>
      </pivotArea>
    </format>
    <format dxfId="45">
      <pivotArea dataOnly="0" outline="0" fieldPosition="0">
        <references count="1">
          <reference field="4" count="1">
            <x v="3"/>
          </reference>
        </references>
      </pivotArea>
    </format>
    <format dxfId="44">
      <pivotArea dataOnly="0" outline="0" fieldPosition="0">
        <references count="1">
          <reference field="4" count="1">
            <x v="4"/>
          </reference>
        </references>
      </pivotArea>
    </format>
    <format dxfId="43">
      <pivotArea dataOnly="0" outline="0" fieldPosition="0">
        <references count="1">
          <reference field="4" count="1">
            <x v="5"/>
          </reference>
        </references>
      </pivotArea>
    </format>
    <format dxfId="42">
      <pivotArea dataOnly="0" outline="0" fieldPosition="0">
        <references count="1">
          <reference field="4" count="1">
            <x v="6"/>
          </reference>
        </references>
      </pivotArea>
    </format>
    <format dxfId="41">
      <pivotArea dataOnly="0" outline="0" fieldPosition="0">
        <references count="1">
          <reference field="4" count="1">
            <x v="7"/>
          </reference>
        </references>
      </pivotArea>
    </format>
    <format dxfId="40">
      <pivotArea dataOnly="0" outline="0" fieldPosition="0">
        <references count="1">
          <reference field="4" count="1">
            <x v="9"/>
          </reference>
        </references>
      </pivotArea>
    </format>
    <format dxfId="9">
      <pivotArea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format>
    <format dxfId="7">
      <pivotArea outline="0" fieldPosition="0">
        <references count="2">
          <reference field="4294967294" count="2" selected="0">
            <x v="0"/>
            <x v="1"/>
          </reference>
          <reference field="4" count="8" selected="0"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5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type="origin" dataOnly="0" labelOnly="1" outline="0" offset="A1" fieldPosition="0"/>
    </format>
    <format dxfId="2">
      <pivotArea type="origin" dataOnly="0" labelOnly="1" outline="0" offset="A1" fieldPosition="0"/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4ED1B-9D01-F74F-B4D8-64CF6AA4C079}" name="PivotTable8" cacheId="30" applyNumberFormats="0" applyBorderFormats="0" applyFontFormats="0" applyPatternFormats="0" applyAlignmentFormats="0" applyWidthHeightFormats="1" dataCaption="Values" grandTotalCaption="% of Total" updatedVersion="6" minRefreshableVersion="3" useAutoFormatting="1" itemPrintTitles="1" createdVersion="6" indent="0" outline="1" outlineData="1" multipleFieldFilters="0" rowHeaderCaption=" " colHeaderCaption="  ">
  <location ref="P4:U16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" fld="4" showDataAs="percentOfCol" baseField="0" baseItem="0" numFmtId="10"/>
  </dataFields>
  <formats count="10">
    <format dxfId="231">
      <pivotArea type="all" dataOnly="0" outline="0" fieldPosition="0"/>
    </format>
    <format dxfId="230">
      <pivotArea outline="0" collapsedLevelsAreSubtotals="1" fieldPosition="0"/>
    </format>
    <format dxfId="229">
      <pivotArea type="origin" dataOnly="0" labelOnly="1" outline="0" fieldPosition="0"/>
    </format>
    <format dxfId="228">
      <pivotArea field="6" type="button" dataOnly="0" labelOnly="1" outline="0" axis="axisCol" fieldPosition="0"/>
    </format>
    <format dxfId="227">
      <pivotArea type="topRight" dataOnly="0" labelOnly="1" outline="0" fieldPosition="0"/>
    </format>
    <format dxfId="226">
      <pivotArea field="4" type="button" dataOnly="0" labelOnly="1" outline="0" axis="axisRow" fieldPosition="0"/>
    </format>
    <format dxfId="225">
      <pivotArea dataOnly="0" labelOnly="1" fieldPosition="0">
        <references count="1">
          <reference field="4" count="0"/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1">
          <reference field="6" count="0"/>
        </references>
      </pivotArea>
    </format>
    <format dxfId="2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9A3C4-B31F-C844-A711-1CDD87CD7465}" name="PivotTable7" cacheId="30" applyNumberFormats="0" applyBorderFormats="0" applyFontFormats="0" applyPatternFormats="0" applyAlignmentFormats="0" applyWidthHeightFormats="1" dataCaption="Values" grandTotalCaption="Running Total" updatedVersion="6" minRefreshableVersion="3" useAutoFormatting="1" itemPrintTitles="1" createdVersion="6" indent="0" outline="1" outlineData="1" multipleFieldFilters="0" rowHeaderCaption=" " colHeaderCaption=" ">
  <location ref="I4:N16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" fld="4" subtotal="count" baseField="0" baseItem="2"/>
  </dataFields>
  <formats count="22">
    <format dxfId="244">
      <pivotArea type="all" dataOnly="0" outline="0" fieldPosition="0"/>
    </format>
    <format dxfId="243">
      <pivotArea outline="0" collapsedLevelsAreSubtotals="1" fieldPosition="0"/>
    </format>
    <format dxfId="242">
      <pivotArea type="origin" dataOnly="0" labelOnly="1" outline="0" fieldPosition="0"/>
    </format>
    <format dxfId="241">
      <pivotArea field="6" type="button" dataOnly="0" labelOnly="1" outline="0" axis="axisCol" fieldPosition="0"/>
    </format>
    <format dxfId="240">
      <pivotArea type="topRight" dataOnly="0" labelOnly="1" outline="0" fieldPosition="0"/>
    </format>
    <format dxfId="239">
      <pivotArea field="4" type="button" dataOnly="0" labelOnly="1" outline="0" axis="axisRow" fieldPosition="0"/>
    </format>
    <format dxfId="238">
      <pivotArea dataOnly="0" labelOnly="1" fieldPosition="0">
        <references count="1">
          <reference field="4" count="0"/>
        </references>
      </pivotArea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6" count="0"/>
        </references>
      </pivotArea>
    </format>
    <format dxfId="235">
      <pivotArea dataOnly="0" labelOnly="1" grandCol="1" outline="0" fieldPosition="0"/>
    </format>
    <format dxfId="233">
      <pivotArea grandRow="1" outline="0" collapsedLevelsAreSubtotals="1" fieldPosition="0"/>
    </format>
    <format dxfId="232">
      <pivotArea dataOnly="0" labelOnly="1" grandRow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origin" dataOnly="0" labelOnly="1" outline="0" fieldPosition="0"/>
    </format>
    <format dxfId="208">
      <pivotArea field="6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4" type="button" dataOnly="0" labelOnly="1" outline="0" axis="axisRow" fieldPosition="0"/>
    </format>
    <format dxfId="205">
      <pivotArea dataOnly="0" labelOnly="1" fieldPosition="0">
        <references count="1">
          <reference field="4" count="0"/>
        </references>
      </pivotArea>
    </format>
    <format dxfId="204">
      <pivotArea dataOnly="0" labelOnly="1" grandRow="1" outline="0" fieldPosition="0"/>
    </format>
    <format dxfId="203">
      <pivotArea dataOnly="0" labelOnly="1" fieldPosition="0">
        <references count="1">
          <reference field="6" count="0"/>
        </references>
      </pivotArea>
    </format>
    <format dxfId="20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8CAAE-15E0-644E-9B33-3DE1467CD515}" name="PivotTable4" cacheId="3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 " colHeaderCaption=" ">
  <location ref="B4:G16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 " fld="4" subtotal="count" baseField="0" baseItem="0"/>
  </dataFields>
  <formats count="21">
    <format dxfId="254">
      <pivotArea type="all" dataOnly="0" outline="0" fieldPosition="0"/>
    </format>
    <format dxfId="253">
      <pivotArea outline="0" collapsedLevelsAreSubtotals="1" fieldPosition="0"/>
    </format>
    <format dxfId="252">
      <pivotArea type="origin" dataOnly="0" labelOnly="1" outline="0" fieldPosition="0"/>
    </format>
    <format dxfId="251">
      <pivotArea field="6" type="button" dataOnly="0" labelOnly="1" outline="0" axis="axisCol" fieldPosition="0"/>
    </format>
    <format dxfId="250">
      <pivotArea type="topRight" dataOnly="0" labelOnly="1" outline="0" fieldPosition="0"/>
    </format>
    <format dxfId="249">
      <pivotArea field="4" type="button" dataOnly="0" labelOnly="1" outline="0" axis="axisRow" fieldPosition="0"/>
    </format>
    <format dxfId="248">
      <pivotArea dataOnly="0" labelOnly="1" fieldPosition="0">
        <references count="1">
          <reference field="4" count="0"/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1">
          <reference field="6" count="0"/>
        </references>
      </pivotArea>
    </format>
    <format dxfId="245">
      <pivotArea dataOnly="0" labelOnly="1" grandCol="1" outline="0" fieldPosition="0"/>
    </format>
    <format dxfId="234">
      <pivotArea field="4" dataOnly="0" grandRow="1" axis="axisRow" fieldPosition="0">
        <references count="1">
          <reference field="4" count="0"/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type="origin" dataOnly="0" labelOnly="1" outline="0" fieldPosition="0"/>
    </format>
    <format dxfId="218">
      <pivotArea field="6" type="button" dataOnly="0" labelOnly="1" outline="0" axis="axisCol" fieldPosition="0"/>
    </format>
    <format dxfId="217">
      <pivotArea type="topRight" dataOnly="0" labelOnly="1" outline="0" fieldPosition="0"/>
    </format>
    <format dxfId="216">
      <pivotArea field="4" type="button" dataOnly="0" labelOnly="1" outline="0" axis="axisRow" fieldPosition="0"/>
    </format>
    <format dxfId="215">
      <pivotArea dataOnly="0" labelOnly="1" fieldPosition="0">
        <references count="1">
          <reference field="4" count="0"/>
        </references>
      </pivotArea>
    </format>
    <format dxfId="214">
      <pivotArea dataOnly="0" labelOnly="1" grandRow="1" outline="0" fieldPosition="0"/>
    </format>
    <format dxfId="213">
      <pivotArea dataOnly="0" labelOnly="1" fieldPosition="0">
        <references count="1">
          <reference field="6" count="0"/>
        </references>
      </pivotArea>
    </format>
    <format dxfId="2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13DA5-991D-1649-97A2-E29D95987F39}" name="PivotTable3" cacheId="30" dataOnRows="1" applyNumberFormats="0" applyBorderFormats="0" applyFontFormats="0" applyPatternFormats="0" applyAlignmentFormats="0" applyWidthHeightFormats="1" dataCaption="Values" updatedVersion="6" minRefreshableVersion="3" showDrill="0" useAutoFormatting="1" pageWrap="3" mergeItem="1" createdVersion="6" indent="127" compact="0" compactData="0" gridDropZones="1" multipleFieldFilters="0" rowHeaderCaption="Age" colHeaderCaption="Service">
  <location ref="A4:J25" firstHeaderRow="1" firstDataRow="2" firstDataCol="2" rowPageCount="1" colPageCount="1"/>
  <pivotFields count="9">
    <pivotField compact="0" outline="0" showAll="0"/>
    <pivotField compact="0" outline="0" showAll="0"/>
    <pivotField compact="0" outline="0" showAll="0">
      <items count="29">
        <item x="16"/>
        <item x="12"/>
        <item x="7"/>
        <item x="10"/>
        <item x="17"/>
        <item x="4"/>
        <item x="27"/>
        <item x="2"/>
        <item x="5"/>
        <item x="6"/>
        <item x="25"/>
        <item x="1"/>
        <item x="21"/>
        <item x="9"/>
        <item x="15"/>
        <item x="11"/>
        <item x="19"/>
        <item x="20"/>
        <item x="0"/>
        <item x="18"/>
        <item x="24"/>
        <item x="26"/>
        <item x="14"/>
        <item x="13"/>
        <item x="22"/>
        <item x="8"/>
        <item x="23"/>
        <item x="3"/>
        <item t="default"/>
      </items>
    </pivotField>
    <pivotField compact="0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compact="0" outline="0" showAll="0">
      <items count="10">
        <item n="1-4"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multipleItemSelectionAllowed="1" showAll="0">
      <items count="5">
        <item x="0"/>
        <item h="1" x="1"/>
        <item h="1" x="3"/>
        <item h="1" x="2"/>
        <item t="default"/>
      </items>
    </pivotField>
    <pivotField compact="0" outline="0" showAll="0"/>
    <pivotField dataField="1" compact="0" outline="0" dragToRow="0" dragToCol="0" dragToPage="0" showAll="0" defaultSubtotal="0"/>
  </pivotFields>
  <rowFields count="2">
    <field x="4"/>
    <field x="-2"/>
  </rowFields>
  <row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1">
    <pageField fld="6" hier="-1"/>
  </pageFields>
  <dataFields count="2">
    <dataField name="Count of Service " fld="5" subtotal="count" baseField="0" baseItem="0"/>
    <dataField name="Sum of Avg2YrSal" fld="8" baseField="0" baseItem="0"/>
  </dataFields>
  <formats count="29">
    <format dxfId="277">
      <pivotArea outline="0" collapsedLevelsAreSubtotals="1" fieldPosition="0"/>
    </format>
    <format dxfId="278">
      <pivotArea dataOnly="0" labelOnly="1" outline="0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279">
      <pivotArea dataOnly="0" labelOnly="1" outline="0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280">
      <pivotArea type="origin" dataOnly="0" labelOnly="1" outline="0" offset="A1" fieldPosition="0"/>
    </format>
    <format dxfId="281">
      <pivotArea field="4" type="button" dataOnly="0" labelOnly="1" outline="0" axis="axisRow" fieldPosition="0"/>
    </format>
    <format dxfId="282">
      <pivotArea type="topRight" dataOnly="0" labelOnly="1" outline="0" fieldPosition="0"/>
    </format>
    <format dxfId="283">
      <pivotArea field="5" type="button" dataOnly="0" labelOnly="1" outline="0" axis="axisCol" fieldPosition="0"/>
    </format>
    <format dxfId="276">
      <pivotArea type="topRight" dataOnly="0" labelOnly="1" outline="0" fieldPosition="0"/>
    </format>
    <format dxfId="275">
      <pivotArea field="5" type="button" dataOnly="0" labelOnly="1" outline="0" axis="axisCol" fieldPosition="0"/>
    </format>
    <format dxfId="274">
      <pivotArea field="4" type="button" dataOnly="0" labelOnly="1" outline="0" axis="axisRow" fieldPosition="0"/>
    </format>
    <format dxfId="273">
      <pivotArea type="origin" dataOnly="0" labelOnly="1" outline="0" offset="A1" fieldPosition="0"/>
    </format>
    <format dxfId="272">
      <pivotArea dataOnly="0" labelOnly="1" grandCol="1" outline="0" fieldPosition="0"/>
    </format>
    <format dxfId="271">
      <pivotArea dataOnly="0" labelOnly="1" grandCol="1" outline="0" fieldPosition="0"/>
    </format>
    <format dxfId="270">
      <pivotArea dataOnly="0" labelOnly="1" grandCol="1" outline="0" fieldPosition="0"/>
    </format>
    <format dxfId="269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268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67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66">
      <pivotArea field="4" grandRow="1" outline="0" axis="axisRow" fieldPosition="0">
        <references count="1">
          <reference field="4294967294" count="2" selected="0">
            <x v="0"/>
            <x v="1"/>
          </reference>
        </references>
      </pivotArea>
    </format>
    <format dxfId="265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64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63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62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6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60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59">
      <pivotArea field="5" grandRow="1" outline="0" axis="axisCol" fieldPosition="0">
        <references count="2">
          <reference field="4294967294" count="1" selected="0">
            <x v="0"/>
          </reference>
          <reference field="5" count="7" selected="0">
            <x v="0"/>
            <x v="1"/>
            <x v="2"/>
            <x v="3"/>
            <x v="4"/>
            <x v="5"/>
            <x v="7"/>
          </reference>
        </references>
      </pivotArea>
    </format>
    <format dxfId="258">
      <pivotArea field="5" grandRow="1" outline="0" axis="axisCol" fieldPosition="0">
        <references count="2">
          <reference field="4294967294" count="1" selected="0">
            <x v="1"/>
          </reference>
          <reference field="5" count="7" selected="0">
            <x v="0"/>
            <x v="1"/>
            <x v="2"/>
            <x v="3"/>
            <x v="4"/>
            <x v="5"/>
            <x v="7"/>
          </reference>
        </references>
      </pivotArea>
    </format>
    <format dxfId="257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256">
      <pivotArea field="5" grandRow="1" outline="0" axis="axisCol" fieldPosition="0">
        <references count="2">
          <reference field="4294967294" count="2" selected="0">
            <x v="0"/>
            <x v="1"/>
          </reference>
          <reference field="5" count="7" selected="0">
            <x v="0"/>
            <x v="1"/>
            <x v="2"/>
            <x v="3"/>
            <x v="4"/>
            <x v="5"/>
            <x v="7"/>
          </reference>
        </references>
      </pivotArea>
    </format>
    <format dxfId="255">
      <pivotArea grandRow="1" grandCol="1" outline="0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63DAA-C6A9-7049-8340-C692D90593E3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 colHeaderCaption="Service">
  <location ref="A3:I14" firstHeaderRow="1" firstDataRow="2" firstDataCol="1" rowPageCount="1" colPageCount="1"/>
  <pivotFields count="9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n="1-4"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5">
        <item x="0"/>
        <item h="1" x="1"/>
        <item h="1" x="3"/>
        <item h="1"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1">
    <pageField fld="6" hier="-1"/>
  </pageFields>
  <dataFields count="1">
    <dataField name="  " fld="0" subtotal="count" baseField="0" baseItem="0"/>
  </dataFields>
  <formats count="17">
    <format dxfId="300">
      <pivotArea dataOnly="0" labelOnly="1" fieldPosition="0">
        <references count="1">
          <reference field="5" count="1">
            <x v="0"/>
          </reference>
        </references>
      </pivotArea>
    </format>
    <format dxfId="299">
      <pivotArea dataOnly="0" labelOnly="1" grandRow="1" outline="0" fieldPosition="0"/>
    </format>
    <format dxfId="298">
      <pivotArea grandRow="1" outline="0" collapsedLevelsAreSubtotals="1" fieldPosition="0"/>
    </format>
    <format dxfId="297">
      <pivotArea type="origin" dataOnly="0" labelOnly="1" outline="0" fieldPosition="0"/>
    </format>
    <format dxfId="296">
      <pivotArea field="5" type="button" dataOnly="0" labelOnly="1" outline="0" axis="axisCol" fieldPosition="0"/>
    </format>
    <format dxfId="295">
      <pivotArea type="topRight" dataOnly="0" labelOnly="1" outline="0" fieldPosition="0"/>
    </format>
    <format dxfId="294">
      <pivotArea field="4" type="button" dataOnly="0" labelOnly="1" outline="0" axis="axisRow" fieldPosition="0"/>
    </format>
    <format dxfId="293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292">
      <pivotArea dataOnly="0" labelOnly="1" grandCol="1" outline="0" fieldPosition="0"/>
    </format>
    <format dxfId="291">
      <pivotArea type="origin" dataOnly="0" labelOnly="1" outline="0" fieldPosition="0"/>
    </format>
    <format dxfId="290">
      <pivotArea field="5" type="button" dataOnly="0" labelOnly="1" outline="0" axis="axisCol" fieldPosition="0"/>
    </format>
    <format dxfId="289">
      <pivotArea type="topRight" dataOnly="0" labelOnly="1" outline="0" fieldPosition="0"/>
    </format>
    <format dxfId="288">
      <pivotArea field="4" type="button" dataOnly="0" labelOnly="1" outline="0" axis="axisRow" fieldPosition="0"/>
    </format>
    <format dxfId="287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7"/>
          </reference>
        </references>
      </pivotArea>
    </format>
    <format dxfId="286">
      <pivotArea dataOnly="0" labelOnly="1" grandCol="1" outline="0" fieldPosition="0"/>
    </format>
    <format dxfId="285">
      <pivotArea grandRow="1" outline="0" collapsedLevelsAreSubtotals="1" fieldPosition="0"/>
    </format>
    <format dxfId="28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gg@maryville.edu" TargetMode="External"/><Relationship Id="rId13" Type="http://schemas.openxmlformats.org/officeDocument/2006/relationships/hyperlink" Target="mailto:ll@maryville.edu" TargetMode="External"/><Relationship Id="rId3" Type="http://schemas.openxmlformats.org/officeDocument/2006/relationships/hyperlink" Target="mailto:bb@maryville.edu" TargetMode="External"/><Relationship Id="rId7" Type="http://schemas.openxmlformats.org/officeDocument/2006/relationships/hyperlink" Target="mailto:ff@maryville.edu" TargetMode="External"/><Relationship Id="rId12" Type="http://schemas.openxmlformats.org/officeDocument/2006/relationships/hyperlink" Target="mailto:kk@maryville.edu" TargetMode="External"/><Relationship Id="rId2" Type="http://schemas.openxmlformats.org/officeDocument/2006/relationships/hyperlink" Target="mailto:aa@maryville.edu" TargetMode="External"/><Relationship Id="rId1" Type="http://schemas.openxmlformats.org/officeDocument/2006/relationships/hyperlink" Target="mailto:aa@maryville.edu" TargetMode="External"/><Relationship Id="rId6" Type="http://schemas.openxmlformats.org/officeDocument/2006/relationships/hyperlink" Target="mailto:ee@maryville.edu" TargetMode="External"/><Relationship Id="rId11" Type="http://schemas.openxmlformats.org/officeDocument/2006/relationships/hyperlink" Target="mailto:jj@maryville.edu" TargetMode="External"/><Relationship Id="rId5" Type="http://schemas.openxmlformats.org/officeDocument/2006/relationships/hyperlink" Target="mailto:dd@maryville.edu" TargetMode="External"/><Relationship Id="rId10" Type="http://schemas.openxmlformats.org/officeDocument/2006/relationships/hyperlink" Target="mailto:ii@maryville.edu" TargetMode="External"/><Relationship Id="rId4" Type="http://schemas.openxmlformats.org/officeDocument/2006/relationships/hyperlink" Target="mailto:cc@maryville.edu" TargetMode="External"/><Relationship Id="rId9" Type="http://schemas.openxmlformats.org/officeDocument/2006/relationships/hyperlink" Target="mailto:hh@maryville.edu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AD4-766F-F14C-8F54-62AD4C837ADD}">
  <sheetPr>
    <pageSetUpPr fitToPage="1"/>
  </sheetPr>
  <dimension ref="B1:K26"/>
  <sheetViews>
    <sheetView showGridLines="0" tabSelected="1" zoomScale="104" workbookViewId="0">
      <selection activeCell="L16" sqref="L16"/>
    </sheetView>
  </sheetViews>
  <sheetFormatPr baseColWidth="10" defaultRowHeight="16"/>
  <cols>
    <col min="1" max="1" width="1.83203125" customWidth="1"/>
    <col min="2" max="2" width="22.5" customWidth="1"/>
    <col min="3" max="3" width="10.5" hidden="1" customWidth="1"/>
    <col min="4" max="4" width="12.33203125" bestFit="1" customWidth="1"/>
    <col min="5" max="6" width="12.5" bestFit="1" customWidth="1"/>
    <col min="7" max="7" width="12.33203125" bestFit="1" customWidth="1"/>
    <col min="8" max="8" width="12.5" bestFit="1" customWidth="1"/>
    <col min="9" max="10" width="12.33203125" bestFit="1" customWidth="1"/>
    <col min="11" max="11" width="12.5" bestFit="1" customWidth="1"/>
    <col min="12" max="16" width="22.6640625" bestFit="1" customWidth="1"/>
    <col min="17" max="17" width="27.5" bestFit="1" customWidth="1"/>
    <col min="18" max="18" width="17" bestFit="1" customWidth="1"/>
  </cols>
  <sheetData>
    <row r="1" spans="2:11" ht="7" customHeight="1"/>
    <row r="2" spans="2:11">
      <c r="B2" s="14" t="s">
        <v>123</v>
      </c>
    </row>
    <row r="3" spans="2:11" ht="2" hidden="1" customHeight="1">
      <c r="B3" s="141" t="s">
        <v>77</v>
      </c>
      <c r="C3" s="132" t="s">
        <v>3</v>
      </c>
    </row>
    <row r="4" spans="2:11" ht="11" customHeight="1" thickBot="1"/>
    <row r="5" spans="2:11" ht="17" thickBot="1">
      <c r="B5" s="164"/>
      <c r="C5" s="104"/>
      <c r="D5" s="142" t="s">
        <v>76</v>
      </c>
      <c r="E5" s="142"/>
      <c r="F5" s="142"/>
      <c r="G5" s="142"/>
      <c r="H5" s="142"/>
      <c r="I5" s="142"/>
      <c r="J5" s="142"/>
      <c r="K5" s="139"/>
    </row>
    <row r="6" spans="2:11" ht="17" thickBot="1">
      <c r="B6" s="164" t="s">
        <v>75</v>
      </c>
      <c r="C6" s="118" t="s">
        <v>109</v>
      </c>
      <c r="D6" s="143" t="s">
        <v>98</v>
      </c>
      <c r="E6" s="143" t="s">
        <v>93</v>
      </c>
      <c r="F6" s="143" t="s">
        <v>94</v>
      </c>
      <c r="G6" s="143" t="s">
        <v>95</v>
      </c>
      <c r="H6" s="143" t="s">
        <v>96</v>
      </c>
      <c r="I6" s="143" t="s">
        <v>84</v>
      </c>
      <c r="J6" s="143" t="s">
        <v>97</v>
      </c>
      <c r="K6" s="139" t="s">
        <v>83</v>
      </c>
    </row>
    <row r="7" spans="2:11">
      <c r="B7" s="138" t="s">
        <v>92</v>
      </c>
      <c r="C7" s="104" t="s">
        <v>113</v>
      </c>
      <c r="D7" s="127">
        <v>1</v>
      </c>
      <c r="E7" s="127"/>
      <c r="F7" s="127"/>
      <c r="G7" s="127"/>
      <c r="H7" s="127"/>
      <c r="I7" s="127"/>
      <c r="J7" s="128"/>
      <c r="K7" s="148">
        <v>1</v>
      </c>
    </row>
    <row r="8" spans="2:11" ht="17" thickBot="1">
      <c r="B8" s="146"/>
      <c r="C8" s="147" t="s">
        <v>108</v>
      </c>
      <c r="D8" s="149">
        <v>86000</v>
      </c>
      <c r="E8" s="149"/>
      <c r="F8" s="149"/>
      <c r="G8" s="149"/>
      <c r="H8" s="149"/>
      <c r="I8" s="149"/>
      <c r="J8" s="150"/>
      <c r="K8" s="151">
        <v>86000</v>
      </c>
    </row>
    <row r="9" spans="2:11">
      <c r="B9" s="138" t="s">
        <v>84</v>
      </c>
      <c r="C9" s="104" t="s">
        <v>113</v>
      </c>
      <c r="D9" s="152"/>
      <c r="E9" s="152">
        <v>1</v>
      </c>
      <c r="F9" s="152">
        <v>1</v>
      </c>
      <c r="G9" s="152"/>
      <c r="H9" s="152"/>
      <c r="I9" s="152"/>
      <c r="J9" s="153"/>
      <c r="K9" s="154">
        <v>2</v>
      </c>
    </row>
    <row r="10" spans="2:11" ht="17" thickBot="1">
      <c r="B10" s="146"/>
      <c r="C10" s="147" t="s">
        <v>108</v>
      </c>
      <c r="D10" s="149"/>
      <c r="E10" s="149">
        <v>79000</v>
      </c>
      <c r="F10" s="149">
        <v>83000</v>
      </c>
      <c r="G10" s="149"/>
      <c r="H10" s="149"/>
      <c r="I10" s="149"/>
      <c r="J10" s="150"/>
      <c r="K10" s="151">
        <v>81000</v>
      </c>
    </row>
    <row r="11" spans="2:11">
      <c r="B11" s="138" t="s">
        <v>85</v>
      </c>
      <c r="C11" s="104" t="s">
        <v>113</v>
      </c>
      <c r="D11" s="152">
        <v>4</v>
      </c>
      <c r="E11" s="152">
        <v>4</v>
      </c>
      <c r="F11" s="152">
        <v>2</v>
      </c>
      <c r="G11" s="152"/>
      <c r="H11" s="152"/>
      <c r="I11" s="152"/>
      <c r="J11" s="152"/>
      <c r="K11" s="154">
        <v>10</v>
      </c>
    </row>
    <row r="12" spans="2:11" ht="17" thickBot="1">
      <c r="B12" s="146"/>
      <c r="C12" s="147" t="s">
        <v>108</v>
      </c>
      <c r="D12" s="149">
        <v>86000</v>
      </c>
      <c r="E12" s="149">
        <v>112500</v>
      </c>
      <c r="F12" s="149">
        <v>97000</v>
      </c>
      <c r="G12" s="149"/>
      <c r="H12" s="149"/>
      <c r="I12" s="149"/>
      <c r="J12" s="149"/>
      <c r="K12" s="151">
        <v>98800</v>
      </c>
    </row>
    <row r="13" spans="2:11">
      <c r="B13" s="138" t="s">
        <v>86</v>
      </c>
      <c r="C13" s="105" t="s">
        <v>113</v>
      </c>
      <c r="D13" s="155"/>
      <c r="E13" s="152"/>
      <c r="F13" s="152">
        <v>1</v>
      </c>
      <c r="G13" s="152"/>
      <c r="H13" s="152"/>
      <c r="I13" s="152"/>
      <c r="J13" s="152"/>
      <c r="K13" s="154">
        <v>1</v>
      </c>
    </row>
    <row r="14" spans="2:11" ht="17" thickBot="1">
      <c r="B14" s="146"/>
      <c r="C14" s="105" t="s">
        <v>108</v>
      </c>
      <c r="D14" s="156"/>
      <c r="E14" s="149"/>
      <c r="F14" s="149">
        <v>23000</v>
      </c>
      <c r="G14" s="149"/>
      <c r="H14" s="149"/>
      <c r="I14" s="149"/>
      <c r="J14" s="149"/>
      <c r="K14" s="151">
        <v>23000</v>
      </c>
    </row>
    <row r="15" spans="2:11">
      <c r="B15" s="138" t="s">
        <v>87</v>
      </c>
      <c r="C15" s="105" t="s">
        <v>113</v>
      </c>
      <c r="D15" s="155"/>
      <c r="E15" s="152">
        <v>1</v>
      </c>
      <c r="F15" s="152">
        <v>1</v>
      </c>
      <c r="G15" s="152"/>
      <c r="H15" s="152">
        <v>1</v>
      </c>
      <c r="I15" s="152"/>
      <c r="J15" s="152"/>
      <c r="K15" s="154">
        <v>3</v>
      </c>
    </row>
    <row r="16" spans="2:11" ht="17" thickBot="1">
      <c r="B16" s="146"/>
      <c r="C16" s="105" t="s">
        <v>108</v>
      </c>
      <c r="D16" s="156"/>
      <c r="E16" s="149">
        <v>92000</v>
      </c>
      <c r="F16" s="149">
        <v>86000</v>
      </c>
      <c r="G16" s="149"/>
      <c r="H16" s="149">
        <v>86000</v>
      </c>
      <c r="I16" s="149"/>
      <c r="J16" s="149"/>
      <c r="K16" s="151">
        <v>88000</v>
      </c>
    </row>
    <row r="17" spans="2:11">
      <c r="B17" s="138" t="s">
        <v>88</v>
      </c>
      <c r="C17" s="105" t="s">
        <v>113</v>
      </c>
      <c r="D17" s="155">
        <v>2</v>
      </c>
      <c r="E17" s="152">
        <v>1</v>
      </c>
      <c r="F17" s="152">
        <v>4</v>
      </c>
      <c r="G17" s="152">
        <v>3</v>
      </c>
      <c r="H17" s="152"/>
      <c r="I17" s="152"/>
      <c r="J17" s="152"/>
      <c r="K17" s="154">
        <v>10</v>
      </c>
    </row>
    <row r="18" spans="2:11" ht="17" thickBot="1">
      <c r="B18" s="146"/>
      <c r="C18" s="105" t="s">
        <v>108</v>
      </c>
      <c r="D18" s="156">
        <v>85000</v>
      </c>
      <c r="E18" s="149">
        <v>91000</v>
      </c>
      <c r="F18" s="149">
        <v>91500</v>
      </c>
      <c r="G18" s="149">
        <v>86333.333333333328</v>
      </c>
      <c r="H18" s="149"/>
      <c r="I18" s="149"/>
      <c r="J18" s="149"/>
      <c r="K18" s="151">
        <v>88600</v>
      </c>
    </row>
    <row r="19" spans="2:11">
      <c r="B19" s="138" t="s">
        <v>89</v>
      </c>
      <c r="C19" s="105" t="s">
        <v>113</v>
      </c>
      <c r="D19" s="155"/>
      <c r="E19" s="152">
        <v>2</v>
      </c>
      <c r="F19" s="152">
        <v>2</v>
      </c>
      <c r="G19" s="152"/>
      <c r="H19" s="152">
        <v>2</v>
      </c>
      <c r="I19" s="152"/>
      <c r="J19" s="152"/>
      <c r="K19" s="154">
        <v>6</v>
      </c>
    </row>
    <row r="20" spans="2:11" ht="17" thickBot="1">
      <c r="B20" s="146"/>
      <c r="C20" s="105" t="s">
        <v>108</v>
      </c>
      <c r="D20" s="156"/>
      <c r="E20" s="149">
        <v>86500</v>
      </c>
      <c r="F20" s="149">
        <v>169000</v>
      </c>
      <c r="G20" s="149"/>
      <c r="H20" s="149">
        <v>209500</v>
      </c>
      <c r="I20" s="149"/>
      <c r="J20" s="149"/>
      <c r="K20" s="151">
        <v>155000</v>
      </c>
    </row>
    <row r="21" spans="2:11">
      <c r="B21" s="138" t="s">
        <v>90</v>
      </c>
      <c r="C21" s="105" t="s">
        <v>113</v>
      </c>
      <c r="D21" s="155"/>
      <c r="E21" s="152">
        <v>2</v>
      </c>
      <c r="F21" s="152"/>
      <c r="G21" s="152"/>
      <c r="H21" s="152"/>
      <c r="I21" s="152">
        <v>1</v>
      </c>
      <c r="J21" s="152"/>
      <c r="K21" s="154">
        <v>3</v>
      </c>
    </row>
    <row r="22" spans="2:11" ht="17" thickBot="1">
      <c r="B22" s="146"/>
      <c r="C22" s="105" t="s">
        <v>108</v>
      </c>
      <c r="D22" s="156"/>
      <c r="E22" s="149">
        <v>96500</v>
      </c>
      <c r="F22" s="149"/>
      <c r="G22" s="149"/>
      <c r="H22" s="149"/>
      <c r="I22" s="149">
        <v>86000</v>
      </c>
      <c r="J22" s="149"/>
      <c r="K22" s="151">
        <v>93000</v>
      </c>
    </row>
    <row r="23" spans="2:11">
      <c r="B23" s="138" t="s">
        <v>91</v>
      </c>
      <c r="C23" s="105" t="s">
        <v>113</v>
      </c>
      <c r="D23" s="155"/>
      <c r="E23" s="152"/>
      <c r="F23" s="152"/>
      <c r="G23" s="152"/>
      <c r="H23" s="152"/>
      <c r="I23" s="152"/>
      <c r="J23" s="152">
        <v>1</v>
      </c>
      <c r="K23" s="154">
        <v>1</v>
      </c>
    </row>
    <row r="24" spans="2:11" ht="17" thickBot="1">
      <c r="B24" s="146"/>
      <c r="C24" s="105" t="s">
        <v>108</v>
      </c>
      <c r="D24" s="156"/>
      <c r="E24" s="149"/>
      <c r="F24" s="149"/>
      <c r="G24" s="149"/>
      <c r="H24" s="149"/>
      <c r="I24" s="149"/>
      <c r="J24" s="149">
        <v>86000</v>
      </c>
      <c r="K24" s="151">
        <v>86000</v>
      </c>
    </row>
    <row r="25" spans="2:11" ht="17" thickBot="1">
      <c r="B25" s="139" t="s">
        <v>122</v>
      </c>
      <c r="C25" s="144"/>
      <c r="D25" s="157">
        <v>7</v>
      </c>
      <c r="E25" s="158">
        <v>11</v>
      </c>
      <c r="F25" s="158">
        <v>11</v>
      </c>
      <c r="G25" s="158">
        <v>3</v>
      </c>
      <c r="H25" s="158">
        <v>3</v>
      </c>
      <c r="I25" s="158">
        <v>1</v>
      </c>
      <c r="J25" s="159">
        <v>1</v>
      </c>
      <c r="K25" s="160">
        <v>37</v>
      </c>
    </row>
    <row r="26" spans="2:11" ht="17" thickBot="1">
      <c r="B26" s="140" t="s">
        <v>107</v>
      </c>
      <c r="C26" s="145"/>
      <c r="D26" s="161">
        <v>85714.28571428571</v>
      </c>
      <c r="E26" s="162">
        <v>98000</v>
      </c>
      <c r="F26" s="162">
        <v>99090.909090909088</v>
      </c>
      <c r="G26" s="162">
        <v>86333.333333333328</v>
      </c>
      <c r="H26" s="162">
        <v>168333.33333333334</v>
      </c>
      <c r="I26" s="162">
        <v>86000</v>
      </c>
      <c r="J26" s="163">
        <v>86000</v>
      </c>
      <c r="K26" s="160">
        <v>100108.10810810811</v>
      </c>
    </row>
  </sheetData>
  <printOptions horizontalCentered="1"/>
  <pageMargins left="0.7" right="0.7" top="0.75" bottom="0.75" header="0.3" footer="0.3"/>
  <pageSetup scale="68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08AE-B58B-6F4F-9524-915C267A63BC}">
  <sheetPr>
    <pageSetUpPr fitToPage="1"/>
  </sheetPr>
  <dimension ref="B1:C7"/>
  <sheetViews>
    <sheetView showGridLines="0" workbookViewId="0">
      <selection activeCell="K22" sqref="K22"/>
    </sheetView>
  </sheetViews>
  <sheetFormatPr baseColWidth="10" defaultRowHeight="16"/>
  <cols>
    <col min="1" max="1" width="2.33203125" customWidth="1"/>
  </cols>
  <sheetData>
    <row r="1" spans="2:3" ht="8" customHeight="1" thickBot="1"/>
    <row r="2" spans="2:3" ht="17" thickBot="1">
      <c r="B2" s="69" t="s">
        <v>0</v>
      </c>
      <c r="C2" s="71"/>
    </row>
    <row r="3" spans="2:3" ht="35" thickBot="1">
      <c r="B3" s="2" t="s">
        <v>1</v>
      </c>
      <c r="C3" s="2" t="s">
        <v>2</v>
      </c>
    </row>
    <row r="4" spans="2:3">
      <c r="B4" s="1" t="s">
        <v>3</v>
      </c>
      <c r="C4" s="3">
        <f>COUNTIF('Student Records'!C3:C14,'Grade Distribtuion'!B4)</f>
        <v>3</v>
      </c>
    </row>
    <row r="5" spans="2:3">
      <c r="B5" s="1" t="s">
        <v>4</v>
      </c>
      <c r="C5" s="3">
        <f>COUNTIF('Student Records'!C4:C15,'Grade Distribtuion'!B5)</f>
        <v>5</v>
      </c>
    </row>
    <row r="6" spans="2:3">
      <c r="B6" s="1" t="s">
        <v>5</v>
      </c>
      <c r="C6" s="3">
        <f>COUNTIF('Student Records'!C5:C16,'Grade Distribtuion'!B6)</f>
        <v>3</v>
      </c>
    </row>
    <row r="7" spans="2:3" ht="17" thickBot="1">
      <c r="B7" s="4" t="s">
        <v>6</v>
      </c>
      <c r="C7" s="5">
        <f>COUNTIF('Student Records'!C6:C17,'Grade Distribtuion'!B7)</f>
        <v>1</v>
      </c>
    </row>
  </sheetData>
  <mergeCells count="1">
    <mergeCell ref="B2:C2"/>
  </mergeCells>
  <printOptions horizontalCentered="1"/>
  <pageMargins left="0.7" right="0.7" top="0.75" bottom="0.75" header="0.3" footer="0.3"/>
  <pageSetup scale="76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5B0D-EC76-ED4A-90CC-4489DBE201AB}">
  <sheetPr>
    <pageSetUpPr fitToPage="1"/>
  </sheetPr>
  <dimension ref="A1:Z16"/>
  <sheetViews>
    <sheetView workbookViewId="0">
      <selection activeCell="A16" sqref="A16"/>
    </sheetView>
  </sheetViews>
  <sheetFormatPr baseColWidth="10" defaultColWidth="8.83203125" defaultRowHeight="13"/>
  <cols>
    <col min="1" max="1" width="20.33203125" style="6" customWidth="1"/>
    <col min="2" max="2" width="9.33203125" style="6" customWidth="1"/>
    <col min="3" max="3" width="7.33203125" style="6" customWidth="1"/>
    <col min="4" max="6" width="8.83203125" style="6"/>
    <col min="7" max="7" width="1.1640625" style="6" customWidth="1"/>
    <col min="8" max="12" width="5.6640625" style="6" customWidth="1"/>
    <col min="13" max="13" width="5" style="6" bestFit="1" customWidth="1"/>
    <col min="14" max="14" width="0.6640625" style="6" customWidth="1"/>
    <col min="15" max="25" width="5.6640625" style="6" customWidth="1"/>
    <col min="26" max="26" width="5.5" style="6" bestFit="1" customWidth="1"/>
    <col min="27" max="16384" width="8.83203125" style="6"/>
  </cols>
  <sheetData>
    <row r="1" spans="1:26">
      <c r="C1" s="7" t="s">
        <v>7</v>
      </c>
      <c r="D1" s="7" t="s">
        <v>8</v>
      </c>
      <c r="G1" s="7"/>
      <c r="H1" s="76" t="s">
        <v>9</v>
      </c>
      <c r="I1" s="76"/>
      <c r="J1" s="76"/>
      <c r="K1" s="76"/>
      <c r="L1" s="76"/>
      <c r="M1" s="76"/>
      <c r="O1" s="76" t="s">
        <v>10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>
      <c r="A2" s="8" t="s">
        <v>11</v>
      </c>
      <c r="B2" s="8" t="s">
        <v>12</v>
      </c>
      <c r="C2" s="9" t="s">
        <v>13</v>
      </c>
      <c r="D2" s="9" t="s">
        <v>14</v>
      </c>
      <c r="E2" s="9" t="s">
        <v>7</v>
      </c>
      <c r="F2" s="9" t="s">
        <v>15</v>
      </c>
      <c r="G2" s="9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 t="s">
        <v>8</v>
      </c>
      <c r="O2" s="9">
        <v>1</v>
      </c>
      <c r="P2" s="9">
        <v>2</v>
      </c>
      <c r="Q2" s="9">
        <v>3</v>
      </c>
      <c r="R2" s="9">
        <v>4</v>
      </c>
      <c r="S2" s="9">
        <v>5</v>
      </c>
      <c r="T2" s="9">
        <v>6</v>
      </c>
      <c r="U2" s="9">
        <v>7</v>
      </c>
      <c r="V2" s="9">
        <v>8</v>
      </c>
      <c r="W2" s="9">
        <v>9</v>
      </c>
      <c r="X2" s="9">
        <v>10</v>
      </c>
      <c r="Y2" s="9">
        <v>11</v>
      </c>
      <c r="Z2" s="9" t="s">
        <v>8</v>
      </c>
    </row>
    <row r="3" spans="1:26">
      <c r="A3" s="10" t="s">
        <v>16</v>
      </c>
      <c r="B3" s="11" t="s">
        <v>17</v>
      </c>
      <c r="C3" s="12" t="s">
        <v>3</v>
      </c>
      <c r="D3" s="12">
        <f t="shared" ref="D3:D14" si="0">SUM(E3:G3,M3,Z3)</f>
        <v>488</v>
      </c>
      <c r="E3" s="13">
        <v>195</v>
      </c>
      <c r="F3" s="13">
        <v>98</v>
      </c>
      <c r="G3" s="12"/>
      <c r="H3" s="13">
        <v>24</v>
      </c>
      <c r="I3" s="13">
        <v>23</v>
      </c>
      <c r="J3" s="13">
        <v>18</v>
      </c>
      <c r="K3" s="13">
        <v>23</v>
      </c>
      <c r="L3" s="13">
        <v>21</v>
      </c>
      <c r="M3" s="12">
        <f>SUM(H3:L3)</f>
        <v>109</v>
      </c>
      <c r="O3" s="13">
        <v>10</v>
      </c>
      <c r="P3" s="13">
        <v>9</v>
      </c>
      <c r="Q3" s="13">
        <v>7</v>
      </c>
      <c r="R3" s="13">
        <v>8</v>
      </c>
      <c r="S3" s="13">
        <v>6</v>
      </c>
      <c r="T3" s="13">
        <v>8</v>
      </c>
      <c r="U3" s="13">
        <v>7</v>
      </c>
      <c r="V3" s="13">
        <v>6</v>
      </c>
      <c r="W3" s="13">
        <v>8</v>
      </c>
      <c r="X3" s="13">
        <v>10</v>
      </c>
      <c r="Y3" s="13">
        <v>7</v>
      </c>
      <c r="Z3" s="12">
        <f>SUM(O3:Y3)</f>
        <v>86</v>
      </c>
    </row>
    <row r="4" spans="1:26">
      <c r="A4" s="10" t="s">
        <v>18</v>
      </c>
      <c r="B4" s="11" t="s">
        <v>19</v>
      </c>
      <c r="C4" s="12" t="s">
        <v>4</v>
      </c>
      <c r="D4" s="12">
        <f t="shared" si="0"/>
        <v>439</v>
      </c>
      <c r="E4" s="13">
        <v>190</v>
      </c>
      <c r="F4" s="13">
        <v>96</v>
      </c>
      <c r="G4" s="12"/>
      <c r="H4" s="13">
        <v>23</v>
      </c>
      <c r="I4" s="13">
        <v>22</v>
      </c>
      <c r="J4" s="13">
        <v>17</v>
      </c>
      <c r="K4" s="13">
        <v>22</v>
      </c>
      <c r="L4" s="13">
        <v>20</v>
      </c>
      <c r="M4" s="12">
        <f t="shared" ref="M4:M14" si="1">SUM(H4:L4)</f>
        <v>104</v>
      </c>
      <c r="O4" s="13">
        <v>9</v>
      </c>
      <c r="P4" s="13">
        <v>8</v>
      </c>
      <c r="Q4" s="13">
        <v>0</v>
      </c>
      <c r="R4" s="13">
        <v>7</v>
      </c>
      <c r="S4" s="13">
        <v>0</v>
      </c>
      <c r="T4" s="13">
        <v>2</v>
      </c>
      <c r="U4" s="13">
        <v>5</v>
      </c>
      <c r="V4" s="13">
        <v>4</v>
      </c>
      <c r="W4" s="13">
        <v>6</v>
      </c>
      <c r="X4" s="13">
        <v>8</v>
      </c>
      <c r="Y4" s="13"/>
      <c r="Z4" s="12">
        <f t="shared" ref="Z4:Z14" si="2">SUM(O4:Y4)</f>
        <v>49</v>
      </c>
    </row>
    <row r="5" spans="1:26">
      <c r="A5" s="10" t="s">
        <v>20</v>
      </c>
      <c r="B5" s="11" t="s">
        <v>21</v>
      </c>
      <c r="C5" s="12" t="s">
        <v>3</v>
      </c>
      <c r="D5" s="12">
        <f t="shared" si="0"/>
        <v>458</v>
      </c>
      <c r="E5" s="13">
        <v>185</v>
      </c>
      <c r="F5" s="13">
        <v>94</v>
      </c>
      <c r="G5" s="12"/>
      <c r="H5" s="13">
        <v>22</v>
      </c>
      <c r="I5" s="13">
        <v>25</v>
      </c>
      <c r="J5" s="13">
        <v>25</v>
      </c>
      <c r="K5" s="13">
        <v>25</v>
      </c>
      <c r="L5" s="13">
        <v>25</v>
      </c>
      <c r="M5" s="12">
        <f t="shared" si="1"/>
        <v>122</v>
      </c>
      <c r="O5" s="13">
        <v>8</v>
      </c>
      <c r="P5" s="13">
        <v>7</v>
      </c>
      <c r="Q5" s="13">
        <v>9</v>
      </c>
      <c r="R5" s="13">
        <v>7</v>
      </c>
      <c r="S5" s="13">
        <v>10</v>
      </c>
      <c r="T5" s="13">
        <v>7</v>
      </c>
      <c r="U5" s="13">
        <v>3</v>
      </c>
      <c r="V5" s="13">
        <v>2</v>
      </c>
      <c r="W5" s="13">
        <v>4</v>
      </c>
      <c r="X5" s="13"/>
      <c r="Y5" s="13"/>
      <c r="Z5" s="12">
        <f t="shared" si="2"/>
        <v>57</v>
      </c>
    </row>
    <row r="6" spans="1:26">
      <c r="A6" s="10" t="s">
        <v>22</v>
      </c>
      <c r="B6" s="11" t="s">
        <v>23</v>
      </c>
      <c r="C6" s="12" t="s">
        <v>4</v>
      </c>
      <c r="D6" s="12">
        <f t="shared" si="0"/>
        <v>430</v>
      </c>
      <c r="E6" s="13">
        <v>180</v>
      </c>
      <c r="F6" s="13">
        <v>92</v>
      </c>
      <c r="G6" s="12"/>
      <c r="H6" s="13">
        <v>21</v>
      </c>
      <c r="I6" s="13">
        <v>20</v>
      </c>
      <c r="J6" s="13">
        <v>25</v>
      </c>
      <c r="K6" s="13">
        <v>20</v>
      </c>
      <c r="L6" s="13">
        <v>22</v>
      </c>
      <c r="M6" s="12">
        <f t="shared" si="1"/>
        <v>108</v>
      </c>
      <c r="O6" s="13">
        <v>7</v>
      </c>
      <c r="P6" s="13">
        <v>6</v>
      </c>
      <c r="Q6" s="13">
        <v>8</v>
      </c>
      <c r="R6" s="13">
        <v>10</v>
      </c>
      <c r="S6" s="13">
        <v>7</v>
      </c>
      <c r="T6" s="13">
        <v>9</v>
      </c>
      <c r="U6" s="13">
        <v>2</v>
      </c>
      <c r="V6" s="13">
        <v>1</v>
      </c>
      <c r="W6" s="13"/>
      <c r="X6" s="13"/>
      <c r="Y6" s="13"/>
      <c r="Z6" s="12">
        <f t="shared" si="2"/>
        <v>50</v>
      </c>
    </row>
    <row r="7" spans="1:26">
      <c r="A7" s="10" t="s">
        <v>24</v>
      </c>
      <c r="B7" s="11" t="s">
        <v>25</v>
      </c>
      <c r="C7" s="12" t="s">
        <v>3</v>
      </c>
      <c r="D7" s="12">
        <f t="shared" si="0"/>
        <v>458</v>
      </c>
      <c r="E7" s="13">
        <v>198</v>
      </c>
      <c r="F7" s="13">
        <v>90</v>
      </c>
      <c r="G7" s="12"/>
      <c r="H7" s="13">
        <v>25</v>
      </c>
      <c r="I7" s="13">
        <v>25</v>
      </c>
      <c r="J7" s="13">
        <v>25</v>
      </c>
      <c r="K7" s="13">
        <v>25</v>
      </c>
      <c r="L7" s="13">
        <v>21</v>
      </c>
      <c r="M7" s="12">
        <f t="shared" si="1"/>
        <v>121</v>
      </c>
      <c r="O7" s="13">
        <v>6</v>
      </c>
      <c r="P7" s="13">
        <v>5</v>
      </c>
      <c r="Q7" s="13">
        <v>7</v>
      </c>
      <c r="R7" s="13">
        <v>9</v>
      </c>
      <c r="S7" s="13">
        <v>6</v>
      </c>
      <c r="T7" s="13">
        <v>8</v>
      </c>
      <c r="U7" s="13">
        <v>8</v>
      </c>
      <c r="V7" s="13"/>
      <c r="W7" s="13"/>
      <c r="X7" s="13"/>
      <c r="Y7" s="13"/>
      <c r="Z7" s="12">
        <f t="shared" si="2"/>
        <v>49</v>
      </c>
    </row>
    <row r="8" spans="1:26">
      <c r="A8" s="10" t="s">
        <v>26</v>
      </c>
      <c r="B8" s="11" t="s">
        <v>27</v>
      </c>
      <c r="C8" s="12" t="s">
        <v>5</v>
      </c>
      <c r="D8" s="12">
        <f t="shared" si="0"/>
        <v>391</v>
      </c>
      <c r="E8" s="13">
        <v>170</v>
      </c>
      <c r="F8" s="13">
        <v>88</v>
      </c>
      <c r="G8" s="12"/>
      <c r="H8" s="13">
        <v>19</v>
      </c>
      <c r="I8" s="13">
        <v>18</v>
      </c>
      <c r="J8" s="13">
        <v>23</v>
      </c>
      <c r="K8" s="13">
        <v>18</v>
      </c>
      <c r="L8" s="13">
        <v>20</v>
      </c>
      <c r="M8" s="12">
        <f t="shared" si="1"/>
        <v>98</v>
      </c>
      <c r="O8" s="13">
        <v>5</v>
      </c>
      <c r="P8" s="13">
        <v>4</v>
      </c>
      <c r="Q8" s="13">
        <v>6</v>
      </c>
      <c r="R8" s="13">
        <v>8</v>
      </c>
      <c r="S8" s="13">
        <v>5</v>
      </c>
      <c r="T8" s="13">
        <v>7</v>
      </c>
      <c r="U8" s="13"/>
      <c r="V8" s="13"/>
      <c r="W8" s="13"/>
      <c r="X8" s="13"/>
      <c r="Y8" s="13"/>
      <c r="Z8" s="12">
        <f t="shared" si="2"/>
        <v>35</v>
      </c>
    </row>
    <row r="9" spans="1:26">
      <c r="A9" s="10" t="s">
        <v>28</v>
      </c>
      <c r="B9" s="11" t="s">
        <v>29</v>
      </c>
      <c r="C9" s="12" t="s">
        <v>4</v>
      </c>
      <c r="D9" s="12">
        <f t="shared" si="0"/>
        <v>420</v>
      </c>
      <c r="E9" s="13">
        <v>200</v>
      </c>
      <c r="F9" s="13">
        <v>86</v>
      </c>
      <c r="G9" s="12"/>
      <c r="H9" s="13">
        <v>18</v>
      </c>
      <c r="I9" s="13">
        <v>17</v>
      </c>
      <c r="J9" s="13">
        <v>22</v>
      </c>
      <c r="K9" s="13">
        <v>17</v>
      </c>
      <c r="L9" s="13">
        <v>19</v>
      </c>
      <c r="M9" s="12">
        <f t="shared" si="1"/>
        <v>93</v>
      </c>
      <c r="O9" s="13">
        <v>10</v>
      </c>
      <c r="P9" s="13">
        <v>6</v>
      </c>
      <c r="Q9" s="13">
        <v>8</v>
      </c>
      <c r="R9" s="13">
        <v>10</v>
      </c>
      <c r="S9" s="13">
        <v>7</v>
      </c>
      <c r="T9" s="13"/>
      <c r="U9" s="13"/>
      <c r="V9" s="13"/>
      <c r="W9" s="13"/>
      <c r="X9" s="13"/>
      <c r="Y9" s="13"/>
      <c r="Z9" s="12">
        <f t="shared" si="2"/>
        <v>41</v>
      </c>
    </row>
    <row r="10" spans="1:26">
      <c r="A10" s="10" t="s">
        <v>30</v>
      </c>
      <c r="B10" s="11" t="s">
        <v>31</v>
      </c>
      <c r="C10" s="12" t="s">
        <v>5</v>
      </c>
      <c r="D10" s="12">
        <f t="shared" si="0"/>
        <v>319</v>
      </c>
      <c r="E10" s="13">
        <v>160</v>
      </c>
      <c r="F10" s="13">
        <v>84</v>
      </c>
      <c r="G10" s="12"/>
      <c r="H10" s="13">
        <v>17</v>
      </c>
      <c r="I10" s="13">
        <v>16</v>
      </c>
      <c r="J10" s="13">
        <v>25</v>
      </c>
      <c r="K10" s="13"/>
      <c r="L10" s="13">
        <v>2</v>
      </c>
      <c r="M10" s="12">
        <f t="shared" si="1"/>
        <v>60</v>
      </c>
      <c r="O10" s="13">
        <v>3</v>
      </c>
      <c r="P10" s="13">
        <v>2</v>
      </c>
      <c r="Q10" s="13">
        <v>4</v>
      </c>
      <c r="R10" s="13">
        <v>6</v>
      </c>
      <c r="S10" s="13"/>
      <c r="T10" s="13"/>
      <c r="U10" s="13"/>
      <c r="V10" s="13"/>
      <c r="W10" s="13"/>
      <c r="X10" s="13"/>
      <c r="Y10" s="13"/>
      <c r="Z10" s="12">
        <f t="shared" si="2"/>
        <v>15</v>
      </c>
    </row>
    <row r="11" spans="1:26">
      <c r="A11" s="10" t="s">
        <v>32</v>
      </c>
      <c r="B11" s="11" t="s">
        <v>33</v>
      </c>
      <c r="C11" s="12" t="s">
        <v>4</v>
      </c>
      <c r="D11" s="12">
        <f t="shared" si="0"/>
        <v>416</v>
      </c>
      <c r="E11" s="13">
        <v>200</v>
      </c>
      <c r="F11" s="13">
        <v>100</v>
      </c>
      <c r="G11" s="12"/>
      <c r="H11" s="13">
        <v>16</v>
      </c>
      <c r="I11" s="13">
        <v>15</v>
      </c>
      <c r="J11" s="13">
        <v>20</v>
      </c>
      <c r="K11" s="13">
        <v>25</v>
      </c>
      <c r="L11" s="13">
        <v>23</v>
      </c>
      <c r="M11" s="12">
        <f t="shared" si="1"/>
        <v>99</v>
      </c>
      <c r="O11" s="13">
        <v>10</v>
      </c>
      <c r="P11" s="13">
        <v>2</v>
      </c>
      <c r="Q11" s="13">
        <v>5</v>
      </c>
      <c r="R11" s="13"/>
      <c r="S11" s="13"/>
      <c r="T11" s="13"/>
      <c r="U11" s="13"/>
      <c r="V11" s="13"/>
      <c r="W11" s="13"/>
      <c r="X11" s="13"/>
      <c r="Y11" s="13"/>
      <c r="Z11" s="12">
        <f t="shared" si="2"/>
        <v>17</v>
      </c>
    </row>
    <row r="12" spans="1:26">
      <c r="A12" s="10" t="s">
        <v>34</v>
      </c>
      <c r="B12" s="11" t="s">
        <v>35</v>
      </c>
      <c r="C12" s="12" t="s">
        <v>5</v>
      </c>
      <c r="D12" s="12">
        <f t="shared" si="0"/>
        <v>305</v>
      </c>
      <c r="E12" s="13">
        <v>180</v>
      </c>
      <c r="F12" s="13">
        <v>90</v>
      </c>
      <c r="G12" s="12"/>
      <c r="H12" s="13">
        <v>15</v>
      </c>
      <c r="I12" s="13"/>
      <c r="J12" s="13"/>
      <c r="K12" s="13"/>
      <c r="L12" s="13"/>
      <c r="M12" s="12">
        <f t="shared" si="1"/>
        <v>15</v>
      </c>
      <c r="O12" s="13">
        <v>10</v>
      </c>
      <c r="P12" s="13">
        <v>10</v>
      </c>
      <c r="Q12" s="13"/>
      <c r="R12" s="13"/>
      <c r="S12" s="13"/>
      <c r="T12" s="13"/>
      <c r="U12" s="13"/>
      <c r="V12" s="13"/>
      <c r="W12" s="13"/>
      <c r="X12" s="13"/>
      <c r="Y12" s="13"/>
      <c r="Z12" s="12">
        <f t="shared" si="2"/>
        <v>20</v>
      </c>
    </row>
    <row r="13" spans="1:26">
      <c r="A13" s="10" t="s">
        <v>36</v>
      </c>
      <c r="B13" s="11" t="s">
        <v>37</v>
      </c>
      <c r="C13" s="12" t="s">
        <v>6</v>
      </c>
      <c r="D13" s="12">
        <f t="shared" si="0"/>
        <v>234</v>
      </c>
      <c r="E13" s="13">
        <v>145</v>
      </c>
      <c r="F13" s="13">
        <v>78</v>
      </c>
      <c r="G13" s="12"/>
      <c r="H13" s="13"/>
      <c r="I13" s="13"/>
      <c r="J13" s="13"/>
      <c r="K13" s="13"/>
      <c r="L13" s="13">
        <v>2</v>
      </c>
      <c r="M13" s="12">
        <f t="shared" si="1"/>
        <v>2</v>
      </c>
      <c r="O13" s="13">
        <v>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2">
        <f t="shared" si="2"/>
        <v>9</v>
      </c>
    </row>
    <row r="14" spans="1:26">
      <c r="A14" s="10" t="s">
        <v>38</v>
      </c>
      <c r="B14" s="11" t="s">
        <v>39</v>
      </c>
      <c r="C14" s="12" t="s">
        <v>4</v>
      </c>
      <c r="D14" s="12">
        <f t="shared" si="0"/>
        <v>447</v>
      </c>
      <c r="E14" s="13">
        <v>200</v>
      </c>
      <c r="F14" s="13">
        <v>100</v>
      </c>
      <c r="G14" s="12"/>
      <c r="H14" s="13">
        <v>13</v>
      </c>
      <c r="I14" s="13">
        <v>12</v>
      </c>
      <c r="J14" s="13">
        <v>17</v>
      </c>
      <c r="K14" s="13">
        <v>22</v>
      </c>
      <c r="L14" s="13">
        <v>20</v>
      </c>
      <c r="M14" s="12">
        <f t="shared" si="1"/>
        <v>84</v>
      </c>
      <c r="O14" s="13">
        <v>5</v>
      </c>
      <c r="P14" s="13">
        <v>4</v>
      </c>
      <c r="Q14" s="13">
        <v>6</v>
      </c>
      <c r="R14" s="13">
        <v>8</v>
      </c>
      <c r="S14" s="13">
        <v>5</v>
      </c>
      <c r="T14" s="13">
        <v>7</v>
      </c>
      <c r="U14" s="13">
        <v>5</v>
      </c>
      <c r="V14" s="13">
        <v>4</v>
      </c>
      <c r="W14" s="13">
        <v>6</v>
      </c>
      <c r="X14" s="13">
        <v>8</v>
      </c>
      <c r="Y14" s="13">
        <v>5</v>
      </c>
      <c r="Z14" s="12">
        <f t="shared" si="2"/>
        <v>63</v>
      </c>
    </row>
    <row r="15" spans="1:26">
      <c r="C15" s="12"/>
      <c r="D15" s="12"/>
      <c r="E15" s="12"/>
      <c r="F15" s="12"/>
      <c r="G15" s="12"/>
    </row>
    <row r="16" spans="1:26">
      <c r="C16" s="12"/>
      <c r="D16" s="12"/>
      <c r="E16" s="12"/>
      <c r="F16" s="12"/>
      <c r="G16" s="12"/>
    </row>
  </sheetData>
  <mergeCells count="2">
    <mergeCell ref="H1:M1"/>
    <mergeCell ref="O1:Z1"/>
  </mergeCells>
  <hyperlinks>
    <hyperlink ref="B3" r:id="rId1" xr:uid="{5EB39DEB-8A92-5B4A-B3A7-37ADFE0F89D9}"/>
    <hyperlink ref="B4:B14" r:id="rId2" display="aa@maryville.edu" xr:uid="{6FD938BD-5CB3-5B4D-B370-BAD7C70ACEEB}"/>
    <hyperlink ref="B4" r:id="rId3" xr:uid="{35C7F8D3-97A0-AC49-8732-CC7D41181870}"/>
    <hyperlink ref="B5" r:id="rId4" xr:uid="{A636B0D0-0B9E-7141-A92E-D14298E2151D}"/>
    <hyperlink ref="B6" r:id="rId5" xr:uid="{E97C02C4-7C8F-FF49-812C-5E9CF194BE97}"/>
    <hyperlink ref="B7" r:id="rId6" xr:uid="{9B8FA862-6990-8147-A788-DA33B11814FE}"/>
    <hyperlink ref="B8" r:id="rId7" xr:uid="{697594CF-0C76-A74B-A288-50AE00FA3F52}"/>
    <hyperlink ref="B9" r:id="rId8" xr:uid="{1FAEAFBC-2039-C648-B729-015E67CBD651}"/>
    <hyperlink ref="B10" r:id="rId9" xr:uid="{BC377A73-B616-B842-8E09-97C7EC6F9436}"/>
    <hyperlink ref="B11" r:id="rId10" xr:uid="{1FFD0D71-13AA-5E4E-9F08-A665E63DC5F9}"/>
    <hyperlink ref="B12" r:id="rId11" xr:uid="{8EB5562F-2BFF-CE45-96F1-C1D352428508}"/>
    <hyperlink ref="B13" r:id="rId12" xr:uid="{898BEC8C-FA6A-8844-8202-1D246937F4C3}"/>
    <hyperlink ref="B14" r:id="rId13" xr:uid="{EA68CE01-E6F5-A643-9FF3-C4B9DF81B975}"/>
  </hyperlinks>
  <pageMargins left="0.75" right="0.75" top="1" bottom="1" header="0.5" footer="0.5"/>
  <pageSetup scale="74" orientation="landscape" r:id="rId14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F9E6-4AC1-3A4F-BBB7-0589E8A44F00}">
  <dimension ref="A1:X27"/>
  <sheetViews>
    <sheetView workbookViewId="0">
      <selection activeCell="F12" sqref="F12"/>
    </sheetView>
  </sheetViews>
  <sheetFormatPr baseColWidth="10" defaultColWidth="8.83203125" defaultRowHeight="15"/>
  <cols>
    <col min="1" max="5" width="8.83203125" style="21"/>
    <col min="6" max="6" width="1.6640625" style="21" customWidth="1"/>
    <col min="7" max="16384" width="8.83203125" style="21"/>
  </cols>
  <sheetData>
    <row r="1" spans="1:24" ht="17" thickBot="1">
      <c r="A1" s="77" t="s">
        <v>50</v>
      </c>
      <c r="B1" s="78"/>
      <c r="C1" s="78"/>
      <c r="D1" s="78"/>
      <c r="E1" s="78"/>
      <c r="F1" s="79"/>
    </row>
    <row r="2" spans="1:24" ht="17" thickBot="1">
      <c r="A2" s="22"/>
      <c r="B2" s="23" t="s">
        <v>13</v>
      </c>
      <c r="C2" s="80" t="s">
        <v>48</v>
      </c>
      <c r="D2" s="80"/>
      <c r="E2" s="80"/>
      <c r="F2" s="24"/>
    </row>
    <row r="3" spans="1:24" ht="16" thickTop="1">
      <c r="A3" s="25"/>
      <c r="B3" s="26" t="s">
        <v>3</v>
      </c>
      <c r="C3" s="27">
        <v>0.95</v>
      </c>
      <c r="D3" s="26" t="s">
        <v>51</v>
      </c>
      <c r="E3" s="28">
        <v>1</v>
      </c>
      <c r="F3" s="29"/>
    </row>
    <row r="4" spans="1:24">
      <c r="A4" s="25"/>
      <c r="B4" s="26" t="s">
        <v>52</v>
      </c>
      <c r="C4" s="27">
        <v>0.92</v>
      </c>
      <c r="D4" s="26" t="s">
        <v>51</v>
      </c>
      <c r="E4" s="30">
        <v>0.94989999999999997</v>
      </c>
      <c r="F4" s="29"/>
    </row>
    <row r="5" spans="1:24">
      <c r="A5" s="25"/>
      <c r="B5" s="26" t="s">
        <v>53</v>
      </c>
      <c r="C5" s="27">
        <v>0.9</v>
      </c>
      <c r="D5" s="26" t="s">
        <v>51</v>
      </c>
      <c r="E5" s="30">
        <v>0.91990000000000005</v>
      </c>
      <c r="F5" s="29"/>
    </row>
    <row r="6" spans="1:24">
      <c r="A6" s="25"/>
      <c r="B6" s="26" t="s">
        <v>4</v>
      </c>
      <c r="C6" s="27">
        <v>0.85</v>
      </c>
      <c r="D6" s="26" t="s">
        <v>51</v>
      </c>
      <c r="E6" s="30">
        <v>0.89990000000000003</v>
      </c>
      <c r="F6" s="29"/>
    </row>
    <row r="7" spans="1:24">
      <c r="A7" s="25"/>
      <c r="B7" s="26" t="s">
        <v>54</v>
      </c>
      <c r="C7" s="27">
        <v>0.82</v>
      </c>
      <c r="D7" s="26" t="s">
        <v>51</v>
      </c>
      <c r="E7" s="30">
        <v>0.84989999999999999</v>
      </c>
      <c r="F7" s="29"/>
    </row>
    <row r="8" spans="1:24">
      <c r="A8" s="25"/>
      <c r="B8" s="26" t="s">
        <v>55</v>
      </c>
      <c r="C8" s="27">
        <v>0.8</v>
      </c>
      <c r="D8" s="26" t="s">
        <v>51</v>
      </c>
      <c r="E8" s="30">
        <v>0.81989999999999996</v>
      </c>
      <c r="F8" s="29"/>
    </row>
    <row r="9" spans="1:24">
      <c r="A9" s="25"/>
      <c r="B9" s="26" t="s">
        <v>5</v>
      </c>
      <c r="C9" s="27">
        <v>0.77</v>
      </c>
      <c r="D9" s="26" t="s">
        <v>51</v>
      </c>
      <c r="E9" s="30">
        <v>0.79990000000000006</v>
      </c>
      <c r="F9" s="29"/>
    </row>
    <row r="10" spans="1:24">
      <c r="A10" s="25"/>
      <c r="B10" s="26" t="s">
        <v>56</v>
      </c>
      <c r="C10" s="27">
        <v>0.75</v>
      </c>
      <c r="D10" s="26" t="s">
        <v>51</v>
      </c>
      <c r="E10" s="30">
        <v>0.76990000000000003</v>
      </c>
      <c r="F10" s="29"/>
    </row>
    <row r="11" spans="1:24">
      <c r="A11" s="25"/>
      <c r="B11" s="26" t="s">
        <v>57</v>
      </c>
      <c r="C11" s="27">
        <v>0.65</v>
      </c>
      <c r="D11" s="26" t="s">
        <v>51</v>
      </c>
      <c r="E11" s="30">
        <v>0.74990000000000001</v>
      </c>
      <c r="F11" s="29"/>
    </row>
    <row r="12" spans="1:24" ht="16" thickBot="1">
      <c r="A12" s="31"/>
      <c r="B12" s="32" t="s">
        <v>6</v>
      </c>
      <c r="C12" s="33">
        <v>0</v>
      </c>
      <c r="D12" s="32" t="s">
        <v>51</v>
      </c>
      <c r="E12" s="34">
        <v>0.64990000000000003</v>
      </c>
      <c r="F12" s="35"/>
    </row>
    <row r="14" spans="1:24">
      <c r="A14" s="6"/>
      <c r="B14" s="6"/>
      <c r="C14" s="7" t="s">
        <v>8</v>
      </c>
      <c r="D14" s="6"/>
      <c r="E14" s="6"/>
      <c r="F14" s="7"/>
      <c r="G14" s="76" t="s">
        <v>9</v>
      </c>
      <c r="H14" s="76"/>
      <c r="I14" s="76"/>
      <c r="J14" s="76"/>
      <c r="K14" s="76"/>
      <c r="L14" s="76"/>
      <c r="M14" s="76" t="s">
        <v>10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</row>
    <row r="15" spans="1:24">
      <c r="A15" s="8" t="s">
        <v>11</v>
      </c>
      <c r="B15" s="8"/>
      <c r="C15" s="9" t="s">
        <v>14</v>
      </c>
      <c r="D15" s="9" t="s">
        <v>7</v>
      </c>
      <c r="E15" s="9" t="s">
        <v>15</v>
      </c>
      <c r="F15" s="9"/>
      <c r="G15" s="9">
        <v>1</v>
      </c>
      <c r="H15" s="9">
        <v>2</v>
      </c>
      <c r="I15" s="9">
        <v>3</v>
      </c>
      <c r="J15" s="9">
        <v>4</v>
      </c>
      <c r="K15" s="9">
        <v>5</v>
      </c>
      <c r="L15" s="9" t="s">
        <v>8</v>
      </c>
      <c r="M15" s="9">
        <v>1</v>
      </c>
      <c r="N15" s="9">
        <v>2</v>
      </c>
      <c r="O15" s="9">
        <v>3</v>
      </c>
      <c r="P15" s="9">
        <v>4</v>
      </c>
      <c r="Q15" s="9">
        <v>5</v>
      </c>
      <c r="R15" s="9">
        <v>6</v>
      </c>
      <c r="S15" s="9">
        <v>7</v>
      </c>
      <c r="T15" s="9">
        <v>8</v>
      </c>
      <c r="U15" s="9">
        <v>9</v>
      </c>
      <c r="V15" s="9">
        <v>10</v>
      </c>
      <c r="W15" s="9">
        <v>11</v>
      </c>
      <c r="X15" s="9" t="s">
        <v>8</v>
      </c>
    </row>
    <row r="16" spans="1:24">
      <c r="A16" s="10" t="s">
        <v>16</v>
      </c>
      <c r="B16" s="36"/>
      <c r="C16" s="12">
        <v>488</v>
      </c>
      <c r="D16" s="13">
        <v>195</v>
      </c>
      <c r="E16" s="13">
        <v>98</v>
      </c>
      <c r="F16" s="12"/>
      <c r="G16" s="13">
        <v>24</v>
      </c>
      <c r="H16" s="13">
        <v>23</v>
      </c>
      <c r="I16" s="13">
        <v>18</v>
      </c>
      <c r="J16" s="13">
        <v>23</v>
      </c>
      <c r="K16" s="13">
        <v>21</v>
      </c>
      <c r="L16" s="12">
        <v>109</v>
      </c>
      <c r="M16" s="13">
        <v>10</v>
      </c>
      <c r="N16" s="13">
        <v>9</v>
      </c>
      <c r="O16" s="13">
        <v>7</v>
      </c>
      <c r="P16" s="13">
        <v>8</v>
      </c>
      <c r="Q16" s="13">
        <v>6</v>
      </c>
      <c r="R16" s="13">
        <v>8</v>
      </c>
      <c r="S16" s="13">
        <v>7</v>
      </c>
      <c r="T16" s="13">
        <v>6</v>
      </c>
      <c r="U16" s="13">
        <v>8</v>
      </c>
      <c r="V16" s="13">
        <v>10</v>
      </c>
      <c r="W16" s="13">
        <v>7</v>
      </c>
      <c r="X16" s="12">
        <v>86</v>
      </c>
    </row>
    <row r="17" spans="1:24">
      <c r="A17" s="10" t="s">
        <v>18</v>
      </c>
      <c r="B17" s="36"/>
      <c r="C17" s="12">
        <v>439</v>
      </c>
      <c r="D17" s="13">
        <v>190</v>
      </c>
      <c r="E17" s="13">
        <v>96</v>
      </c>
      <c r="F17" s="12"/>
      <c r="G17" s="13">
        <v>23</v>
      </c>
      <c r="H17" s="13">
        <v>22</v>
      </c>
      <c r="I17" s="13">
        <v>17</v>
      </c>
      <c r="J17" s="13">
        <v>22</v>
      </c>
      <c r="K17" s="13">
        <v>20</v>
      </c>
      <c r="L17" s="12">
        <v>104</v>
      </c>
      <c r="M17" s="13">
        <v>9</v>
      </c>
      <c r="N17" s="13">
        <v>8</v>
      </c>
      <c r="O17" s="13">
        <v>0</v>
      </c>
      <c r="P17" s="13">
        <v>7</v>
      </c>
      <c r="Q17" s="13">
        <v>0</v>
      </c>
      <c r="R17" s="13">
        <v>2</v>
      </c>
      <c r="S17" s="13">
        <v>5</v>
      </c>
      <c r="T17" s="13">
        <v>4</v>
      </c>
      <c r="U17" s="13">
        <v>6</v>
      </c>
      <c r="V17" s="13">
        <v>8</v>
      </c>
      <c r="W17" s="13"/>
      <c r="X17" s="12">
        <v>49</v>
      </c>
    </row>
    <row r="18" spans="1:24">
      <c r="A18" s="10" t="s">
        <v>20</v>
      </c>
      <c r="B18" s="36"/>
      <c r="C18" s="12">
        <v>458</v>
      </c>
      <c r="D18" s="13">
        <v>185</v>
      </c>
      <c r="E18" s="13">
        <v>94</v>
      </c>
      <c r="F18" s="12"/>
      <c r="G18" s="13">
        <v>22</v>
      </c>
      <c r="H18" s="13">
        <v>25</v>
      </c>
      <c r="I18" s="13">
        <v>25</v>
      </c>
      <c r="J18" s="13">
        <v>25</v>
      </c>
      <c r="K18" s="13">
        <v>25</v>
      </c>
      <c r="L18" s="12">
        <v>122</v>
      </c>
      <c r="M18" s="13">
        <v>8</v>
      </c>
      <c r="N18" s="13">
        <v>7</v>
      </c>
      <c r="O18" s="13">
        <v>9</v>
      </c>
      <c r="P18" s="13">
        <v>7</v>
      </c>
      <c r="Q18" s="13">
        <v>10</v>
      </c>
      <c r="R18" s="13">
        <v>7</v>
      </c>
      <c r="S18" s="13">
        <v>3</v>
      </c>
      <c r="T18" s="13">
        <v>2</v>
      </c>
      <c r="U18" s="13">
        <v>4</v>
      </c>
      <c r="V18" s="13"/>
      <c r="W18" s="13"/>
      <c r="X18" s="12">
        <v>57</v>
      </c>
    </row>
    <row r="19" spans="1:24">
      <c r="A19" s="10" t="s">
        <v>22</v>
      </c>
      <c r="B19" s="36"/>
      <c r="C19" s="12">
        <v>430</v>
      </c>
      <c r="D19" s="13">
        <v>180</v>
      </c>
      <c r="E19" s="13">
        <v>92</v>
      </c>
      <c r="F19" s="12"/>
      <c r="G19" s="13">
        <v>21</v>
      </c>
      <c r="H19" s="13">
        <v>20</v>
      </c>
      <c r="I19" s="13">
        <v>25</v>
      </c>
      <c r="J19" s="13">
        <v>20</v>
      </c>
      <c r="K19" s="13">
        <v>22</v>
      </c>
      <c r="L19" s="12">
        <v>108</v>
      </c>
      <c r="M19" s="13">
        <v>7</v>
      </c>
      <c r="N19" s="13">
        <v>6</v>
      </c>
      <c r="O19" s="13">
        <v>8</v>
      </c>
      <c r="P19" s="13">
        <v>10</v>
      </c>
      <c r="Q19" s="13">
        <v>7</v>
      </c>
      <c r="R19" s="13">
        <v>9</v>
      </c>
      <c r="S19" s="13">
        <v>2</v>
      </c>
      <c r="T19" s="13">
        <v>1</v>
      </c>
      <c r="U19" s="13"/>
      <c r="V19" s="13"/>
      <c r="W19" s="13"/>
      <c r="X19" s="12">
        <v>50</v>
      </c>
    </row>
    <row r="20" spans="1:24">
      <c r="A20" s="10" t="s">
        <v>24</v>
      </c>
      <c r="B20" s="36"/>
      <c r="C20" s="12">
        <v>458</v>
      </c>
      <c r="D20" s="13">
        <v>198</v>
      </c>
      <c r="E20" s="13">
        <v>90</v>
      </c>
      <c r="F20" s="12"/>
      <c r="G20" s="13">
        <v>25</v>
      </c>
      <c r="H20" s="13">
        <v>25</v>
      </c>
      <c r="I20" s="13">
        <v>25</v>
      </c>
      <c r="J20" s="13">
        <v>25</v>
      </c>
      <c r="K20" s="13">
        <v>21</v>
      </c>
      <c r="L20" s="12">
        <v>121</v>
      </c>
      <c r="M20" s="13">
        <v>6</v>
      </c>
      <c r="N20" s="13">
        <v>5</v>
      </c>
      <c r="O20" s="13">
        <v>7</v>
      </c>
      <c r="P20" s="13">
        <v>9</v>
      </c>
      <c r="Q20" s="13">
        <v>6</v>
      </c>
      <c r="R20" s="13">
        <v>8</v>
      </c>
      <c r="S20" s="13">
        <v>8</v>
      </c>
      <c r="T20" s="13"/>
      <c r="U20" s="13"/>
      <c r="V20" s="13"/>
      <c r="W20" s="13"/>
      <c r="X20" s="12">
        <v>49</v>
      </c>
    </row>
    <row r="21" spans="1:24">
      <c r="A21" s="10" t="s">
        <v>26</v>
      </c>
      <c r="B21" s="36"/>
      <c r="C21" s="12">
        <v>391</v>
      </c>
      <c r="D21" s="13">
        <v>170</v>
      </c>
      <c r="E21" s="13">
        <v>88</v>
      </c>
      <c r="F21" s="12"/>
      <c r="G21" s="13">
        <v>19</v>
      </c>
      <c r="H21" s="13">
        <v>18</v>
      </c>
      <c r="I21" s="13">
        <v>23</v>
      </c>
      <c r="J21" s="13">
        <v>18</v>
      </c>
      <c r="K21" s="13">
        <v>20</v>
      </c>
      <c r="L21" s="12">
        <v>98</v>
      </c>
      <c r="M21" s="13">
        <v>5</v>
      </c>
      <c r="N21" s="13">
        <v>4</v>
      </c>
      <c r="O21" s="13">
        <v>6</v>
      </c>
      <c r="P21" s="13">
        <v>8</v>
      </c>
      <c r="Q21" s="13">
        <v>5</v>
      </c>
      <c r="R21" s="13">
        <v>7</v>
      </c>
      <c r="S21" s="13"/>
      <c r="T21" s="13"/>
      <c r="U21" s="13"/>
      <c r="V21" s="13"/>
      <c r="W21" s="13"/>
      <c r="X21" s="12">
        <v>35</v>
      </c>
    </row>
    <row r="22" spans="1:24">
      <c r="A22" s="10" t="s">
        <v>28</v>
      </c>
      <c r="B22" s="36"/>
      <c r="C22" s="12">
        <v>420</v>
      </c>
      <c r="D22" s="13">
        <v>200</v>
      </c>
      <c r="E22" s="13">
        <v>86</v>
      </c>
      <c r="F22" s="12"/>
      <c r="G22" s="13">
        <v>18</v>
      </c>
      <c r="H22" s="13">
        <v>17</v>
      </c>
      <c r="I22" s="13">
        <v>22</v>
      </c>
      <c r="J22" s="13">
        <v>17</v>
      </c>
      <c r="K22" s="13">
        <v>19</v>
      </c>
      <c r="L22" s="12">
        <v>93</v>
      </c>
      <c r="M22" s="13">
        <v>10</v>
      </c>
      <c r="N22" s="13">
        <v>6</v>
      </c>
      <c r="O22" s="13">
        <v>8</v>
      </c>
      <c r="P22" s="13">
        <v>10</v>
      </c>
      <c r="Q22" s="13">
        <v>7</v>
      </c>
      <c r="R22" s="13"/>
      <c r="S22" s="13"/>
      <c r="T22" s="13"/>
      <c r="U22" s="13"/>
      <c r="V22" s="13"/>
      <c r="W22" s="13"/>
      <c r="X22" s="12">
        <v>41</v>
      </c>
    </row>
    <row r="23" spans="1:24">
      <c r="A23" s="10" t="s">
        <v>30</v>
      </c>
      <c r="B23" s="36"/>
      <c r="C23" s="12">
        <v>319</v>
      </c>
      <c r="D23" s="13">
        <v>160</v>
      </c>
      <c r="E23" s="13">
        <v>84</v>
      </c>
      <c r="F23" s="12"/>
      <c r="G23" s="13">
        <v>17</v>
      </c>
      <c r="H23" s="13">
        <v>16</v>
      </c>
      <c r="I23" s="13">
        <v>25</v>
      </c>
      <c r="J23" s="13"/>
      <c r="K23" s="13">
        <v>2</v>
      </c>
      <c r="L23" s="12">
        <v>60</v>
      </c>
      <c r="M23" s="13">
        <v>3</v>
      </c>
      <c r="N23" s="13">
        <v>2</v>
      </c>
      <c r="O23" s="13">
        <v>4</v>
      </c>
      <c r="P23" s="13">
        <v>6</v>
      </c>
      <c r="Q23" s="13"/>
      <c r="R23" s="13"/>
      <c r="S23" s="13"/>
      <c r="T23" s="13"/>
      <c r="U23" s="13"/>
      <c r="V23" s="13"/>
      <c r="W23" s="13"/>
      <c r="X23" s="12">
        <v>15</v>
      </c>
    </row>
    <row r="24" spans="1:24">
      <c r="A24" s="10" t="s">
        <v>32</v>
      </c>
      <c r="B24" s="36"/>
      <c r="C24" s="12">
        <v>416</v>
      </c>
      <c r="D24" s="13">
        <v>200</v>
      </c>
      <c r="E24" s="13">
        <v>100</v>
      </c>
      <c r="F24" s="12"/>
      <c r="G24" s="13">
        <v>16</v>
      </c>
      <c r="H24" s="13">
        <v>15</v>
      </c>
      <c r="I24" s="13">
        <v>20</v>
      </c>
      <c r="J24" s="13">
        <v>25</v>
      </c>
      <c r="K24" s="13">
        <v>23</v>
      </c>
      <c r="L24" s="12">
        <v>99</v>
      </c>
      <c r="M24" s="13">
        <v>10</v>
      </c>
      <c r="N24" s="13">
        <v>2</v>
      </c>
      <c r="O24" s="13">
        <v>5</v>
      </c>
      <c r="P24" s="13"/>
      <c r="Q24" s="13"/>
      <c r="R24" s="13"/>
      <c r="S24" s="13"/>
      <c r="T24" s="13"/>
      <c r="U24" s="13"/>
      <c r="V24" s="13"/>
      <c r="W24" s="13"/>
      <c r="X24" s="12">
        <v>17</v>
      </c>
    </row>
    <row r="25" spans="1:24">
      <c r="A25" s="10" t="s">
        <v>34</v>
      </c>
      <c r="B25" s="36"/>
      <c r="C25" s="12">
        <v>305</v>
      </c>
      <c r="D25" s="13">
        <v>180</v>
      </c>
      <c r="E25" s="13">
        <v>90</v>
      </c>
      <c r="F25" s="12"/>
      <c r="G25" s="13">
        <v>15</v>
      </c>
      <c r="H25" s="13"/>
      <c r="I25" s="13"/>
      <c r="J25" s="13"/>
      <c r="K25" s="13"/>
      <c r="L25" s="12">
        <v>15</v>
      </c>
      <c r="M25" s="13">
        <v>10</v>
      </c>
      <c r="N25" s="13">
        <v>10</v>
      </c>
      <c r="O25" s="13"/>
      <c r="P25" s="13"/>
      <c r="Q25" s="13"/>
      <c r="R25" s="13"/>
      <c r="S25" s="13"/>
      <c r="T25" s="13"/>
      <c r="U25" s="13"/>
      <c r="V25" s="13"/>
      <c r="W25" s="13"/>
      <c r="X25" s="12">
        <v>20</v>
      </c>
    </row>
    <row r="26" spans="1:24">
      <c r="A26" s="10" t="s">
        <v>36</v>
      </c>
      <c r="B26" s="36"/>
      <c r="C26" s="12">
        <v>234</v>
      </c>
      <c r="D26" s="13">
        <v>145</v>
      </c>
      <c r="E26" s="13">
        <v>78</v>
      </c>
      <c r="F26" s="12"/>
      <c r="G26" s="13"/>
      <c r="H26" s="13"/>
      <c r="I26" s="13"/>
      <c r="J26" s="13"/>
      <c r="K26" s="13">
        <v>2</v>
      </c>
      <c r="L26" s="12">
        <v>2</v>
      </c>
      <c r="M26" s="13">
        <v>9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2">
        <v>9</v>
      </c>
    </row>
    <row r="27" spans="1:24">
      <c r="A27" s="10" t="s">
        <v>38</v>
      </c>
      <c r="B27" s="36"/>
      <c r="C27" s="12">
        <v>447</v>
      </c>
      <c r="D27" s="13">
        <v>200</v>
      </c>
      <c r="E27" s="13">
        <v>100</v>
      </c>
      <c r="F27" s="12"/>
      <c r="G27" s="13">
        <v>13</v>
      </c>
      <c r="H27" s="13">
        <v>12</v>
      </c>
      <c r="I27" s="13">
        <v>17</v>
      </c>
      <c r="J27" s="13">
        <v>22</v>
      </c>
      <c r="K27" s="13">
        <v>20</v>
      </c>
      <c r="L27" s="12">
        <v>84</v>
      </c>
      <c r="M27" s="13">
        <v>5</v>
      </c>
      <c r="N27" s="13">
        <v>4</v>
      </c>
      <c r="O27" s="13">
        <v>6</v>
      </c>
      <c r="P27" s="13">
        <v>8</v>
      </c>
      <c r="Q27" s="13">
        <v>5</v>
      </c>
      <c r="R27" s="13">
        <v>7</v>
      </c>
      <c r="S27" s="13">
        <v>5</v>
      </c>
      <c r="T27" s="13">
        <v>4</v>
      </c>
      <c r="U27" s="13">
        <v>6</v>
      </c>
      <c r="V27" s="13">
        <v>8</v>
      </c>
      <c r="W27" s="13">
        <v>5</v>
      </c>
      <c r="X27" s="12">
        <v>63</v>
      </c>
    </row>
  </sheetData>
  <mergeCells count="4">
    <mergeCell ref="A1:F1"/>
    <mergeCell ref="C2:E2"/>
    <mergeCell ref="G14:L14"/>
    <mergeCell ref="M14:X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F3F6-FB1E-4C42-A5CA-8E12E25E854E}">
  <sheetPr>
    <pageSetUpPr fitToPage="1"/>
  </sheetPr>
  <dimension ref="B1:U29"/>
  <sheetViews>
    <sheetView showGridLines="0" zoomScale="132" workbookViewId="0">
      <selection activeCell="X10" sqref="X10"/>
    </sheetView>
  </sheetViews>
  <sheetFormatPr baseColWidth="10" defaultRowHeight="16"/>
  <cols>
    <col min="1" max="1" width="1.83203125" customWidth="1"/>
    <col min="2" max="2" width="12.6640625" bestFit="1" customWidth="1"/>
    <col min="3" max="3" width="4.1640625" bestFit="1" customWidth="1"/>
    <col min="4" max="4" width="2.33203125" bestFit="1" customWidth="1"/>
    <col min="5" max="5" width="2.1640625" bestFit="1" customWidth="1"/>
    <col min="6" max="6" width="2.33203125" bestFit="1" customWidth="1"/>
    <col min="7" max="7" width="5.33203125" bestFit="1" customWidth="1"/>
    <col min="8" max="8" width="0.6640625" customWidth="1"/>
    <col min="9" max="9" width="13" bestFit="1" customWidth="1"/>
    <col min="10" max="10" width="4.1640625" bestFit="1" customWidth="1"/>
    <col min="11" max="11" width="2.33203125" bestFit="1" customWidth="1"/>
    <col min="12" max="12" width="2.1640625" bestFit="1" customWidth="1"/>
    <col min="13" max="13" width="2.33203125" bestFit="1" customWidth="1"/>
    <col min="14" max="14" width="13" bestFit="1" customWidth="1"/>
    <col min="15" max="15" width="0.6640625" customWidth="1"/>
    <col min="16" max="16" width="9.6640625" bestFit="1" customWidth="1"/>
    <col min="17" max="20" width="8.1640625" bestFit="1" customWidth="1"/>
    <col min="21" max="21" width="9.6640625" bestFit="1" customWidth="1"/>
  </cols>
  <sheetData>
    <row r="1" spans="2:21" ht="17" thickBot="1"/>
    <row r="2" spans="2:21" ht="17" thickBot="1">
      <c r="B2" s="112" t="s">
        <v>121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</row>
    <row r="3" spans="2:21" ht="17" thickBot="1">
      <c r="B3" s="109" t="s">
        <v>118</v>
      </c>
      <c r="C3" s="110"/>
      <c r="D3" s="110"/>
      <c r="E3" s="110"/>
      <c r="F3" s="110"/>
      <c r="G3" s="111"/>
      <c r="I3" s="109" t="s">
        <v>119</v>
      </c>
      <c r="J3" s="110"/>
      <c r="K3" s="110"/>
      <c r="L3" s="110"/>
      <c r="M3" s="110"/>
      <c r="N3" s="111"/>
      <c r="P3" s="109" t="s">
        <v>120</v>
      </c>
      <c r="Q3" s="110"/>
      <c r="R3" s="110"/>
      <c r="S3" s="110"/>
      <c r="T3" s="110"/>
      <c r="U3" s="111"/>
    </row>
    <row r="4" spans="2:21" ht="17" thickBot="1">
      <c r="B4" s="130" t="s">
        <v>113</v>
      </c>
      <c r="C4" s="130" t="s">
        <v>117</v>
      </c>
      <c r="D4" s="117"/>
      <c r="E4" s="131"/>
      <c r="F4" s="131"/>
      <c r="G4" s="132"/>
      <c r="I4" s="130" t="s">
        <v>115</v>
      </c>
      <c r="J4" s="130" t="s">
        <v>117</v>
      </c>
      <c r="K4" s="117"/>
      <c r="L4" s="131"/>
      <c r="M4" s="131"/>
      <c r="N4" s="132"/>
      <c r="P4" s="122" t="s">
        <v>115</v>
      </c>
      <c r="Q4" s="122" t="s">
        <v>101</v>
      </c>
      <c r="R4" s="123"/>
      <c r="S4" s="105"/>
      <c r="T4" s="105"/>
      <c r="U4" s="106"/>
    </row>
    <row r="5" spans="2:21" ht="17" thickBot="1">
      <c r="B5" s="130" t="s">
        <v>117</v>
      </c>
      <c r="C5" s="117" t="s">
        <v>3</v>
      </c>
      <c r="D5" s="131" t="s">
        <v>79</v>
      </c>
      <c r="E5" s="131" t="s">
        <v>81</v>
      </c>
      <c r="F5" s="132" t="s">
        <v>80</v>
      </c>
      <c r="G5" s="136" t="s">
        <v>8</v>
      </c>
      <c r="I5" s="130" t="s">
        <v>117</v>
      </c>
      <c r="J5" s="117" t="s">
        <v>3</v>
      </c>
      <c r="K5" s="131" t="s">
        <v>79</v>
      </c>
      <c r="L5" s="131" t="s">
        <v>81</v>
      </c>
      <c r="M5" s="132" t="s">
        <v>80</v>
      </c>
      <c r="N5" s="136" t="s">
        <v>114</v>
      </c>
      <c r="P5" s="122" t="s">
        <v>117</v>
      </c>
      <c r="Q5" s="123" t="s">
        <v>3</v>
      </c>
      <c r="R5" s="105" t="s">
        <v>79</v>
      </c>
      <c r="S5" s="105" t="s">
        <v>81</v>
      </c>
      <c r="T5" s="106" t="s">
        <v>80</v>
      </c>
      <c r="U5" s="125" t="s">
        <v>116</v>
      </c>
    </row>
    <row r="6" spans="2:21">
      <c r="B6" s="133" t="s">
        <v>104</v>
      </c>
      <c r="C6" s="126">
        <v>1</v>
      </c>
      <c r="D6" s="127"/>
      <c r="E6" s="127"/>
      <c r="F6" s="127"/>
      <c r="G6" s="128">
        <v>1</v>
      </c>
      <c r="I6" s="133" t="s">
        <v>104</v>
      </c>
      <c r="J6" s="126">
        <v>1</v>
      </c>
      <c r="K6" s="127"/>
      <c r="L6" s="127"/>
      <c r="M6" s="127"/>
      <c r="N6" s="128">
        <v>1</v>
      </c>
      <c r="P6" s="124" t="s">
        <v>104</v>
      </c>
      <c r="Q6" s="121">
        <v>1.4538558786346398E-2</v>
      </c>
      <c r="R6" s="119">
        <v>0</v>
      </c>
      <c r="S6" s="119">
        <v>0</v>
      </c>
      <c r="T6" s="119">
        <v>0</v>
      </c>
      <c r="U6" s="120">
        <v>1.0511882998171846E-2</v>
      </c>
    </row>
    <row r="7" spans="2:21">
      <c r="B7" s="124" t="s">
        <v>84</v>
      </c>
      <c r="C7" s="129">
        <v>2</v>
      </c>
      <c r="D7" s="107"/>
      <c r="E7" s="107"/>
      <c r="F7" s="107"/>
      <c r="G7" s="108">
        <v>2</v>
      </c>
      <c r="I7" s="124" t="s">
        <v>84</v>
      </c>
      <c r="J7" s="129">
        <v>2</v>
      </c>
      <c r="K7" s="107"/>
      <c r="L7" s="107"/>
      <c r="M7" s="107"/>
      <c r="N7" s="108">
        <v>2</v>
      </c>
      <c r="P7" s="124" t="s">
        <v>84</v>
      </c>
      <c r="Q7" s="121">
        <v>3.4134007585335017E-2</v>
      </c>
      <c r="R7" s="119">
        <v>0</v>
      </c>
      <c r="S7" s="119">
        <v>0</v>
      </c>
      <c r="T7" s="119">
        <v>0</v>
      </c>
      <c r="U7" s="120">
        <v>2.4680073126142597E-2</v>
      </c>
    </row>
    <row r="8" spans="2:21">
      <c r="B8" s="124" t="s">
        <v>85</v>
      </c>
      <c r="C8" s="129">
        <v>10</v>
      </c>
      <c r="D8" s="107"/>
      <c r="E8" s="107">
        <v>2</v>
      </c>
      <c r="F8" s="107"/>
      <c r="G8" s="108">
        <v>12</v>
      </c>
      <c r="I8" s="124" t="s">
        <v>85</v>
      </c>
      <c r="J8" s="129">
        <v>10</v>
      </c>
      <c r="K8" s="107"/>
      <c r="L8" s="107">
        <v>2</v>
      </c>
      <c r="M8" s="107"/>
      <c r="N8" s="108">
        <v>12</v>
      </c>
      <c r="P8" s="124" t="s">
        <v>85</v>
      </c>
      <c r="Q8" s="121">
        <v>0.20227560050568899</v>
      </c>
      <c r="R8" s="119">
        <v>0</v>
      </c>
      <c r="S8" s="119">
        <v>1</v>
      </c>
      <c r="T8" s="119">
        <v>0</v>
      </c>
      <c r="U8" s="120">
        <v>0.17641681901279707</v>
      </c>
    </row>
    <row r="9" spans="2:21">
      <c r="B9" s="124" t="s">
        <v>86</v>
      </c>
      <c r="C9" s="129">
        <v>1</v>
      </c>
      <c r="D9" s="107"/>
      <c r="E9" s="107"/>
      <c r="F9" s="107">
        <v>1</v>
      </c>
      <c r="G9" s="108">
        <v>2</v>
      </c>
      <c r="I9" s="124" t="s">
        <v>86</v>
      </c>
      <c r="J9" s="129">
        <v>1</v>
      </c>
      <c r="K9" s="107"/>
      <c r="L9" s="107"/>
      <c r="M9" s="107">
        <v>1</v>
      </c>
      <c r="N9" s="108">
        <v>2</v>
      </c>
      <c r="P9" s="124" t="s">
        <v>86</v>
      </c>
      <c r="Q9" s="121">
        <v>2.2756005056890013E-2</v>
      </c>
      <c r="R9" s="119">
        <v>0</v>
      </c>
      <c r="S9" s="119">
        <v>0</v>
      </c>
      <c r="T9" s="119">
        <v>0.20454545454545456</v>
      </c>
      <c r="U9" s="120">
        <v>3.2906764168190127E-2</v>
      </c>
    </row>
    <row r="10" spans="2:21">
      <c r="B10" s="124" t="s">
        <v>87</v>
      </c>
      <c r="C10" s="129">
        <v>3</v>
      </c>
      <c r="D10" s="107"/>
      <c r="E10" s="107"/>
      <c r="F10" s="107">
        <v>1</v>
      </c>
      <c r="G10" s="108">
        <v>4</v>
      </c>
      <c r="I10" s="124" t="s">
        <v>87</v>
      </c>
      <c r="J10" s="129">
        <v>3</v>
      </c>
      <c r="K10" s="107"/>
      <c r="L10" s="107"/>
      <c r="M10" s="107">
        <v>1</v>
      </c>
      <c r="N10" s="108">
        <v>4</v>
      </c>
      <c r="P10" s="124" t="s">
        <v>87</v>
      </c>
      <c r="Q10" s="121">
        <v>8.2174462705436158E-2</v>
      </c>
      <c r="R10" s="119">
        <v>0</v>
      </c>
      <c r="S10" s="119">
        <v>0</v>
      </c>
      <c r="T10" s="119">
        <v>0.25</v>
      </c>
      <c r="U10" s="120">
        <v>7.9524680073126144E-2</v>
      </c>
    </row>
    <row r="11" spans="2:21">
      <c r="B11" s="124" t="s">
        <v>88</v>
      </c>
      <c r="C11" s="129">
        <v>10</v>
      </c>
      <c r="D11" s="107"/>
      <c r="E11" s="107"/>
      <c r="F11" s="107">
        <v>1</v>
      </c>
      <c r="G11" s="108">
        <v>11</v>
      </c>
      <c r="I11" s="124" t="s">
        <v>88</v>
      </c>
      <c r="J11" s="129">
        <v>10</v>
      </c>
      <c r="K11" s="107"/>
      <c r="L11" s="107"/>
      <c r="M11" s="107">
        <v>1</v>
      </c>
      <c r="N11" s="108">
        <v>11</v>
      </c>
      <c r="P11" s="124" t="s">
        <v>88</v>
      </c>
      <c r="Q11" s="121">
        <v>0.30025284450063211</v>
      </c>
      <c r="R11" s="119">
        <v>0</v>
      </c>
      <c r="S11" s="119">
        <v>0</v>
      </c>
      <c r="T11" s="119">
        <v>0.25568181818181818</v>
      </c>
      <c r="U11" s="120">
        <v>0.23765996343692869</v>
      </c>
    </row>
    <row r="12" spans="2:21">
      <c r="B12" s="124" t="s">
        <v>89</v>
      </c>
      <c r="C12" s="129">
        <v>6</v>
      </c>
      <c r="D12" s="107"/>
      <c r="E12" s="107"/>
      <c r="F12" s="107">
        <v>1</v>
      </c>
      <c r="G12" s="108">
        <v>7</v>
      </c>
      <c r="I12" s="124" t="s">
        <v>89</v>
      </c>
      <c r="J12" s="129">
        <v>6</v>
      </c>
      <c r="K12" s="107"/>
      <c r="L12" s="107"/>
      <c r="M12" s="107">
        <v>1</v>
      </c>
      <c r="N12" s="108">
        <v>7</v>
      </c>
      <c r="P12" s="124" t="s">
        <v>89</v>
      </c>
      <c r="Q12" s="121">
        <v>0.19595448798988621</v>
      </c>
      <c r="R12" s="119">
        <v>0</v>
      </c>
      <c r="S12" s="119">
        <v>0</v>
      </c>
      <c r="T12" s="119">
        <v>0.28977272727272729</v>
      </c>
      <c r="U12" s="120">
        <v>0.16499085923217549</v>
      </c>
    </row>
    <row r="13" spans="2:21">
      <c r="B13" s="124" t="s">
        <v>90</v>
      </c>
      <c r="C13" s="129">
        <v>3</v>
      </c>
      <c r="D13" s="107">
        <v>3</v>
      </c>
      <c r="E13" s="107"/>
      <c r="F13" s="107"/>
      <c r="G13" s="108">
        <v>6</v>
      </c>
      <c r="I13" s="124" t="s">
        <v>90</v>
      </c>
      <c r="J13" s="129">
        <v>3</v>
      </c>
      <c r="K13" s="107">
        <v>3</v>
      </c>
      <c r="L13" s="107"/>
      <c r="M13" s="107"/>
      <c r="N13" s="108">
        <v>6</v>
      </c>
      <c r="P13" s="124" t="s">
        <v>90</v>
      </c>
      <c r="Q13" s="121">
        <v>0.10556257901390645</v>
      </c>
      <c r="R13" s="119">
        <v>0.47252747252747251</v>
      </c>
      <c r="S13" s="119">
        <v>0</v>
      </c>
      <c r="T13" s="119">
        <v>0</v>
      </c>
      <c r="U13" s="120">
        <v>0.15493601462522852</v>
      </c>
    </row>
    <row r="14" spans="2:21">
      <c r="B14" s="124" t="s">
        <v>112</v>
      </c>
      <c r="C14" s="129"/>
      <c r="D14" s="107">
        <v>2</v>
      </c>
      <c r="E14" s="107"/>
      <c r="F14" s="107"/>
      <c r="G14" s="108">
        <v>2</v>
      </c>
      <c r="I14" s="124" t="s">
        <v>112</v>
      </c>
      <c r="J14" s="129"/>
      <c r="K14" s="107">
        <v>2</v>
      </c>
      <c r="L14" s="107"/>
      <c r="M14" s="107"/>
      <c r="N14" s="108">
        <v>2</v>
      </c>
      <c r="P14" s="124" t="s">
        <v>112</v>
      </c>
      <c r="Q14" s="121">
        <v>0</v>
      </c>
      <c r="R14" s="119">
        <v>0.34615384615384615</v>
      </c>
      <c r="S14" s="119">
        <v>0</v>
      </c>
      <c r="T14" s="119">
        <v>0</v>
      </c>
      <c r="U14" s="120">
        <v>5.7586837294332727E-2</v>
      </c>
    </row>
    <row r="15" spans="2:21" ht="17" thickBot="1">
      <c r="B15" s="134" t="s">
        <v>91</v>
      </c>
      <c r="C15" s="129">
        <v>1</v>
      </c>
      <c r="D15" s="107">
        <v>1</v>
      </c>
      <c r="E15" s="107"/>
      <c r="F15" s="107"/>
      <c r="G15" s="108">
        <v>2</v>
      </c>
      <c r="I15" s="134" t="s">
        <v>91</v>
      </c>
      <c r="J15" s="129">
        <v>1</v>
      </c>
      <c r="K15" s="107">
        <v>1</v>
      </c>
      <c r="L15" s="107"/>
      <c r="M15" s="107"/>
      <c r="N15" s="108">
        <v>2</v>
      </c>
      <c r="P15" s="124" t="s">
        <v>91</v>
      </c>
      <c r="Q15" s="121">
        <v>4.2351453855878636E-2</v>
      </c>
      <c r="R15" s="119">
        <v>0.18131868131868131</v>
      </c>
      <c r="S15" s="119">
        <v>0</v>
      </c>
      <c r="T15" s="119">
        <v>0</v>
      </c>
      <c r="U15" s="120">
        <v>6.0786106032906767E-2</v>
      </c>
    </row>
    <row r="16" spans="2:21" ht="17" thickBot="1">
      <c r="B16" s="135" t="s">
        <v>8</v>
      </c>
      <c r="C16" s="137">
        <v>37</v>
      </c>
      <c r="D16" s="115">
        <v>6</v>
      </c>
      <c r="E16" s="115">
        <v>2</v>
      </c>
      <c r="F16" s="115">
        <v>4</v>
      </c>
      <c r="G16" s="116">
        <v>49</v>
      </c>
      <c r="I16" s="135" t="s">
        <v>114</v>
      </c>
      <c r="J16" s="137">
        <v>37</v>
      </c>
      <c r="K16" s="115">
        <v>6</v>
      </c>
      <c r="L16" s="115">
        <v>2</v>
      </c>
      <c r="M16" s="115">
        <v>4</v>
      </c>
      <c r="N16" s="116">
        <v>49</v>
      </c>
      <c r="P16" s="124" t="s">
        <v>116</v>
      </c>
      <c r="Q16" s="121">
        <v>1</v>
      </c>
      <c r="R16" s="119">
        <v>1</v>
      </c>
      <c r="S16" s="119">
        <v>1</v>
      </c>
      <c r="T16" s="119">
        <v>1</v>
      </c>
      <c r="U16" s="120">
        <v>1</v>
      </c>
    </row>
    <row r="28" spans="8:8" ht="17" thickBot="1"/>
    <row r="29" spans="8:8" ht="17" thickBot="1">
      <c r="H29" s="105"/>
    </row>
  </sheetData>
  <mergeCells count="4">
    <mergeCell ref="B3:G3"/>
    <mergeCell ref="I3:N3"/>
    <mergeCell ref="P3:U3"/>
    <mergeCell ref="B2:U2"/>
  </mergeCells>
  <printOptions horizontalCentered="1"/>
  <pageMargins left="0.7" right="0.7" top="0.75" bottom="0.75" header="0.3" footer="0.3"/>
  <pageSetup scale="70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0E2-3010-8040-82B1-40E783AD4683}">
  <sheetPr>
    <pageSetUpPr fitToPage="1"/>
  </sheetPr>
  <dimension ref="A1:J41"/>
  <sheetViews>
    <sheetView showGridLines="0" zoomScale="119" zoomScaleNormal="261" workbookViewId="0">
      <selection activeCell="L18" sqref="L18"/>
    </sheetView>
  </sheetViews>
  <sheetFormatPr baseColWidth="10" defaultRowHeight="16"/>
  <cols>
    <col min="1" max="1" width="21.6640625" customWidth="1"/>
    <col min="2" max="2" width="0.83203125" hidden="1" customWidth="1"/>
    <col min="3" max="9" width="12.6640625" bestFit="1" customWidth="1"/>
    <col min="10" max="10" width="10.83203125" bestFit="1" customWidth="1"/>
    <col min="11" max="11" width="22.6640625" bestFit="1" customWidth="1"/>
    <col min="12" max="12" width="15" bestFit="1" customWidth="1"/>
    <col min="13" max="13" width="22.6640625" bestFit="1" customWidth="1"/>
    <col min="14" max="14" width="15" bestFit="1" customWidth="1"/>
    <col min="15" max="15" width="22.6640625" bestFit="1" customWidth="1"/>
    <col min="16" max="16" width="19.83203125" bestFit="1" customWidth="1"/>
    <col min="17" max="17" width="27.5" bestFit="1" customWidth="1"/>
  </cols>
  <sheetData>
    <row r="1" spans="1:10" ht="16" customHeight="1">
      <c r="A1" s="14" t="s">
        <v>103</v>
      </c>
    </row>
    <row r="2" spans="1:10" ht="16" customHeight="1">
      <c r="A2" s="61" t="s">
        <v>77</v>
      </c>
      <c r="B2" t="s">
        <v>3</v>
      </c>
    </row>
    <row r="3" spans="1:10" ht="16" customHeight="1" thickBot="1"/>
    <row r="4" spans="1:10" ht="16" customHeight="1" thickBot="1">
      <c r="A4" s="98"/>
      <c r="B4" s="38"/>
      <c r="C4" s="89" t="s">
        <v>76</v>
      </c>
      <c r="D4" s="89"/>
      <c r="E4" s="90"/>
      <c r="F4" s="90"/>
      <c r="G4" s="90"/>
      <c r="H4" s="90"/>
      <c r="I4" s="90"/>
      <c r="J4" s="91"/>
    </row>
    <row r="5" spans="1:10" ht="16" customHeight="1">
      <c r="A5" s="98" t="s">
        <v>75</v>
      </c>
      <c r="B5" s="83" t="s">
        <v>109</v>
      </c>
      <c r="C5" s="88" t="s">
        <v>98</v>
      </c>
      <c r="D5" s="88" t="s">
        <v>93</v>
      </c>
      <c r="E5" s="88" t="s">
        <v>94</v>
      </c>
      <c r="F5" s="88" t="s">
        <v>95</v>
      </c>
      <c r="G5" s="88" t="s">
        <v>96</v>
      </c>
      <c r="H5" s="88" t="s">
        <v>84</v>
      </c>
      <c r="I5" s="88" t="s">
        <v>97</v>
      </c>
      <c r="J5" s="103" t="s">
        <v>83</v>
      </c>
    </row>
    <row r="6" spans="1:10" ht="16" customHeight="1">
      <c r="A6" s="86" t="s">
        <v>104</v>
      </c>
      <c r="B6" s="84" t="s">
        <v>105</v>
      </c>
      <c r="C6" s="87">
        <v>1</v>
      </c>
      <c r="D6" s="87"/>
      <c r="E6" s="87"/>
      <c r="F6" s="87"/>
      <c r="G6" s="87"/>
      <c r="H6" s="87"/>
      <c r="I6" s="87"/>
      <c r="J6" s="87">
        <v>1</v>
      </c>
    </row>
    <row r="7" spans="1:10" ht="16" customHeight="1" thickBot="1">
      <c r="A7" s="85"/>
      <c r="B7" s="84" t="s">
        <v>110</v>
      </c>
      <c r="C7" s="87">
        <v>80000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80000</v>
      </c>
    </row>
    <row r="8" spans="1:10" ht="16" customHeight="1">
      <c r="A8" s="86" t="s">
        <v>84</v>
      </c>
      <c r="B8" s="84" t="s">
        <v>105</v>
      </c>
      <c r="C8" s="87"/>
      <c r="D8" s="87">
        <v>1</v>
      </c>
      <c r="E8" s="87">
        <v>1</v>
      </c>
      <c r="F8" s="87"/>
      <c r="G8" s="87"/>
      <c r="H8" s="87"/>
      <c r="I8" s="87"/>
      <c r="J8" s="87">
        <v>2</v>
      </c>
    </row>
    <row r="9" spans="1:10" ht="16" customHeight="1" thickBot="1">
      <c r="A9" s="85"/>
      <c r="B9" s="84" t="s">
        <v>110</v>
      </c>
      <c r="C9" s="87">
        <v>0</v>
      </c>
      <c r="D9" s="87">
        <v>73000</v>
      </c>
      <c r="E9" s="87">
        <v>77000</v>
      </c>
      <c r="F9" s="87">
        <v>0</v>
      </c>
      <c r="G9" s="87">
        <v>0</v>
      </c>
      <c r="H9" s="87">
        <v>0</v>
      </c>
      <c r="I9" s="87">
        <v>0</v>
      </c>
      <c r="J9" s="87">
        <v>150000</v>
      </c>
    </row>
    <row r="10" spans="1:10" ht="16" customHeight="1">
      <c r="A10" s="86" t="s">
        <v>85</v>
      </c>
      <c r="B10" s="84" t="s">
        <v>105</v>
      </c>
      <c r="C10" s="87">
        <v>4</v>
      </c>
      <c r="D10" s="87">
        <v>4</v>
      </c>
      <c r="E10" s="87">
        <v>2</v>
      </c>
      <c r="F10" s="87"/>
      <c r="G10" s="87"/>
      <c r="H10" s="87"/>
      <c r="I10" s="87"/>
      <c r="J10" s="87">
        <v>10</v>
      </c>
    </row>
    <row r="11" spans="1:10" ht="16" customHeight="1" thickBot="1">
      <c r="A11" s="85"/>
      <c r="B11" s="84" t="s">
        <v>110</v>
      </c>
      <c r="C11" s="87">
        <v>282500</v>
      </c>
      <c r="D11" s="87">
        <v>426000</v>
      </c>
      <c r="E11" s="87">
        <v>182000</v>
      </c>
      <c r="F11" s="87">
        <v>0</v>
      </c>
      <c r="G11" s="87">
        <v>0</v>
      </c>
      <c r="H11" s="87">
        <v>0</v>
      </c>
      <c r="I11" s="87">
        <v>0</v>
      </c>
      <c r="J11" s="87">
        <v>890500</v>
      </c>
    </row>
    <row r="12" spans="1:10" ht="16" customHeight="1">
      <c r="A12" s="86" t="s">
        <v>86</v>
      </c>
      <c r="B12" s="84" t="s">
        <v>105</v>
      </c>
      <c r="C12" s="87"/>
      <c r="D12" s="87"/>
      <c r="E12" s="87">
        <v>1</v>
      </c>
      <c r="F12" s="87"/>
      <c r="G12" s="87"/>
      <c r="H12" s="87"/>
      <c r="I12" s="87"/>
      <c r="J12" s="87">
        <v>1</v>
      </c>
    </row>
    <row r="13" spans="1:10" ht="16" customHeight="1" thickBot="1">
      <c r="A13" s="85"/>
      <c r="B13" s="84" t="s">
        <v>110</v>
      </c>
      <c r="C13" s="87">
        <v>0</v>
      </c>
      <c r="D13" s="87">
        <v>0</v>
      </c>
      <c r="E13" s="87">
        <v>17000</v>
      </c>
      <c r="F13" s="87">
        <v>0</v>
      </c>
      <c r="G13" s="87">
        <v>0</v>
      </c>
      <c r="H13" s="87">
        <v>0</v>
      </c>
      <c r="I13" s="87">
        <v>0</v>
      </c>
      <c r="J13" s="87">
        <v>17000</v>
      </c>
    </row>
    <row r="14" spans="1:10" ht="16" customHeight="1">
      <c r="A14" s="86" t="s">
        <v>87</v>
      </c>
      <c r="B14" s="84" t="s">
        <v>105</v>
      </c>
      <c r="C14" s="87"/>
      <c r="D14" s="87">
        <v>1</v>
      </c>
      <c r="E14" s="87">
        <v>1</v>
      </c>
      <c r="F14" s="87"/>
      <c r="G14" s="87">
        <v>1</v>
      </c>
      <c r="H14" s="87"/>
      <c r="I14" s="87"/>
      <c r="J14" s="87">
        <v>3</v>
      </c>
    </row>
    <row r="15" spans="1:10" ht="16" customHeight="1" thickBot="1">
      <c r="A15" s="85"/>
      <c r="B15" s="84" t="s">
        <v>110</v>
      </c>
      <c r="C15" s="87">
        <v>0</v>
      </c>
      <c r="D15" s="87">
        <v>66000</v>
      </c>
      <c r="E15" s="87">
        <v>43000</v>
      </c>
      <c r="F15" s="87">
        <v>0</v>
      </c>
      <c r="G15" s="87">
        <v>83000</v>
      </c>
      <c r="H15" s="87">
        <v>0</v>
      </c>
      <c r="I15" s="87">
        <v>0</v>
      </c>
      <c r="J15" s="87">
        <v>192000</v>
      </c>
    </row>
    <row r="16" spans="1:10" ht="16" customHeight="1">
      <c r="A16" s="86" t="s">
        <v>88</v>
      </c>
      <c r="B16" s="84" t="s">
        <v>105</v>
      </c>
      <c r="C16" s="87">
        <v>2</v>
      </c>
      <c r="D16" s="87">
        <v>1</v>
      </c>
      <c r="E16" s="87">
        <v>4</v>
      </c>
      <c r="F16" s="87">
        <v>3</v>
      </c>
      <c r="G16" s="87"/>
      <c r="H16" s="87"/>
      <c r="I16" s="87"/>
      <c r="J16" s="87">
        <v>10</v>
      </c>
    </row>
    <row r="17" spans="1:10" ht="16" customHeight="1" thickBot="1">
      <c r="A17" s="85"/>
      <c r="B17" s="84" t="s">
        <v>110</v>
      </c>
      <c r="C17" s="87">
        <v>85000</v>
      </c>
      <c r="D17" s="87">
        <v>88833.333333333328</v>
      </c>
      <c r="E17" s="87">
        <v>357285.71428571432</v>
      </c>
      <c r="F17" s="87">
        <v>248642.85714285716</v>
      </c>
      <c r="G17" s="87">
        <v>0</v>
      </c>
      <c r="H17" s="87">
        <v>0</v>
      </c>
      <c r="I17" s="87">
        <v>0</v>
      </c>
      <c r="J17" s="87">
        <v>779761.90476190473</v>
      </c>
    </row>
    <row r="18" spans="1:10" ht="16" customHeight="1">
      <c r="A18" s="86" t="s">
        <v>89</v>
      </c>
      <c r="B18" s="84" t="s">
        <v>105</v>
      </c>
      <c r="C18" s="87"/>
      <c r="D18" s="87">
        <v>2</v>
      </c>
      <c r="E18" s="87">
        <v>2</v>
      </c>
      <c r="F18" s="87"/>
      <c r="G18" s="87">
        <v>2</v>
      </c>
      <c r="H18" s="87"/>
      <c r="I18" s="87"/>
      <c r="J18" s="87">
        <v>6</v>
      </c>
    </row>
    <row r="19" spans="1:10" ht="16" customHeight="1" thickBot="1">
      <c r="A19" s="85"/>
      <c r="B19" s="84" t="s">
        <v>110</v>
      </c>
      <c r="C19" s="87">
        <v>0</v>
      </c>
      <c r="D19" s="87">
        <v>168880.95238095237</v>
      </c>
      <c r="E19" s="87">
        <v>325904.76190476189</v>
      </c>
      <c r="F19" s="87">
        <v>0</v>
      </c>
      <c r="G19" s="87">
        <v>416642.85714285716</v>
      </c>
      <c r="H19" s="87">
        <v>0</v>
      </c>
      <c r="I19" s="87">
        <v>0</v>
      </c>
      <c r="J19" s="87">
        <v>911428.57142857136</v>
      </c>
    </row>
    <row r="20" spans="1:10" ht="16" customHeight="1">
      <c r="A20" s="86" t="s">
        <v>90</v>
      </c>
      <c r="B20" s="84" t="s">
        <v>105</v>
      </c>
      <c r="C20" s="87"/>
      <c r="D20" s="87">
        <v>2</v>
      </c>
      <c r="E20" s="87"/>
      <c r="F20" s="87"/>
      <c r="G20" s="87"/>
      <c r="H20" s="87">
        <v>1</v>
      </c>
      <c r="I20" s="87"/>
      <c r="J20" s="87">
        <v>3</v>
      </c>
    </row>
    <row r="21" spans="1:10" ht="16" customHeight="1" thickBot="1">
      <c r="A21" s="85"/>
      <c r="B21" s="84" t="s">
        <v>110</v>
      </c>
      <c r="C21" s="87">
        <v>0</v>
      </c>
      <c r="D21" s="87">
        <v>188404.76190476189</v>
      </c>
      <c r="E21" s="87">
        <v>0</v>
      </c>
      <c r="F21" s="87">
        <v>0</v>
      </c>
      <c r="G21" s="87">
        <v>0</v>
      </c>
      <c r="H21" s="87">
        <v>80000</v>
      </c>
      <c r="I21" s="87">
        <v>0</v>
      </c>
      <c r="J21" s="87">
        <v>268404.76190476189</v>
      </c>
    </row>
    <row r="22" spans="1:10" ht="16" customHeight="1">
      <c r="A22" s="86" t="s">
        <v>91</v>
      </c>
      <c r="B22" s="84" t="s">
        <v>105</v>
      </c>
      <c r="C22" s="87"/>
      <c r="D22" s="87"/>
      <c r="E22" s="87"/>
      <c r="F22" s="87"/>
      <c r="G22" s="87"/>
      <c r="H22" s="87"/>
      <c r="I22" s="87">
        <v>1</v>
      </c>
      <c r="J22" s="87">
        <v>1</v>
      </c>
    </row>
    <row r="23" spans="1:10" ht="16" customHeight="1" thickBot="1">
      <c r="A23" s="85"/>
      <c r="B23" s="84" t="s">
        <v>110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80000</v>
      </c>
      <c r="J23" s="87">
        <v>80000</v>
      </c>
    </row>
    <row r="24" spans="1:10" ht="16" customHeight="1" thickBot="1">
      <c r="A24" s="92" t="s">
        <v>106</v>
      </c>
      <c r="B24" s="93"/>
      <c r="C24" s="94">
        <v>7</v>
      </c>
      <c r="D24" s="95">
        <v>11</v>
      </c>
      <c r="E24" s="95">
        <v>11</v>
      </c>
      <c r="F24" s="95">
        <v>3</v>
      </c>
      <c r="G24" s="95">
        <v>3</v>
      </c>
      <c r="H24" s="95">
        <v>1</v>
      </c>
      <c r="I24" s="96">
        <v>1</v>
      </c>
      <c r="J24" s="102">
        <v>37</v>
      </c>
    </row>
    <row r="25" spans="1:10" ht="16" customHeight="1" thickBot="1">
      <c r="A25" s="92" t="s">
        <v>111</v>
      </c>
      <c r="B25" s="93"/>
      <c r="C25" s="99">
        <v>447500</v>
      </c>
      <c r="D25" s="100">
        <v>1011119.0476190476</v>
      </c>
      <c r="E25" s="100">
        <v>1002190.4761904762</v>
      </c>
      <c r="F25" s="100">
        <v>248642.85714285716</v>
      </c>
      <c r="G25" s="100">
        <v>499642.85714285716</v>
      </c>
      <c r="H25" s="100">
        <v>80000</v>
      </c>
      <c r="I25" s="101">
        <v>80000</v>
      </c>
      <c r="J25" s="97">
        <v>3369095.2380952379</v>
      </c>
    </row>
    <row r="39" ht="17" thickBot="1"/>
    <row r="40" ht="17" thickBot="1"/>
    <row r="41" ht="17" thickBot="1"/>
  </sheetData>
  <mergeCells count="11">
    <mergeCell ref="A22:A23"/>
    <mergeCell ref="A24:B24"/>
    <mergeCell ref="A25:B25"/>
    <mergeCell ref="A6:A7"/>
    <mergeCell ref="A8:A9"/>
    <mergeCell ref="A10:A11"/>
    <mergeCell ref="A12:A13"/>
    <mergeCell ref="A14:A15"/>
    <mergeCell ref="A16:A17"/>
    <mergeCell ref="A18:A19"/>
    <mergeCell ref="A20:A21"/>
  </mergeCells>
  <printOptions horizontalCentered="1"/>
  <pageMargins left="0.7" right="0.7" top="0.75" bottom="0.75" header="0.3" footer="0.3"/>
  <pageSetup scale="70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0E51-2F2D-F946-9BF4-AA01C05DF716}">
  <sheetPr>
    <pageSetUpPr fitToPage="1"/>
  </sheetPr>
  <dimension ref="A1:I14"/>
  <sheetViews>
    <sheetView showGridLines="0" topLeftCell="A2" zoomScale="125" workbookViewId="0">
      <selection activeCell="C16" sqref="C16"/>
    </sheetView>
  </sheetViews>
  <sheetFormatPr baseColWidth="10" defaultRowHeight="16"/>
  <cols>
    <col min="1" max="1" width="42.6640625" bestFit="1" customWidth="1"/>
    <col min="2" max="2" width="9.6640625" bestFit="1" customWidth="1"/>
    <col min="3" max="3" width="3.83203125" bestFit="1" customWidth="1"/>
    <col min="4" max="8" width="5.83203125" bestFit="1" customWidth="1"/>
    <col min="9" max="9" width="10.83203125" bestFit="1" customWidth="1"/>
    <col min="10" max="20" width="3.1640625" bestFit="1" customWidth="1"/>
    <col min="21" max="21" width="10.83203125" bestFit="1" customWidth="1"/>
  </cols>
  <sheetData>
    <row r="1" spans="1:9" hidden="1">
      <c r="A1" s="61" t="s">
        <v>77</v>
      </c>
      <c r="B1" t="s">
        <v>3</v>
      </c>
    </row>
    <row r="2" spans="1:9">
      <c r="A2" t="s">
        <v>102</v>
      </c>
    </row>
    <row r="3" spans="1:9">
      <c r="A3" s="62" t="s">
        <v>101</v>
      </c>
      <c r="B3" s="62" t="s">
        <v>99</v>
      </c>
      <c r="C3" s="62"/>
      <c r="D3" s="62"/>
      <c r="E3" s="62"/>
      <c r="F3" s="62"/>
      <c r="G3" s="62"/>
      <c r="H3" s="62"/>
      <c r="I3" s="62"/>
    </row>
    <row r="4" spans="1:9">
      <c r="A4" s="62" t="s">
        <v>100</v>
      </c>
      <c r="B4" s="63" t="s">
        <v>98</v>
      </c>
      <c r="C4" s="62" t="s">
        <v>93</v>
      </c>
      <c r="D4" s="62" t="s">
        <v>94</v>
      </c>
      <c r="E4" s="62" t="s">
        <v>95</v>
      </c>
      <c r="F4" s="62" t="s">
        <v>96</v>
      </c>
      <c r="G4" s="62" t="s">
        <v>84</v>
      </c>
      <c r="H4" s="62" t="s">
        <v>97</v>
      </c>
      <c r="I4" s="62" t="s">
        <v>83</v>
      </c>
    </row>
    <row r="5" spans="1:9">
      <c r="A5" s="81" t="s">
        <v>104</v>
      </c>
      <c r="B5" s="82">
        <v>1</v>
      </c>
      <c r="C5" s="82"/>
      <c r="D5" s="82"/>
      <c r="E5" s="82"/>
      <c r="F5" s="82"/>
      <c r="G5" s="82"/>
      <c r="H5" s="82"/>
      <c r="I5" s="82">
        <v>1</v>
      </c>
    </row>
    <row r="6" spans="1:9">
      <c r="A6" s="81" t="s">
        <v>84</v>
      </c>
      <c r="B6" s="82"/>
      <c r="C6" s="82">
        <v>1</v>
      </c>
      <c r="D6" s="82">
        <v>1</v>
      </c>
      <c r="E6" s="82"/>
      <c r="F6" s="82"/>
      <c r="G6" s="82"/>
      <c r="H6" s="82"/>
      <c r="I6" s="82">
        <v>2</v>
      </c>
    </row>
    <row r="7" spans="1:9">
      <c r="A7" s="81" t="s">
        <v>85</v>
      </c>
      <c r="B7" s="82">
        <v>4</v>
      </c>
      <c r="C7" s="82">
        <v>4</v>
      </c>
      <c r="D7" s="82">
        <v>2</v>
      </c>
      <c r="E7" s="82"/>
      <c r="F7" s="82"/>
      <c r="G7" s="82"/>
      <c r="H7" s="82"/>
      <c r="I7" s="82">
        <v>10</v>
      </c>
    </row>
    <row r="8" spans="1:9">
      <c r="A8" s="81" t="s">
        <v>86</v>
      </c>
      <c r="B8" s="82"/>
      <c r="C8" s="82"/>
      <c r="D8" s="82">
        <v>1</v>
      </c>
      <c r="E8" s="82"/>
      <c r="F8" s="82"/>
      <c r="G8" s="82"/>
      <c r="H8" s="82"/>
      <c r="I8" s="82">
        <v>1</v>
      </c>
    </row>
    <row r="9" spans="1:9">
      <c r="A9" s="81" t="s">
        <v>87</v>
      </c>
      <c r="B9" s="82"/>
      <c r="C9" s="82">
        <v>1</v>
      </c>
      <c r="D9" s="82">
        <v>1</v>
      </c>
      <c r="E9" s="82"/>
      <c r="F9" s="82">
        <v>1</v>
      </c>
      <c r="G9" s="82"/>
      <c r="H9" s="82"/>
      <c r="I9" s="82">
        <v>3</v>
      </c>
    </row>
    <row r="10" spans="1:9">
      <c r="A10" s="81" t="s">
        <v>88</v>
      </c>
      <c r="B10" s="82">
        <v>2</v>
      </c>
      <c r="C10" s="82">
        <v>1</v>
      </c>
      <c r="D10" s="82">
        <v>4</v>
      </c>
      <c r="E10" s="82">
        <v>3</v>
      </c>
      <c r="F10" s="82"/>
      <c r="G10" s="82"/>
      <c r="H10" s="82"/>
      <c r="I10" s="82">
        <v>10</v>
      </c>
    </row>
    <row r="11" spans="1:9">
      <c r="A11" s="81" t="s">
        <v>89</v>
      </c>
      <c r="B11" s="82"/>
      <c r="C11" s="82">
        <v>2</v>
      </c>
      <c r="D11" s="82">
        <v>2</v>
      </c>
      <c r="E11" s="82"/>
      <c r="F11" s="82">
        <v>2</v>
      </c>
      <c r="G11" s="82"/>
      <c r="H11" s="82"/>
      <c r="I11" s="82">
        <v>6</v>
      </c>
    </row>
    <row r="12" spans="1:9">
      <c r="A12" s="81" t="s">
        <v>90</v>
      </c>
      <c r="B12" s="82"/>
      <c r="C12" s="82">
        <v>2</v>
      </c>
      <c r="D12" s="82"/>
      <c r="E12" s="82"/>
      <c r="F12" s="82"/>
      <c r="G12" s="82">
        <v>1</v>
      </c>
      <c r="H12" s="82"/>
      <c r="I12" s="82">
        <v>3</v>
      </c>
    </row>
    <row r="13" spans="1:9">
      <c r="A13" s="81" t="s">
        <v>91</v>
      </c>
      <c r="B13" s="82"/>
      <c r="C13" s="82"/>
      <c r="D13" s="82"/>
      <c r="E13" s="82"/>
      <c r="F13" s="82"/>
      <c r="G13" s="82"/>
      <c r="H13" s="82">
        <v>1</v>
      </c>
      <c r="I13" s="82">
        <v>1</v>
      </c>
    </row>
    <row r="14" spans="1:9">
      <c r="A14" s="64" t="s">
        <v>83</v>
      </c>
      <c r="B14" s="65">
        <v>7</v>
      </c>
      <c r="C14" s="65">
        <v>11</v>
      </c>
      <c r="D14" s="65">
        <v>11</v>
      </c>
      <c r="E14" s="65">
        <v>3</v>
      </c>
      <c r="F14" s="65">
        <v>3</v>
      </c>
      <c r="G14" s="65">
        <v>1</v>
      </c>
      <c r="H14" s="65">
        <v>1</v>
      </c>
      <c r="I14" s="65">
        <v>37</v>
      </c>
    </row>
  </sheetData>
  <printOptions horizontalCentered="1"/>
  <pageMargins left="0.7" right="0.7" top="0.75" bottom="0.75" header="0.3" footer="0.3"/>
  <pageSetup scale="89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1FD2-322D-CC47-B48C-5DB0042B21A8}">
  <dimension ref="A1:H52"/>
  <sheetViews>
    <sheetView topLeftCell="A3" workbookViewId="0">
      <selection activeCell="G26" sqref="G26"/>
    </sheetView>
  </sheetViews>
  <sheetFormatPr baseColWidth="10" defaultRowHeight="16"/>
  <sheetData>
    <row r="1" spans="1:8">
      <c r="A1" t="s">
        <v>82</v>
      </c>
    </row>
    <row r="2" spans="1:8" ht="17" thickBot="1"/>
    <row r="3" spans="1:8">
      <c r="A3" s="56" t="s">
        <v>71</v>
      </c>
      <c r="B3" s="57" t="s">
        <v>72</v>
      </c>
      <c r="C3" s="58" t="s">
        <v>73</v>
      </c>
      <c r="D3" s="58" t="s">
        <v>74</v>
      </c>
      <c r="E3" s="58" t="s">
        <v>75</v>
      </c>
      <c r="F3" s="58" t="s">
        <v>76</v>
      </c>
      <c r="G3" s="58" t="s">
        <v>77</v>
      </c>
      <c r="H3" s="58" t="s">
        <v>78</v>
      </c>
    </row>
    <row r="4" spans="1:8">
      <c r="A4" s="59">
        <v>375757</v>
      </c>
      <c r="B4" s="59">
        <v>2</v>
      </c>
      <c r="C4" s="60">
        <v>96000</v>
      </c>
      <c r="D4" s="60">
        <v>91428.57142857142</v>
      </c>
      <c r="E4" s="59">
        <v>55</v>
      </c>
      <c r="F4" s="59">
        <v>7</v>
      </c>
      <c r="G4" s="59" t="s">
        <v>3</v>
      </c>
      <c r="H4" s="59" t="s">
        <v>3</v>
      </c>
    </row>
    <row r="5" spans="1:8">
      <c r="A5" s="59">
        <v>384691</v>
      </c>
      <c r="B5" s="59">
        <v>1</v>
      </c>
      <c r="C5" s="60">
        <v>89000</v>
      </c>
      <c r="D5" s="60">
        <v>84761.904761904763</v>
      </c>
      <c r="E5" s="59">
        <v>52</v>
      </c>
      <c r="F5" s="59">
        <v>5</v>
      </c>
      <c r="G5" s="59" t="s">
        <v>3</v>
      </c>
      <c r="H5" s="59" t="s">
        <v>3</v>
      </c>
    </row>
    <row r="6" spans="1:8">
      <c r="A6" s="59">
        <v>396332</v>
      </c>
      <c r="B6" s="59">
        <v>3</v>
      </c>
      <c r="C6" s="60">
        <v>85000</v>
      </c>
      <c r="D6" s="60"/>
      <c r="E6" s="59">
        <v>48</v>
      </c>
      <c r="F6" s="59">
        <v>1</v>
      </c>
      <c r="G6" s="59" t="s">
        <v>3</v>
      </c>
      <c r="H6" s="59"/>
    </row>
    <row r="7" spans="1:8">
      <c r="A7" s="59">
        <v>401073</v>
      </c>
      <c r="B7" s="59">
        <v>1</v>
      </c>
      <c r="C7" s="60"/>
      <c r="D7" s="60">
        <v>80000</v>
      </c>
      <c r="E7" s="59">
        <v>66</v>
      </c>
      <c r="F7" s="59"/>
      <c r="G7" s="59" t="s">
        <v>79</v>
      </c>
      <c r="H7" s="59" t="s">
        <v>79</v>
      </c>
    </row>
    <row r="8" spans="1:8">
      <c r="A8" s="59">
        <v>409118</v>
      </c>
      <c r="B8" s="59">
        <v>1</v>
      </c>
      <c r="C8" s="60">
        <v>83000</v>
      </c>
      <c r="D8" s="60">
        <v>71000</v>
      </c>
      <c r="E8" s="59">
        <v>28</v>
      </c>
      <c r="F8" s="59">
        <v>11</v>
      </c>
      <c r="G8" s="59" t="s">
        <v>3</v>
      </c>
      <c r="H8" s="59" t="s">
        <v>3</v>
      </c>
    </row>
    <row r="9" spans="1:8">
      <c r="A9" s="59">
        <v>411380</v>
      </c>
      <c r="B9" s="59">
        <v>1</v>
      </c>
      <c r="C9" s="60">
        <v>86000</v>
      </c>
      <c r="D9" s="60">
        <v>74000</v>
      </c>
      <c r="E9" s="59">
        <v>57</v>
      </c>
      <c r="F9" s="59">
        <v>27</v>
      </c>
      <c r="G9" s="59" t="s">
        <v>3</v>
      </c>
      <c r="H9" s="59" t="s">
        <v>3</v>
      </c>
    </row>
    <row r="10" spans="1:8">
      <c r="A10" s="59">
        <v>412092</v>
      </c>
      <c r="B10" s="59">
        <v>1</v>
      </c>
      <c r="C10" s="60">
        <v>87000</v>
      </c>
      <c r="D10" s="60"/>
      <c r="E10" s="59">
        <v>32</v>
      </c>
      <c r="F10" s="59">
        <v>2</v>
      </c>
      <c r="G10" s="59" t="s">
        <v>3</v>
      </c>
      <c r="H10" s="59"/>
    </row>
    <row r="11" spans="1:8">
      <c r="A11" s="59">
        <v>413369</v>
      </c>
      <c r="B11" s="59">
        <v>1</v>
      </c>
      <c r="C11" s="60">
        <v>86000</v>
      </c>
      <c r="D11" s="60"/>
      <c r="E11" s="59">
        <v>44</v>
      </c>
      <c r="F11" s="59">
        <v>14</v>
      </c>
      <c r="G11" s="59" t="s">
        <v>3</v>
      </c>
      <c r="H11" s="59"/>
    </row>
    <row r="12" spans="1:8">
      <c r="A12" s="59">
        <v>415179</v>
      </c>
      <c r="B12" s="59">
        <v>1</v>
      </c>
      <c r="C12" s="60">
        <v>75000</v>
      </c>
      <c r="D12" s="60">
        <v>63000</v>
      </c>
      <c r="E12" s="59">
        <v>32</v>
      </c>
      <c r="F12" s="59">
        <v>2</v>
      </c>
      <c r="G12" s="59" t="s">
        <v>3</v>
      </c>
      <c r="H12" s="59" t="s">
        <v>3</v>
      </c>
    </row>
    <row r="13" spans="1:8">
      <c r="A13" s="59">
        <v>422576</v>
      </c>
      <c r="B13" s="59">
        <v>1</v>
      </c>
      <c r="C13" s="60">
        <v>86000</v>
      </c>
      <c r="D13" s="60">
        <v>80000</v>
      </c>
      <c r="E13" s="59">
        <v>55</v>
      </c>
      <c r="F13" s="59"/>
      <c r="G13" s="59" t="s">
        <v>79</v>
      </c>
      <c r="H13" s="59" t="s">
        <v>3</v>
      </c>
    </row>
    <row r="14" spans="1:8">
      <c r="A14" s="59">
        <v>424060</v>
      </c>
      <c r="B14" s="59">
        <v>3</v>
      </c>
      <c r="C14" s="60">
        <v>250000</v>
      </c>
      <c r="D14" s="60">
        <v>230000</v>
      </c>
      <c r="E14" s="59">
        <v>51</v>
      </c>
      <c r="F14" s="59">
        <v>10</v>
      </c>
      <c r="G14" s="59" t="s">
        <v>3</v>
      </c>
      <c r="H14" s="59" t="s">
        <v>3</v>
      </c>
    </row>
    <row r="15" spans="1:8">
      <c r="A15" s="59">
        <v>431411</v>
      </c>
      <c r="B15" s="59">
        <v>3</v>
      </c>
      <c r="C15" s="60">
        <v>91000</v>
      </c>
      <c r="D15" s="60">
        <v>86666.666666666657</v>
      </c>
      <c r="E15" s="59">
        <v>49</v>
      </c>
      <c r="F15" s="59">
        <v>6</v>
      </c>
      <c r="G15" s="59" t="s">
        <v>3</v>
      </c>
      <c r="H15" s="59" t="s">
        <v>3</v>
      </c>
    </row>
    <row r="16" spans="1:8">
      <c r="A16" s="59">
        <v>436028</v>
      </c>
      <c r="B16" s="59">
        <v>1</v>
      </c>
      <c r="C16" s="60">
        <v>86000</v>
      </c>
      <c r="D16" s="60">
        <v>74000</v>
      </c>
      <c r="E16" s="59">
        <v>23</v>
      </c>
      <c r="F16" s="59">
        <v>3</v>
      </c>
      <c r="G16" s="59" t="s">
        <v>3</v>
      </c>
      <c r="H16" s="59" t="s">
        <v>3</v>
      </c>
    </row>
    <row r="17" spans="1:8">
      <c r="A17" s="59">
        <v>437293</v>
      </c>
      <c r="B17" s="59">
        <v>3</v>
      </c>
      <c r="C17" s="60">
        <v>86000</v>
      </c>
      <c r="D17" s="60">
        <v>80000</v>
      </c>
      <c r="E17" s="59">
        <v>51</v>
      </c>
      <c r="F17" s="59"/>
      <c r="G17" s="59" t="s">
        <v>80</v>
      </c>
      <c r="H17" s="59" t="s">
        <v>3</v>
      </c>
    </row>
    <row r="18" spans="1:8">
      <c r="A18" s="59">
        <v>438052</v>
      </c>
      <c r="B18" s="59">
        <v>1</v>
      </c>
      <c r="C18" s="60">
        <v>86000</v>
      </c>
      <c r="D18" s="60">
        <v>74000</v>
      </c>
      <c r="E18" s="59">
        <v>32</v>
      </c>
      <c r="F18" s="59">
        <v>9</v>
      </c>
      <c r="G18" s="59" t="s">
        <v>3</v>
      </c>
      <c r="H18" s="59" t="s">
        <v>3</v>
      </c>
    </row>
    <row r="19" spans="1:8">
      <c r="A19" s="59">
        <v>438638</v>
      </c>
      <c r="B19" s="59">
        <v>2</v>
      </c>
      <c r="C19" s="60">
        <v>87000</v>
      </c>
      <c r="D19" s="60">
        <v>82857.142857142855</v>
      </c>
      <c r="E19" s="59">
        <v>47</v>
      </c>
      <c r="F19" s="59">
        <v>12</v>
      </c>
      <c r="G19" s="59" t="s">
        <v>3</v>
      </c>
      <c r="H19" s="59" t="s">
        <v>3</v>
      </c>
    </row>
    <row r="20" spans="1:8">
      <c r="A20" s="59">
        <v>449418</v>
      </c>
      <c r="B20" s="59">
        <v>1</v>
      </c>
      <c r="C20" s="60">
        <v>76000</v>
      </c>
      <c r="D20" s="60">
        <v>64000</v>
      </c>
      <c r="E20" s="59">
        <v>45</v>
      </c>
      <c r="F20" s="59">
        <v>15</v>
      </c>
      <c r="G20" s="59" t="s">
        <v>3</v>
      </c>
      <c r="H20" s="59" t="s">
        <v>3</v>
      </c>
    </row>
    <row r="21" spans="1:8">
      <c r="A21" s="59">
        <v>449944</v>
      </c>
      <c r="B21" s="59">
        <v>1</v>
      </c>
      <c r="C21" s="60">
        <v>86000</v>
      </c>
      <c r="D21" s="60">
        <v>80000</v>
      </c>
      <c r="E21" s="59">
        <v>45</v>
      </c>
      <c r="F21" s="59"/>
      <c r="G21" s="59" t="s">
        <v>80</v>
      </c>
      <c r="H21" s="59" t="s">
        <v>3</v>
      </c>
    </row>
    <row r="22" spans="1:8">
      <c r="A22" s="59">
        <v>452656</v>
      </c>
      <c r="B22" s="59">
        <v>2</v>
      </c>
      <c r="C22" s="60">
        <v>93000</v>
      </c>
      <c r="D22" s="60">
        <v>88571.428571428565</v>
      </c>
      <c r="E22" s="59">
        <v>46</v>
      </c>
      <c r="F22" s="59">
        <v>18</v>
      </c>
      <c r="G22" s="59" t="s">
        <v>3</v>
      </c>
      <c r="H22" s="59" t="s">
        <v>3</v>
      </c>
    </row>
    <row r="23" spans="1:8">
      <c r="A23" s="59">
        <v>463271</v>
      </c>
      <c r="B23" s="59">
        <v>1</v>
      </c>
      <c r="C23" s="60">
        <v>54000</v>
      </c>
      <c r="D23" s="60">
        <v>42000</v>
      </c>
      <c r="E23" s="59">
        <v>32</v>
      </c>
      <c r="F23" s="59">
        <v>8</v>
      </c>
      <c r="G23" s="59" t="s">
        <v>3</v>
      </c>
      <c r="H23" s="59" t="s">
        <v>3</v>
      </c>
    </row>
    <row r="24" spans="1:8">
      <c r="A24" s="59">
        <v>463938</v>
      </c>
      <c r="B24" s="59">
        <v>1</v>
      </c>
      <c r="C24" s="60">
        <v>96000</v>
      </c>
      <c r="D24" s="60">
        <v>84000</v>
      </c>
      <c r="E24" s="59">
        <v>32</v>
      </c>
      <c r="F24" s="59">
        <v>2</v>
      </c>
      <c r="G24" s="59" t="s">
        <v>3</v>
      </c>
      <c r="H24" s="59" t="s">
        <v>3</v>
      </c>
    </row>
    <row r="25" spans="1:8">
      <c r="A25" s="59">
        <v>479102</v>
      </c>
      <c r="B25" s="59">
        <v>3</v>
      </c>
      <c r="C25" s="60">
        <v>85000</v>
      </c>
      <c r="D25" s="60"/>
      <c r="E25" s="59">
        <v>48</v>
      </c>
      <c r="F25" s="59">
        <v>1</v>
      </c>
      <c r="G25" s="59" t="s">
        <v>3</v>
      </c>
      <c r="H25" s="59"/>
    </row>
    <row r="26" spans="1:8">
      <c r="A26" s="59">
        <v>481800</v>
      </c>
      <c r="B26" s="59">
        <v>2</v>
      </c>
      <c r="C26" s="60"/>
      <c r="D26" s="60">
        <v>80000</v>
      </c>
      <c r="E26" s="59">
        <v>64</v>
      </c>
      <c r="F26" s="59"/>
      <c r="G26" s="59" t="s">
        <v>79</v>
      </c>
      <c r="H26" s="59" t="s">
        <v>79</v>
      </c>
    </row>
    <row r="27" spans="1:8">
      <c r="A27" s="59">
        <v>482078</v>
      </c>
      <c r="B27" s="59">
        <v>1</v>
      </c>
      <c r="C27" s="60">
        <v>110000</v>
      </c>
      <c r="D27" s="60">
        <v>98000</v>
      </c>
      <c r="E27" s="59">
        <v>32</v>
      </c>
      <c r="F27" s="59">
        <v>8</v>
      </c>
      <c r="G27" s="59" t="s">
        <v>3</v>
      </c>
      <c r="H27" s="59" t="s">
        <v>3</v>
      </c>
    </row>
    <row r="28" spans="1:8">
      <c r="A28" s="59">
        <v>486583</v>
      </c>
      <c r="B28" s="59">
        <v>1</v>
      </c>
      <c r="C28" s="60">
        <v>86000</v>
      </c>
      <c r="D28" s="60">
        <v>80000</v>
      </c>
      <c r="E28" s="59">
        <v>32</v>
      </c>
      <c r="F28" s="59"/>
      <c r="G28" s="59" t="s">
        <v>81</v>
      </c>
      <c r="H28" s="59" t="s">
        <v>3</v>
      </c>
    </row>
    <row r="29" spans="1:8">
      <c r="A29" s="59">
        <v>492053</v>
      </c>
      <c r="B29" s="59">
        <v>1</v>
      </c>
      <c r="C29" s="60">
        <v>86000</v>
      </c>
      <c r="D29" s="60">
        <v>74000</v>
      </c>
      <c r="E29" s="59">
        <v>32</v>
      </c>
      <c r="F29" s="59">
        <v>2</v>
      </c>
      <c r="G29" s="59" t="s">
        <v>3</v>
      </c>
      <c r="H29" s="59" t="s">
        <v>3</v>
      </c>
    </row>
    <row r="30" spans="1:8">
      <c r="A30" s="59">
        <v>492133</v>
      </c>
      <c r="B30" s="59">
        <v>1</v>
      </c>
      <c r="C30" s="60">
        <v>100000</v>
      </c>
      <c r="D30" s="60">
        <v>88000</v>
      </c>
      <c r="E30" s="59">
        <v>32</v>
      </c>
      <c r="F30" s="59">
        <v>10</v>
      </c>
      <c r="G30" s="59" t="s">
        <v>3</v>
      </c>
      <c r="H30" s="59" t="s">
        <v>3</v>
      </c>
    </row>
    <row r="31" spans="1:8">
      <c r="A31" s="59">
        <v>492176</v>
      </c>
      <c r="B31" s="59">
        <v>1</v>
      </c>
      <c r="C31" s="60">
        <v>86000</v>
      </c>
      <c r="D31" s="60">
        <v>80000</v>
      </c>
      <c r="E31" s="59">
        <v>34</v>
      </c>
      <c r="F31" s="59"/>
      <c r="G31" s="59" t="s">
        <v>81</v>
      </c>
      <c r="H31" s="59" t="s">
        <v>3</v>
      </c>
    </row>
    <row r="32" spans="1:8">
      <c r="A32" s="59">
        <v>496907</v>
      </c>
      <c r="B32" s="59">
        <v>2</v>
      </c>
      <c r="C32" s="60"/>
      <c r="D32" s="60">
        <v>80000</v>
      </c>
      <c r="E32" s="59">
        <v>59</v>
      </c>
      <c r="F32" s="59"/>
      <c r="G32" s="59" t="s">
        <v>79</v>
      </c>
      <c r="H32" s="59" t="s">
        <v>80</v>
      </c>
    </row>
    <row r="33" spans="1:8">
      <c r="A33" s="59">
        <v>507242</v>
      </c>
      <c r="B33" s="59">
        <v>1</v>
      </c>
      <c r="C33" s="60">
        <v>92000</v>
      </c>
      <c r="D33" s="60">
        <v>40000</v>
      </c>
      <c r="E33" s="59">
        <v>44</v>
      </c>
      <c r="F33" s="59">
        <v>7</v>
      </c>
      <c r="G33" s="59" t="s">
        <v>3</v>
      </c>
      <c r="H33" s="59" t="s">
        <v>3</v>
      </c>
    </row>
    <row r="34" spans="1:8">
      <c r="A34" s="59">
        <v>513820</v>
      </c>
      <c r="B34" s="59">
        <v>1</v>
      </c>
      <c r="C34" s="60"/>
      <c r="D34" s="60">
        <v>80000</v>
      </c>
      <c r="E34" s="59">
        <v>62</v>
      </c>
      <c r="F34" s="59"/>
      <c r="G34" s="59" t="s">
        <v>79</v>
      </c>
      <c r="H34" s="59" t="s">
        <v>80</v>
      </c>
    </row>
    <row r="35" spans="1:8">
      <c r="A35" s="59">
        <v>514774</v>
      </c>
      <c r="B35" s="59">
        <v>3</v>
      </c>
      <c r="C35" s="60"/>
      <c r="D35" s="60">
        <v>80000</v>
      </c>
      <c r="E35" s="59">
        <v>44</v>
      </c>
      <c r="F35" s="59"/>
      <c r="G35" s="59" t="s">
        <v>80</v>
      </c>
      <c r="H35" s="59" t="s">
        <v>80</v>
      </c>
    </row>
    <row r="36" spans="1:8">
      <c r="A36" s="59">
        <v>520201</v>
      </c>
      <c r="B36" s="59">
        <v>2</v>
      </c>
      <c r="C36" s="60"/>
      <c r="D36" s="60">
        <v>80000</v>
      </c>
      <c r="E36" s="59">
        <v>36</v>
      </c>
      <c r="F36" s="59"/>
      <c r="G36" s="59" t="s">
        <v>80</v>
      </c>
      <c r="H36" s="59" t="s">
        <v>80</v>
      </c>
    </row>
    <row r="37" spans="1:8">
      <c r="A37" s="59">
        <v>520938</v>
      </c>
      <c r="B37" s="59">
        <v>1</v>
      </c>
      <c r="C37" s="60">
        <v>23000</v>
      </c>
      <c r="D37" s="60">
        <v>11000</v>
      </c>
      <c r="E37" s="59">
        <v>36</v>
      </c>
      <c r="F37" s="59">
        <v>10</v>
      </c>
      <c r="G37" s="59" t="s">
        <v>3</v>
      </c>
      <c r="H37" s="59" t="s">
        <v>3</v>
      </c>
    </row>
    <row r="38" spans="1:8">
      <c r="A38" s="59">
        <v>521501</v>
      </c>
      <c r="B38" s="59">
        <v>1</v>
      </c>
      <c r="C38" s="60">
        <v>79000</v>
      </c>
      <c r="D38" s="60">
        <v>67000</v>
      </c>
      <c r="E38" s="59">
        <v>26</v>
      </c>
      <c r="F38" s="59">
        <v>8</v>
      </c>
      <c r="G38" s="59" t="s">
        <v>3</v>
      </c>
      <c r="H38" s="59" t="s">
        <v>3</v>
      </c>
    </row>
    <row r="39" spans="1:8">
      <c r="A39" s="59">
        <v>526149</v>
      </c>
      <c r="B39" s="59">
        <v>3</v>
      </c>
      <c r="C39" s="60">
        <v>97000</v>
      </c>
      <c r="D39" s="60">
        <v>92380.952380952382</v>
      </c>
      <c r="E39" s="59">
        <v>55</v>
      </c>
      <c r="F39" s="59">
        <v>9</v>
      </c>
      <c r="G39" s="59" t="s">
        <v>3</v>
      </c>
      <c r="H39" s="59" t="s">
        <v>3</v>
      </c>
    </row>
    <row r="40" spans="1:8">
      <c r="A40" s="59">
        <v>539134</v>
      </c>
      <c r="B40" s="59">
        <v>1</v>
      </c>
      <c r="C40" s="60">
        <v>94000</v>
      </c>
      <c r="D40" s="60">
        <v>82000</v>
      </c>
      <c r="E40" s="59">
        <v>32</v>
      </c>
      <c r="F40" s="59">
        <v>10</v>
      </c>
      <c r="G40" s="59" t="s">
        <v>3</v>
      </c>
      <c r="H40" s="59" t="s">
        <v>3</v>
      </c>
    </row>
    <row r="41" spans="1:8">
      <c r="A41" s="59">
        <v>540346</v>
      </c>
      <c r="B41" s="59">
        <v>1</v>
      </c>
      <c r="C41" s="60">
        <v>95000</v>
      </c>
      <c r="D41" s="60">
        <v>90476.190476190473</v>
      </c>
      <c r="E41" s="59">
        <v>49</v>
      </c>
      <c r="F41" s="59">
        <v>10</v>
      </c>
      <c r="G41" s="59" t="s">
        <v>3</v>
      </c>
      <c r="H41" s="59" t="s">
        <v>3</v>
      </c>
    </row>
    <row r="42" spans="1:8">
      <c r="A42" s="59">
        <v>547503</v>
      </c>
      <c r="B42" s="59">
        <v>2</v>
      </c>
      <c r="C42" s="60">
        <v>90000</v>
      </c>
      <c r="D42" s="60">
        <v>85714.28571428571</v>
      </c>
      <c r="E42" s="59">
        <v>49</v>
      </c>
      <c r="F42" s="59">
        <v>15</v>
      </c>
      <c r="G42" s="59" t="s">
        <v>3</v>
      </c>
      <c r="H42" s="59" t="s">
        <v>3</v>
      </c>
    </row>
    <row r="43" spans="1:8">
      <c r="A43" s="59">
        <v>552468</v>
      </c>
      <c r="B43" s="59">
        <v>1</v>
      </c>
      <c r="C43" s="60">
        <v>86000</v>
      </c>
      <c r="D43" s="60">
        <v>74000</v>
      </c>
      <c r="E43" s="59">
        <v>67</v>
      </c>
      <c r="F43" s="59">
        <v>37</v>
      </c>
      <c r="G43" s="59" t="s">
        <v>3</v>
      </c>
      <c r="H43" s="59" t="s">
        <v>3</v>
      </c>
    </row>
    <row r="44" spans="1:8">
      <c r="A44" s="59">
        <v>555539</v>
      </c>
      <c r="B44" s="59">
        <v>2</v>
      </c>
      <c r="C44" s="60">
        <v>86000</v>
      </c>
      <c r="D44" s="60">
        <v>80000</v>
      </c>
      <c r="E44" s="59">
        <v>58</v>
      </c>
      <c r="F44" s="59"/>
      <c r="G44" s="59" t="s">
        <v>79</v>
      </c>
      <c r="H44" s="59" t="s">
        <v>3</v>
      </c>
    </row>
    <row r="45" spans="1:8">
      <c r="A45" s="59">
        <v>561821</v>
      </c>
      <c r="B45" s="59">
        <v>1</v>
      </c>
      <c r="C45" s="60">
        <v>86000</v>
      </c>
      <c r="D45" s="60">
        <v>81904.761904761908</v>
      </c>
      <c r="E45" s="59">
        <v>47</v>
      </c>
      <c r="F45" s="59">
        <v>10</v>
      </c>
      <c r="G45" s="59" t="s">
        <v>3</v>
      </c>
      <c r="H45" s="59" t="s">
        <v>3</v>
      </c>
    </row>
    <row r="46" spans="1:8">
      <c r="A46" s="59">
        <v>564037</v>
      </c>
      <c r="B46" s="59">
        <v>1</v>
      </c>
      <c r="C46" s="60">
        <v>200000</v>
      </c>
      <c r="D46" s="60">
        <v>188000</v>
      </c>
      <c r="E46" s="59">
        <v>32</v>
      </c>
      <c r="F46" s="59">
        <v>8</v>
      </c>
      <c r="G46" s="59" t="s">
        <v>3</v>
      </c>
      <c r="H46" s="59" t="s">
        <v>3</v>
      </c>
    </row>
    <row r="47" spans="1:8">
      <c r="A47" s="59">
        <v>564894</v>
      </c>
      <c r="B47" s="59">
        <v>3</v>
      </c>
      <c r="C47" s="60">
        <v>320000</v>
      </c>
      <c r="D47" s="60">
        <v>320000</v>
      </c>
      <c r="E47" s="59">
        <v>51</v>
      </c>
      <c r="F47" s="59">
        <v>20</v>
      </c>
      <c r="G47" s="59" t="s">
        <v>3</v>
      </c>
      <c r="H47" s="59" t="s">
        <v>3</v>
      </c>
    </row>
    <row r="48" spans="1:8">
      <c r="A48" s="59">
        <v>568218</v>
      </c>
      <c r="B48" s="59">
        <v>1</v>
      </c>
      <c r="C48" s="60">
        <v>86000</v>
      </c>
      <c r="D48" s="60">
        <v>80000</v>
      </c>
      <c r="E48" s="59">
        <v>42</v>
      </c>
      <c r="F48" s="59">
        <v>22</v>
      </c>
      <c r="G48" s="59" t="s">
        <v>3</v>
      </c>
      <c r="H48" s="59" t="s">
        <v>3</v>
      </c>
    </row>
    <row r="49" spans="1:8">
      <c r="A49" s="59">
        <v>568859</v>
      </c>
      <c r="B49" s="59">
        <v>1</v>
      </c>
      <c r="C49" s="60">
        <v>98000</v>
      </c>
      <c r="D49" s="60">
        <v>93333.333333333328</v>
      </c>
      <c r="E49" s="59">
        <v>47</v>
      </c>
      <c r="F49" s="59">
        <v>11</v>
      </c>
      <c r="G49" s="59" t="s">
        <v>3</v>
      </c>
      <c r="H49" s="59" t="s">
        <v>3</v>
      </c>
    </row>
    <row r="50" spans="1:8">
      <c r="A50" s="59">
        <v>574304</v>
      </c>
      <c r="B50" s="59">
        <v>3</v>
      </c>
      <c r="C50" s="60">
        <v>88000</v>
      </c>
      <c r="D50" s="60">
        <v>83809.523809523802</v>
      </c>
      <c r="E50" s="59">
        <v>52</v>
      </c>
      <c r="F50" s="59">
        <v>14</v>
      </c>
      <c r="G50" s="59" t="s">
        <v>3</v>
      </c>
      <c r="H50" s="59" t="s">
        <v>3</v>
      </c>
    </row>
    <row r="51" spans="1:8">
      <c r="A51" s="59">
        <v>574720</v>
      </c>
      <c r="B51" s="59">
        <v>2</v>
      </c>
      <c r="C51" s="60">
        <v>99000</v>
      </c>
      <c r="D51" s="60">
        <v>94285.714285714275</v>
      </c>
      <c r="E51" s="59">
        <v>52</v>
      </c>
      <c r="F51" s="59">
        <v>21</v>
      </c>
      <c r="G51" s="59" t="s">
        <v>3</v>
      </c>
      <c r="H51" s="59" t="s">
        <v>3</v>
      </c>
    </row>
    <row r="52" spans="1:8">
      <c r="A52" s="59">
        <v>582664</v>
      </c>
      <c r="B52" s="59">
        <v>2</v>
      </c>
      <c r="C52" s="60">
        <v>84000</v>
      </c>
      <c r="D52" s="60">
        <v>80000</v>
      </c>
      <c r="E52" s="59">
        <v>52</v>
      </c>
      <c r="F52" s="59">
        <v>8</v>
      </c>
      <c r="G52" s="59" t="s">
        <v>3</v>
      </c>
      <c r="H52" s="59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1517-76A5-FE46-83A7-D9D71395B8B0}">
  <sheetPr>
    <pageSetUpPr fitToPage="1"/>
  </sheetPr>
  <dimension ref="B1:F34"/>
  <sheetViews>
    <sheetView zoomScale="125" workbookViewId="0">
      <selection activeCell="K11" sqref="K11"/>
    </sheetView>
  </sheetViews>
  <sheetFormatPr baseColWidth="10" defaultRowHeight="16"/>
  <cols>
    <col min="1" max="1" width="2.1640625" customWidth="1"/>
    <col min="2" max="2" width="18.5" customWidth="1"/>
    <col min="3" max="3" width="0.83203125" customWidth="1"/>
    <col min="4" max="4" width="15" customWidth="1"/>
    <col min="7" max="7" width="1.1640625" customWidth="1"/>
  </cols>
  <sheetData>
    <row r="1" spans="2:6" ht="6" customHeight="1" thickBot="1"/>
    <row r="2" spans="2:6" ht="17" thickBot="1">
      <c r="B2" s="69" t="s">
        <v>58</v>
      </c>
      <c r="C2" s="70"/>
      <c r="D2" s="70"/>
      <c r="E2" s="70"/>
      <c r="F2" s="71"/>
    </row>
    <row r="3" spans="2:6" ht="17" thickBot="1">
      <c r="B3" s="66" t="s">
        <v>59</v>
      </c>
      <c r="C3" s="67"/>
      <c r="D3" s="68"/>
      <c r="E3" s="49">
        <v>42736</v>
      </c>
      <c r="F3" s="49">
        <f>E3+365</f>
        <v>43101</v>
      </c>
    </row>
    <row r="4" spans="2:6" ht="17" thickBot="1">
      <c r="B4" s="72" t="s">
        <v>60</v>
      </c>
      <c r="C4" s="73"/>
      <c r="D4" s="73"/>
      <c r="E4" s="73"/>
      <c r="F4" s="74"/>
    </row>
    <row r="5" spans="2:6" ht="17" thickTop="1">
      <c r="B5" s="42" t="s">
        <v>61</v>
      </c>
      <c r="C5" s="43"/>
      <c r="D5" s="50">
        <f ca="1">AVERAGE(BenjaminC)</f>
        <v>179.25</v>
      </c>
      <c r="E5" s="50">
        <f ca="1">AVERAGE(GeorgeC)</f>
        <v>162.75</v>
      </c>
      <c r="F5" s="51">
        <f ca="1">AVERAGE(EricC)</f>
        <v>157.33333333333334</v>
      </c>
    </row>
    <row r="6" spans="2:6">
      <c r="B6" s="42" t="s">
        <v>62</v>
      </c>
      <c r="C6" s="43"/>
      <c r="D6" s="50">
        <f ca="1">MAX(BenjaminC)</f>
        <v>190</v>
      </c>
      <c r="E6" s="50">
        <f ca="1">MAX(GeorgeC)</f>
        <v>172</v>
      </c>
      <c r="F6" s="51">
        <f ca="1">MAX(EricC)</f>
        <v>169</v>
      </c>
    </row>
    <row r="7" spans="2:6" ht="17" thickBot="1">
      <c r="B7" s="44" t="s">
        <v>63</v>
      </c>
      <c r="C7" s="45"/>
      <c r="D7" s="52">
        <f ca="1">MIN(BenjaminC)</f>
        <v>169.5</v>
      </c>
      <c r="E7" s="52">
        <f ca="1">MIN(GeorgeC)</f>
        <v>156</v>
      </c>
      <c r="F7" s="53">
        <f ca="1">MIN(EricC)</f>
        <v>152.5</v>
      </c>
    </row>
    <row r="8" spans="2:6" ht="17" thickBot="1">
      <c r="D8" s="69" t="s">
        <v>64</v>
      </c>
      <c r="E8" s="70"/>
      <c r="F8" s="71"/>
    </row>
    <row r="9" spans="2:6">
      <c r="B9" s="41" t="s">
        <v>65</v>
      </c>
      <c r="D9" s="38" t="s">
        <v>66</v>
      </c>
      <c r="E9" s="38" t="s">
        <v>67</v>
      </c>
      <c r="F9" s="38" t="s">
        <v>68</v>
      </c>
    </row>
    <row r="10" spans="2:6">
      <c r="B10" s="46">
        <v>42736</v>
      </c>
      <c r="C10" s="47"/>
      <c r="D10" s="48">
        <v>190</v>
      </c>
      <c r="E10" s="48">
        <v>172</v>
      </c>
      <c r="F10" s="48">
        <v>169</v>
      </c>
    </row>
    <row r="11" spans="2:6">
      <c r="B11" s="46">
        <v>42810</v>
      </c>
      <c r="C11" s="47"/>
      <c r="D11" s="48">
        <v>187</v>
      </c>
      <c r="E11" s="48">
        <v>164</v>
      </c>
      <c r="F11" s="48">
        <v>158</v>
      </c>
    </row>
    <row r="12" spans="2:6">
      <c r="B12" s="46">
        <v>42876</v>
      </c>
      <c r="C12" s="47"/>
      <c r="D12" s="48">
        <v>183.5</v>
      </c>
      <c r="E12" s="48">
        <v>161</v>
      </c>
      <c r="F12" s="48">
        <v>156</v>
      </c>
    </row>
    <row r="13" spans="2:6">
      <c r="B13" s="46">
        <v>42960</v>
      </c>
      <c r="C13" s="47"/>
      <c r="D13" s="48">
        <v>170</v>
      </c>
      <c r="E13" s="48">
        <v>160</v>
      </c>
      <c r="F13" s="48">
        <v>152.5</v>
      </c>
    </row>
    <row r="14" spans="2:6">
      <c r="B14" s="46">
        <v>43030</v>
      </c>
      <c r="C14" s="47"/>
      <c r="D14" s="48">
        <v>169.5</v>
      </c>
      <c r="E14" s="48">
        <v>156</v>
      </c>
      <c r="F14" s="48">
        <v>153</v>
      </c>
    </row>
    <row r="15" spans="2:6">
      <c r="B15" s="46">
        <v>43086</v>
      </c>
      <c r="C15" s="47"/>
      <c r="D15" s="48">
        <v>175.5</v>
      </c>
      <c r="E15" s="48">
        <v>163.5</v>
      </c>
      <c r="F15" s="48">
        <v>155.5</v>
      </c>
    </row>
    <row r="16" spans="2:6">
      <c r="B16" s="46">
        <v>43137</v>
      </c>
      <c r="C16" s="47"/>
      <c r="D16" s="48">
        <v>180</v>
      </c>
      <c r="E16" s="48">
        <v>164</v>
      </c>
      <c r="F16" s="48">
        <v>157.5</v>
      </c>
    </row>
    <row r="17" spans="2:6">
      <c r="B17" s="46">
        <v>43214</v>
      </c>
      <c r="C17" s="47"/>
      <c r="D17" s="48">
        <v>175.5</v>
      </c>
      <c r="E17" s="48">
        <v>165</v>
      </c>
      <c r="F17" s="48">
        <v>155</v>
      </c>
    </row>
    <row r="18" spans="2:6">
      <c r="B18" s="46">
        <v>43234</v>
      </c>
      <c r="C18" s="47"/>
      <c r="D18" s="48">
        <v>171.4</v>
      </c>
      <c r="E18" s="48">
        <v>165.2</v>
      </c>
      <c r="F18" s="48">
        <v>152</v>
      </c>
    </row>
    <row r="19" spans="2:6">
      <c r="B19" s="46">
        <v>43263</v>
      </c>
      <c r="C19" s="47"/>
      <c r="D19" s="48">
        <v>171.4</v>
      </c>
      <c r="E19" s="48">
        <v>157.4</v>
      </c>
      <c r="F19" s="48">
        <v>154</v>
      </c>
    </row>
    <row r="20" spans="2:6">
      <c r="B20" s="46">
        <v>43293</v>
      </c>
      <c r="C20" s="47"/>
      <c r="D20" s="48">
        <v>169.5</v>
      </c>
      <c r="E20" s="48">
        <v>154</v>
      </c>
      <c r="F20" s="48">
        <v>154</v>
      </c>
    </row>
    <row r="21" spans="2:6">
      <c r="B21" s="46">
        <v>43334</v>
      </c>
      <c r="C21" s="47"/>
      <c r="D21" s="48">
        <v>176</v>
      </c>
      <c r="E21" s="48">
        <v>154</v>
      </c>
      <c r="F21" s="48">
        <v>153.5</v>
      </c>
    </row>
    <row r="22" spans="2:6">
      <c r="B22" s="46">
        <v>43369</v>
      </c>
      <c r="C22" s="47"/>
      <c r="D22" s="48">
        <v>184</v>
      </c>
      <c r="E22" s="48">
        <v>161.5</v>
      </c>
      <c r="F22" s="48">
        <v>159.5</v>
      </c>
    </row>
    <row r="23" spans="2:6">
      <c r="B23" s="46">
        <v>43411</v>
      </c>
      <c r="C23" s="47"/>
      <c r="D23" s="48">
        <v>184.5</v>
      </c>
      <c r="E23" s="48">
        <v>162</v>
      </c>
      <c r="F23" s="48">
        <v>155</v>
      </c>
    </row>
    <row r="24" spans="2:6">
      <c r="B24" s="46">
        <v>43464</v>
      </c>
      <c r="C24" s="47"/>
      <c r="D24" s="48">
        <v>183</v>
      </c>
      <c r="E24" s="48">
        <v>163</v>
      </c>
      <c r="F24" s="48">
        <v>155.5</v>
      </c>
    </row>
    <row r="25" spans="2:6">
      <c r="B25" s="46">
        <v>43497</v>
      </c>
      <c r="C25" s="47"/>
      <c r="D25" s="48">
        <v>180</v>
      </c>
      <c r="E25" s="48">
        <v>164</v>
      </c>
      <c r="F25" s="48">
        <v>158.5</v>
      </c>
    </row>
    <row r="26" spans="2:6">
      <c r="B26" s="46">
        <v>43524</v>
      </c>
      <c r="C26" s="47"/>
      <c r="D26" s="48">
        <v>188</v>
      </c>
      <c r="E26" s="48">
        <v>168</v>
      </c>
      <c r="F26" s="48">
        <v>161</v>
      </c>
    </row>
    <row r="27" spans="2:6">
      <c r="B27" s="46">
        <v>43574</v>
      </c>
      <c r="C27" s="47"/>
      <c r="D27" s="48">
        <v>180</v>
      </c>
      <c r="E27" s="48">
        <v>164.8</v>
      </c>
      <c r="F27" s="48">
        <v>153.6</v>
      </c>
    </row>
    <row r="28" spans="2:6">
      <c r="B28" s="46">
        <v>43600</v>
      </c>
      <c r="C28" s="47"/>
      <c r="D28" s="48">
        <v>184.5</v>
      </c>
      <c r="E28" s="48">
        <v>167.5</v>
      </c>
      <c r="F28" s="48">
        <v>159</v>
      </c>
    </row>
    <row r="29" spans="2:6">
      <c r="B29" s="46">
        <v>43635</v>
      </c>
      <c r="C29" s="47"/>
      <c r="D29" s="48">
        <v>178.5</v>
      </c>
      <c r="E29" s="48">
        <v>160</v>
      </c>
      <c r="F29" s="48">
        <v>158</v>
      </c>
    </row>
    <row r="30" spans="2:6">
      <c r="B30" s="46">
        <v>43655</v>
      </c>
      <c r="C30" s="47"/>
      <c r="D30" s="48">
        <v>176.5</v>
      </c>
      <c r="E30" s="48">
        <v>157</v>
      </c>
      <c r="F30" s="48">
        <v>157</v>
      </c>
    </row>
    <row r="31" spans="2:6">
      <c r="B31" s="46">
        <v>43700</v>
      </c>
      <c r="C31" s="47"/>
      <c r="D31" s="48">
        <v>176</v>
      </c>
      <c r="E31" s="48">
        <v>151</v>
      </c>
      <c r="F31" s="48">
        <v>155</v>
      </c>
    </row>
    <row r="32" spans="2:6">
      <c r="B32" s="46">
        <v>43719</v>
      </c>
      <c r="C32" s="47"/>
      <c r="D32" s="48">
        <v>175.5</v>
      </c>
      <c r="E32" s="48">
        <v>151.5</v>
      </c>
      <c r="F32" s="48">
        <v>154</v>
      </c>
    </row>
    <row r="33" spans="2:6">
      <c r="B33" s="46">
        <v>43749</v>
      </c>
      <c r="C33" s="47"/>
      <c r="D33" s="48">
        <v>171</v>
      </c>
      <c r="E33" s="48">
        <v>153</v>
      </c>
      <c r="F33" s="48">
        <v>159</v>
      </c>
    </row>
    <row r="34" spans="2:6">
      <c r="B34" s="46">
        <v>43784</v>
      </c>
      <c r="C34" s="47"/>
      <c r="D34" s="48">
        <v>172</v>
      </c>
      <c r="E34" s="48">
        <v>149.5</v>
      </c>
      <c r="F34" s="48">
        <v>152</v>
      </c>
    </row>
  </sheetData>
  <mergeCells count="4">
    <mergeCell ref="B3:D3"/>
    <mergeCell ref="B2:F2"/>
    <mergeCell ref="B4:F4"/>
    <mergeCell ref="D8:F8"/>
  </mergeCells>
  <printOptions horizontalCentered="1"/>
  <pageMargins left="0.7" right="0.7" top="0.75" bottom="0.75" header="0.3" footer="0.3"/>
  <pageSetup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F21-3B76-BC48-A4B9-4139AB19B861}">
  <dimension ref="G5:K10"/>
  <sheetViews>
    <sheetView workbookViewId="0">
      <selection activeCell="G5" sqref="G5:K12"/>
    </sheetView>
  </sheetViews>
  <sheetFormatPr baseColWidth="10" defaultRowHeight="16"/>
  <sheetData>
    <row r="5" spans="7:11">
      <c r="G5" s="54" t="s">
        <v>69</v>
      </c>
      <c r="H5" s="54">
        <f>MAX(1, COUNTIFS('Weight Watch'!B:B,"&gt;="&amp;'Weight Watch'!E3,'Weight Watch'!B:B,"&lt;="&amp;'Weight Watch'!F3))</f>
        <v>6</v>
      </c>
      <c r="I5" s="54"/>
      <c r="J5" s="54"/>
      <c r="K5" s="54"/>
    </row>
    <row r="6" spans="7:11">
      <c r="G6" s="54" t="s">
        <v>70</v>
      </c>
      <c r="H6" s="54">
        <f>IFERROR(MATCH('Weight Watch'!E3, 'Weight Watch'!$B$10:$B$75,1)+IF(ISERROR(MATCH('Weight Watch'!E3,'Weight Watch'!$B$10:$B$75,0)),1,0),1)+9</f>
        <v>10</v>
      </c>
      <c r="I6" s="54"/>
      <c r="J6" s="54"/>
      <c r="K6" s="54"/>
    </row>
    <row r="7" spans="7:11">
      <c r="G7" s="54" t="s">
        <v>65</v>
      </c>
      <c r="H7" s="54" t="e">
        <f ca="1">OFFSET('Weight Watch'!$B$1,$H$6-1,0,$H$5,1)</f>
        <v>#VALUE!</v>
      </c>
      <c r="I7" s="54"/>
      <c r="J7" s="54"/>
      <c r="K7" s="55">
        <f ca="1">INDEX(DateC,2)</f>
        <v>42810</v>
      </c>
    </row>
    <row r="8" spans="7:11">
      <c r="G8" s="54" t="s">
        <v>66</v>
      </c>
      <c r="H8" s="54" t="e">
        <f ca="1">OFFSET('Weight Watch'!$B$1,$H$6-1,2,$H$5,1)</f>
        <v>#VALUE!</v>
      </c>
      <c r="I8" s="54"/>
      <c r="J8" s="54"/>
      <c r="K8" s="54">
        <f ca="1">AVERAGE(BenjaminC)</f>
        <v>179.25</v>
      </c>
    </row>
    <row r="9" spans="7:11">
      <c r="G9" s="54" t="s">
        <v>67</v>
      </c>
      <c r="H9" s="54" t="e">
        <f ca="1">OFFSET('Weight Watch'!$B$1,$H$6-1,3,$H$5,1)</f>
        <v>#VALUE!</v>
      </c>
      <c r="I9" s="54"/>
      <c r="J9" s="54"/>
      <c r="K9" s="54"/>
    </row>
    <row r="10" spans="7:11">
      <c r="G10" s="54" t="s">
        <v>68</v>
      </c>
      <c r="H10" s="54">
        <f ca="1">OFFSET('Weight Watch'!$B$1,$H$6-1,4,$H$5,1)</f>
        <v>169</v>
      </c>
      <c r="I10" s="54"/>
      <c r="J10" s="54"/>
      <c r="K10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40B3-2397-D042-9497-29AF6F880941}">
  <sheetPr>
    <pageSetUpPr fitToPage="1"/>
  </sheetPr>
  <dimension ref="B1:D15"/>
  <sheetViews>
    <sheetView showGridLines="0" workbookViewId="0">
      <selection activeCell="D23" sqref="D23"/>
    </sheetView>
  </sheetViews>
  <sheetFormatPr baseColWidth="10" defaultRowHeight="16"/>
  <cols>
    <col min="1" max="1" width="1.6640625" customWidth="1"/>
    <col min="2" max="2" width="18" customWidth="1"/>
    <col min="3" max="3" width="1.33203125" customWidth="1"/>
    <col min="4" max="4" width="19.1640625" customWidth="1"/>
  </cols>
  <sheetData>
    <row r="1" spans="2:4" ht="10" customHeight="1"/>
    <row r="2" spans="2:4" ht="19">
      <c r="B2" s="19" t="s">
        <v>44</v>
      </c>
    </row>
    <row r="4" spans="2:4">
      <c r="B4" t="s">
        <v>7</v>
      </c>
      <c r="D4" s="37">
        <f>VLOOKUP($D$15,Records!$A:$X,4,FALSE)</f>
        <v>185</v>
      </c>
    </row>
    <row r="5" spans="2:4">
      <c r="B5" t="s">
        <v>45</v>
      </c>
      <c r="D5" s="37">
        <f>VLOOKUP($D$15,Records!$A:$X,5,FALSE)</f>
        <v>94</v>
      </c>
    </row>
    <row r="6" spans="2:4">
      <c r="B6" t="s">
        <v>46</v>
      </c>
      <c r="D6" s="37">
        <f>VLOOKUP($D$15,Records!$A:$X,12,FALSE)</f>
        <v>122</v>
      </c>
    </row>
    <row r="7" spans="2:4">
      <c r="B7" t="s">
        <v>10</v>
      </c>
      <c r="D7" s="37">
        <f>VLOOKUP($D$15,Records!$A:$X,24,FALSE)</f>
        <v>57</v>
      </c>
    </row>
    <row r="8" spans="2:4">
      <c r="D8" s="38"/>
    </row>
    <row r="9" spans="2:4">
      <c r="B9" t="s">
        <v>8</v>
      </c>
      <c r="D9" s="37">
        <f>SUM(D4:D7)</f>
        <v>458</v>
      </c>
    </row>
    <row r="10" spans="2:4">
      <c r="D10" s="38"/>
    </row>
    <row r="11" spans="2:4">
      <c r="B11" t="s">
        <v>47</v>
      </c>
      <c r="D11" s="39">
        <v>535</v>
      </c>
    </row>
    <row r="12" spans="2:4" ht="19">
      <c r="B12" t="s">
        <v>48</v>
      </c>
      <c r="D12" s="40">
        <f>D9/D11</f>
        <v>0.85607476635514024</v>
      </c>
    </row>
    <row r="15" spans="2:4">
      <c r="B15" t="s">
        <v>49</v>
      </c>
      <c r="D15" s="20" t="s">
        <v>20</v>
      </c>
    </row>
  </sheetData>
  <printOptions horizontalCentered="1"/>
  <pageMargins left="0.7" right="0.7" top="0.75" bottom="0.75" header="0.3" footer="0.3"/>
  <pageSetup scale="81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BACE6F-B1EA-A249-87AE-F6AB03B51A92}">
          <x14:formula1>
            <xm:f>Records!$A$16:$A$27</xm:f>
          </x14:formula1>
          <xm:sqref>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7C08-AE86-1D40-BF31-DAE3E6F52B60}">
  <sheetPr>
    <pageSetUpPr fitToPage="1"/>
  </sheetPr>
  <dimension ref="B1:D17"/>
  <sheetViews>
    <sheetView showGridLines="0" workbookViewId="0">
      <selection activeCell="C30" sqref="C30"/>
    </sheetView>
  </sheetViews>
  <sheetFormatPr baseColWidth="10" defaultRowHeight="16"/>
  <cols>
    <col min="1" max="1" width="1.83203125" customWidth="1"/>
    <col min="4" max="4" width="23.33203125" customWidth="1"/>
  </cols>
  <sheetData>
    <row r="1" spans="2:3" ht="7" customHeight="1"/>
    <row r="2" spans="2:3">
      <c r="B2" s="75" t="s">
        <v>40</v>
      </c>
      <c r="C2" s="75"/>
    </row>
    <row r="3" spans="2:3">
      <c r="B3" s="16" t="s">
        <v>41</v>
      </c>
      <c r="C3" s="16" t="s">
        <v>42</v>
      </c>
    </row>
    <row r="4" spans="2:3">
      <c r="B4" s="17">
        <v>1</v>
      </c>
      <c r="C4" s="18">
        <f>IF(VLOOKUP($D$17,'Student Records'!$A:$Z,15,FALSE)="",NA(),VLOOKUP($D$17,'Student Records'!$A:$Z,15,FALSE))</f>
        <v>7</v>
      </c>
    </row>
    <row r="5" spans="2:3">
      <c r="B5" s="17">
        <v>2</v>
      </c>
      <c r="C5" s="18">
        <f>IF(VLOOKUP($D$17,'Student Records'!$A:$Z,16,FALSE)="",NA(),VLOOKUP($D$17,'Student Records'!$A:$Z,16,FALSE))</f>
        <v>6</v>
      </c>
    </row>
    <row r="6" spans="2:3">
      <c r="B6" s="17">
        <v>3</v>
      </c>
      <c r="C6" s="18">
        <f>IF(VLOOKUP($D$17,'Student Records'!$A:$Z,17,FALSE)="",NA(),VLOOKUP($D$17,'Student Records'!$A:$Z,17,FALSE))</f>
        <v>8</v>
      </c>
    </row>
    <row r="7" spans="2:3">
      <c r="B7" s="17">
        <v>4</v>
      </c>
      <c r="C7" s="18">
        <f>IF(VLOOKUP($D$17,'Student Records'!$A:$Z,18,FALSE)="",NA(),VLOOKUP($D$17,'Student Records'!$A:$Z,18,FALSE))</f>
        <v>10</v>
      </c>
    </row>
    <row r="8" spans="2:3">
      <c r="B8" s="17">
        <v>5</v>
      </c>
      <c r="C8" s="18">
        <f>IF(VLOOKUP($D$17,'Student Records'!$A:$Z,19,FALSE)="",NA(),VLOOKUP($D$17,'Student Records'!$A:$Z,19,FALSE))</f>
        <v>7</v>
      </c>
    </row>
    <row r="9" spans="2:3">
      <c r="B9" s="17">
        <v>6</v>
      </c>
      <c r="C9" s="18">
        <f>IF(VLOOKUP($D$17,'Student Records'!$A:$Z,20,FALSE)="",NA(),VLOOKUP($D$17,'Student Records'!$A:$Z,20,FALSE))</f>
        <v>9</v>
      </c>
    </row>
    <row r="10" spans="2:3">
      <c r="B10" s="17">
        <v>7</v>
      </c>
      <c r="C10" s="18">
        <f>IF(VLOOKUP($D$17,'Student Records'!$A:$Z,21,FALSE)="",NA(),VLOOKUP($D$17,'Student Records'!$A:$Z,21,FALSE))</f>
        <v>2</v>
      </c>
    </row>
    <row r="11" spans="2:3">
      <c r="B11" s="17">
        <v>8</v>
      </c>
      <c r="C11" s="18">
        <f>IF(VLOOKUP($D$17,'Student Records'!$A:$Z,22,FALSE)="",NA(),VLOOKUP($D$17,'Student Records'!$A:$Z,22,FALSE))</f>
        <v>1</v>
      </c>
    </row>
    <row r="12" spans="2:3">
      <c r="B12" s="17">
        <v>9</v>
      </c>
      <c r="C12" s="18" t="e">
        <f>IF(VLOOKUP($D$17,'Student Records'!$A:$Z,23,FALSE)="",NA(),VLOOKUP($D$17,'Student Records'!$A:$Z,23,FALSE))</f>
        <v>#N/A</v>
      </c>
    </row>
    <row r="13" spans="2:3">
      <c r="B13" s="17">
        <v>10</v>
      </c>
      <c r="C13" s="18" t="e">
        <f>IF(VLOOKUP($D$17,'Student Records'!$A:$Z,24,FALSE)="",NA(),VLOOKUP($D$17,'Student Records'!$A:$Z,24,FALSE))</f>
        <v>#N/A</v>
      </c>
    </row>
    <row r="14" spans="2:3">
      <c r="B14" s="17">
        <v>11</v>
      </c>
      <c r="C14" s="18" t="e">
        <f>IF(VLOOKUP($D$17,'Student Records'!$A:$Z,25,FALSE)="",NA(),VLOOKUP($D$17,'Student Records'!$A:$Z,25,FALSE))</f>
        <v>#N/A</v>
      </c>
    </row>
    <row r="17" spans="2:4">
      <c r="B17" s="14" t="s">
        <v>43</v>
      </c>
      <c r="D17" s="15" t="s">
        <v>22</v>
      </c>
    </row>
  </sheetData>
  <mergeCells count="1">
    <mergeCell ref="B2:C2"/>
  </mergeCells>
  <conditionalFormatting sqref="C4:C14">
    <cfRule type="expression" dxfId="72" priority="1">
      <formula>ISERROR(C4)</formula>
    </cfRule>
  </conditionalFormatting>
  <printOptions horizontalCentered="1"/>
  <pageMargins left="0.7" right="0.7" top="0.75" bottom="0.75" header="0.3" footer="0.3"/>
  <pageSetup scale="76" orientation="portrait" horizontalDpi="0" verticalDpi="0"/>
  <headerFooter>
    <oddFooter>&amp;L&amp;"Helvetica,Regular"&amp;K000000&amp;F
&amp;A&amp;C&amp;"Calibri,Regular"&amp;K000000&amp;P of &amp;N&amp;R&amp;"Helvetica,Regular"&amp;K000000&amp;D
&amp;T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35CA7F-186F-BA48-BEEE-D1C3DA25C8D0}">
          <x14:formula1>
            <xm:f>'Student Records'!$A$3:$A$14</xm:f>
          </x14:formula1>
          <xm:sqref>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 x Serv w Ave Salary</vt:lpstr>
      <vt:lpstr>Age x Status</vt:lpstr>
      <vt:lpstr>Total 2-Year Average</vt:lpstr>
      <vt:lpstr>Age by Serv</vt:lpstr>
      <vt:lpstr>Sheet1</vt:lpstr>
      <vt:lpstr>Weight Watch</vt:lpstr>
      <vt:lpstr>Sheet2</vt:lpstr>
      <vt:lpstr>Chart Progress</vt:lpstr>
      <vt:lpstr>HW Progress</vt:lpstr>
      <vt:lpstr>Grade Distribtuion</vt:lpstr>
      <vt:lpstr>Student Records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2021-04-30T03:30:02Z</dcterms:created>
  <dcterms:modified xsi:type="dcterms:W3CDTF">2021-05-01T20:57:41Z</dcterms:modified>
</cp:coreProperties>
</file>