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lhickey1_bryant_edu/Documents/GSCM330/Module 12/"/>
    </mc:Choice>
  </mc:AlternateContent>
  <xr:revisionPtr revIDLastSave="1432" documentId="8_{3E041AFB-EEA8-46B5-9C01-9D7D90EF7C11}" xr6:coauthVersionLast="47" xr6:coauthVersionMax="47" xr10:uidLastSave="{CD891753-3B04-4351-A58E-87884F9B82EB}"/>
  <bookViews>
    <workbookView xWindow="-108" yWindow="-108" windowWidth="23256" windowHeight="13896" firstSheet="1" activeTab="2" xr2:uid="{0B6265B9-ED06-4155-8350-77B21246FF2E}"/>
  </bookViews>
  <sheets>
    <sheet name="Projected Growth &amp; Current DCs" sheetId="1" r:id="rId1"/>
    <sheet name="Final Model" sheetId="3" r:id="rId2"/>
    <sheet name="Model With Stipulation" sheetId="5" r:id="rId3"/>
  </sheets>
  <definedNames>
    <definedName name="solver_adj" localSheetId="1" hidden="1">'Final Model'!$H$2:$I$2</definedName>
    <definedName name="solver_adj" localSheetId="2" hidden="1">'Model With Stipulation'!$K$7:$K$14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'Final Model'!$D$2</definedName>
    <definedName name="solver_opt" localSheetId="2" hidden="1">'Model With Stipulation'!$D$2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O8" i="5"/>
  <c r="O9" i="5"/>
  <c r="O10" i="5"/>
  <c r="O11" i="5"/>
  <c r="O12" i="5"/>
  <c r="O13" i="5"/>
  <c r="O14" i="5"/>
  <c r="O7" i="5"/>
  <c r="J14" i="5"/>
  <c r="I14" i="5"/>
  <c r="H14" i="5"/>
  <c r="G14" i="5"/>
  <c r="J13" i="5"/>
  <c r="K13" i="5" s="1" a="1"/>
  <c r="K13" i="5" s="1"/>
  <c r="L13" i="5" s="1" a="1"/>
  <c r="L13" i="5" s="1"/>
  <c r="I13" i="5"/>
  <c r="H13" i="5"/>
  <c r="G13" i="5"/>
  <c r="J12" i="5"/>
  <c r="I12" i="5"/>
  <c r="H12" i="5"/>
  <c r="G12" i="5"/>
  <c r="K12" i="5" s="1" a="1"/>
  <c r="K12" i="5" s="1"/>
  <c r="L12" i="5" s="1" a="1"/>
  <c r="L12" i="5" s="1"/>
  <c r="J11" i="5"/>
  <c r="I11" i="5"/>
  <c r="H11" i="5"/>
  <c r="G11" i="5"/>
  <c r="J10" i="5"/>
  <c r="K10" i="5" s="1" a="1"/>
  <c r="K10" i="5" s="1"/>
  <c r="L10" i="5" s="1" a="1"/>
  <c r="L10" i="5" s="1"/>
  <c r="I10" i="5"/>
  <c r="H10" i="5"/>
  <c r="G10" i="5"/>
  <c r="J9" i="5"/>
  <c r="I9" i="5"/>
  <c r="H9" i="5"/>
  <c r="G9" i="5"/>
  <c r="K9" i="5" s="1" a="1"/>
  <c r="K9" i="5" s="1"/>
  <c r="L9" i="5" s="1" a="1"/>
  <c r="L9" i="5" s="1"/>
  <c r="J8" i="5"/>
  <c r="I8" i="5"/>
  <c r="H8" i="5"/>
  <c r="G8" i="5"/>
  <c r="J7" i="5"/>
  <c r="K7" i="5" s="1" a="1"/>
  <c r="K7" i="5" s="1"/>
  <c r="L7" i="5" s="1" a="1"/>
  <c r="L7" i="5" s="1"/>
  <c r="I7" i="5"/>
  <c r="H7" i="5"/>
  <c r="G7" i="5"/>
  <c r="I14" i="3"/>
  <c r="G7" i="3"/>
  <c r="G8" i="3"/>
  <c r="G9" i="3"/>
  <c r="G10" i="3"/>
  <c r="G11" i="3"/>
  <c r="G12" i="3"/>
  <c r="G13" i="3"/>
  <c r="G14" i="3"/>
  <c r="K8" i="5" l="1" a="1"/>
  <c r="K8" i="5" s="1"/>
  <c r="L8" i="5" s="1" a="1"/>
  <c r="L8" i="5" s="1"/>
  <c r="D2" i="5" s="1"/>
  <c r="K11" i="5" a="1"/>
  <c r="K11" i="5" s="1"/>
  <c r="L11" i="5" s="1" a="1"/>
  <c r="L11" i="5" s="1"/>
  <c r="K14" i="5" a="1"/>
  <c r="K14" i="5" s="1"/>
  <c r="L14" i="5" s="1" a="1"/>
  <c r="L14" i="5" s="1"/>
  <c r="R9" i="5"/>
  <c r="R10" i="5"/>
  <c r="R11" i="5" s="1"/>
  <c r="J7" i="3"/>
  <c r="H9" i="3"/>
  <c r="J14" i="3"/>
  <c r="J13" i="3"/>
  <c r="J12" i="3"/>
  <c r="J10" i="3"/>
  <c r="J11" i="3"/>
  <c r="J9" i="3"/>
  <c r="J8" i="3"/>
  <c r="H12" i="3"/>
  <c r="I8" i="3"/>
  <c r="H11" i="3"/>
  <c r="H10" i="3"/>
  <c r="I7" i="3"/>
  <c r="I13" i="3"/>
  <c r="I12" i="3"/>
  <c r="I11" i="3"/>
  <c r="I10" i="3"/>
  <c r="I9" i="3"/>
  <c r="H8" i="3"/>
  <c r="H7" i="3"/>
  <c r="H14" i="3"/>
  <c r="H13" i="3"/>
  <c r="K8" i="3" l="1" a="1"/>
  <c r="K8" i="3" s="1"/>
  <c r="L8" i="3" s="1" a="1"/>
  <c r="L8" i="3" s="1"/>
  <c r="K14" i="3" a="1"/>
  <c r="K14" i="3" s="1"/>
  <c r="L14" i="3" s="1" a="1"/>
  <c r="L14" i="3" s="1"/>
  <c r="K7" i="3" a="1"/>
  <c r="K7" i="3" s="1"/>
  <c r="L7" i="3" s="1" a="1"/>
  <c r="L7" i="3" s="1"/>
  <c r="K9" i="3" a="1"/>
  <c r="K9" i="3" s="1"/>
  <c r="L9" i="3" s="1" a="1"/>
  <c r="L9" i="3" s="1"/>
  <c r="K10" i="3" a="1"/>
  <c r="K10" i="3" s="1"/>
  <c r="L10" i="3" s="1" a="1"/>
  <c r="L10" i="3" s="1"/>
  <c r="K11" i="3" a="1"/>
  <c r="K11" i="3" s="1"/>
  <c r="L11" i="3" s="1" a="1"/>
  <c r="L11" i="3" s="1"/>
  <c r="K12" i="3" a="1"/>
  <c r="K12" i="3" s="1"/>
  <c r="L12" i="3" s="1" a="1"/>
  <c r="L12" i="3" s="1"/>
  <c r="K13" i="3" a="1"/>
  <c r="K13" i="3" s="1"/>
  <c r="L13" i="3" s="1" a="1"/>
  <c r="L13" i="3" s="1"/>
  <c r="D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<sst xmlns="http://schemas.openxmlformats.org/spreadsheetml/2006/main" count="73" uniqueCount="28">
  <si>
    <t>lat</t>
  </si>
  <si>
    <t>long</t>
  </si>
  <si>
    <t>Candy Button Bay</t>
  </si>
  <si>
    <t>Fizzwhiz Fjord</t>
  </si>
  <si>
    <t>Fruity Gusher Geyser</t>
  </si>
  <si>
    <t>Lemon Drop Lagoon</t>
  </si>
  <si>
    <t>Pineapple Pop Paradise</t>
  </si>
  <si>
    <t>Pudding Peaks</t>
  </si>
  <si>
    <t>Waffle Cone Wonderland</t>
  </si>
  <si>
    <t>Whipped Wonderland</t>
  </si>
  <si>
    <t>dc_name</t>
  </si>
  <si>
    <t>White Chocolate Wasteland</t>
  </si>
  <si>
    <t>Store Name</t>
  </si>
  <si>
    <t>Lat</t>
  </si>
  <si>
    <t>Long</t>
  </si>
  <si>
    <t>Last Year Demand</t>
  </si>
  <si>
    <t>Expected Yoy Change</t>
  </si>
  <si>
    <t>Current DC</t>
  </si>
  <si>
    <t xml:space="preserve">Lat </t>
  </si>
  <si>
    <t>Current DC Dist</t>
  </si>
  <si>
    <t xml:space="preserve">Objective: </t>
  </si>
  <si>
    <t>New DC</t>
  </si>
  <si>
    <t>New DC Dist</t>
  </si>
  <si>
    <t>Use New?</t>
  </si>
  <si>
    <t>Dist</t>
  </si>
  <si>
    <t>Model Decision</t>
  </si>
  <si>
    <t>Current demand</t>
  </si>
  <si>
    <t>New Objective: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</si>
</sst>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28C-C593-41D2-98B6-0B3E3421EE01}">
  <dimension ref="A1:E12"/>
  <sheetViews>
    <sheetView workbookViewId="0">
      <selection activeCell="D1" sqref="D1:E9"/>
    </sheetView>
  </sheetViews>
  <sheetFormatPr defaultRowHeight="14.4" x14ac:dyDescent="0.3"/>
  <cols>
    <col min="1" max="1" width="21.109375" bestFit="1" customWidth="1"/>
    <col min="4" max="4" width="15.5546875" bestFit="1" customWidth="1"/>
    <col min="5" max="5" width="18.55468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2</v>
      </c>
      <c r="B2">
        <v>31.84</v>
      </c>
      <c r="C2">
        <v>-111.1</v>
      </c>
      <c r="D2">
        <v>1840.57</v>
      </c>
      <c r="E2">
        <v>0.06</v>
      </c>
    </row>
    <row r="3" spans="1:5" x14ac:dyDescent="0.3">
      <c r="A3" t="s">
        <v>3</v>
      </c>
      <c r="B3">
        <v>37.07</v>
      </c>
      <c r="C3">
        <v>-92.5</v>
      </c>
      <c r="D3">
        <v>1822.83</v>
      </c>
      <c r="E3">
        <v>-0.08</v>
      </c>
    </row>
    <row r="4" spans="1:5" x14ac:dyDescent="0.3">
      <c r="A4" t="s">
        <v>4</v>
      </c>
      <c r="B4">
        <v>34.01</v>
      </c>
      <c r="C4">
        <v>-100.16</v>
      </c>
      <c r="D4">
        <v>1628.57</v>
      </c>
      <c r="E4">
        <v>-0.09</v>
      </c>
    </row>
    <row r="5" spans="1:5" x14ac:dyDescent="0.3">
      <c r="A5" t="s">
        <v>5</v>
      </c>
      <c r="B5">
        <v>40.96</v>
      </c>
      <c r="C5">
        <v>-119.01</v>
      </c>
      <c r="D5">
        <v>2151.09</v>
      </c>
      <c r="E5">
        <v>-0.08</v>
      </c>
    </row>
    <row r="6" spans="1:5" x14ac:dyDescent="0.3">
      <c r="A6" t="s">
        <v>6</v>
      </c>
      <c r="B6">
        <v>33.21</v>
      </c>
      <c r="C6">
        <v>-100.95</v>
      </c>
      <c r="D6">
        <v>1516.3</v>
      </c>
      <c r="E6">
        <v>-0.08</v>
      </c>
    </row>
    <row r="7" spans="1:5" x14ac:dyDescent="0.3">
      <c r="A7" t="s">
        <v>7</v>
      </c>
      <c r="B7">
        <v>35.4</v>
      </c>
      <c r="C7">
        <v>-108.53</v>
      </c>
      <c r="D7">
        <v>1460</v>
      </c>
      <c r="E7">
        <v>-0.05</v>
      </c>
    </row>
    <row r="8" spans="1:5" x14ac:dyDescent="0.3">
      <c r="A8" t="s">
        <v>8</v>
      </c>
      <c r="B8">
        <v>39.130000000000003</v>
      </c>
      <c r="C8">
        <v>-85.76</v>
      </c>
      <c r="D8">
        <v>1278.3800000000001</v>
      </c>
      <c r="E8">
        <v>0.11</v>
      </c>
    </row>
    <row r="9" spans="1:5" x14ac:dyDescent="0.3">
      <c r="A9" t="s">
        <v>9</v>
      </c>
      <c r="B9">
        <v>41.98</v>
      </c>
      <c r="C9">
        <v>-89.92</v>
      </c>
      <c r="D9">
        <v>1315.96</v>
      </c>
      <c r="E9">
        <v>-0.06</v>
      </c>
    </row>
    <row r="11" spans="1:5" x14ac:dyDescent="0.3">
      <c r="A11" s="1" t="s">
        <v>10</v>
      </c>
      <c r="B11" s="1" t="s">
        <v>0</v>
      </c>
      <c r="C11" s="1" t="s">
        <v>1</v>
      </c>
    </row>
    <row r="12" spans="1:5" x14ac:dyDescent="0.3">
      <c r="A12" t="s">
        <v>11</v>
      </c>
      <c r="B12">
        <v>43.51</v>
      </c>
      <c r="C12">
        <v>-91.02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83C4-62BD-453B-A3D8-670745BBE6B2}">
  <dimension ref="B1:L14"/>
  <sheetViews>
    <sheetView topLeftCell="C1" zoomScale="77" workbookViewId="0">
      <selection activeCell="J32" sqref="J32"/>
    </sheetView>
  </sheetViews>
  <sheetFormatPr defaultRowHeight="14.4" x14ac:dyDescent="0.3"/>
  <cols>
    <col min="2" max="2" width="21.109375" bestFit="1" customWidth="1"/>
    <col min="3" max="3" width="9.5546875" bestFit="1" customWidth="1"/>
    <col min="4" max="6" width="9" bestFit="1" customWidth="1"/>
    <col min="7" max="7" width="13.88671875" bestFit="1" customWidth="1"/>
    <col min="8" max="9" width="9" bestFit="1" customWidth="1"/>
    <col min="10" max="10" width="12.33203125" bestFit="1" customWidth="1"/>
    <col min="11" max="11" width="9" bestFit="1" customWidth="1"/>
    <col min="12" max="12" width="12.33203125" bestFit="1" customWidth="1"/>
  </cols>
  <sheetData>
    <row r="1" spans="2:12" x14ac:dyDescent="0.3">
      <c r="H1" t="s">
        <v>13</v>
      </c>
      <c r="I1" t="s">
        <v>14</v>
      </c>
    </row>
    <row r="2" spans="2:12" x14ac:dyDescent="0.3">
      <c r="C2" t="s">
        <v>20</v>
      </c>
      <c r="D2" s="2">
        <f>SUM(L7:L14)</f>
        <v>47.966060571763563</v>
      </c>
      <c r="G2" t="s">
        <v>21</v>
      </c>
      <c r="H2" s="2">
        <v>35.399957379499753</v>
      </c>
      <c r="I2" s="2">
        <v>-108.52995874933269</v>
      </c>
    </row>
    <row r="4" spans="2:12" ht="15" thickBot="1" x14ac:dyDescent="0.35"/>
    <row r="5" spans="2:12" ht="15" thickBot="1" x14ac:dyDescent="0.35">
      <c r="E5" s="9" t="s">
        <v>17</v>
      </c>
      <c r="F5" s="10"/>
      <c r="H5" s="9" t="s">
        <v>21</v>
      </c>
      <c r="I5" s="10"/>
      <c r="K5" s="9" t="s">
        <v>25</v>
      </c>
      <c r="L5" s="10"/>
    </row>
    <row r="6" spans="2:12" x14ac:dyDescent="0.3">
      <c r="B6" s="3" t="s">
        <v>12</v>
      </c>
      <c r="C6" s="3" t="s">
        <v>13</v>
      </c>
      <c r="D6" s="3" t="s">
        <v>14</v>
      </c>
      <c r="E6" s="5" t="s">
        <v>18</v>
      </c>
      <c r="F6" s="5" t="s">
        <v>14</v>
      </c>
      <c r="G6" s="3" t="s">
        <v>19</v>
      </c>
      <c r="H6" s="5" t="s">
        <v>13</v>
      </c>
      <c r="I6" s="5" t="s">
        <v>14</v>
      </c>
      <c r="J6" s="3" t="s">
        <v>22</v>
      </c>
      <c r="K6" s="5" t="s">
        <v>23</v>
      </c>
      <c r="L6" s="5" t="s">
        <v>24</v>
      </c>
    </row>
    <row r="7" spans="2:12" x14ac:dyDescent="0.3">
      <c r="B7" s="4" t="s">
        <v>2</v>
      </c>
      <c r="C7" s="4">
        <v>31.84</v>
      </c>
      <c r="D7" s="4">
        <v>-111.1</v>
      </c>
      <c r="E7" s="4">
        <v>43.51</v>
      </c>
      <c r="F7" s="4">
        <v>-91.02</v>
      </c>
      <c r="G7" s="4">
        <f>SQRT((C7-$E$7)^2+(D7-$F$7)^2)</f>
        <v>23.224885360319863</v>
      </c>
      <c r="H7" s="6">
        <f>$H$2</f>
        <v>35.399957379499753</v>
      </c>
      <c r="I7" s="6">
        <f>$I$2</f>
        <v>-108.52995874933269</v>
      </c>
      <c r="J7" s="6">
        <f>SQRT((C7-$H$2)^2+(D7-$I$2)^2)</f>
        <v>4.3907184576087657</v>
      </c>
      <c r="K7" s="6" t="b" cm="1">
        <f t="array" ref="K7">_xlfn.IFS(G7&lt;J7,FALSE,G7&gt;J7,TRUE)</f>
        <v>1</v>
      </c>
      <c r="L7" s="6" cm="1">
        <f t="array" ref="L7">_xlfn.IFS(K7=FALSE,G7,K7=TRUE,J7)</f>
        <v>4.3907184576087657</v>
      </c>
    </row>
    <row r="8" spans="2:12" x14ac:dyDescent="0.3">
      <c r="B8" s="4" t="s">
        <v>3</v>
      </c>
      <c r="C8" s="4">
        <v>37.07</v>
      </c>
      <c r="D8" s="4">
        <v>-92.5</v>
      </c>
      <c r="E8" s="4">
        <v>43.51</v>
      </c>
      <c r="F8" s="4">
        <v>-91.02</v>
      </c>
      <c r="G8" s="4">
        <f>SQRT((C8-$E$7)^2+(D8-$F$7)^2)</f>
        <v>6.6078740908101432</v>
      </c>
      <c r="H8" s="6">
        <f t="shared" ref="H8:H14" si="0">$H$2</f>
        <v>35.399957379499753</v>
      </c>
      <c r="I8" s="6">
        <f t="shared" ref="I8:I14" si="1">$I$2</f>
        <v>-108.52995874933269</v>
      </c>
      <c r="J8" s="6">
        <f t="shared" ref="J8:J14" si="2">SQRT((C8-$H$2)^2+(D8-$I$2)^2)</f>
        <v>16.116718644302104</v>
      </c>
      <c r="K8" s="6" t="b" cm="1">
        <f t="array" ref="K8">_xlfn.IFS(G8&lt;J8,FALSE,G8&gt;J8,TRUE)</f>
        <v>0</v>
      </c>
      <c r="L8" s="6" cm="1">
        <f t="array" ref="L8">_xlfn.IFS(K8=FALSE,G8,K8=TRUE,J8)</f>
        <v>6.6078740908101432</v>
      </c>
    </row>
    <row r="9" spans="2:12" x14ac:dyDescent="0.3">
      <c r="B9" s="4" t="s">
        <v>4</v>
      </c>
      <c r="C9" s="4">
        <v>34.01</v>
      </c>
      <c r="D9" s="4">
        <v>-100.16</v>
      </c>
      <c r="E9" s="4">
        <v>43.51</v>
      </c>
      <c r="F9" s="4">
        <v>-91.02</v>
      </c>
      <c r="G9" s="4">
        <f t="shared" ref="G9:G14" si="3">SQRT((C9-$E$7)^2+(D9-$F$7)^2)</f>
        <v>13.182928354504549</v>
      </c>
      <c r="H9" s="6">
        <f t="shared" si="0"/>
        <v>35.399957379499753</v>
      </c>
      <c r="I9" s="6">
        <f t="shared" si="1"/>
        <v>-108.52995874933269</v>
      </c>
      <c r="J9" s="6">
        <f t="shared" si="2"/>
        <v>8.4845854926659072</v>
      </c>
      <c r="K9" s="6" t="b" cm="1">
        <f t="array" ref="K9">_xlfn.IFS(G9&lt;J9,FALSE,G9&gt;J9,TRUE)</f>
        <v>1</v>
      </c>
      <c r="L9" s="6" cm="1">
        <f t="array" ref="L9">_xlfn.IFS(K9=FALSE,G9,K9=TRUE,J9)</f>
        <v>8.4845854926659072</v>
      </c>
    </row>
    <row r="10" spans="2:12" x14ac:dyDescent="0.3">
      <c r="B10" s="4" t="s">
        <v>5</v>
      </c>
      <c r="C10" s="4">
        <v>40.96</v>
      </c>
      <c r="D10" s="4">
        <v>-119.01</v>
      </c>
      <c r="E10" s="4">
        <v>43.51</v>
      </c>
      <c r="F10" s="4">
        <v>-91.02</v>
      </c>
      <c r="G10" s="4">
        <f t="shared" si="3"/>
        <v>28.105917526385799</v>
      </c>
      <c r="H10" s="6">
        <f t="shared" si="0"/>
        <v>35.399957379499753</v>
      </c>
      <c r="I10" s="6">
        <f t="shared" si="1"/>
        <v>-108.52995874933269</v>
      </c>
      <c r="J10" s="6">
        <f>SQRT((C10-$H$2)^2+(D10-$I$2)^2)</f>
        <v>11.863614059698156</v>
      </c>
      <c r="K10" s="6" t="b" cm="1">
        <f t="array" ref="K10">_xlfn.IFS(G10&lt;J10,FALSE,G10&gt;J10,TRUE)</f>
        <v>1</v>
      </c>
      <c r="L10" s="6" cm="1">
        <f t="array" ref="L10">_xlfn.IFS(K10=FALSE,G10,K10=TRUE,J10)</f>
        <v>11.863614059698156</v>
      </c>
    </row>
    <row r="11" spans="2:12" x14ac:dyDescent="0.3">
      <c r="B11" s="4" t="s">
        <v>6</v>
      </c>
      <c r="C11" s="4">
        <v>33.21</v>
      </c>
      <c r="D11" s="4">
        <v>-100.95</v>
      </c>
      <c r="E11" s="4">
        <v>43.51</v>
      </c>
      <c r="F11" s="4">
        <v>-91.02</v>
      </c>
      <c r="G11" s="4">
        <f t="shared" si="3"/>
        <v>14.307162541887894</v>
      </c>
      <c r="H11" s="6">
        <f t="shared" si="0"/>
        <v>35.399957379499753</v>
      </c>
      <c r="I11" s="6">
        <f t="shared" si="1"/>
        <v>-108.52995874933269</v>
      </c>
      <c r="J11" s="6">
        <f t="shared" si="2"/>
        <v>7.8899738887787594</v>
      </c>
      <c r="K11" s="6" t="b" cm="1">
        <f t="array" ref="K11">_xlfn.IFS(G11&lt;J11,FALSE,G11&gt;J11,TRUE)</f>
        <v>1</v>
      </c>
      <c r="L11" s="6" cm="1">
        <f t="array" ref="L11">_xlfn.IFS(K11=FALSE,G11,K11=TRUE,J11)</f>
        <v>7.8899738887787594</v>
      </c>
    </row>
    <row r="12" spans="2:12" x14ac:dyDescent="0.3">
      <c r="B12" s="4" t="s">
        <v>7</v>
      </c>
      <c r="C12" s="4">
        <v>35.4</v>
      </c>
      <c r="D12" s="4">
        <v>-108.53</v>
      </c>
      <c r="E12" s="4">
        <v>43.51</v>
      </c>
      <c r="F12" s="4">
        <v>-91.02</v>
      </c>
      <c r="G12" s="4">
        <f t="shared" si="3"/>
        <v>19.296947945206259</v>
      </c>
      <c r="H12" s="6">
        <f t="shared" si="0"/>
        <v>35.399957379499753</v>
      </c>
      <c r="I12" s="6">
        <f t="shared" si="1"/>
        <v>-108.52995874933269</v>
      </c>
      <c r="J12" s="6">
        <f t="shared" si="2"/>
        <v>5.9313780815132954E-5</v>
      </c>
      <c r="K12" s="6" t="b" cm="1">
        <f t="array" ref="K12">_xlfn.IFS(G12&lt;J12,FALSE,G12&gt;J12,TRUE)</f>
        <v>1</v>
      </c>
      <c r="L12" s="6" cm="1">
        <f t="array" ref="L12">_xlfn.IFS(K12=FALSE,G12,K12=TRUE,J12)</f>
        <v>5.9313780815132954E-5</v>
      </c>
    </row>
    <row r="13" spans="2:12" x14ac:dyDescent="0.3">
      <c r="B13" s="4" t="s">
        <v>8</v>
      </c>
      <c r="C13" s="4">
        <v>39.130000000000003</v>
      </c>
      <c r="D13" s="4">
        <v>-85.76</v>
      </c>
      <c r="E13" s="4">
        <v>43.51</v>
      </c>
      <c r="F13" s="4">
        <v>-91.02</v>
      </c>
      <c r="G13" s="4">
        <f t="shared" si="3"/>
        <v>6.8448520802132649</v>
      </c>
      <c r="H13" s="6">
        <f t="shared" si="0"/>
        <v>35.399957379499753</v>
      </c>
      <c r="I13" s="6">
        <f t="shared" si="1"/>
        <v>-108.52995874933269</v>
      </c>
      <c r="J13" s="6">
        <f t="shared" si="2"/>
        <v>23.073453131186511</v>
      </c>
      <c r="K13" s="6" t="b" cm="1">
        <f t="array" ref="K13">_xlfn.IFS(G13&lt;J13,FALSE,G13&gt;J13,TRUE)</f>
        <v>0</v>
      </c>
      <c r="L13" s="6" cm="1">
        <f t="array" ref="L13">_xlfn.IFS(K13=FALSE,G13,K13=TRUE,J13)</f>
        <v>6.8448520802132649</v>
      </c>
    </row>
    <row r="14" spans="2:12" x14ac:dyDescent="0.3">
      <c r="B14" s="4" t="s">
        <v>9</v>
      </c>
      <c r="C14" s="4">
        <v>41.98</v>
      </c>
      <c r="D14" s="4">
        <v>-89.92</v>
      </c>
      <c r="E14" s="4">
        <v>43.51</v>
      </c>
      <c r="F14" s="4">
        <v>-91.02</v>
      </c>
      <c r="G14" s="4">
        <f t="shared" si="3"/>
        <v>1.8843831882077464</v>
      </c>
      <c r="H14" s="6">
        <f t="shared" si="0"/>
        <v>35.399957379499753</v>
      </c>
      <c r="I14" s="6">
        <f t="shared" si="1"/>
        <v>-108.52995874933269</v>
      </c>
      <c r="J14" s="6">
        <f t="shared" si="2"/>
        <v>19.738984916643108</v>
      </c>
      <c r="K14" s="6" t="b" cm="1">
        <f t="array" ref="K14">_xlfn.IFS(G14&lt;J14,FALSE,G14&gt;J14,TRUE)</f>
        <v>0</v>
      </c>
      <c r="L14" s="6" cm="1">
        <f t="array" ref="L14">_xlfn.IFS(K14=FALSE,G14,K14=TRUE,J14)</f>
        <v>1.8843831882077464</v>
      </c>
    </row>
  </sheetData>
  <mergeCells count="3">
    <mergeCell ref="E5:F5"/>
    <mergeCell ref="H5:I5"/>
    <mergeCell ref="K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66EC-1CA7-4278-938A-1728453C2E3C}">
  <dimension ref="B1:R14"/>
  <sheetViews>
    <sheetView tabSelected="1" zoomScale="69" workbookViewId="0">
      <selection activeCell="J21" sqref="J21"/>
    </sheetView>
  </sheetViews>
  <sheetFormatPr defaultRowHeight="14.4" x14ac:dyDescent="0.3"/>
  <cols>
    <col min="2" max="2" width="21.109375" bestFit="1" customWidth="1"/>
    <col min="3" max="3" width="9.5546875" bestFit="1" customWidth="1"/>
    <col min="4" max="6" width="9" bestFit="1" customWidth="1"/>
    <col min="7" max="7" width="13.88671875" bestFit="1" customWidth="1"/>
    <col min="8" max="9" width="9" bestFit="1" customWidth="1"/>
    <col min="10" max="10" width="15.6640625" bestFit="1" customWidth="1"/>
    <col min="11" max="11" width="12.5546875" bestFit="1" customWidth="1"/>
    <col min="12" max="12" width="14.6640625" bestFit="1" customWidth="1"/>
    <col min="13" max="13" width="22.6640625" bestFit="1" customWidth="1"/>
    <col min="14" max="14" width="27.44140625" bestFit="1" customWidth="1"/>
    <col min="15" max="15" width="20.109375" bestFit="1" customWidth="1"/>
  </cols>
  <sheetData>
    <row r="1" spans="2:18" x14ac:dyDescent="0.3">
      <c r="H1" t="s">
        <v>13</v>
      </c>
      <c r="I1" t="s">
        <v>14</v>
      </c>
    </row>
    <row r="2" spans="2:18" x14ac:dyDescent="0.3">
      <c r="C2" t="s">
        <v>20</v>
      </c>
      <c r="D2" s="2">
        <f>SUM(L7:L14)</f>
        <v>47.966060571763563</v>
      </c>
      <c r="G2" t="s">
        <v>21</v>
      </c>
      <c r="H2" s="2">
        <v>35.399957379499753</v>
      </c>
      <c r="I2" s="2">
        <v>-108.52995874933269</v>
      </c>
    </row>
    <row r="3" spans="2:18" x14ac:dyDescent="0.3">
      <c r="M3" t="s">
        <v>27</v>
      </c>
      <c r="N3">
        <f>SUM(O7:O14)+R11</f>
        <v>12584.2495</v>
      </c>
    </row>
    <row r="4" spans="2:18" ht="15" thickBot="1" x14ac:dyDescent="0.35"/>
    <row r="5" spans="2:18" ht="15" thickBot="1" x14ac:dyDescent="0.35">
      <c r="E5" s="9" t="s">
        <v>17</v>
      </c>
      <c r="F5" s="10"/>
      <c r="H5" s="9" t="s">
        <v>21</v>
      </c>
      <c r="I5" s="10"/>
      <c r="K5" s="9" t="s">
        <v>25</v>
      </c>
      <c r="L5" s="10"/>
    </row>
    <row r="6" spans="2:18" x14ac:dyDescent="0.3">
      <c r="B6" s="3" t="s">
        <v>12</v>
      </c>
      <c r="C6" s="3" t="s">
        <v>13</v>
      </c>
      <c r="D6" s="3" t="s">
        <v>14</v>
      </c>
      <c r="E6" s="5" t="s">
        <v>18</v>
      </c>
      <c r="F6" s="5" t="s">
        <v>14</v>
      </c>
      <c r="G6" s="3" t="s">
        <v>19</v>
      </c>
      <c r="H6" s="5" t="s">
        <v>13</v>
      </c>
      <c r="I6" s="5" t="s">
        <v>14</v>
      </c>
      <c r="J6" s="3" t="s">
        <v>22</v>
      </c>
      <c r="K6" s="5" t="s">
        <v>23</v>
      </c>
      <c r="L6" s="5" t="s">
        <v>24</v>
      </c>
      <c r="M6" s="1" t="s">
        <v>15</v>
      </c>
      <c r="N6" s="1" t="s">
        <v>16</v>
      </c>
      <c r="O6" s="1" t="s">
        <v>26</v>
      </c>
    </row>
    <row r="7" spans="2:18" x14ac:dyDescent="0.3">
      <c r="B7" s="4" t="s">
        <v>2</v>
      </c>
      <c r="C7" s="4">
        <v>31.84</v>
      </c>
      <c r="D7" s="4">
        <v>-111.1</v>
      </c>
      <c r="E7" s="4">
        <v>43.51</v>
      </c>
      <c r="F7" s="4">
        <v>-91.02</v>
      </c>
      <c r="G7" s="4">
        <f>SQRT((C7-$E$7)^2+(D7-$F$7)^2)</f>
        <v>23.224885360319863</v>
      </c>
      <c r="H7" s="6">
        <f>$H$2</f>
        <v>35.399957379499753</v>
      </c>
      <c r="I7" s="6">
        <f>$I$2</f>
        <v>-108.52995874933269</v>
      </c>
      <c r="J7" s="6">
        <f>SQRT((C7-$H$2)^2+(D7-$I$2)^2)</f>
        <v>4.3907184576087657</v>
      </c>
      <c r="K7" s="6" t="b" cm="1">
        <f t="array" ref="K7">_xlfn.IFS(G7&lt;J7,FALSE,G7&gt;J7,TRUE)</f>
        <v>1</v>
      </c>
      <c r="L7" s="6" cm="1">
        <f t="array" ref="L7">_xlfn.IFS(K7=FALSE,G7,K7=TRUE,J7)</f>
        <v>4.3907184576087657</v>
      </c>
      <c r="M7">
        <v>1840.57</v>
      </c>
      <c r="N7">
        <v>0.06</v>
      </c>
      <c r="O7">
        <f>M7*(1+N7)</f>
        <v>1951.0042000000001</v>
      </c>
    </row>
    <row r="8" spans="2:18" x14ac:dyDescent="0.3">
      <c r="B8" s="4" t="s">
        <v>3</v>
      </c>
      <c r="C8" s="4">
        <v>37.07</v>
      </c>
      <c r="D8" s="4">
        <v>-92.5</v>
      </c>
      <c r="E8" s="4">
        <v>43.51</v>
      </c>
      <c r="F8" s="4">
        <v>-91.02</v>
      </c>
      <c r="G8" s="4">
        <f>SQRT((C8-$E$7)^2+(D8-$F$7)^2)</f>
        <v>6.6078740908101432</v>
      </c>
      <c r="H8" s="6">
        <f t="shared" ref="H8:H14" si="0">$H$2</f>
        <v>35.399957379499753</v>
      </c>
      <c r="I8" s="6">
        <f t="shared" ref="I8:I14" si="1">$I$2</f>
        <v>-108.52995874933269</v>
      </c>
      <c r="J8" s="6">
        <f t="shared" ref="J8:J9" si="2">SQRT((C8-$H$2)^2+(D8-$I$2)^2)</f>
        <v>16.116718644302104</v>
      </c>
      <c r="K8" s="6" t="b" cm="1">
        <f t="array" ref="K8">_xlfn.IFS(G8&lt;J8,FALSE,G8&gt;J8,TRUE)</f>
        <v>0</v>
      </c>
      <c r="L8" s="6" cm="1">
        <f t="array" ref="L8">_xlfn.IFS(K8=FALSE,G8,K8=TRUE,J8)</f>
        <v>6.6078740908101432</v>
      </c>
      <c r="M8">
        <v>1822.83</v>
      </c>
      <c r="N8">
        <v>-0.08</v>
      </c>
      <c r="O8">
        <f t="shared" ref="O8:O14" si="3">M8*(1+N8)</f>
        <v>1677.0036</v>
      </c>
    </row>
    <row r="9" spans="2:18" x14ac:dyDescent="0.3">
      <c r="B9" s="4" t="s">
        <v>4</v>
      </c>
      <c r="C9" s="4">
        <v>34.01</v>
      </c>
      <c r="D9" s="4">
        <v>-100.16</v>
      </c>
      <c r="E9" s="4">
        <v>43.51</v>
      </c>
      <c r="F9" s="4">
        <v>-91.02</v>
      </c>
      <c r="G9" s="4">
        <f t="shared" ref="G9:G14" si="4">SQRT((C9-$E$7)^2+(D9-$F$7)^2)</f>
        <v>13.182928354504549</v>
      </c>
      <c r="H9" s="6">
        <f t="shared" si="0"/>
        <v>35.399957379499753</v>
      </c>
      <c r="I9" s="6">
        <f t="shared" si="1"/>
        <v>-108.52995874933269</v>
      </c>
      <c r="J9" s="6">
        <f t="shared" si="2"/>
        <v>8.4845854926659072</v>
      </c>
      <c r="K9" s="6" t="b" cm="1">
        <f t="array" ref="K9">_xlfn.IFS(G9&lt;J9,FALSE,G9&gt;J9,TRUE)</f>
        <v>1</v>
      </c>
      <c r="L9" s="6" cm="1">
        <f t="array" ref="L9">_xlfn.IFS(K9=FALSE,G9,K9=TRUE,J9)</f>
        <v>8.4845854926659072</v>
      </c>
      <c r="M9">
        <v>1628.57</v>
      </c>
      <c r="N9">
        <v>-0.09</v>
      </c>
      <c r="O9">
        <f t="shared" si="3"/>
        <v>1481.9987000000001</v>
      </c>
      <c r="Q9" s="7" t="b">
        <v>1</v>
      </c>
      <c r="R9">
        <f>SUMIF(K7:K14,TRUE,C7:C14)</f>
        <v>175.42000000000002</v>
      </c>
    </row>
    <row r="10" spans="2:18" x14ac:dyDescent="0.3">
      <c r="B10" s="4" t="s">
        <v>5</v>
      </c>
      <c r="C10" s="4">
        <v>40.96</v>
      </c>
      <c r="D10" s="4">
        <v>-119.01</v>
      </c>
      <c r="E10" s="4">
        <v>43.51</v>
      </c>
      <c r="F10" s="4">
        <v>-91.02</v>
      </c>
      <c r="G10" s="4">
        <f t="shared" si="4"/>
        <v>28.105917526385799</v>
      </c>
      <c r="H10" s="6">
        <f t="shared" si="0"/>
        <v>35.399957379499753</v>
      </c>
      <c r="I10" s="6">
        <f t="shared" si="1"/>
        <v>-108.52995874933269</v>
      </c>
      <c r="J10" s="6">
        <f>SQRT((C10-$H$2)^2+(D10-$I$2)^2)</f>
        <v>11.863614059698156</v>
      </c>
      <c r="K10" s="6" t="b" cm="1">
        <f t="array" ref="K10">_xlfn.IFS(G10&lt;J10,FALSE,G10&gt;J10,TRUE)</f>
        <v>1</v>
      </c>
      <c r="L10" s="6" cm="1">
        <f t="array" ref="L10">_xlfn.IFS(K10=FALSE,G10,K10=TRUE,J10)</f>
        <v>11.863614059698156</v>
      </c>
      <c r="M10">
        <v>2151.09</v>
      </c>
      <c r="N10">
        <v>-0.08</v>
      </c>
      <c r="O10">
        <f t="shared" si="3"/>
        <v>1979.0028000000002</v>
      </c>
      <c r="Q10" s="8" t="b">
        <v>0</v>
      </c>
      <c r="R10">
        <f>SUMIF(K7:K14,FALSE,C7:C14)</f>
        <v>118.18</v>
      </c>
    </row>
    <row r="11" spans="2:18" x14ac:dyDescent="0.3">
      <c r="B11" s="4" t="s">
        <v>6</v>
      </c>
      <c r="C11" s="4">
        <v>33.21</v>
      </c>
      <c r="D11" s="4">
        <v>-100.95</v>
      </c>
      <c r="E11" s="4">
        <v>43.51</v>
      </c>
      <c r="F11" s="4">
        <v>-91.02</v>
      </c>
      <c r="G11" s="4">
        <f t="shared" si="4"/>
        <v>14.307162541887894</v>
      </c>
      <c r="H11" s="6">
        <f t="shared" si="0"/>
        <v>35.399957379499753</v>
      </c>
      <c r="I11" s="6">
        <f t="shared" si="1"/>
        <v>-108.52995874933269</v>
      </c>
      <c r="J11" s="6">
        <f t="shared" ref="J11:J14" si="5">SQRT((C11-$H$2)^2+(D11-$I$2)^2)</f>
        <v>7.8899738887787594</v>
      </c>
      <c r="K11" s="6" t="b" cm="1">
        <f t="array" ref="K11">_xlfn.IFS(G11&lt;J11,FALSE,G11&gt;J11,TRUE)</f>
        <v>1</v>
      </c>
      <c r="L11" s="6" cm="1">
        <f t="array" ref="L11">_xlfn.IFS(K11=FALSE,G11,K11=TRUE,J11)</f>
        <v>7.8899738887787594</v>
      </c>
      <c r="M11">
        <v>1516.3</v>
      </c>
      <c r="N11">
        <v>-0.08</v>
      </c>
      <c r="O11">
        <f t="shared" si="3"/>
        <v>1394.9960000000001</v>
      </c>
      <c r="R11">
        <f>ABS(R9-R10)</f>
        <v>57.240000000000009</v>
      </c>
    </row>
    <row r="12" spans="2:18" x14ac:dyDescent="0.3">
      <c r="B12" s="4" t="s">
        <v>7</v>
      </c>
      <c r="C12" s="4">
        <v>35.4</v>
      </c>
      <c r="D12" s="4">
        <v>-108.53</v>
      </c>
      <c r="E12" s="4">
        <v>43.51</v>
      </c>
      <c r="F12" s="4">
        <v>-91.02</v>
      </c>
      <c r="G12" s="4">
        <f t="shared" si="4"/>
        <v>19.296947945206259</v>
      </c>
      <c r="H12" s="6">
        <f t="shared" si="0"/>
        <v>35.399957379499753</v>
      </c>
      <c r="I12" s="6">
        <f t="shared" si="1"/>
        <v>-108.52995874933269</v>
      </c>
      <c r="J12" s="6">
        <f t="shared" si="5"/>
        <v>5.9313780815132954E-5</v>
      </c>
      <c r="K12" s="6" t="b" cm="1">
        <f t="array" ref="K12">_xlfn.IFS(G12&lt;J12,FALSE,G12&gt;J12,TRUE)</f>
        <v>1</v>
      </c>
      <c r="L12" s="6" cm="1">
        <f t="array" ref="L12">_xlfn.IFS(K12=FALSE,G12,K12=TRUE,J12)</f>
        <v>5.9313780815132954E-5</v>
      </c>
      <c r="M12">
        <v>1460</v>
      </c>
      <c r="N12">
        <v>-0.05</v>
      </c>
      <c r="O12">
        <f t="shared" si="3"/>
        <v>1387</v>
      </c>
    </row>
    <row r="13" spans="2:18" x14ac:dyDescent="0.3">
      <c r="B13" s="4" t="s">
        <v>8</v>
      </c>
      <c r="C13" s="4">
        <v>39.130000000000003</v>
      </c>
      <c r="D13" s="4">
        <v>-85.76</v>
      </c>
      <c r="E13" s="4">
        <v>43.51</v>
      </c>
      <c r="F13" s="4">
        <v>-91.02</v>
      </c>
      <c r="G13" s="4">
        <f t="shared" si="4"/>
        <v>6.8448520802132649</v>
      </c>
      <c r="H13" s="6">
        <f t="shared" si="0"/>
        <v>35.399957379499753</v>
      </c>
      <c r="I13" s="6">
        <f t="shared" si="1"/>
        <v>-108.52995874933269</v>
      </c>
      <c r="J13" s="6">
        <f t="shared" si="5"/>
        <v>23.073453131186511</v>
      </c>
      <c r="K13" s="6" t="b" cm="1">
        <f t="array" ref="K13">_xlfn.IFS(G13&lt;J13,FALSE,G13&gt;J13,TRUE)</f>
        <v>0</v>
      </c>
      <c r="L13" s="6" cm="1">
        <f t="array" ref="L13">_xlfn.IFS(K13=FALSE,G13,K13=TRUE,J13)</f>
        <v>6.8448520802132649</v>
      </c>
      <c r="M13">
        <v>1278.3800000000001</v>
      </c>
      <c r="N13">
        <v>0.11</v>
      </c>
      <c r="O13">
        <f t="shared" si="3"/>
        <v>1419.0018000000002</v>
      </c>
    </row>
    <row r="14" spans="2:18" x14ac:dyDescent="0.3">
      <c r="B14" s="4" t="s">
        <v>9</v>
      </c>
      <c r="C14" s="4">
        <v>41.98</v>
      </c>
      <c r="D14" s="4">
        <v>-89.92</v>
      </c>
      <c r="E14" s="4">
        <v>43.51</v>
      </c>
      <c r="F14" s="4">
        <v>-91.02</v>
      </c>
      <c r="G14" s="4">
        <f t="shared" si="4"/>
        <v>1.8843831882077464</v>
      </c>
      <c r="H14" s="6">
        <f t="shared" si="0"/>
        <v>35.399957379499753</v>
      </c>
      <c r="I14" s="6">
        <f t="shared" si="1"/>
        <v>-108.52995874933269</v>
      </c>
      <c r="J14" s="6">
        <f t="shared" si="5"/>
        <v>19.738984916643108</v>
      </c>
      <c r="K14" s="6" t="b" cm="1">
        <f t="array" ref="K14">_xlfn.IFS(G14&lt;J14,FALSE,G14&gt;J14,TRUE)</f>
        <v>0</v>
      </c>
      <c r="L14" s="6" cm="1">
        <f t="array" ref="L14">_xlfn.IFS(K14=FALSE,G14,K14=TRUE,J14)</f>
        <v>1.8843831882077464</v>
      </c>
      <c r="M14">
        <v>1315.96</v>
      </c>
      <c r="N14">
        <v>-0.06</v>
      </c>
      <c r="O14">
        <f t="shared" si="3"/>
        <v>1237.0023999999999</v>
      </c>
    </row>
  </sheetData>
  <mergeCells count="3">
    <mergeCell ref="E5:F5"/>
    <mergeCell ref="H5:I5"/>
    <mergeCell ref="K5:L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Growth &amp; Current DCs</vt:lpstr>
      <vt:lpstr>Final Model</vt:lpstr>
      <vt:lpstr>Model With Stipulation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Hickey</dc:creator>
  <cp:lastModifiedBy>Liam Hickey</cp:lastModifiedBy>
  <dcterms:created xsi:type="dcterms:W3CDTF">2025-04-30T22:32:35Z</dcterms:created>
  <dcterms:modified xsi:type="dcterms:W3CDTF">2025-05-07T02:17:58Z</dcterms:modified>
</cp:coreProperties>
</file>