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ryantu-my.sharepoint.com/personal/lhickey1_bryant_edu/Documents/GSCM330/Module 10/"/>
    </mc:Choice>
  </mc:AlternateContent>
  <xr:revisionPtr revIDLastSave="1154" documentId="8_{3C8728CC-2151-44BC-91C5-7DB809251887}" xr6:coauthVersionLast="47" xr6:coauthVersionMax="47" xr10:uidLastSave="{0A3EFD40-5190-48EC-AFDE-33C66FC50FE7}"/>
  <bookViews>
    <workbookView xWindow="-108" yWindow="-108" windowWidth="23256" windowHeight="13896" activeTab="3" xr2:uid="{0F99D82C-E2E6-4747-AC29-990B7CC43289}"/>
  </bookViews>
  <sheets>
    <sheet name="Information" sheetId="3" r:id="rId1"/>
    <sheet name="Distance Model" sheetId="4" r:id="rId2"/>
    <sheet name="Transportation Model" sheetId="5" r:id="rId3"/>
    <sheet name="Transportation Model (2)" sheetId="6" r:id="rId4"/>
  </sheets>
  <definedNames>
    <definedName name="solver_adj" localSheetId="2" hidden="1">'Transportation Model'!$B$5:$B$28,'Transportation Model'!$N$31</definedName>
    <definedName name="solver_adj" localSheetId="3" hidden="1">'Transportation Model (2)'!$B$5:$B$28,'Transportation Model (2)'!$N$31</definedName>
    <definedName name="solver_cvg" localSheetId="2" hidden="1">0.0001</definedName>
    <definedName name="solver_cvg" localSheetId="3" hidden="1">0.0001</definedName>
    <definedName name="solver_drv" localSheetId="2" hidden="1">1</definedName>
    <definedName name="solver_drv" localSheetId="3" hidden="1">1</definedName>
    <definedName name="solver_eng" localSheetId="2" hidden="1">2</definedName>
    <definedName name="solver_eng" localSheetId="3" hidden="1">2</definedName>
    <definedName name="solver_est" localSheetId="2" hidden="1">1</definedName>
    <definedName name="solver_est" localSheetId="3" hidden="1">1</definedName>
    <definedName name="solver_itr" localSheetId="2" hidden="1">2147483647</definedName>
    <definedName name="solver_itr" localSheetId="3" hidden="1">2147483647</definedName>
    <definedName name="solver_lhs1" localSheetId="2" hidden="1">'Transportation Model'!$P$5:$P$11</definedName>
    <definedName name="solver_lhs1" localSheetId="3" hidden="1">'Transportation Model (2)'!$P$5:$P$11</definedName>
    <definedName name="solver_lhs2" localSheetId="2" hidden="1">'Transportation Model'!$S$26:$S$29</definedName>
    <definedName name="solver_lhs2" localSheetId="3" hidden="1">'Transportation Model (2)'!$S$26:$S$29</definedName>
    <definedName name="solver_mip" localSheetId="2" hidden="1">2147483647</definedName>
    <definedName name="solver_mip" localSheetId="3" hidden="1">2147483647</definedName>
    <definedName name="solver_mni" localSheetId="2" hidden="1">30</definedName>
    <definedName name="solver_mni" localSheetId="3" hidden="1">30</definedName>
    <definedName name="solver_mrt" localSheetId="2" hidden="1">0.075</definedName>
    <definedName name="solver_mrt" localSheetId="3" hidden="1">0.075</definedName>
    <definedName name="solver_msl" localSheetId="2" hidden="1">2</definedName>
    <definedName name="solver_msl" localSheetId="3" hidden="1">2</definedName>
    <definedName name="solver_neg" localSheetId="2" hidden="1">1</definedName>
    <definedName name="solver_neg" localSheetId="3" hidden="1">1</definedName>
    <definedName name="solver_nod" localSheetId="2" hidden="1">2147483647</definedName>
    <definedName name="solver_nod" localSheetId="3" hidden="1">2147483647</definedName>
    <definedName name="solver_num" localSheetId="2" hidden="1">2</definedName>
    <definedName name="solver_num" localSheetId="3" hidden="1">2</definedName>
    <definedName name="solver_nwt" localSheetId="2" hidden="1">1</definedName>
    <definedName name="solver_nwt" localSheetId="3" hidden="1">1</definedName>
    <definedName name="solver_opt" localSheetId="2" hidden="1">'Transportation Model'!$N$31</definedName>
    <definedName name="solver_opt" localSheetId="3" hidden="1">'Transportation Model (2)'!$N$31</definedName>
    <definedName name="solver_pre" localSheetId="2" hidden="1">0.000001</definedName>
    <definedName name="solver_pre" localSheetId="3" hidden="1">0.000001</definedName>
    <definedName name="solver_rbv" localSheetId="2" hidden="1">1</definedName>
    <definedName name="solver_rbv" localSheetId="3" hidden="1">1</definedName>
    <definedName name="solver_rel1" localSheetId="2" hidden="1">2</definedName>
    <definedName name="solver_rel1" localSheetId="3" hidden="1">2</definedName>
    <definedName name="solver_rel2" localSheetId="2" hidden="1">1</definedName>
    <definedName name="solver_rel2" localSheetId="3" hidden="1">1</definedName>
    <definedName name="solver_rhs1" localSheetId="2" hidden="1">'Transportation Model'!$Q$5:$Q$11</definedName>
    <definedName name="solver_rhs1" localSheetId="3" hidden="1">'Transportation Model (2)'!$Q$5:$Q$11</definedName>
    <definedName name="solver_rhs2" localSheetId="2" hidden="1">'Transportation Model'!$N$31</definedName>
    <definedName name="solver_rhs2" localSheetId="3" hidden="1">'Transportation Model (2)'!$N$31</definedName>
    <definedName name="solver_rlx" localSheetId="2" hidden="1">2</definedName>
    <definedName name="solver_rlx" localSheetId="3" hidden="1">2</definedName>
    <definedName name="solver_rsd" localSheetId="2" hidden="1">0</definedName>
    <definedName name="solver_rsd" localSheetId="3" hidden="1">0</definedName>
    <definedName name="solver_scl" localSheetId="2" hidden="1">1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2" hidden="1">100</definedName>
    <definedName name="solver_ssz" localSheetId="3" hidden="1">100</definedName>
    <definedName name="solver_tim" localSheetId="2" hidden="1">2147483647</definedName>
    <definedName name="solver_tim" localSheetId="3" hidden="1">2147483647</definedName>
    <definedName name="solver_tol" localSheetId="2" hidden="1">0.01</definedName>
    <definedName name="solver_tol" localSheetId="3" hidden="1">0.01</definedName>
    <definedName name="solver_typ" localSheetId="2" hidden="1">2</definedName>
    <definedName name="solver_typ" localSheetId="3" hidden="1">2</definedName>
    <definedName name="solver_val" localSheetId="2" hidden="1">0</definedName>
    <definedName name="solver_val" localSheetId="3" hidden="1">0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8" i="6" l="1"/>
  <c r="F28" i="6"/>
  <c r="K27" i="6"/>
  <c r="F27" i="6"/>
  <c r="K26" i="6"/>
  <c r="F26" i="6"/>
  <c r="K25" i="6"/>
  <c r="F25" i="6"/>
  <c r="K24" i="6"/>
  <c r="F24" i="6"/>
  <c r="N23" i="6"/>
  <c r="N29" i="6" s="1"/>
  <c r="P29" i="6" s="1"/>
  <c r="Q29" i="6" s="1"/>
  <c r="S29" i="6" s="1"/>
  <c r="K23" i="6"/>
  <c r="F23" i="6"/>
  <c r="K22" i="6"/>
  <c r="F22" i="6"/>
  <c r="K21" i="6"/>
  <c r="F21" i="6"/>
  <c r="K20" i="6"/>
  <c r="F20" i="6"/>
  <c r="K19" i="6"/>
  <c r="F19" i="6"/>
  <c r="K18" i="6"/>
  <c r="F18" i="6"/>
  <c r="N17" i="6"/>
  <c r="N27" i="6" s="1"/>
  <c r="P27" i="6" s="1"/>
  <c r="Q27" i="6" s="1"/>
  <c r="S27" i="6" s="1"/>
  <c r="K17" i="6"/>
  <c r="F17" i="6"/>
  <c r="K16" i="6"/>
  <c r="F16" i="6"/>
  <c r="K15" i="6"/>
  <c r="F15" i="6"/>
  <c r="N14" i="6"/>
  <c r="N26" i="6" s="1"/>
  <c r="P26" i="6" s="1"/>
  <c r="Q26" i="6" s="1"/>
  <c r="S26" i="6" s="1"/>
  <c r="K14" i="6"/>
  <c r="F14" i="6"/>
  <c r="K13" i="6"/>
  <c r="F13" i="6"/>
  <c r="K12" i="6"/>
  <c r="F12" i="6"/>
  <c r="O11" i="6"/>
  <c r="N11" i="6"/>
  <c r="K11" i="6"/>
  <c r="F11" i="6"/>
  <c r="O10" i="6"/>
  <c r="N10" i="6"/>
  <c r="K10" i="6"/>
  <c r="F10" i="6"/>
  <c r="O9" i="6"/>
  <c r="N9" i="6"/>
  <c r="K9" i="6"/>
  <c r="F9" i="6"/>
  <c r="O8" i="6"/>
  <c r="N8" i="6"/>
  <c r="K8" i="6"/>
  <c r="F8" i="6"/>
  <c r="O7" i="6"/>
  <c r="N7" i="6"/>
  <c r="K7" i="6"/>
  <c r="F7" i="6"/>
  <c r="O6" i="6"/>
  <c r="N6" i="6"/>
  <c r="P6" i="6" s="1"/>
  <c r="K6" i="6"/>
  <c r="F6" i="6"/>
  <c r="O5" i="6"/>
  <c r="N5" i="6"/>
  <c r="K5" i="6"/>
  <c r="K29" i="6" s="1"/>
  <c r="F5" i="6"/>
  <c r="N20" i="6" s="1"/>
  <c r="N28" i="6" s="1"/>
  <c r="P28" i="6" s="1"/>
  <c r="Q28" i="6" s="1"/>
  <c r="S28" i="6" s="1"/>
  <c r="K29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5" i="5"/>
  <c r="N17" i="5"/>
  <c r="N27" i="5" s="1"/>
  <c r="P27" i="5" s="1"/>
  <c r="Q27" i="5" s="1"/>
  <c r="S27" i="5" s="1"/>
  <c r="N23" i="5"/>
  <c r="N29" i="5" s="1"/>
  <c r="P29" i="5" s="1"/>
  <c r="Q29" i="5" s="1"/>
  <c r="S29" i="5" s="1"/>
  <c r="N20" i="5"/>
  <c r="N28" i="5" s="1"/>
  <c r="P28" i="5" s="1"/>
  <c r="Q28" i="5" s="1"/>
  <c r="S28" i="5" s="1"/>
  <c r="N14" i="5"/>
  <c r="N26" i="5" s="1"/>
  <c r="P26" i="5" s="1"/>
  <c r="Q26" i="5" s="1"/>
  <c r="S26" i="5" s="1"/>
  <c r="O6" i="5"/>
  <c r="O7" i="5"/>
  <c r="O8" i="5"/>
  <c r="O9" i="5"/>
  <c r="O10" i="5"/>
  <c r="O11" i="5"/>
  <c r="O5" i="5"/>
  <c r="N6" i="5"/>
  <c r="N7" i="5"/>
  <c r="N8" i="5"/>
  <c r="N9" i="5"/>
  <c r="N10" i="5"/>
  <c r="N11" i="5"/>
  <c r="N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5" i="5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4" i="4"/>
  <c r="P9" i="6" l="1"/>
  <c r="P5" i="6"/>
  <c r="P8" i="6"/>
  <c r="P10" i="6"/>
  <c r="P11" i="6"/>
  <c r="P7" i="6"/>
  <c r="P6" i="5"/>
  <c r="P10" i="5"/>
  <c r="P11" i="5"/>
  <c r="P9" i="5"/>
  <c r="P8" i="5"/>
  <c r="P5" i="5"/>
  <c r="P7" i="5"/>
  <c r="L12" i="3" l="1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11" i="3"/>
</calcChain>
</file>

<file path=xl/sharedStrings.xml><?xml version="1.0" encoding="utf-8"?>
<sst xmlns="http://schemas.openxmlformats.org/spreadsheetml/2006/main" count="182" uniqueCount="60">
  <si>
    <t>Candy Button Bay</t>
  </si>
  <si>
    <t>Fizzwhiz Fjord</t>
  </si>
  <si>
    <t>Fudge Falls</t>
  </si>
  <si>
    <t>Licorice Labyrinth</t>
  </si>
  <si>
    <t>Pixie Stix Plateau</t>
  </si>
  <si>
    <t>Popping Candy Plains</t>
  </si>
  <si>
    <t>Rainbow Ribbon Roads</t>
  </si>
  <si>
    <t>from</t>
  </si>
  <si>
    <t>to</t>
  </si>
  <si>
    <t>Slow Steaming Cargo Ships</t>
  </si>
  <si>
    <t>Cargo Ships (Heavy Fuel Oil)</t>
  </si>
  <si>
    <t>Electrified Rail</t>
  </si>
  <si>
    <t>Diesel Rail</t>
  </si>
  <si>
    <t>Diesel Trucks</t>
  </si>
  <si>
    <t>Air Freight</t>
  </si>
  <si>
    <t>Wind-powered Ships</t>
  </si>
  <si>
    <t>Cost Per Unit Shipped</t>
  </si>
  <si>
    <t>Transportation Method</t>
  </si>
  <si>
    <t>Conjection Level</t>
  </si>
  <si>
    <t>Location ID</t>
  </si>
  <si>
    <t>Location Name</t>
  </si>
  <si>
    <t>Latitude</t>
  </si>
  <si>
    <t>Longitude</t>
  </si>
  <si>
    <t>Supply</t>
  </si>
  <si>
    <t>Demand</t>
  </si>
  <si>
    <t>Transportation Model</t>
  </si>
  <si>
    <t>Binary Variable</t>
  </si>
  <si>
    <t>Congestion Level</t>
  </si>
  <si>
    <t>From</t>
  </si>
  <si>
    <t>From Lat</t>
  </si>
  <si>
    <t>From Long</t>
  </si>
  <si>
    <t>To Lat</t>
  </si>
  <si>
    <t>To Long</t>
  </si>
  <si>
    <t>Eulidean Distance</t>
  </si>
  <si>
    <t>To</t>
  </si>
  <si>
    <t>Ship</t>
  </si>
  <si>
    <t>Eco-Friendly Binary</t>
  </si>
  <si>
    <t>Congestion Levels Binary</t>
  </si>
  <si>
    <t>Total Distance</t>
  </si>
  <si>
    <t>Congestion Levels</t>
  </si>
  <si>
    <t>Nodes</t>
  </si>
  <si>
    <t>Inflow</t>
  </si>
  <si>
    <t>Outflow</t>
  </si>
  <si>
    <t>Netflow</t>
  </si>
  <si>
    <t>Supply Demand</t>
  </si>
  <si>
    <t>Minimize Transportation</t>
  </si>
  <si>
    <t>Minimize Distance</t>
  </si>
  <si>
    <t>Maximize Eco-Friendlieness</t>
  </si>
  <si>
    <t>Minimize Conjestion</t>
  </si>
  <si>
    <t>Objectives</t>
  </si>
  <si>
    <t>Target Value</t>
  </si>
  <si>
    <t xml:space="preserve">Deviation </t>
  </si>
  <si>
    <t>% Deviation</t>
  </si>
  <si>
    <t>Weight</t>
  </si>
  <si>
    <t>Weighted Deviation</t>
  </si>
  <si>
    <t>Total Transportation Cost</t>
  </si>
  <si>
    <t>Total Distance Traveled</t>
  </si>
  <si>
    <t>Eco-Friendlieness</t>
  </si>
  <si>
    <t>Totals</t>
  </si>
  <si>
    <t>MiniMax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</si>
</sst>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71" formatCode="0.0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2" xfId="0" applyFill="1" applyBorder="1"/>
    <xf numFmtId="0" fontId="0" fillId="2" borderId="4" xfId="0" applyFill="1" applyBorder="1"/>
    <xf numFmtId="0" fontId="0" fillId="2" borderId="1" xfId="0" applyFill="1" applyBorder="1"/>
    <xf numFmtId="0" fontId="0" fillId="2" borderId="3" xfId="0" applyFill="1" applyBorder="1"/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171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1" fontId="0" fillId="0" borderId="9" xfId="0" applyNumberForma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2" xfId="0" applyFont="1" applyFill="1" applyBorder="1"/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7" xfId="0" applyFont="1" applyBorder="1"/>
    <xf numFmtId="0" fontId="0" fillId="0" borderId="5" xfId="0" applyFont="1" applyBorder="1"/>
    <xf numFmtId="0" fontId="0" fillId="0" borderId="7" xfId="0" applyFont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2" fillId="2" borderId="0" xfId="0" applyFont="1" applyFill="1"/>
    <xf numFmtId="44" fontId="0" fillId="0" borderId="0" xfId="1" applyFont="1"/>
    <xf numFmtId="44" fontId="0" fillId="0" borderId="1" xfId="1" applyFont="1" applyBorder="1"/>
    <xf numFmtId="44" fontId="0" fillId="0" borderId="1" xfId="0" applyNumberFormat="1" applyBorder="1"/>
    <xf numFmtId="0" fontId="0" fillId="3" borderId="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6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B5BF8-6F5C-4314-BACB-28A9C4E34144}">
  <dimension ref="A1:L34"/>
  <sheetViews>
    <sheetView workbookViewId="0">
      <selection activeCell="K2" sqref="K2"/>
    </sheetView>
  </sheetViews>
  <sheetFormatPr defaultRowHeight="14.4" x14ac:dyDescent="0.3"/>
  <cols>
    <col min="3" max="3" width="19.88671875" bestFit="1" customWidth="1"/>
    <col min="4" max="4" width="23.44140625" bestFit="1" customWidth="1"/>
    <col min="5" max="5" width="14.88671875" bestFit="1" customWidth="1"/>
    <col min="7" max="7" width="9.6640625" bestFit="1" customWidth="1"/>
    <col min="8" max="8" width="22.6640625" bestFit="1" customWidth="1"/>
    <col min="9" max="9" width="13.109375" bestFit="1" customWidth="1"/>
    <col min="11" max="11" width="14.5546875" bestFit="1" customWidth="1"/>
    <col min="12" max="12" width="13.109375" bestFit="1" customWidth="1"/>
  </cols>
  <sheetData>
    <row r="1" spans="1:12" x14ac:dyDescent="0.3">
      <c r="A1" s="3" t="s">
        <v>7</v>
      </c>
      <c r="B1" s="4" t="s">
        <v>8</v>
      </c>
      <c r="C1" s="4" t="s">
        <v>16</v>
      </c>
      <c r="D1" s="4" t="s">
        <v>17</v>
      </c>
      <c r="E1" s="5" t="s">
        <v>18</v>
      </c>
      <c r="G1" s="11" t="s">
        <v>19</v>
      </c>
      <c r="H1" s="12" t="s">
        <v>20</v>
      </c>
      <c r="I1" s="12" t="s">
        <v>21</v>
      </c>
      <c r="J1" s="12" t="s">
        <v>22</v>
      </c>
      <c r="K1" s="12" t="s">
        <v>23</v>
      </c>
      <c r="L1" s="13" t="s">
        <v>24</v>
      </c>
    </row>
    <row r="2" spans="1:12" x14ac:dyDescent="0.3">
      <c r="A2" s="6">
        <v>1</v>
      </c>
      <c r="B2" s="2">
        <v>2</v>
      </c>
      <c r="C2" s="2">
        <v>17</v>
      </c>
      <c r="D2" s="2" t="s">
        <v>9</v>
      </c>
      <c r="E2" s="7">
        <v>34</v>
      </c>
      <c r="G2" s="6">
        <v>1</v>
      </c>
      <c r="H2" s="2" t="s">
        <v>0</v>
      </c>
      <c r="I2" s="2">
        <v>37.5</v>
      </c>
      <c r="J2" s="2">
        <v>-102.5</v>
      </c>
      <c r="K2" s="2">
        <v>9795</v>
      </c>
      <c r="L2" s="7"/>
    </row>
    <row r="3" spans="1:12" x14ac:dyDescent="0.3">
      <c r="A3" s="6">
        <v>1</v>
      </c>
      <c r="B3" s="2">
        <v>4</v>
      </c>
      <c r="C3" s="2">
        <v>23</v>
      </c>
      <c r="D3" s="2" t="s">
        <v>10</v>
      </c>
      <c r="E3" s="7">
        <v>29</v>
      </c>
      <c r="G3" s="6">
        <v>2</v>
      </c>
      <c r="H3" s="2" t="s">
        <v>1</v>
      </c>
      <c r="I3" s="2">
        <v>33.03</v>
      </c>
      <c r="J3" s="2">
        <v>-94.21</v>
      </c>
      <c r="K3" s="2"/>
      <c r="L3" s="7">
        <v>1567</v>
      </c>
    </row>
    <row r="4" spans="1:12" x14ac:dyDescent="0.3">
      <c r="A4" s="6">
        <v>1</v>
      </c>
      <c r="B4" s="2">
        <v>7</v>
      </c>
      <c r="C4" s="2">
        <v>10</v>
      </c>
      <c r="D4" s="2" t="s">
        <v>10</v>
      </c>
      <c r="E4" s="7">
        <v>84</v>
      </c>
      <c r="G4" s="6">
        <v>3</v>
      </c>
      <c r="H4" s="2" t="s">
        <v>2</v>
      </c>
      <c r="I4" s="2">
        <v>43.99</v>
      </c>
      <c r="J4" s="2">
        <v>-103.44</v>
      </c>
      <c r="K4" s="2"/>
      <c r="L4" s="7">
        <v>1464</v>
      </c>
    </row>
    <row r="5" spans="1:12" x14ac:dyDescent="0.3">
      <c r="A5" s="6">
        <v>2</v>
      </c>
      <c r="B5" s="2">
        <v>4</v>
      </c>
      <c r="C5" s="2">
        <v>9</v>
      </c>
      <c r="D5" s="2" t="s">
        <v>11</v>
      </c>
      <c r="E5" s="7">
        <v>26</v>
      </c>
      <c r="G5" s="6">
        <v>4</v>
      </c>
      <c r="H5" s="2" t="s">
        <v>3</v>
      </c>
      <c r="I5" s="2">
        <v>30.09</v>
      </c>
      <c r="J5" s="2">
        <v>-94.68</v>
      </c>
      <c r="K5" s="2"/>
      <c r="L5" s="7">
        <v>1364</v>
      </c>
    </row>
    <row r="6" spans="1:12" x14ac:dyDescent="0.3">
      <c r="A6" s="6">
        <v>2</v>
      </c>
      <c r="B6" s="2">
        <v>6</v>
      </c>
      <c r="C6" s="2">
        <v>14</v>
      </c>
      <c r="D6" s="2" t="s">
        <v>12</v>
      </c>
      <c r="E6" s="7">
        <v>25</v>
      </c>
      <c r="G6" s="6">
        <v>5</v>
      </c>
      <c r="H6" s="2" t="s">
        <v>4</v>
      </c>
      <c r="I6" s="2">
        <v>37.64</v>
      </c>
      <c r="J6" s="2">
        <v>-107.51</v>
      </c>
      <c r="K6" s="2"/>
      <c r="L6" s="7">
        <v>1976</v>
      </c>
    </row>
    <row r="7" spans="1:12" x14ac:dyDescent="0.3">
      <c r="A7" s="6">
        <v>2</v>
      </c>
      <c r="B7" s="2">
        <v>7</v>
      </c>
      <c r="C7" s="2">
        <v>8</v>
      </c>
      <c r="D7" s="2" t="s">
        <v>13</v>
      </c>
      <c r="E7" s="7">
        <v>95</v>
      </c>
      <c r="G7" s="6">
        <v>6</v>
      </c>
      <c r="H7" s="2" t="s">
        <v>5</v>
      </c>
      <c r="I7" s="2">
        <v>41.57</v>
      </c>
      <c r="J7" s="2">
        <v>-100.97</v>
      </c>
      <c r="K7" s="2"/>
      <c r="L7" s="7">
        <v>1591</v>
      </c>
    </row>
    <row r="8" spans="1:12" ht="15" thickBot="1" x14ac:dyDescent="0.35">
      <c r="A8" s="6">
        <v>3</v>
      </c>
      <c r="B8" s="2">
        <v>1</v>
      </c>
      <c r="C8" s="2">
        <v>7</v>
      </c>
      <c r="D8" s="2" t="s">
        <v>10</v>
      </c>
      <c r="E8" s="7">
        <v>102</v>
      </c>
      <c r="G8" s="8">
        <v>7</v>
      </c>
      <c r="H8" s="9" t="s">
        <v>6</v>
      </c>
      <c r="I8" s="9">
        <v>42.29</v>
      </c>
      <c r="J8" s="9">
        <v>-102.11</v>
      </c>
      <c r="K8" s="9"/>
      <c r="L8" s="10">
        <v>1833</v>
      </c>
    </row>
    <row r="9" spans="1:12" ht="15" thickBot="1" x14ac:dyDescent="0.35">
      <c r="A9" s="6">
        <v>3</v>
      </c>
      <c r="B9" s="2">
        <v>2</v>
      </c>
      <c r="C9" s="2">
        <v>11</v>
      </c>
      <c r="D9" s="2" t="s">
        <v>11</v>
      </c>
      <c r="E9" s="7">
        <v>86</v>
      </c>
    </row>
    <row r="10" spans="1:12" x14ac:dyDescent="0.3">
      <c r="A10" s="6">
        <v>3</v>
      </c>
      <c r="B10" s="2">
        <v>6</v>
      </c>
      <c r="C10" s="2">
        <v>19</v>
      </c>
      <c r="D10" s="2" t="s">
        <v>10</v>
      </c>
      <c r="E10" s="7">
        <v>94</v>
      </c>
      <c r="H10" s="16" t="s">
        <v>25</v>
      </c>
      <c r="I10" s="16" t="s">
        <v>26</v>
      </c>
      <c r="K10" s="14" t="s">
        <v>27</v>
      </c>
      <c r="L10" s="15" t="s">
        <v>26</v>
      </c>
    </row>
    <row r="11" spans="1:12" x14ac:dyDescent="0.3">
      <c r="A11" s="6">
        <v>4</v>
      </c>
      <c r="B11" s="2">
        <v>1</v>
      </c>
      <c r="C11" s="2">
        <v>16</v>
      </c>
      <c r="D11" s="2" t="s">
        <v>12</v>
      </c>
      <c r="E11" s="7">
        <v>74</v>
      </c>
      <c r="H11" s="2" t="s">
        <v>9</v>
      </c>
      <c r="I11" s="2">
        <v>1</v>
      </c>
      <c r="K11" s="6">
        <v>34</v>
      </c>
      <c r="L11" s="7">
        <f>IF(K11&gt;=70,1,0)</f>
        <v>0</v>
      </c>
    </row>
    <row r="12" spans="1:12" x14ac:dyDescent="0.3">
      <c r="A12" s="6">
        <v>4</v>
      </c>
      <c r="B12" s="2">
        <v>2</v>
      </c>
      <c r="C12" s="2">
        <v>14</v>
      </c>
      <c r="D12" s="2" t="s">
        <v>10</v>
      </c>
      <c r="E12" s="7">
        <v>82</v>
      </c>
      <c r="H12" s="2" t="s">
        <v>10</v>
      </c>
      <c r="I12" s="2">
        <v>1</v>
      </c>
      <c r="K12" s="6">
        <v>29</v>
      </c>
      <c r="L12" s="7">
        <f t="shared" ref="L12:L34" si="0">IF(K12&gt;=70,1,0)</f>
        <v>0</v>
      </c>
    </row>
    <row r="13" spans="1:12" x14ac:dyDescent="0.3">
      <c r="A13" s="6">
        <v>4</v>
      </c>
      <c r="B13" s="2">
        <v>3</v>
      </c>
      <c r="C13" s="2">
        <v>13</v>
      </c>
      <c r="D13" s="2" t="s">
        <v>14</v>
      </c>
      <c r="E13" s="7">
        <v>79</v>
      </c>
      <c r="H13" s="2" t="s">
        <v>11</v>
      </c>
      <c r="I13" s="2">
        <v>0</v>
      </c>
      <c r="K13" s="6">
        <v>84</v>
      </c>
      <c r="L13" s="7">
        <f t="shared" si="0"/>
        <v>1</v>
      </c>
    </row>
    <row r="14" spans="1:12" x14ac:dyDescent="0.3">
      <c r="A14" s="6">
        <v>4</v>
      </c>
      <c r="B14" s="2">
        <v>5</v>
      </c>
      <c r="C14" s="2">
        <v>18</v>
      </c>
      <c r="D14" s="2" t="s">
        <v>13</v>
      </c>
      <c r="E14" s="7">
        <v>95</v>
      </c>
      <c r="H14" s="2" t="s">
        <v>12</v>
      </c>
      <c r="I14" s="2">
        <v>1</v>
      </c>
      <c r="K14" s="6">
        <v>26</v>
      </c>
      <c r="L14" s="7">
        <f t="shared" si="0"/>
        <v>0</v>
      </c>
    </row>
    <row r="15" spans="1:12" x14ac:dyDescent="0.3">
      <c r="A15" s="6">
        <v>5</v>
      </c>
      <c r="B15" s="2">
        <v>3</v>
      </c>
      <c r="C15" s="2">
        <v>11</v>
      </c>
      <c r="D15" s="2" t="s">
        <v>10</v>
      </c>
      <c r="E15" s="7">
        <v>85</v>
      </c>
      <c r="H15" s="2" t="s">
        <v>13</v>
      </c>
      <c r="I15" s="2">
        <v>1</v>
      </c>
      <c r="K15" s="6">
        <v>25</v>
      </c>
      <c r="L15" s="7">
        <f t="shared" si="0"/>
        <v>0</v>
      </c>
    </row>
    <row r="16" spans="1:12" x14ac:dyDescent="0.3">
      <c r="A16" s="6">
        <v>5</v>
      </c>
      <c r="B16" s="2">
        <v>4</v>
      </c>
      <c r="C16" s="2">
        <v>16</v>
      </c>
      <c r="D16" s="2" t="s">
        <v>11</v>
      </c>
      <c r="E16" s="7">
        <v>99</v>
      </c>
      <c r="H16" s="2" t="s">
        <v>15</v>
      </c>
      <c r="I16" s="2">
        <v>0</v>
      </c>
      <c r="K16" s="6">
        <v>95</v>
      </c>
      <c r="L16" s="7">
        <f t="shared" si="0"/>
        <v>1</v>
      </c>
    </row>
    <row r="17" spans="1:12" x14ac:dyDescent="0.3">
      <c r="A17" s="6">
        <v>5</v>
      </c>
      <c r="B17" s="2">
        <v>6</v>
      </c>
      <c r="C17" s="2">
        <v>15</v>
      </c>
      <c r="D17" s="2" t="s">
        <v>12</v>
      </c>
      <c r="E17" s="7">
        <v>102</v>
      </c>
      <c r="H17" s="2" t="s">
        <v>14</v>
      </c>
      <c r="I17" s="2">
        <v>1</v>
      </c>
      <c r="K17" s="6">
        <v>102</v>
      </c>
      <c r="L17" s="7">
        <f t="shared" si="0"/>
        <v>1</v>
      </c>
    </row>
    <row r="18" spans="1:12" x14ac:dyDescent="0.3">
      <c r="A18" s="6">
        <v>5</v>
      </c>
      <c r="B18" s="2">
        <v>7</v>
      </c>
      <c r="C18" s="2">
        <v>8</v>
      </c>
      <c r="D18" s="2" t="s">
        <v>12</v>
      </c>
      <c r="E18" s="7">
        <v>89</v>
      </c>
      <c r="K18" s="6">
        <v>86</v>
      </c>
      <c r="L18" s="7">
        <f t="shared" si="0"/>
        <v>1</v>
      </c>
    </row>
    <row r="19" spans="1:12" x14ac:dyDescent="0.3">
      <c r="A19" s="6">
        <v>6</v>
      </c>
      <c r="B19" s="2">
        <v>3</v>
      </c>
      <c r="C19" s="2">
        <v>23</v>
      </c>
      <c r="D19" s="2" t="s">
        <v>13</v>
      </c>
      <c r="E19" s="7">
        <v>100</v>
      </c>
      <c r="K19" s="6">
        <v>94</v>
      </c>
      <c r="L19" s="7">
        <f t="shared" si="0"/>
        <v>1</v>
      </c>
    </row>
    <row r="20" spans="1:12" x14ac:dyDescent="0.3">
      <c r="A20" s="6">
        <v>6</v>
      </c>
      <c r="B20" s="2">
        <v>4</v>
      </c>
      <c r="C20" s="2">
        <v>5</v>
      </c>
      <c r="D20" s="2" t="s">
        <v>13</v>
      </c>
      <c r="E20" s="7">
        <v>83</v>
      </c>
      <c r="K20" s="6">
        <v>74</v>
      </c>
      <c r="L20" s="7">
        <f t="shared" si="0"/>
        <v>1</v>
      </c>
    </row>
    <row r="21" spans="1:12" x14ac:dyDescent="0.3">
      <c r="A21" s="6">
        <v>6</v>
      </c>
      <c r="B21" s="2">
        <v>7</v>
      </c>
      <c r="C21" s="2">
        <v>12</v>
      </c>
      <c r="D21" s="2" t="s">
        <v>10</v>
      </c>
      <c r="E21" s="7">
        <v>83</v>
      </c>
      <c r="K21" s="6">
        <v>82</v>
      </c>
      <c r="L21" s="7">
        <f t="shared" si="0"/>
        <v>1</v>
      </c>
    </row>
    <row r="22" spans="1:12" x14ac:dyDescent="0.3">
      <c r="A22" s="6">
        <v>7</v>
      </c>
      <c r="B22" s="2">
        <v>1</v>
      </c>
      <c r="C22" s="2">
        <v>15</v>
      </c>
      <c r="D22" s="2" t="s">
        <v>11</v>
      </c>
      <c r="E22" s="7">
        <v>44</v>
      </c>
      <c r="K22" s="6">
        <v>79</v>
      </c>
      <c r="L22" s="7">
        <f t="shared" si="0"/>
        <v>1</v>
      </c>
    </row>
    <row r="23" spans="1:12" x14ac:dyDescent="0.3">
      <c r="A23" s="6">
        <v>7</v>
      </c>
      <c r="B23" s="2">
        <v>3</v>
      </c>
      <c r="C23" s="2">
        <v>6</v>
      </c>
      <c r="D23" s="2" t="s">
        <v>11</v>
      </c>
      <c r="E23" s="7">
        <v>78</v>
      </c>
      <c r="K23" s="6">
        <v>95</v>
      </c>
      <c r="L23" s="7">
        <f t="shared" si="0"/>
        <v>1</v>
      </c>
    </row>
    <row r="24" spans="1:12" x14ac:dyDescent="0.3">
      <c r="A24" s="6">
        <v>7</v>
      </c>
      <c r="B24" s="2">
        <v>4</v>
      </c>
      <c r="C24" s="2">
        <v>6</v>
      </c>
      <c r="D24" s="2" t="s">
        <v>15</v>
      </c>
      <c r="E24" s="7">
        <v>77</v>
      </c>
      <c r="K24" s="6">
        <v>85</v>
      </c>
      <c r="L24" s="7">
        <f t="shared" si="0"/>
        <v>1</v>
      </c>
    </row>
    <row r="25" spans="1:12" ht="15" thickBot="1" x14ac:dyDescent="0.35">
      <c r="A25" s="8">
        <v>7</v>
      </c>
      <c r="B25" s="9">
        <v>6</v>
      </c>
      <c r="C25" s="9">
        <v>6</v>
      </c>
      <c r="D25" s="9" t="s">
        <v>12</v>
      </c>
      <c r="E25" s="10">
        <v>32</v>
      </c>
      <c r="K25" s="6">
        <v>99</v>
      </c>
      <c r="L25" s="7">
        <f t="shared" si="0"/>
        <v>1</v>
      </c>
    </row>
    <row r="26" spans="1:12" x14ac:dyDescent="0.3">
      <c r="K26" s="6">
        <v>102</v>
      </c>
      <c r="L26" s="7">
        <f t="shared" si="0"/>
        <v>1</v>
      </c>
    </row>
    <row r="27" spans="1:12" x14ac:dyDescent="0.3">
      <c r="K27" s="6">
        <v>89</v>
      </c>
      <c r="L27" s="7">
        <f t="shared" si="0"/>
        <v>1</v>
      </c>
    </row>
    <row r="28" spans="1:12" x14ac:dyDescent="0.3">
      <c r="K28" s="6">
        <v>100</v>
      </c>
      <c r="L28" s="7">
        <f t="shared" si="0"/>
        <v>1</v>
      </c>
    </row>
    <row r="29" spans="1:12" x14ac:dyDescent="0.3">
      <c r="K29" s="6">
        <v>83</v>
      </c>
      <c r="L29" s="7">
        <f t="shared" si="0"/>
        <v>1</v>
      </c>
    </row>
    <row r="30" spans="1:12" x14ac:dyDescent="0.3">
      <c r="K30" s="6">
        <v>83</v>
      </c>
      <c r="L30" s="7">
        <f t="shared" si="0"/>
        <v>1</v>
      </c>
    </row>
    <row r="31" spans="1:12" x14ac:dyDescent="0.3">
      <c r="K31" s="6">
        <v>44</v>
      </c>
      <c r="L31" s="7">
        <f t="shared" si="0"/>
        <v>0</v>
      </c>
    </row>
    <row r="32" spans="1:12" x14ac:dyDescent="0.3">
      <c r="K32" s="6">
        <v>78</v>
      </c>
      <c r="L32" s="7">
        <f t="shared" si="0"/>
        <v>1</v>
      </c>
    </row>
    <row r="33" spans="11:12" x14ac:dyDescent="0.3">
      <c r="K33" s="6">
        <v>77</v>
      </c>
      <c r="L33" s="7">
        <f t="shared" si="0"/>
        <v>1</v>
      </c>
    </row>
    <row r="34" spans="11:12" ht="15" thickBot="1" x14ac:dyDescent="0.35">
      <c r="K34" s="8">
        <v>32</v>
      </c>
      <c r="L34" s="10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8441-5F37-4FC4-B223-C85899218CDA}">
  <dimension ref="B2:H29"/>
  <sheetViews>
    <sheetView workbookViewId="0">
      <selection activeCell="O20" sqref="O20"/>
    </sheetView>
  </sheetViews>
  <sheetFormatPr defaultRowHeight="14.4" x14ac:dyDescent="0.3"/>
  <cols>
    <col min="8" max="8" width="15.44140625" bestFit="1" customWidth="1"/>
  </cols>
  <sheetData>
    <row r="2" spans="2:8" ht="15" thickBot="1" x14ac:dyDescent="0.35"/>
    <row r="3" spans="2:8" x14ac:dyDescent="0.3">
      <c r="B3" s="14" t="s">
        <v>28</v>
      </c>
      <c r="C3" s="17" t="s">
        <v>34</v>
      </c>
      <c r="D3" s="17" t="s">
        <v>29</v>
      </c>
      <c r="E3" s="17" t="s">
        <v>30</v>
      </c>
      <c r="F3" s="17" t="s">
        <v>31</v>
      </c>
      <c r="G3" s="17" t="s">
        <v>32</v>
      </c>
      <c r="H3" s="15" t="s">
        <v>33</v>
      </c>
    </row>
    <row r="4" spans="2:8" x14ac:dyDescent="0.3">
      <c r="B4" s="24">
        <v>1</v>
      </c>
      <c r="C4" s="25">
        <v>2</v>
      </c>
      <c r="D4" s="19">
        <f>_xlfn.XLOOKUP(B4,Information!$G$2:$G$8,Information!$I$2:$I$8)</f>
        <v>37.5</v>
      </c>
      <c r="E4" s="19">
        <f>_xlfn.XLOOKUP(B4,Information!$G$2:$G$8,Information!$J$2:$J$8)</f>
        <v>-102.5</v>
      </c>
      <c r="F4" s="19">
        <f>_xlfn.XLOOKUP(C4,Information!$G$2:$G$8,Information!$I$2:$I$8)</f>
        <v>33.03</v>
      </c>
      <c r="G4" s="19">
        <f>_xlfn.XLOOKUP(C4,Information!$G$2:$G$8,Information!$J$2:$J$8)</f>
        <v>-94.21</v>
      </c>
      <c r="H4" s="20">
        <f>SQRT((F4-D4)^2+(G4-E4)^2)</f>
        <v>9.4183331858668122</v>
      </c>
    </row>
    <row r="5" spans="2:8" x14ac:dyDescent="0.3">
      <c r="B5" s="24">
        <v>1</v>
      </c>
      <c r="C5" s="25">
        <v>4</v>
      </c>
      <c r="D5" s="19">
        <f>_xlfn.XLOOKUP(B5,Information!$G$2:$G$8,Information!$I$2:$I$8)</f>
        <v>37.5</v>
      </c>
      <c r="E5" s="19">
        <f>_xlfn.XLOOKUP(B5,Information!$G$2:$G$8,Information!$J$2:$J$8)</f>
        <v>-102.5</v>
      </c>
      <c r="F5" s="19">
        <f>_xlfn.XLOOKUP(C5,Information!$G$2:$G$8,Information!$I$2:$I$8)</f>
        <v>30.09</v>
      </c>
      <c r="G5" s="19">
        <f>_xlfn.XLOOKUP(C5,Information!$G$2:$G$8,Information!$J$2:$J$8)</f>
        <v>-94.68</v>
      </c>
      <c r="H5" s="20">
        <f t="shared" ref="H5:H27" si="0">SQRT((F5-D5)^2+(G5-E5)^2)</f>
        <v>10.773137890141381</v>
      </c>
    </row>
    <row r="6" spans="2:8" x14ac:dyDescent="0.3">
      <c r="B6" s="24">
        <v>1</v>
      </c>
      <c r="C6" s="25">
        <v>7</v>
      </c>
      <c r="D6" s="19">
        <f>_xlfn.XLOOKUP(B6,Information!$G$2:$G$8,Information!$I$2:$I$8)</f>
        <v>37.5</v>
      </c>
      <c r="E6" s="19">
        <f>_xlfn.XLOOKUP(B6,Information!$G$2:$G$8,Information!$J$2:$J$8)</f>
        <v>-102.5</v>
      </c>
      <c r="F6" s="19">
        <f>_xlfn.XLOOKUP(C6,Information!$G$2:$G$8,Information!$I$2:$I$8)</f>
        <v>42.29</v>
      </c>
      <c r="G6" s="19">
        <f>_xlfn.XLOOKUP(C6,Information!$G$2:$G$8,Information!$J$2:$J$8)</f>
        <v>-102.11</v>
      </c>
      <c r="H6" s="20">
        <f t="shared" si="0"/>
        <v>4.8058506010902997</v>
      </c>
    </row>
    <row r="7" spans="2:8" x14ac:dyDescent="0.3">
      <c r="B7" s="24">
        <v>2</v>
      </c>
      <c r="C7" s="25">
        <v>4</v>
      </c>
      <c r="D7" s="19">
        <f>_xlfn.XLOOKUP(B7,Information!$G$2:$G$8,Information!$I$2:$I$8)</f>
        <v>33.03</v>
      </c>
      <c r="E7" s="19">
        <f>_xlfn.XLOOKUP(B7,Information!$G$2:$G$8,Information!$J$2:$J$8)</f>
        <v>-94.21</v>
      </c>
      <c r="F7" s="19">
        <f>_xlfn.XLOOKUP(C7,Information!$G$2:$G$8,Information!$I$2:$I$8)</f>
        <v>30.09</v>
      </c>
      <c r="G7" s="19">
        <f>_xlfn.XLOOKUP(C7,Information!$G$2:$G$8,Information!$J$2:$J$8)</f>
        <v>-94.68</v>
      </c>
      <c r="H7" s="20">
        <f t="shared" si="0"/>
        <v>2.9773310195542622</v>
      </c>
    </row>
    <row r="8" spans="2:8" x14ac:dyDescent="0.3">
      <c r="B8" s="24">
        <v>2</v>
      </c>
      <c r="C8" s="25">
        <v>6</v>
      </c>
      <c r="D8" s="19">
        <f>_xlfn.XLOOKUP(B8,Information!$G$2:$G$8,Information!$I$2:$I$8)</f>
        <v>33.03</v>
      </c>
      <c r="E8" s="19">
        <f>_xlfn.XLOOKUP(B8,Information!$G$2:$G$8,Information!$J$2:$J$8)</f>
        <v>-94.21</v>
      </c>
      <c r="F8" s="19">
        <f>_xlfn.XLOOKUP(C8,Information!$G$2:$G$8,Information!$I$2:$I$8)</f>
        <v>41.57</v>
      </c>
      <c r="G8" s="19">
        <f>_xlfn.XLOOKUP(C8,Information!$G$2:$G$8,Information!$J$2:$J$8)</f>
        <v>-100.97</v>
      </c>
      <c r="H8" s="20">
        <f t="shared" si="0"/>
        <v>10.891703264411865</v>
      </c>
    </row>
    <row r="9" spans="2:8" x14ac:dyDescent="0.3">
      <c r="B9" s="24">
        <v>2</v>
      </c>
      <c r="C9" s="25">
        <v>7</v>
      </c>
      <c r="D9" s="19">
        <f>_xlfn.XLOOKUP(B9,Information!$G$2:$G$8,Information!$I$2:$I$8)</f>
        <v>33.03</v>
      </c>
      <c r="E9" s="19">
        <f>_xlfn.XLOOKUP(B9,Information!$G$2:$G$8,Information!$J$2:$J$8)</f>
        <v>-94.21</v>
      </c>
      <c r="F9" s="19">
        <f>_xlfn.XLOOKUP(C9,Information!$G$2:$G$8,Information!$I$2:$I$8)</f>
        <v>42.29</v>
      </c>
      <c r="G9" s="19">
        <f>_xlfn.XLOOKUP(C9,Information!$G$2:$G$8,Information!$J$2:$J$8)</f>
        <v>-102.11</v>
      </c>
      <c r="H9" s="20">
        <f t="shared" si="0"/>
        <v>12.172000657246123</v>
      </c>
    </row>
    <row r="10" spans="2:8" x14ac:dyDescent="0.3">
      <c r="B10" s="24">
        <v>3</v>
      </c>
      <c r="C10" s="25">
        <v>1</v>
      </c>
      <c r="D10" s="19">
        <f>_xlfn.XLOOKUP(B10,Information!$G$2:$G$8,Information!$I$2:$I$8)</f>
        <v>43.99</v>
      </c>
      <c r="E10" s="19">
        <f>_xlfn.XLOOKUP(B10,Information!$G$2:$G$8,Information!$J$2:$J$8)</f>
        <v>-103.44</v>
      </c>
      <c r="F10" s="19">
        <f>_xlfn.XLOOKUP(C10,Information!$G$2:$G$8,Information!$I$2:$I$8)</f>
        <v>37.5</v>
      </c>
      <c r="G10" s="19">
        <f>_xlfn.XLOOKUP(C10,Information!$G$2:$G$8,Information!$J$2:$J$8)</f>
        <v>-102.5</v>
      </c>
      <c r="H10" s="20">
        <f t="shared" si="0"/>
        <v>6.5577206405884674</v>
      </c>
    </row>
    <row r="11" spans="2:8" x14ac:dyDescent="0.3">
      <c r="B11" s="24">
        <v>3</v>
      </c>
      <c r="C11" s="25">
        <v>2</v>
      </c>
      <c r="D11" s="19">
        <f>_xlfn.XLOOKUP(B11,Information!$G$2:$G$8,Information!$I$2:$I$8)</f>
        <v>43.99</v>
      </c>
      <c r="E11" s="19">
        <f>_xlfn.XLOOKUP(B11,Information!$G$2:$G$8,Information!$J$2:$J$8)</f>
        <v>-103.44</v>
      </c>
      <c r="F11" s="19">
        <f>_xlfn.XLOOKUP(C11,Information!$G$2:$G$8,Information!$I$2:$I$8)</f>
        <v>33.03</v>
      </c>
      <c r="G11" s="19">
        <f>_xlfn.XLOOKUP(C11,Information!$G$2:$G$8,Information!$J$2:$J$8)</f>
        <v>-94.21</v>
      </c>
      <c r="H11" s="20">
        <f t="shared" si="0"/>
        <v>14.32879967059349</v>
      </c>
    </row>
    <row r="12" spans="2:8" x14ac:dyDescent="0.3">
      <c r="B12" s="24">
        <v>3</v>
      </c>
      <c r="C12" s="25">
        <v>6</v>
      </c>
      <c r="D12" s="19">
        <f>_xlfn.XLOOKUP(B12,Information!$G$2:$G$8,Information!$I$2:$I$8)</f>
        <v>43.99</v>
      </c>
      <c r="E12" s="19">
        <f>_xlfn.XLOOKUP(B12,Information!$G$2:$G$8,Information!$J$2:$J$8)</f>
        <v>-103.44</v>
      </c>
      <c r="F12" s="19">
        <f>_xlfn.XLOOKUP(C12,Information!$G$2:$G$8,Information!$I$2:$I$8)</f>
        <v>41.57</v>
      </c>
      <c r="G12" s="19">
        <f>_xlfn.XLOOKUP(C12,Information!$G$2:$G$8,Information!$J$2:$J$8)</f>
        <v>-100.97</v>
      </c>
      <c r="H12" s="20">
        <f t="shared" si="0"/>
        <v>3.4579329085452195</v>
      </c>
    </row>
    <row r="13" spans="2:8" x14ac:dyDescent="0.3">
      <c r="B13" s="24">
        <v>4</v>
      </c>
      <c r="C13" s="25">
        <v>1</v>
      </c>
      <c r="D13" s="19">
        <f>_xlfn.XLOOKUP(B13,Information!$G$2:$G$8,Information!$I$2:$I$8)</f>
        <v>30.09</v>
      </c>
      <c r="E13" s="19">
        <f>_xlfn.XLOOKUP(B13,Information!$G$2:$G$8,Information!$J$2:$J$8)</f>
        <v>-94.68</v>
      </c>
      <c r="F13" s="19">
        <f>_xlfn.XLOOKUP(C13,Information!$G$2:$G$8,Information!$I$2:$I$8)</f>
        <v>37.5</v>
      </c>
      <c r="G13" s="19">
        <f>_xlfn.XLOOKUP(C13,Information!$G$2:$G$8,Information!$J$2:$J$8)</f>
        <v>-102.5</v>
      </c>
      <c r="H13" s="20">
        <f t="shared" si="0"/>
        <v>10.773137890141381</v>
      </c>
    </row>
    <row r="14" spans="2:8" x14ac:dyDescent="0.3">
      <c r="B14" s="24">
        <v>4</v>
      </c>
      <c r="C14" s="25">
        <v>2</v>
      </c>
      <c r="D14" s="19">
        <f>_xlfn.XLOOKUP(B14,Information!$G$2:$G$8,Information!$I$2:$I$8)</f>
        <v>30.09</v>
      </c>
      <c r="E14" s="19">
        <f>_xlfn.XLOOKUP(B14,Information!$G$2:$G$8,Information!$J$2:$J$8)</f>
        <v>-94.68</v>
      </c>
      <c r="F14" s="19">
        <f>_xlfn.XLOOKUP(C14,Information!$G$2:$G$8,Information!$I$2:$I$8)</f>
        <v>33.03</v>
      </c>
      <c r="G14" s="19">
        <f>_xlfn.XLOOKUP(C14,Information!$G$2:$G$8,Information!$J$2:$J$8)</f>
        <v>-94.21</v>
      </c>
      <c r="H14" s="20">
        <f t="shared" si="0"/>
        <v>2.9773310195542622</v>
      </c>
    </row>
    <row r="15" spans="2:8" x14ac:dyDescent="0.3">
      <c r="B15" s="24">
        <v>4</v>
      </c>
      <c r="C15" s="25">
        <v>3</v>
      </c>
      <c r="D15" s="19">
        <f>_xlfn.XLOOKUP(B15,Information!$G$2:$G$8,Information!$I$2:$I$8)</f>
        <v>30.09</v>
      </c>
      <c r="E15" s="19">
        <f>_xlfn.XLOOKUP(B15,Information!$G$2:$G$8,Information!$J$2:$J$8)</f>
        <v>-94.68</v>
      </c>
      <c r="F15" s="19">
        <f>_xlfn.XLOOKUP(C15,Information!$G$2:$G$8,Information!$I$2:$I$8)</f>
        <v>43.99</v>
      </c>
      <c r="G15" s="19">
        <f>_xlfn.XLOOKUP(C15,Information!$G$2:$G$8,Information!$J$2:$J$8)</f>
        <v>-103.44</v>
      </c>
      <c r="H15" s="20">
        <f t="shared" si="0"/>
        <v>16.430082166562645</v>
      </c>
    </row>
    <row r="16" spans="2:8" x14ac:dyDescent="0.3">
      <c r="B16" s="24">
        <v>4</v>
      </c>
      <c r="C16" s="25">
        <v>5</v>
      </c>
      <c r="D16" s="19">
        <f>_xlfn.XLOOKUP(B16,Information!$G$2:$G$8,Information!$I$2:$I$8)</f>
        <v>30.09</v>
      </c>
      <c r="E16" s="19">
        <f>_xlfn.XLOOKUP(B16,Information!$G$2:$G$8,Information!$J$2:$J$8)</f>
        <v>-94.68</v>
      </c>
      <c r="F16" s="19">
        <f>_xlfn.XLOOKUP(C16,Information!$G$2:$G$8,Information!$I$2:$I$8)</f>
        <v>37.64</v>
      </c>
      <c r="G16" s="19">
        <f>_xlfn.XLOOKUP(C16,Information!$G$2:$G$8,Information!$J$2:$J$8)</f>
        <v>-107.51</v>
      </c>
      <c r="H16" s="20">
        <f t="shared" si="0"/>
        <v>14.886618151883924</v>
      </c>
    </row>
    <row r="17" spans="2:8" x14ac:dyDescent="0.3">
      <c r="B17" s="24">
        <v>5</v>
      </c>
      <c r="C17" s="25">
        <v>3</v>
      </c>
      <c r="D17" s="19">
        <f>_xlfn.XLOOKUP(B17,Information!$G$2:$G$8,Information!$I$2:$I$8)</f>
        <v>37.64</v>
      </c>
      <c r="E17" s="19">
        <f>_xlfn.XLOOKUP(B17,Information!$G$2:$G$8,Information!$J$2:$J$8)</f>
        <v>-107.51</v>
      </c>
      <c r="F17" s="19">
        <f>_xlfn.XLOOKUP(C17,Information!$G$2:$G$8,Information!$I$2:$I$8)</f>
        <v>43.99</v>
      </c>
      <c r="G17" s="19">
        <f>_xlfn.XLOOKUP(C17,Information!$G$2:$G$8,Information!$J$2:$J$8)</f>
        <v>-103.44</v>
      </c>
      <c r="H17" s="20">
        <f t="shared" si="0"/>
        <v>7.5423736316891707</v>
      </c>
    </row>
    <row r="18" spans="2:8" x14ac:dyDescent="0.3">
      <c r="B18" s="24">
        <v>5</v>
      </c>
      <c r="C18" s="25">
        <v>4</v>
      </c>
      <c r="D18" s="19">
        <f>_xlfn.XLOOKUP(B18,Information!$G$2:$G$8,Information!$I$2:$I$8)</f>
        <v>37.64</v>
      </c>
      <c r="E18" s="19">
        <f>_xlfn.XLOOKUP(B18,Information!$G$2:$G$8,Information!$J$2:$J$8)</f>
        <v>-107.51</v>
      </c>
      <c r="F18" s="19">
        <f>_xlfn.XLOOKUP(C18,Information!$G$2:$G$8,Information!$I$2:$I$8)</f>
        <v>30.09</v>
      </c>
      <c r="G18" s="19">
        <f>_xlfn.XLOOKUP(C18,Information!$G$2:$G$8,Information!$J$2:$J$8)</f>
        <v>-94.68</v>
      </c>
      <c r="H18" s="20">
        <f t="shared" si="0"/>
        <v>14.886618151883924</v>
      </c>
    </row>
    <row r="19" spans="2:8" x14ac:dyDescent="0.3">
      <c r="B19" s="24">
        <v>5</v>
      </c>
      <c r="C19" s="25">
        <v>6</v>
      </c>
      <c r="D19" s="19">
        <f>_xlfn.XLOOKUP(B19,Information!$G$2:$G$8,Information!$I$2:$I$8)</f>
        <v>37.64</v>
      </c>
      <c r="E19" s="19">
        <f>_xlfn.XLOOKUP(B19,Information!$G$2:$G$8,Information!$J$2:$J$8)</f>
        <v>-107.51</v>
      </c>
      <c r="F19" s="19">
        <f>_xlfn.XLOOKUP(C19,Information!$G$2:$G$8,Information!$I$2:$I$8)</f>
        <v>41.57</v>
      </c>
      <c r="G19" s="19">
        <f>_xlfn.XLOOKUP(C19,Information!$G$2:$G$8,Information!$J$2:$J$8)</f>
        <v>-100.97</v>
      </c>
      <c r="H19" s="20">
        <f t="shared" si="0"/>
        <v>7.6299737876351896</v>
      </c>
    </row>
    <row r="20" spans="2:8" x14ac:dyDescent="0.3">
      <c r="B20" s="24">
        <v>5</v>
      </c>
      <c r="C20" s="25">
        <v>7</v>
      </c>
      <c r="D20" s="19">
        <f>_xlfn.XLOOKUP(B20,Information!$G$2:$G$8,Information!$I$2:$I$8)</f>
        <v>37.64</v>
      </c>
      <c r="E20" s="19">
        <f>_xlfn.XLOOKUP(B20,Information!$G$2:$G$8,Information!$J$2:$J$8)</f>
        <v>-107.51</v>
      </c>
      <c r="F20" s="19">
        <f>_xlfn.XLOOKUP(C20,Information!$G$2:$G$8,Information!$I$2:$I$8)</f>
        <v>42.29</v>
      </c>
      <c r="G20" s="19">
        <f>_xlfn.XLOOKUP(C20,Information!$G$2:$G$8,Information!$J$2:$J$8)</f>
        <v>-102.11</v>
      </c>
      <c r="H20" s="20">
        <f t="shared" si="0"/>
        <v>7.126184112131825</v>
      </c>
    </row>
    <row r="21" spans="2:8" x14ac:dyDescent="0.3">
      <c r="B21" s="24">
        <v>6</v>
      </c>
      <c r="C21" s="25">
        <v>3</v>
      </c>
      <c r="D21" s="19">
        <f>_xlfn.XLOOKUP(B21,Information!$G$2:$G$8,Information!$I$2:$I$8)</f>
        <v>41.57</v>
      </c>
      <c r="E21" s="19">
        <f>_xlfn.XLOOKUP(B21,Information!$G$2:$G$8,Information!$J$2:$J$8)</f>
        <v>-100.97</v>
      </c>
      <c r="F21" s="19">
        <f>_xlfn.XLOOKUP(C21,Information!$G$2:$G$8,Information!$I$2:$I$8)</f>
        <v>43.99</v>
      </c>
      <c r="G21" s="19">
        <f>_xlfn.XLOOKUP(C21,Information!$G$2:$G$8,Information!$J$2:$J$8)</f>
        <v>-103.44</v>
      </c>
      <c r="H21" s="20">
        <f t="shared" si="0"/>
        <v>3.4579329085452195</v>
      </c>
    </row>
    <row r="22" spans="2:8" x14ac:dyDescent="0.3">
      <c r="B22" s="24">
        <v>6</v>
      </c>
      <c r="C22" s="25">
        <v>4</v>
      </c>
      <c r="D22" s="19">
        <f>_xlfn.XLOOKUP(B22,Information!$G$2:$G$8,Information!$I$2:$I$8)</f>
        <v>41.57</v>
      </c>
      <c r="E22" s="19">
        <f>_xlfn.XLOOKUP(B22,Information!$G$2:$G$8,Information!$J$2:$J$8)</f>
        <v>-100.97</v>
      </c>
      <c r="F22" s="19">
        <f>_xlfn.XLOOKUP(C22,Information!$G$2:$G$8,Information!$I$2:$I$8)</f>
        <v>30.09</v>
      </c>
      <c r="G22" s="19">
        <f>_xlfn.XLOOKUP(C22,Information!$G$2:$G$8,Information!$J$2:$J$8)</f>
        <v>-94.68</v>
      </c>
      <c r="H22" s="20">
        <f t="shared" si="0"/>
        <v>13.09024445913826</v>
      </c>
    </row>
    <row r="23" spans="2:8" x14ac:dyDescent="0.3">
      <c r="B23" s="24">
        <v>6</v>
      </c>
      <c r="C23" s="25">
        <v>7</v>
      </c>
      <c r="D23" s="19">
        <f>_xlfn.XLOOKUP(B23,Information!$G$2:$G$8,Information!$I$2:$I$8)</f>
        <v>41.57</v>
      </c>
      <c r="E23" s="19">
        <f>_xlfn.XLOOKUP(B23,Information!$G$2:$G$8,Information!$J$2:$J$8)</f>
        <v>-100.97</v>
      </c>
      <c r="F23" s="19">
        <f>_xlfn.XLOOKUP(C23,Information!$G$2:$G$8,Information!$I$2:$I$8)</f>
        <v>42.29</v>
      </c>
      <c r="G23" s="19">
        <f>_xlfn.XLOOKUP(C23,Information!$G$2:$G$8,Information!$J$2:$J$8)</f>
        <v>-102.11</v>
      </c>
      <c r="H23" s="20">
        <f t="shared" si="0"/>
        <v>1.3483323032546537</v>
      </c>
    </row>
    <row r="24" spans="2:8" x14ac:dyDescent="0.3">
      <c r="B24" s="24">
        <v>7</v>
      </c>
      <c r="C24" s="25">
        <v>1</v>
      </c>
      <c r="D24" s="19">
        <f>_xlfn.XLOOKUP(B24,Information!$G$2:$G$8,Information!$I$2:$I$8)</f>
        <v>42.29</v>
      </c>
      <c r="E24" s="19">
        <f>_xlfn.XLOOKUP(B24,Information!$G$2:$G$8,Information!$J$2:$J$8)</f>
        <v>-102.11</v>
      </c>
      <c r="F24" s="19">
        <f>_xlfn.XLOOKUP(C24,Information!$G$2:$G$8,Information!$I$2:$I$8)</f>
        <v>37.5</v>
      </c>
      <c r="G24" s="19">
        <f>_xlfn.XLOOKUP(C24,Information!$G$2:$G$8,Information!$J$2:$J$8)</f>
        <v>-102.5</v>
      </c>
      <c r="H24" s="20">
        <f t="shared" si="0"/>
        <v>4.8058506010902997</v>
      </c>
    </row>
    <row r="25" spans="2:8" x14ac:dyDescent="0.3">
      <c r="B25" s="24">
        <v>7</v>
      </c>
      <c r="C25" s="25">
        <v>3</v>
      </c>
      <c r="D25" s="19">
        <f>_xlfn.XLOOKUP(B25,Information!$G$2:$G$8,Information!$I$2:$I$8)</f>
        <v>42.29</v>
      </c>
      <c r="E25" s="19">
        <f>_xlfn.XLOOKUP(B25,Information!$G$2:$G$8,Information!$J$2:$J$8)</f>
        <v>-102.11</v>
      </c>
      <c r="F25" s="19">
        <f>_xlfn.XLOOKUP(C25,Information!$G$2:$G$8,Information!$I$2:$I$8)</f>
        <v>43.99</v>
      </c>
      <c r="G25" s="19">
        <f>_xlfn.XLOOKUP(C25,Information!$G$2:$G$8,Information!$J$2:$J$8)</f>
        <v>-103.44</v>
      </c>
      <c r="H25" s="20">
        <f t="shared" si="0"/>
        <v>2.1584485168750271</v>
      </c>
    </row>
    <row r="26" spans="2:8" x14ac:dyDescent="0.3">
      <c r="B26" s="24">
        <v>7</v>
      </c>
      <c r="C26" s="25">
        <v>4</v>
      </c>
      <c r="D26" s="19">
        <f>_xlfn.XLOOKUP(B26,Information!$G$2:$G$8,Information!$I$2:$I$8)</f>
        <v>42.29</v>
      </c>
      <c r="E26" s="19">
        <f>_xlfn.XLOOKUP(B26,Information!$G$2:$G$8,Information!$J$2:$J$8)</f>
        <v>-102.11</v>
      </c>
      <c r="F26" s="19">
        <f>_xlfn.XLOOKUP(C26,Information!$G$2:$G$8,Information!$I$2:$I$8)</f>
        <v>30.09</v>
      </c>
      <c r="G26" s="19">
        <f>_xlfn.XLOOKUP(C26,Information!$G$2:$G$8,Information!$J$2:$J$8)</f>
        <v>-94.68</v>
      </c>
      <c r="H26" s="20">
        <f t="shared" si="0"/>
        <v>14.284428585001217</v>
      </c>
    </row>
    <row r="27" spans="2:8" ht="15" thickBot="1" x14ac:dyDescent="0.35">
      <c r="B27" s="26">
        <v>7</v>
      </c>
      <c r="C27" s="27">
        <v>6</v>
      </c>
      <c r="D27" s="22">
        <f>_xlfn.XLOOKUP(B27,Information!$G$2:$G$8,Information!$I$2:$I$8)</f>
        <v>42.29</v>
      </c>
      <c r="E27" s="22">
        <f>_xlfn.XLOOKUP(B27,Information!$G$2:$G$8,Information!$J$2:$J$8)</f>
        <v>-102.11</v>
      </c>
      <c r="F27" s="22">
        <f>_xlfn.XLOOKUP(C27,Information!$G$2:$G$8,Information!$I$2:$I$8)</f>
        <v>41.57</v>
      </c>
      <c r="G27" s="22">
        <f>_xlfn.XLOOKUP(C27,Information!$G$2:$G$8,Information!$J$2:$J$8)</f>
        <v>-100.97</v>
      </c>
      <c r="H27" s="23">
        <f t="shared" si="0"/>
        <v>1.3483323032546537</v>
      </c>
    </row>
    <row r="28" spans="2:8" x14ac:dyDescent="0.3">
      <c r="B28" s="1"/>
      <c r="C28" s="1"/>
    </row>
    <row r="29" spans="2:8" x14ac:dyDescent="0.3">
      <c r="B29" s="1"/>
      <c r="C2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DC506-1F3A-4C89-9B83-0AA9EC0AAA5F}">
  <dimension ref="B3:S31"/>
  <sheetViews>
    <sheetView zoomScale="71" workbookViewId="0">
      <selection activeCell="K35" sqref="K35"/>
    </sheetView>
  </sheetViews>
  <sheetFormatPr defaultRowHeight="14.4" x14ac:dyDescent="0.3"/>
  <cols>
    <col min="5" max="5" width="23.44140625" bestFit="1" customWidth="1"/>
    <col min="6" max="6" width="17.21875" bestFit="1" customWidth="1"/>
    <col min="7" max="7" width="21.6640625" bestFit="1" customWidth="1"/>
    <col min="8" max="8" width="19.21875" bestFit="1" customWidth="1"/>
    <col min="9" max="9" width="12.77734375" hidden="1" customWidth="1"/>
    <col min="10" max="10" width="15.88671875" bestFit="1" customWidth="1"/>
    <col min="13" max="13" width="24.5546875" bestFit="1" customWidth="1"/>
    <col min="14" max="14" width="13.109375" bestFit="1" customWidth="1"/>
    <col min="15" max="15" width="12.21875" bestFit="1" customWidth="1"/>
    <col min="16" max="16" width="11.21875" bestFit="1" customWidth="1"/>
    <col min="17" max="17" width="14.21875" bestFit="1" customWidth="1"/>
    <col min="19" max="19" width="17.33203125" bestFit="1" customWidth="1"/>
  </cols>
  <sheetData>
    <row r="3" spans="2:17" ht="15" thickBot="1" x14ac:dyDescent="0.35"/>
    <row r="4" spans="2:17" x14ac:dyDescent="0.3">
      <c r="B4" s="31" t="s">
        <v>35</v>
      </c>
      <c r="C4" s="29" t="s">
        <v>7</v>
      </c>
      <c r="D4" s="29" t="s">
        <v>8</v>
      </c>
      <c r="E4" s="29" t="s">
        <v>17</v>
      </c>
      <c r="F4" s="29" t="s">
        <v>36</v>
      </c>
      <c r="G4" s="29" t="s">
        <v>37</v>
      </c>
      <c r="H4" s="29" t="s">
        <v>16</v>
      </c>
      <c r="I4" s="29" t="s">
        <v>38</v>
      </c>
      <c r="J4" s="30" t="s">
        <v>39</v>
      </c>
      <c r="M4" s="35" t="s">
        <v>40</v>
      </c>
      <c r="N4" s="36" t="s">
        <v>41</v>
      </c>
      <c r="O4" s="36" t="s">
        <v>42</v>
      </c>
      <c r="P4" s="36" t="s">
        <v>43</v>
      </c>
      <c r="Q4" s="37" t="s">
        <v>44</v>
      </c>
    </row>
    <row r="5" spans="2:17" x14ac:dyDescent="0.3">
      <c r="B5" s="18">
        <v>0</v>
      </c>
      <c r="C5" s="19">
        <v>1</v>
      </c>
      <c r="D5" s="19">
        <v>2</v>
      </c>
      <c r="E5" s="2" t="s">
        <v>9</v>
      </c>
      <c r="F5" s="19">
        <f>_xlfn.XLOOKUP(E5,Information!$H$11:$H$17,Information!$I$11:$I$17)</f>
        <v>1</v>
      </c>
      <c r="G5" s="19">
        <v>0</v>
      </c>
      <c r="H5" s="19">
        <v>17</v>
      </c>
      <c r="I5" s="19"/>
      <c r="J5" s="32">
        <v>34</v>
      </c>
      <c r="K5" t="str">
        <f>_xlfn.CONCAT(H5,"X",C5,D5)</f>
        <v>17X12</v>
      </c>
      <c r="L5" s="34">
        <v>1</v>
      </c>
      <c r="M5" s="38" t="s">
        <v>0</v>
      </c>
      <c r="N5" s="2">
        <f>SUMIF($C$5:$C$28,L5,$B$5:$B$28)</f>
        <v>0</v>
      </c>
      <c r="O5" s="2">
        <f>SUMIF($D$5:$D$28,L5,$B$5:$B$28)</f>
        <v>9795</v>
      </c>
      <c r="P5" s="2">
        <f>N5-O5</f>
        <v>-9795</v>
      </c>
      <c r="Q5" s="7">
        <v>-9795</v>
      </c>
    </row>
    <row r="6" spans="2:17" x14ac:dyDescent="0.3">
      <c r="B6" s="18">
        <v>0</v>
      </c>
      <c r="C6" s="19">
        <v>1</v>
      </c>
      <c r="D6" s="19">
        <v>4</v>
      </c>
      <c r="E6" s="2" t="s">
        <v>10</v>
      </c>
      <c r="F6" s="19">
        <f>_xlfn.XLOOKUP(E6,Information!$H$11:$H$17,Information!$I$11:$I$17)</f>
        <v>1</v>
      </c>
      <c r="G6" s="19">
        <v>0</v>
      </c>
      <c r="H6" s="19">
        <v>23</v>
      </c>
      <c r="I6" s="19"/>
      <c r="J6" s="32">
        <v>29</v>
      </c>
      <c r="K6" t="str">
        <f t="shared" ref="K6:K29" si="0">_xlfn.CONCAT(H6,"X",C6,D6)</f>
        <v>23X14</v>
      </c>
      <c r="L6" s="34">
        <v>2</v>
      </c>
      <c r="M6" s="38" t="s">
        <v>1</v>
      </c>
      <c r="N6" s="2">
        <f t="shared" ref="N6:N11" si="1">SUMIF($C$5:$C$28,L6,$B$5:$B$28)</f>
        <v>1567</v>
      </c>
      <c r="O6" s="2">
        <f t="shared" ref="O6:O11" si="2">SUMIF($D$5:$D$28,L6,$B$5:$B$28)</f>
        <v>0</v>
      </c>
      <c r="P6" s="2">
        <f t="shared" ref="P6:P11" si="3">N6-O6</f>
        <v>1567</v>
      </c>
      <c r="Q6" s="7">
        <v>1567</v>
      </c>
    </row>
    <row r="7" spans="2:17" x14ac:dyDescent="0.3">
      <c r="B7" s="18">
        <v>0</v>
      </c>
      <c r="C7" s="19">
        <v>1</v>
      </c>
      <c r="D7" s="19">
        <v>7</v>
      </c>
      <c r="E7" s="2" t="s">
        <v>10</v>
      </c>
      <c r="F7" s="19">
        <f>_xlfn.XLOOKUP(E7,Information!$H$11:$H$17,Information!$I$11:$I$17)</f>
        <v>1</v>
      </c>
      <c r="G7" s="19">
        <v>1</v>
      </c>
      <c r="H7" s="19">
        <v>10</v>
      </c>
      <c r="I7" s="19"/>
      <c r="J7" s="32">
        <v>84</v>
      </c>
      <c r="K7" t="str">
        <f t="shared" si="0"/>
        <v>10X17</v>
      </c>
      <c r="L7" s="34">
        <v>3</v>
      </c>
      <c r="M7" s="38" t="s">
        <v>2</v>
      </c>
      <c r="N7" s="2">
        <f t="shared" si="1"/>
        <v>2237.1759277327751</v>
      </c>
      <c r="O7" s="2">
        <f t="shared" si="2"/>
        <v>773.17592773277522</v>
      </c>
      <c r="P7" s="2">
        <f t="shared" si="3"/>
        <v>1464</v>
      </c>
      <c r="Q7" s="7">
        <v>1464</v>
      </c>
    </row>
    <row r="8" spans="2:17" x14ac:dyDescent="0.3">
      <c r="B8" s="18">
        <v>0</v>
      </c>
      <c r="C8" s="19">
        <v>2</v>
      </c>
      <c r="D8" s="19">
        <v>4</v>
      </c>
      <c r="E8" s="2" t="s">
        <v>11</v>
      </c>
      <c r="F8" s="19">
        <f>_xlfn.XLOOKUP(E8,Information!$H$11:$H$17,Information!$I$11:$I$17)</f>
        <v>0</v>
      </c>
      <c r="G8" s="19">
        <v>0</v>
      </c>
      <c r="H8" s="19">
        <v>9</v>
      </c>
      <c r="I8" s="19"/>
      <c r="J8" s="32">
        <v>26</v>
      </c>
      <c r="K8" t="str">
        <f t="shared" si="0"/>
        <v>9X24</v>
      </c>
      <c r="L8" s="34">
        <v>4</v>
      </c>
      <c r="M8" s="38" t="s">
        <v>3</v>
      </c>
      <c r="N8" s="2">
        <f t="shared" si="1"/>
        <v>1636.5940883530145</v>
      </c>
      <c r="O8" s="2">
        <f t="shared" si="2"/>
        <v>272.59408835301485</v>
      </c>
      <c r="P8" s="2">
        <f t="shared" si="3"/>
        <v>1363.9999999999995</v>
      </c>
      <c r="Q8" s="7">
        <v>1364</v>
      </c>
    </row>
    <row r="9" spans="2:17" x14ac:dyDescent="0.3">
      <c r="B9" s="18">
        <v>0</v>
      </c>
      <c r="C9" s="19">
        <v>2</v>
      </c>
      <c r="D9" s="19">
        <v>6</v>
      </c>
      <c r="E9" s="2" t="s">
        <v>12</v>
      </c>
      <c r="F9" s="19">
        <f>_xlfn.XLOOKUP(E9,Information!$H$11:$H$17,Information!$I$11:$I$17)</f>
        <v>1</v>
      </c>
      <c r="G9" s="19">
        <v>0</v>
      </c>
      <c r="H9" s="19">
        <v>14</v>
      </c>
      <c r="I9" s="19"/>
      <c r="J9" s="32">
        <v>25</v>
      </c>
      <c r="K9" t="str">
        <f t="shared" si="0"/>
        <v>14X26</v>
      </c>
      <c r="L9" s="34">
        <v>5</v>
      </c>
      <c r="M9" s="38" t="s">
        <v>4</v>
      </c>
      <c r="N9" s="2">
        <f t="shared" si="1"/>
        <v>1976</v>
      </c>
      <c r="O9" s="2">
        <f t="shared" si="2"/>
        <v>0</v>
      </c>
      <c r="P9" s="2">
        <f t="shared" si="3"/>
        <v>1976</v>
      </c>
      <c r="Q9" s="7">
        <v>1976</v>
      </c>
    </row>
    <row r="10" spans="2:17" x14ac:dyDescent="0.3">
      <c r="B10" s="49">
        <v>1567</v>
      </c>
      <c r="C10" s="50">
        <v>2</v>
      </c>
      <c r="D10" s="50">
        <v>7</v>
      </c>
      <c r="E10" s="51" t="s">
        <v>13</v>
      </c>
      <c r="F10" s="50">
        <f>_xlfn.XLOOKUP(E10,Information!$H$11:$H$17,Information!$I$11:$I$17)</f>
        <v>1</v>
      </c>
      <c r="G10" s="50">
        <v>1</v>
      </c>
      <c r="H10" s="50">
        <v>8</v>
      </c>
      <c r="I10" s="50"/>
      <c r="J10" s="52">
        <v>95</v>
      </c>
      <c r="K10" t="str">
        <f t="shared" si="0"/>
        <v>8X27</v>
      </c>
      <c r="L10" s="34">
        <v>6</v>
      </c>
      <c r="M10" s="38" t="s">
        <v>5</v>
      </c>
      <c r="N10" s="2">
        <f t="shared" si="1"/>
        <v>1591</v>
      </c>
      <c r="O10" s="2">
        <f t="shared" si="2"/>
        <v>0</v>
      </c>
      <c r="P10" s="2">
        <f t="shared" si="3"/>
        <v>1591</v>
      </c>
      <c r="Q10" s="7">
        <v>1591</v>
      </c>
    </row>
    <row r="11" spans="2:17" ht="15" thickBot="1" x14ac:dyDescent="0.35">
      <c r="B11" s="49">
        <v>2237.1759277327751</v>
      </c>
      <c r="C11" s="50">
        <v>3</v>
      </c>
      <c r="D11" s="50">
        <v>1</v>
      </c>
      <c r="E11" s="51" t="s">
        <v>10</v>
      </c>
      <c r="F11" s="50">
        <f>_xlfn.XLOOKUP(E11,Information!$H$11:$H$17,Information!$I$11:$I$17)</f>
        <v>1</v>
      </c>
      <c r="G11" s="50">
        <v>1</v>
      </c>
      <c r="H11" s="50">
        <v>7</v>
      </c>
      <c r="I11" s="50"/>
      <c r="J11" s="52">
        <v>102</v>
      </c>
      <c r="K11" t="str">
        <f t="shared" si="0"/>
        <v>7X31</v>
      </c>
      <c r="L11" s="34">
        <v>7</v>
      </c>
      <c r="M11" s="39" t="s">
        <v>6</v>
      </c>
      <c r="N11" s="9">
        <f t="shared" si="1"/>
        <v>5921.2299839142106</v>
      </c>
      <c r="O11" s="9">
        <f t="shared" si="2"/>
        <v>4088.2299839142102</v>
      </c>
      <c r="P11" s="9">
        <f t="shared" si="3"/>
        <v>1833.0000000000005</v>
      </c>
      <c r="Q11" s="10">
        <v>1833</v>
      </c>
    </row>
    <row r="12" spans="2:17" x14ac:dyDescent="0.3">
      <c r="B12" s="18">
        <v>0</v>
      </c>
      <c r="C12" s="19">
        <v>3</v>
      </c>
      <c r="D12" s="19">
        <v>2</v>
      </c>
      <c r="E12" s="2" t="s">
        <v>11</v>
      </c>
      <c r="F12" s="19">
        <f>_xlfn.XLOOKUP(E12,Information!$H$11:$H$17,Information!$I$11:$I$17)</f>
        <v>0</v>
      </c>
      <c r="G12" s="19">
        <v>1</v>
      </c>
      <c r="H12" s="19">
        <v>11</v>
      </c>
      <c r="I12" s="19"/>
      <c r="J12" s="32">
        <v>86</v>
      </c>
      <c r="K12" t="str">
        <f t="shared" si="0"/>
        <v>11X32</v>
      </c>
    </row>
    <row r="13" spans="2:17" x14ac:dyDescent="0.3">
      <c r="B13" s="18">
        <v>0</v>
      </c>
      <c r="C13" s="19">
        <v>3</v>
      </c>
      <c r="D13" s="19">
        <v>6</v>
      </c>
      <c r="E13" s="2" t="s">
        <v>10</v>
      </c>
      <c r="F13" s="19">
        <f>_xlfn.XLOOKUP(E13,Information!$H$11:$H$17,Information!$I$11:$I$17)</f>
        <v>1</v>
      </c>
      <c r="G13" s="19">
        <v>1</v>
      </c>
      <c r="H13" s="19">
        <v>19</v>
      </c>
      <c r="I13" s="19"/>
      <c r="J13" s="32">
        <v>94</v>
      </c>
      <c r="K13" t="str">
        <f t="shared" si="0"/>
        <v>19X36</v>
      </c>
    </row>
    <row r="14" spans="2:17" x14ac:dyDescent="0.3">
      <c r="B14" s="49">
        <v>1636.5940883530145</v>
      </c>
      <c r="C14" s="50">
        <v>4</v>
      </c>
      <c r="D14" s="50">
        <v>1</v>
      </c>
      <c r="E14" s="51" t="s">
        <v>12</v>
      </c>
      <c r="F14" s="50">
        <f>_xlfn.XLOOKUP(E14,Information!$H$11:$H$17,Information!$I$11:$I$17)</f>
        <v>1</v>
      </c>
      <c r="G14" s="50">
        <v>1</v>
      </c>
      <c r="H14" s="50">
        <v>16</v>
      </c>
      <c r="I14" s="50"/>
      <c r="J14" s="52">
        <v>74</v>
      </c>
      <c r="K14" t="str">
        <f t="shared" si="0"/>
        <v>16X41</v>
      </c>
      <c r="M14" s="44" t="s">
        <v>45</v>
      </c>
      <c r="N14" s="46">
        <f>SUMPRODUCT(B5:B28,H5:H28)</f>
        <v>178511.55583121805</v>
      </c>
    </row>
    <row r="15" spans="2:17" x14ac:dyDescent="0.3">
      <c r="B15" s="18">
        <v>0</v>
      </c>
      <c r="C15" s="19">
        <v>4</v>
      </c>
      <c r="D15" s="19">
        <v>2</v>
      </c>
      <c r="E15" s="2" t="s">
        <v>10</v>
      </c>
      <c r="F15" s="19">
        <f>_xlfn.XLOOKUP(E15,Information!$H$11:$H$17,Information!$I$11:$I$17)</f>
        <v>1</v>
      </c>
      <c r="G15" s="19">
        <v>1</v>
      </c>
      <c r="H15" s="19">
        <v>14</v>
      </c>
      <c r="I15" s="19"/>
      <c r="J15" s="32">
        <v>82</v>
      </c>
      <c r="K15" t="str">
        <f t="shared" si="0"/>
        <v>14X42</v>
      </c>
    </row>
    <row r="16" spans="2:17" x14ac:dyDescent="0.3">
      <c r="B16" s="18">
        <v>0</v>
      </c>
      <c r="C16" s="19">
        <v>4</v>
      </c>
      <c r="D16" s="19">
        <v>3</v>
      </c>
      <c r="E16" s="2" t="s">
        <v>14</v>
      </c>
      <c r="F16" s="19">
        <f>_xlfn.XLOOKUP(E16,Information!$H$11:$H$17,Information!$I$11:$I$17)</f>
        <v>1</v>
      </c>
      <c r="G16" s="19">
        <v>1</v>
      </c>
      <c r="H16" s="19">
        <v>13</v>
      </c>
      <c r="I16" s="19"/>
      <c r="J16" s="32">
        <v>79</v>
      </c>
      <c r="K16" t="str">
        <f t="shared" si="0"/>
        <v>13X43</v>
      </c>
    </row>
    <row r="17" spans="2:19" x14ac:dyDescent="0.3">
      <c r="B17" s="18">
        <v>0</v>
      </c>
      <c r="C17" s="19">
        <v>4</v>
      </c>
      <c r="D17" s="19">
        <v>5</v>
      </c>
      <c r="E17" s="2" t="s">
        <v>13</v>
      </c>
      <c r="F17" s="19">
        <f>_xlfn.XLOOKUP(E17,Information!$H$11:$H$17,Information!$I$11:$I$17)</f>
        <v>1</v>
      </c>
      <c r="G17" s="19">
        <v>1</v>
      </c>
      <c r="H17" s="19">
        <v>18</v>
      </c>
      <c r="I17" s="19"/>
      <c r="J17" s="32">
        <v>95</v>
      </c>
      <c r="K17" t="str">
        <f t="shared" si="0"/>
        <v>18X45</v>
      </c>
      <c r="M17" s="45" t="s">
        <v>46</v>
      </c>
      <c r="N17" s="46">
        <f>SUMPRODUCT(B5:B28,'Distance Model'!H4:H27)</f>
        <v>99581.20030683215</v>
      </c>
    </row>
    <row r="18" spans="2:19" x14ac:dyDescent="0.3">
      <c r="B18" s="49">
        <v>773.17592773277522</v>
      </c>
      <c r="C18" s="50">
        <v>5</v>
      </c>
      <c r="D18" s="50">
        <v>3</v>
      </c>
      <c r="E18" s="51" t="s">
        <v>10</v>
      </c>
      <c r="F18" s="50">
        <f>_xlfn.XLOOKUP(E18,Information!$H$11:$H$17,Information!$I$11:$I$17)</f>
        <v>1</v>
      </c>
      <c r="G18" s="50">
        <v>1</v>
      </c>
      <c r="H18" s="50">
        <v>11</v>
      </c>
      <c r="I18" s="50"/>
      <c r="J18" s="52">
        <v>85</v>
      </c>
      <c r="K18" t="str">
        <f t="shared" si="0"/>
        <v>11X53</v>
      </c>
    </row>
    <row r="19" spans="2:19" x14ac:dyDescent="0.3">
      <c r="B19" s="18">
        <v>0</v>
      </c>
      <c r="C19" s="19">
        <v>5</v>
      </c>
      <c r="D19" s="19">
        <v>4</v>
      </c>
      <c r="E19" s="2" t="s">
        <v>11</v>
      </c>
      <c r="F19" s="19">
        <f>_xlfn.XLOOKUP(E19,Information!$H$11:$H$17,Information!$I$11:$I$17)</f>
        <v>0</v>
      </c>
      <c r="G19" s="19">
        <v>1</v>
      </c>
      <c r="H19" s="19">
        <v>16</v>
      </c>
      <c r="I19" s="19"/>
      <c r="J19" s="32">
        <v>99</v>
      </c>
      <c r="K19" t="str">
        <f t="shared" si="0"/>
        <v>16X54</v>
      </c>
    </row>
    <row r="20" spans="2:19" x14ac:dyDescent="0.3">
      <c r="B20" s="18">
        <v>0</v>
      </c>
      <c r="C20" s="19">
        <v>5</v>
      </c>
      <c r="D20" s="19">
        <v>6</v>
      </c>
      <c r="E20" s="2" t="s">
        <v>12</v>
      </c>
      <c r="F20" s="19">
        <f>_xlfn.XLOOKUP(E20,Information!$H$11:$H$17,Information!$I$11:$I$17)</f>
        <v>1</v>
      </c>
      <c r="G20" s="19">
        <v>1</v>
      </c>
      <c r="H20" s="19">
        <v>15</v>
      </c>
      <c r="I20" s="19"/>
      <c r="J20" s="32">
        <v>102</v>
      </c>
      <c r="K20" t="str">
        <f t="shared" si="0"/>
        <v>15X56</v>
      </c>
      <c r="M20" s="45" t="s">
        <v>47</v>
      </c>
      <c r="N20">
        <f>SUMPRODUCT(B5:B28,F5:F28)</f>
        <v>9007.7700160857894</v>
      </c>
    </row>
    <row r="21" spans="2:19" x14ac:dyDescent="0.3">
      <c r="B21" s="49">
        <v>1202.8240722672249</v>
      </c>
      <c r="C21" s="50">
        <v>5</v>
      </c>
      <c r="D21" s="50">
        <v>7</v>
      </c>
      <c r="E21" s="51" t="s">
        <v>12</v>
      </c>
      <c r="F21" s="50">
        <f>_xlfn.XLOOKUP(E21,Information!$H$11:$H$17,Information!$I$11:$I$17)</f>
        <v>1</v>
      </c>
      <c r="G21" s="50">
        <v>1</v>
      </c>
      <c r="H21" s="50">
        <v>8</v>
      </c>
      <c r="I21" s="50"/>
      <c r="J21" s="52">
        <v>89</v>
      </c>
      <c r="K21" t="str">
        <f t="shared" si="0"/>
        <v>8X57</v>
      </c>
    </row>
    <row r="22" spans="2:19" x14ac:dyDescent="0.3">
      <c r="B22" s="18">
        <v>0</v>
      </c>
      <c r="C22" s="19">
        <v>6</v>
      </c>
      <c r="D22" s="19">
        <v>3</v>
      </c>
      <c r="E22" s="2" t="s">
        <v>13</v>
      </c>
      <c r="F22" s="19">
        <f>_xlfn.XLOOKUP(E22,Information!$H$11:$H$17,Information!$I$11:$I$17)</f>
        <v>1</v>
      </c>
      <c r="G22" s="19">
        <v>1</v>
      </c>
      <c r="H22" s="19">
        <v>23</v>
      </c>
      <c r="I22" s="19"/>
      <c r="J22" s="32">
        <v>100</v>
      </c>
      <c r="K22" t="str">
        <f t="shared" si="0"/>
        <v>23X63</v>
      </c>
    </row>
    <row r="23" spans="2:19" x14ac:dyDescent="0.3">
      <c r="B23" s="49">
        <v>272.59408835301485</v>
      </c>
      <c r="C23" s="50">
        <v>6</v>
      </c>
      <c r="D23" s="50">
        <v>4</v>
      </c>
      <c r="E23" s="51" t="s">
        <v>13</v>
      </c>
      <c r="F23" s="50">
        <f>_xlfn.XLOOKUP(E23,Information!$H$11:$H$17,Information!$I$11:$I$17)</f>
        <v>1</v>
      </c>
      <c r="G23" s="50">
        <v>1</v>
      </c>
      <c r="H23" s="50">
        <v>5</v>
      </c>
      <c r="I23" s="50"/>
      <c r="J23" s="52">
        <v>83</v>
      </c>
      <c r="K23" t="str">
        <f t="shared" si="0"/>
        <v>5X64</v>
      </c>
      <c r="M23" s="45" t="s">
        <v>48</v>
      </c>
      <c r="N23">
        <f>SUMPRODUCT(B5:B28,G5:G28)</f>
        <v>9007.7700160857894</v>
      </c>
    </row>
    <row r="24" spans="2:19" ht="15" thickBot="1" x14ac:dyDescent="0.35">
      <c r="B24" s="49">
        <v>1318.4059116469853</v>
      </c>
      <c r="C24" s="50">
        <v>6</v>
      </c>
      <c r="D24" s="50">
        <v>7</v>
      </c>
      <c r="E24" s="51" t="s">
        <v>10</v>
      </c>
      <c r="F24" s="50">
        <f>_xlfn.XLOOKUP(E24,Information!$H$11:$H$17,Information!$I$11:$I$17)</f>
        <v>1</v>
      </c>
      <c r="G24" s="50">
        <v>1</v>
      </c>
      <c r="H24" s="50">
        <v>12</v>
      </c>
      <c r="I24" s="50"/>
      <c r="J24" s="52">
        <v>83</v>
      </c>
      <c r="K24" t="str">
        <f t="shared" si="0"/>
        <v>12X67</v>
      </c>
    </row>
    <row r="25" spans="2:19" x14ac:dyDescent="0.3">
      <c r="B25" s="49">
        <v>5921.2299839142106</v>
      </c>
      <c r="C25" s="50">
        <v>7</v>
      </c>
      <c r="D25" s="50">
        <v>1</v>
      </c>
      <c r="E25" s="51" t="s">
        <v>11</v>
      </c>
      <c r="F25" s="50">
        <f>_xlfn.XLOOKUP(E25,Information!$H$11:$H$17,Information!$I$11:$I$17)</f>
        <v>0</v>
      </c>
      <c r="G25" s="50">
        <v>0</v>
      </c>
      <c r="H25" s="50">
        <v>15</v>
      </c>
      <c r="I25" s="50"/>
      <c r="J25" s="52">
        <v>44</v>
      </c>
      <c r="K25" t="str">
        <f t="shared" si="0"/>
        <v>15X71</v>
      </c>
      <c r="M25" s="28" t="s">
        <v>49</v>
      </c>
      <c r="N25" s="42" t="s">
        <v>58</v>
      </c>
      <c r="O25" s="42" t="s">
        <v>50</v>
      </c>
      <c r="P25" s="42" t="s">
        <v>51</v>
      </c>
      <c r="Q25" s="42" t="s">
        <v>52</v>
      </c>
      <c r="R25" s="42" t="s">
        <v>53</v>
      </c>
      <c r="S25" s="43" t="s">
        <v>54</v>
      </c>
    </row>
    <row r="26" spans="2:19" x14ac:dyDescent="0.3">
      <c r="B26" s="18">
        <v>0</v>
      </c>
      <c r="C26" s="19">
        <v>7</v>
      </c>
      <c r="D26" s="19">
        <v>3</v>
      </c>
      <c r="E26" s="2" t="s">
        <v>11</v>
      </c>
      <c r="F26" s="19">
        <f>_xlfn.XLOOKUP(E26,Information!$H$11:$H$17,Information!$I$11:$I$17)</f>
        <v>0</v>
      </c>
      <c r="G26" s="19">
        <v>1</v>
      </c>
      <c r="H26" s="19">
        <v>6</v>
      </c>
      <c r="I26" s="19"/>
      <c r="J26" s="32">
        <v>78</v>
      </c>
      <c r="K26" t="str">
        <f t="shared" si="0"/>
        <v>6X73</v>
      </c>
      <c r="M26" s="40" t="s">
        <v>55</v>
      </c>
      <c r="N26" s="48">
        <f>N14</f>
        <v>178511.55583121805</v>
      </c>
      <c r="O26" s="47">
        <v>157787</v>
      </c>
      <c r="P26" s="48">
        <f>N26-O26</f>
        <v>20724.555831218051</v>
      </c>
      <c r="Q26" s="2">
        <f>P26/O26</f>
        <v>0.1313451414325518</v>
      </c>
      <c r="R26" s="2">
        <v>1</v>
      </c>
      <c r="S26" s="7">
        <f>Q26*R26</f>
        <v>0.1313451414325518</v>
      </c>
    </row>
    <row r="27" spans="2:19" x14ac:dyDescent="0.3">
      <c r="B27" s="18">
        <v>0</v>
      </c>
      <c r="C27" s="19">
        <v>7</v>
      </c>
      <c r="D27" s="19">
        <v>4</v>
      </c>
      <c r="E27" s="2" t="s">
        <v>15</v>
      </c>
      <c r="F27" s="19">
        <f>_xlfn.XLOOKUP(E27,Information!$H$11:$H$17,Information!$I$11:$I$17)</f>
        <v>0</v>
      </c>
      <c r="G27" s="19">
        <v>1</v>
      </c>
      <c r="H27" s="19">
        <v>6</v>
      </c>
      <c r="I27" s="19"/>
      <c r="J27" s="32">
        <v>77</v>
      </c>
      <c r="K27" t="str">
        <f t="shared" si="0"/>
        <v>6X74</v>
      </c>
      <c r="M27" s="40" t="s">
        <v>56</v>
      </c>
      <c r="N27" s="48">
        <f>N17</f>
        <v>99581.20030683215</v>
      </c>
      <c r="O27" s="46">
        <v>88020.177627405705</v>
      </c>
      <c r="P27" s="48">
        <f t="shared" ref="P27:P29" si="4">N27-O27</f>
        <v>11561.022679426445</v>
      </c>
      <c r="Q27" s="2">
        <f t="shared" ref="Q27:Q29" si="5">P27/O27</f>
        <v>0.13134514143296661</v>
      </c>
      <c r="R27" s="2">
        <v>1</v>
      </c>
      <c r="S27" s="7">
        <f t="shared" ref="S27:S29" si="6">Q27*R27</f>
        <v>0.13134514143296661</v>
      </c>
    </row>
    <row r="28" spans="2:19" ht="15" thickBot="1" x14ac:dyDescent="0.35">
      <c r="B28" s="21">
        <v>0</v>
      </c>
      <c r="C28" s="22">
        <v>7</v>
      </c>
      <c r="D28" s="22">
        <v>6</v>
      </c>
      <c r="E28" s="9" t="s">
        <v>12</v>
      </c>
      <c r="F28" s="22">
        <f>_xlfn.XLOOKUP(E28,Information!$H$11:$H$17,Information!$I$11:$I$17)</f>
        <v>1</v>
      </c>
      <c r="G28" s="22">
        <v>0</v>
      </c>
      <c r="H28" s="22">
        <v>6</v>
      </c>
      <c r="I28" s="22"/>
      <c r="J28" s="33">
        <v>32</v>
      </c>
      <c r="K28" t="str">
        <f t="shared" si="0"/>
        <v>6X76</v>
      </c>
      <c r="M28" s="40" t="s">
        <v>57</v>
      </c>
      <c r="N28" s="2">
        <f>N20</f>
        <v>9007.7700160857894</v>
      </c>
      <c r="O28" s="2">
        <v>7962</v>
      </c>
      <c r="P28" s="48">
        <f t="shared" si="4"/>
        <v>1045.7700160857894</v>
      </c>
      <c r="Q28" s="2">
        <f t="shared" si="5"/>
        <v>0.13134514143252818</v>
      </c>
      <c r="R28" s="2">
        <v>1</v>
      </c>
      <c r="S28" s="7">
        <f t="shared" si="6"/>
        <v>0.13134514143252818</v>
      </c>
    </row>
    <row r="29" spans="2:19" ht="15" thickBot="1" x14ac:dyDescent="0.35">
      <c r="K29" t="str">
        <f>_xlfn.TEXTJOIN("+",1,K5:K28)</f>
        <v>17X12+23X14+10X17+9X24+14X26+8X27+7X31+11X32+19X36+16X41+14X42+13X43+18X45+11X53+16X54+15X56+8X57+23X63+5X64+12X67+15X71+6X73+6X74+6X76</v>
      </c>
      <c r="M29" s="41" t="s">
        <v>39</v>
      </c>
      <c r="N29" s="9">
        <f>N23</f>
        <v>9007.7700160857894</v>
      </c>
      <c r="O29" s="9">
        <v>7962</v>
      </c>
      <c r="P29" s="48">
        <f t="shared" si="4"/>
        <v>1045.7700160857894</v>
      </c>
      <c r="Q29" s="2">
        <f t="shared" si="5"/>
        <v>0.13134514143252818</v>
      </c>
      <c r="R29" s="9">
        <v>1</v>
      </c>
      <c r="S29" s="7">
        <f t="shared" si="6"/>
        <v>0.13134514143252818</v>
      </c>
    </row>
    <row r="31" spans="2:19" x14ac:dyDescent="0.3">
      <c r="M31" t="s">
        <v>59</v>
      </c>
      <c r="N31">
        <v>0.13134514143273587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AA872-5B31-46B3-9698-4ACE3E8DC700}">
  <dimension ref="B3:S31"/>
  <sheetViews>
    <sheetView tabSelected="1" zoomScale="71" workbookViewId="0">
      <selection activeCell="V40" sqref="V40"/>
    </sheetView>
  </sheetViews>
  <sheetFormatPr defaultRowHeight="14.4" x14ac:dyDescent="0.3"/>
  <cols>
    <col min="5" max="5" width="23.44140625" bestFit="1" customWidth="1"/>
    <col min="6" max="6" width="17.21875" bestFit="1" customWidth="1"/>
    <col min="7" max="7" width="21.6640625" bestFit="1" customWidth="1"/>
    <col min="8" max="8" width="19.21875" bestFit="1" customWidth="1"/>
    <col min="9" max="9" width="12.77734375" hidden="1" customWidth="1"/>
    <col min="10" max="10" width="15.88671875" bestFit="1" customWidth="1"/>
    <col min="13" max="13" width="24.5546875" bestFit="1" customWidth="1"/>
    <col min="14" max="15" width="13.109375" bestFit="1" customWidth="1"/>
    <col min="16" max="16" width="12" bestFit="1" customWidth="1"/>
    <col min="17" max="17" width="14.21875" bestFit="1" customWidth="1"/>
    <col min="19" max="19" width="17.33203125" bestFit="1" customWidth="1"/>
  </cols>
  <sheetData>
    <row r="3" spans="2:17" ht="15" thickBot="1" x14ac:dyDescent="0.35"/>
    <row r="4" spans="2:17" x14ac:dyDescent="0.3">
      <c r="B4" s="31" t="s">
        <v>35</v>
      </c>
      <c r="C4" s="29" t="s">
        <v>7</v>
      </c>
      <c r="D4" s="29" t="s">
        <v>8</v>
      </c>
      <c r="E4" s="29" t="s">
        <v>17</v>
      </c>
      <c r="F4" s="29" t="s">
        <v>36</v>
      </c>
      <c r="G4" s="29" t="s">
        <v>37</v>
      </c>
      <c r="H4" s="29" t="s">
        <v>16</v>
      </c>
      <c r="I4" s="29" t="s">
        <v>38</v>
      </c>
      <c r="J4" s="30" t="s">
        <v>39</v>
      </c>
      <c r="M4" s="35" t="s">
        <v>40</v>
      </c>
      <c r="N4" s="36" t="s">
        <v>41</v>
      </c>
      <c r="O4" s="36" t="s">
        <v>42</v>
      </c>
      <c r="P4" s="36" t="s">
        <v>43</v>
      </c>
      <c r="Q4" s="37" t="s">
        <v>44</v>
      </c>
    </row>
    <row r="5" spans="2:17" x14ac:dyDescent="0.3">
      <c r="B5" s="18">
        <v>0</v>
      </c>
      <c r="C5" s="19">
        <v>1</v>
      </c>
      <c r="D5" s="19">
        <v>2</v>
      </c>
      <c r="E5" s="2" t="s">
        <v>9</v>
      </c>
      <c r="F5" s="19">
        <f>_xlfn.XLOOKUP(E5,Information!$H$11:$H$17,Information!$I$11:$I$17)</f>
        <v>1</v>
      </c>
      <c r="G5" s="19">
        <v>0</v>
      </c>
      <c r="H5" s="19">
        <v>17</v>
      </c>
      <c r="I5" s="19"/>
      <c r="J5" s="32">
        <v>34</v>
      </c>
      <c r="K5" t="str">
        <f>_xlfn.CONCAT(H5,"X",C5,D5)</f>
        <v>17X12</v>
      </c>
      <c r="L5" s="34">
        <v>1</v>
      </c>
      <c r="M5" s="38" t="s">
        <v>0</v>
      </c>
      <c r="N5" s="2">
        <f>SUMIF($C$5:$C$28,L5,$B$5:$B$28)</f>
        <v>0</v>
      </c>
      <c r="O5" s="2">
        <f>SUMIF($D$5:$D$28,L5,$B$5:$B$28)</f>
        <v>9795</v>
      </c>
      <c r="P5" s="2">
        <f>N5-O5</f>
        <v>-9795</v>
      </c>
      <c r="Q5" s="7">
        <v>-9795</v>
      </c>
    </row>
    <row r="6" spans="2:17" x14ac:dyDescent="0.3">
      <c r="B6" s="18">
        <v>0</v>
      </c>
      <c r="C6" s="19">
        <v>1</v>
      </c>
      <c r="D6" s="19">
        <v>4</v>
      </c>
      <c r="E6" s="2" t="s">
        <v>10</v>
      </c>
      <c r="F6" s="19">
        <f>_xlfn.XLOOKUP(E6,Information!$H$11:$H$17,Information!$I$11:$I$17)</f>
        <v>1</v>
      </c>
      <c r="G6" s="19">
        <v>0</v>
      </c>
      <c r="H6" s="19">
        <v>23</v>
      </c>
      <c r="I6" s="19"/>
      <c r="J6" s="32">
        <v>29</v>
      </c>
      <c r="K6" t="str">
        <f t="shared" ref="K6:K29" si="0">_xlfn.CONCAT(H6,"X",C6,D6)</f>
        <v>23X14</v>
      </c>
      <c r="L6" s="34">
        <v>2</v>
      </c>
      <c r="M6" s="38" t="s">
        <v>1</v>
      </c>
      <c r="N6" s="2">
        <f t="shared" ref="N6:N11" si="1">SUMIF($C$5:$C$28,L6,$B$5:$B$28)</f>
        <v>1567</v>
      </c>
      <c r="O6" s="2">
        <f t="shared" ref="O6:O11" si="2">SUMIF($D$5:$D$28,L6,$B$5:$B$28)</f>
        <v>0</v>
      </c>
      <c r="P6" s="2">
        <f t="shared" ref="P6:P11" si="3">N6-O6</f>
        <v>1567</v>
      </c>
      <c r="Q6" s="7">
        <v>1567</v>
      </c>
    </row>
    <row r="7" spans="2:17" x14ac:dyDescent="0.3">
      <c r="B7" s="18">
        <v>0</v>
      </c>
      <c r="C7" s="19">
        <v>1</v>
      </c>
      <c r="D7" s="19">
        <v>7</v>
      </c>
      <c r="E7" s="2" t="s">
        <v>10</v>
      </c>
      <c r="F7" s="19">
        <f>_xlfn.XLOOKUP(E7,Information!$H$11:$H$17,Information!$I$11:$I$17)</f>
        <v>1</v>
      </c>
      <c r="G7" s="19">
        <v>1</v>
      </c>
      <c r="H7" s="19">
        <v>10</v>
      </c>
      <c r="I7" s="19"/>
      <c r="J7" s="32">
        <v>84</v>
      </c>
      <c r="K7" t="str">
        <f t="shared" si="0"/>
        <v>10X17</v>
      </c>
      <c r="L7" s="34">
        <v>3</v>
      </c>
      <c r="M7" s="38" t="s">
        <v>2</v>
      </c>
      <c r="N7" s="2">
        <f t="shared" si="1"/>
        <v>1778.7007640504619</v>
      </c>
      <c r="O7" s="2">
        <f t="shared" si="2"/>
        <v>314.70076405046188</v>
      </c>
      <c r="P7" s="2">
        <f t="shared" si="3"/>
        <v>1464</v>
      </c>
      <c r="Q7" s="7">
        <v>1464</v>
      </c>
    </row>
    <row r="8" spans="2:17" x14ac:dyDescent="0.3">
      <c r="B8" s="18">
        <v>0</v>
      </c>
      <c r="C8" s="19">
        <v>2</v>
      </c>
      <c r="D8" s="19">
        <v>4</v>
      </c>
      <c r="E8" s="2" t="s">
        <v>11</v>
      </c>
      <c r="F8" s="19">
        <f>_xlfn.XLOOKUP(E8,Information!$H$11:$H$17,Information!$I$11:$I$17)</f>
        <v>0</v>
      </c>
      <c r="G8" s="19">
        <v>0</v>
      </c>
      <c r="H8" s="19">
        <v>9</v>
      </c>
      <c r="I8" s="19"/>
      <c r="J8" s="32">
        <v>26</v>
      </c>
      <c r="K8" t="str">
        <f t="shared" si="0"/>
        <v>9X24</v>
      </c>
      <c r="L8" s="34">
        <v>4</v>
      </c>
      <c r="M8" s="38" t="s">
        <v>3</v>
      </c>
      <c r="N8" s="2">
        <f t="shared" si="1"/>
        <v>2954.9999999999995</v>
      </c>
      <c r="O8" s="2">
        <f t="shared" si="2"/>
        <v>1590.9999999999998</v>
      </c>
      <c r="P8" s="2">
        <f t="shared" si="3"/>
        <v>1363.9999999999998</v>
      </c>
      <c r="Q8" s="7">
        <v>1364</v>
      </c>
    </row>
    <row r="9" spans="2:17" x14ac:dyDescent="0.3">
      <c r="B9" s="18">
        <v>0</v>
      </c>
      <c r="C9" s="19">
        <v>2</v>
      </c>
      <c r="D9" s="19">
        <v>6</v>
      </c>
      <c r="E9" s="2" t="s">
        <v>12</v>
      </c>
      <c r="F9" s="19">
        <f>_xlfn.XLOOKUP(E9,Information!$H$11:$H$17,Information!$I$11:$I$17)</f>
        <v>1</v>
      </c>
      <c r="G9" s="19">
        <v>0</v>
      </c>
      <c r="H9" s="19">
        <v>14</v>
      </c>
      <c r="I9" s="19"/>
      <c r="J9" s="32">
        <v>25</v>
      </c>
      <c r="K9" t="str">
        <f t="shared" si="0"/>
        <v>14X26</v>
      </c>
      <c r="L9" s="34">
        <v>5</v>
      </c>
      <c r="M9" s="38" t="s">
        <v>4</v>
      </c>
      <c r="N9" s="2">
        <f t="shared" si="1"/>
        <v>1976.0000000000002</v>
      </c>
      <c r="O9" s="2">
        <f t="shared" si="2"/>
        <v>0</v>
      </c>
      <c r="P9" s="2">
        <f t="shared" si="3"/>
        <v>1976.0000000000002</v>
      </c>
      <c r="Q9" s="7">
        <v>1976</v>
      </c>
    </row>
    <row r="10" spans="2:17" x14ac:dyDescent="0.3">
      <c r="B10" s="18">
        <v>1567</v>
      </c>
      <c r="C10" s="19">
        <v>2</v>
      </c>
      <c r="D10" s="19">
        <v>7</v>
      </c>
      <c r="E10" s="2" t="s">
        <v>13</v>
      </c>
      <c r="F10" s="19">
        <f>_xlfn.XLOOKUP(E10,Information!$H$11:$H$17,Information!$I$11:$I$17)</f>
        <v>1</v>
      </c>
      <c r="G10" s="19">
        <v>1</v>
      </c>
      <c r="H10" s="19">
        <v>8</v>
      </c>
      <c r="I10" s="19"/>
      <c r="J10" s="32">
        <v>95</v>
      </c>
      <c r="K10" t="str">
        <f t="shared" si="0"/>
        <v>8X27</v>
      </c>
      <c r="L10" s="34">
        <v>6</v>
      </c>
      <c r="M10" s="38" t="s">
        <v>5</v>
      </c>
      <c r="N10" s="2">
        <f t="shared" si="1"/>
        <v>1590.9999999999998</v>
      </c>
      <c r="O10" s="2">
        <f t="shared" si="2"/>
        <v>0</v>
      </c>
      <c r="P10" s="2">
        <f t="shared" si="3"/>
        <v>1590.9999999999998</v>
      </c>
      <c r="Q10" s="7">
        <v>1591</v>
      </c>
    </row>
    <row r="11" spans="2:17" ht="15" thickBot="1" x14ac:dyDescent="0.35">
      <c r="B11" s="18">
        <v>1778.7007640504619</v>
      </c>
      <c r="C11" s="19">
        <v>3</v>
      </c>
      <c r="D11" s="19">
        <v>1</v>
      </c>
      <c r="E11" s="2" t="s">
        <v>10</v>
      </c>
      <c r="F11" s="19">
        <f>_xlfn.XLOOKUP(E11,Information!$H$11:$H$17,Information!$I$11:$I$17)</f>
        <v>1</v>
      </c>
      <c r="G11" s="19">
        <v>1</v>
      </c>
      <c r="H11" s="19">
        <v>7</v>
      </c>
      <c r="I11" s="19"/>
      <c r="J11" s="32">
        <v>102</v>
      </c>
      <c r="K11" t="str">
        <f t="shared" si="0"/>
        <v>7X31</v>
      </c>
      <c r="L11" s="34">
        <v>7</v>
      </c>
      <c r="M11" s="39" t="s">
        <v>6</v>
      </c>
      <c r="N11" s="9">
        <f t="shared" si="1"/>
        <v>5061.2992359495383</v>
      </c>
      <c r="O11" s="9">
        <f t="shared" si="2"/>
        <v>3228.2992359495383</v>
      </c>
      <c r="P11" s="9">
        <f t="shared" si="3"/>
        <v>1833</v>
      </c>
      <c r="Q11" s="10">
        <v>1833</v>
      </c>
    </row>
    <row r="12" spans="2:17" x14ac:dyDescent="0.3">
      <c r="B12" s="18">
        <v>0</v>
      </c>
      <c r="C12" s="19">
        <v>3</v>
      </c>
      <c r="D12" s="19">
        <v>2</v>
      </c>
      <c r="E12" s="2" t="s">
        <v>11</v>
      </c>
      <c r="F12" s="19">
        <f>_xlfn.XLOOKUP(E12,Information!$H$11:$H$17,Information!$I$11:$I$17)</f>
        <v>0</v>
      </c>
      <c r="G12" s="19">
        <v>1</v>
      </c>
      <c r="H12" s="19">
        <v>11</v>
      </c>
      <c r="I12" s="19"/>
      <c r="J12" s="32">
        <v>86</v>
      </c>
      <c r="K12" t="str">
        <f t="shared" si="0"/>
        <v>11X32</v>
      </c>
    </row>
    <row r="13" spans="2:17" x14ac:dyDescent="0.3">
      <c r="B13" s="18">
        <v>0</v>
      </c>
      <c r="C13" s="19">
        <v>3</v>
      </c>
      <c r="D13" s="19">
        <v>6</v>
      </c>
      <c r="E13" s="2" t="s">
        <v>10</v>
      </c>
      <c r="F13" s="19">
        <f>_xlfn.XLOOKUP(E13,Information!$H$11:$H$17,Information!$I$11:$I$17)</f>
        <v>1</v>
      </c>
      <c r="G13" s="19">
        <v>1</v>
      </c>
      <c r="H13" s="19">
        <v>19</v>
      </c>
      <c r="I13" s="19"/>
      <c r="J13" s="32">
        <v>94</v>
      </c>
      <c r="K13" t="str">
        <f t="shared" si="0"/>
        <v>19X36</v>
      </c>
    </row>
    <row r="14" spans="2:17" x14ac:dyDescent="0.3">
      <c r="B14" s="18">
        <v>2954.9999999999995</v>
      </c>
      <c r="C14" s="19">
        <v>4</v>
      </c>
      <c r="D14" s="19">
        <v>1</v>
      </c>
      <c r="E14" s="2" t="s">
        <v>12</v>
      </c>
      <c r="F14" s="19">
        <f>_xlfn.XLOOKUP(E14,Information!$H$11:$H$17,Information!$I$11:$I$17)</f>
        <v>1</v>
      </c>
      <c r="G14" s="19">
        <v>1</v>
      </c>
      <c r="H14" s="19">
        <v>16</v>
      </c>
      <c r="I14" s="19"/>
      <c r="J14" s="32">
        <v>74</v>
      </c>
      <c r="K14" t="str">
        <f t="shared" si="0"/>
        <v>16X41</v>
      </c>
      <c r="M14" s="44" t="s">
        <v>45</v>
      </c>
      <c r="N14" s="46">
        <f>SUMPRODUCT(B5:B28,H5:H28)</f>
        <v>172893.49617974769</v>
      </c>
    </row>
    <row r="15" spans="2:17" x14ac:dyDescent="0.3">
      <c r="B15" s="18">
        <v>0</v>
      </c>
      <c r="C15" s="19">
        <v>4</v>
      </c>
      <c r="D15" s="19">
        <v>2</v>
      </c>
      <c r="E15" s="2" t="s">
        <v>10</v>
      </c>
      <c r="F15" s="19">
        <f>_xlfn.XLOOKUP(E15,Information!$H$11:$H$17,Information!$I$11:$I$17)</f>
        <v>1</v>
      </c>
      <c r="G15" s="19">
        <v>1</v>
      </c>
      <c r="H15" s="19">
        <v>14</v>
      </c>
      <c r="I15" s="19"/>
      <c r="J15" s="32">
        <v>82</v>
      </c>
      <c r="K15" t="str">
        <f t="shared" si="0"/>
        <v>14X42</v>
      </c>
    </row>
    <row r="16" spans="2:17" x14ac:dyDescent="0.3">
      <c r="B16" s="18">
        <v>0</v>
      </c>
      <c r="C16" s="19">
        <v>4</v>
      </c>
      <c r="D16" s="19">
        <v>3</v>
      </c>
      <c r="E16" s="2" t="s">
        <v>14</v>
      </c>
      <c r="F16" s="19">
        <f>_xlfn.XLOOKUP(E16,Information!$H$11:$H$17,Information!$I$11:$I$17)</f>
        <v>1</v>
      </c>
      <c r="G16" s="19">
        <v>1</v>
      </c>
      <c r="H16" s="19">
        <v>13</v>
      </c>
      <c r="I16" s="19"/>
      <c r="J16" s="32">
        <v>79</v>
      </c>
      <c r="K16" t="str">
        <f t="shared" si="0"/>
        <v>13X43</v>
      </c>
    </row>
    <row r="17" spans="2:19" x14ac:dyDescent="0.3">
      <c r="B17" s="18">
        <v>0</v>
      </c>
      <c r="C17" s="19">
        <v>4</v>
      </c>
      <c r="D17" s="19">
        <v>5</v>
      </c>
      <c r="E17" s="2" t="s">
        <v>13</v>
      </c>
      <c r="F17" s="19">
        <f>_xlfn.XLOOKUP(E17,Information!$H$11:$H$17,Information!$I$11:$I$17)</f>
        <v>1</v>
      </c>
      <c r="G17" s="19">
        <v>1</v>
      </c>
      <c r="H17" s="19">
        <v>18</v>
      </c>
      <c r="I17" s="19"/>
      <c r="J17" s="32">
        <v>95</v>
      </c>
      <c r="K17" t="str">
        <f t="shared" si="0"/>
        <v>18X45</v>
      </c>
      <c r="M17" s="45" t="s">
        <v>46</v>
      </c>
      <c r="N17" s="46">
        <f>SUMPRODUCT(B5:B28,'Distance Model'!H4:H27)</f>
        <v>121935.11208435855</v>
      </c>
    </row>
    <row r="18" spans="2:19" x14ac:dyDescent="0.3">
      <c r="B18" s="18">
        <v>314.70076405046188</v>
      </c>
      <c r="C18" s="19">
        <v>5</v>
      </c>
      <c r="D18" s="19">
        <v>3</v>
      </c>
      <c r="E18" s="2" t="s">
        <v>10</v>
      </c>
      <c r="F18" s="19">
        <f>_xlfn.XLOOKUP(E18,Information!$H$11:$H$17,Information!$I$11:$I$17)</f>
        <v>1</v>
      </c>
      <c r="G18" s="19">
        <v>1</v>
      </c>
      <c r="H18" s="19">
        <v>11</v>
      </c>
      <c r="I18" s="19"/>
      <c r="J18" s="32">
        <v>85</v>
      </c>
      <c r="K18" t="str">
        <f t="shared" si="0"/>
        <v>11X53</v>
      </c>
    </row>
    <row r="19" spans="2:19" x14ac:dyDescent="0.3">
      <c r="B19" s="18">
        <v>0</v>
      </c>
      <c r="C19" s="19">
        <v>5</v>
      </c>
      <c r="D19" s="19">
        <v>4</v>
      </c>
      <c r="E19" s="2" t="s">
        <v>11</v>
      </c>
      <c r="F19" s="19">
        <f>_xlfn.XLOOKUP(E19,Information!$H$11:$H$17,Information!$I$11:$I$17)</f>
        <v>0</v>
      </c>
      <c r="G19" s="19">
        <v>1</v>
      </c>
      <c r="H19" s="19">
        <v>16</v>
      </c>
      <c r="I19" s="19"/>
      <c r="J19" s="32">
        <v>99</v>
      </c>
      <c r="K19" t="str">
        <f t="shared" si="0"/>
        <v>16X54</v>
      </c>
    </row>
    <row r="20" spans="2:19" x14ac:dyDescent="0.3">
      <c r="B20" s="18">
        <v>0</v>
      </c>
      <c r="C20" s="19">
        <v>5</v>
      </c>
      <c r="D20" s="19">
        <v>6</v>
      </c>
      <c r="E20" s="2" t="s">
        <v>12</v>
      </c>
      <c r="F20" s="19">
        <f>_xlfn.XLOOKUP(E20,Information!$H$11:$H$17,Information!$I$11:$I$17)</f>
        <v>1</v>
      </c>
      <c r="G20" s="19">
        <v>1</v>
      </c>
      <c r="H20" s="19">
        <v>15</v>
      </c>
      <c r="I20" s="19"/>
      <c r="J20" s="32">
        <v>102</v>
      </c>
      <c r="K20" t="str">
        <f t="shared" si="0"/>
        <v>15X56</v>
      </c>
      <c r="M20" s="45" t="s">
        <v>47</v>
      </c>
      <c r="N20">
        <f>SUMPRODUCT(B5:B28,F5:F28)</f>
        <v>9867.7007640504617</v>
      </c>
    </row>
    <row r="21" spans="2:19" x14ac:dyDescent="0.3">
      <c r="B21" s="18">
        <v>1661.2992359495383</v>
      </c>
      <c r="C21" s="19">
        <v>5</v>
      </c>
      <c r="D21" s="19">
        <v>7</v>
      </c>
      <c r="E21" s="2" t="s">
        <v>12</v>
      </c>
      <c r="F21" s="19">
        <f>_xlfn.XLOOKUP(E21,Information!$H$11:$H$17,Information!$I$11:$I$17)</f>
        <v>1</v>
      </c>
      <c r="G21" s="19">
        <v>1</v>
      </c>
      <c r="H21" s="19">
        <v>8</v>
      </c>
      <c r="I21" s="19"/>
      <c r="J21" s="32">
        <v>89</v>
      </c>
      <c r="K21" t="str">
        <f t="shared" si="0"/>
        <v>8X57</v>
      </c>
    </row>
    <row r="22" spans="2:19" x14ac:dyDescent="0.3">
      <c r="B22" s="18">
        <v>0</v>
      </c>
      <c r="C22" s="19">
        <v>6</v>
      </c>
      <c r="D22" s="19">
        <v>3</v>
      </c>
      <c r="E22" s="2" t="s">
        <v>13</v>
      </c>
      <c r="F22" s="19">
        <f>_xlfn.XLOOKUP(E22,Information!$H$11:$H$17,Information!$I$11:$I$17)</f>
        <v>1</v>
      </c>
      <c r="G22" s="19">
        <v>1</v>
      </c>
      <c r="H22" s="19">
        <v>23</v>
      </c>
      <c r="I22" s="19"/>
      <c r="J22" s="32">
        <v>100</v>
      </c>
      <c r="K22" t="str">
        <f t="shared" si="0"/>
        <v>23X63</v>
      </c>
    </row>
    <row r="23" spans="2:19" x14ac:dyDescent="0.3">
      <c r="B23" s="18">
        <v>1590.9999999999998</v>
      </c>
      <c r="C23" s="19">
        <v>6</v>
      </c>
      <c r="D23" s="19">
        <v>4</v>
      </c>
      <c r="E23" s="2" t="s">
        <v>13</v>
      </c>
      <c r="F23" s="19">
        <f>_xlfn.XLOOKUP(E23,Information!$H$11:$H$17,Information!$I$11:$I$17)</f>
        <v>1</v>
      </c>
      <c r="G23" s="19">
        <v>1</v>
      </c>
      <c r="H23" s="19">
        <v>5</v>
      </c>
      <c r="I23" s="19"/>
      <c r="J23" s="32">
        <v>83</v>
      </c>
      <c r="K23" t="str">
        <f t="shared" si="0"/>
        <v>5X64</v>
      </c>
      <c r="M23" s="45" t="s">
        <v>48</v>
      </c>
      <c r="N23">
        <f>SUMPRODUCT(B5:B28,G5:G28)</f>
        <v>9867.7007640504617</v>
      </c>
    </row>
    <row r="24" spans="2:19" ht="15" thickBot="1" x14ac:dyDescent="0.35">
      <c r="B24" s="18">
        <v>0</v>
      </c>
      <c r="C24" s="19">
        <v>6</v>
      </c>
      <c r="D24" s="19">
        <v>7</v>
      </c>
      <c r="E24" s="2" t="s">
        <v>10</v>
      </c>
      <c r="F24" s="19">
        <f>_xlfn.XLOOKUP(E24,Information!$H$11:$H$17,Information!$I$11:$I$17)</f>
        <v>1</v>
      </c>
      <c r="G24" s="19">
        <v>1</v>
      </c>
      <c r="H24" s="19">
        <v>12</v>
      </c>
      <c r="I24" s="19"/>
      <c r="J24" s="32">
        <v>83</v>
      </c>
      <c r="K24" t="str">
        <f t="shared" si="0"/>
        <v>12X67</v>
      </c>
    </row>
    <row r="25" spans="2:19" x14ac:dyDescent="0.3">
      <c r="B25" s="18">
        <v>5061.2992359495383</v>
      </c>
      <c r="C25" s="19">
        <v>7</v>
      </c>
      <c r="D25" s="19">
        <v>1</v>
      </c>
      <c r="E25" s="2" t="s">
        <v>11</v>
      </c>
      <c r="F25" s="19">
        <f>_xlfn.XLOOKUP(E25,Information!$H$11:$H$17,Information!$I$11:$I$17)</f>
        <v>0</v>
      </c>
      <c r="G25" s="19">
        <v>0</v>
      </c>
      <c r="H25" s="19">
        <v>15</v>
      </c>
      <c r="I25" s="19"/>
      <c r="J25" s="32">
        <v>44</v>
      </c>
      <c r="K25" t="str">
        <f t="shared" si="0"/>
        <v>15X71</v>
      </c>
      <c r="M25" s="28" t="s">
        <v>49</v>
      </c>
      <c r="N25" s="42" t="s">
        <v>58</v>
      </c>
      <c r="O25" s="42" t="s">
        <v>50</v>
      </c>
      <c r="P25" s="42" t="s">
        <v>51</v>
      </c>
      <c r="Q25" s="42" t="s">
        <v>52</v>
      </c>
      <c r="R25" s="42" t="s">
        <v>53</v>
      </c>
      <c r="S25" s="43" t="s">
        <v>54</v>
      </c>
    </row>
    <row r="26" spans="2:19" x14ac:dyDescent="0.3">
      <c r="B26" s="18">
        <v>0</v>
      </c>
      <c r="C26" s="19">
        <v>7</v>
      </c>
      <c r="D26" s="19">
        <v>3</v>
      </c>
      <c r="E26" s="2" t="s">
        <v>11</v>
      </c>
      <c r="F26" s="19">
        <f>_xlfn.XLOOKUP(E26,Information!$H$11:$H$17,Information!$I$11:$I$17)</f>
        <v>0</v>
      </c>
      <c r="G26" s="19">
        <v>1</v>
      </c>
      <c r="H26" s="19">
        <v>6</v>
      </c>
      <c r="I26" s="19"/>
      <c r="J26" s="32">
        <v>78</v>
      </c>
      <c r="K26" t="str">
        <f t="shared" si="0"/>
        <v>6X73</v>
      </c>
      <c r="M26" s="40" t="s">
        <v>55</v>
      </c>
      <c r="N26" s="48">
        <f>N14</f>
        <v>172893.49617974769</v>
      </c>
      <c r="O26" s="47">
        <v>157787</v>
      </c>
      <c r="P26" s="48">
        <f>N26-O26</f>
        <v>15106.496179747686</v>
      </c>
      <c r="Q26" s="2">
        <f>P26/O26</f>
        <v>9.5739802263479792E-2</v>
      </c>
      <c r="R26" s="2">
        <v>5</v>
      </c>
      <c r="S26" s="7">
        <f>Q26*R26</f>
        <v>0.47869901131739895</v>
      </c>
    </row>
    <row r="27" spans="2:19" x14ac:dyDescent="0.3">
      <c r="B27" s="18">
        <v>0</v>
      </c>
      <c r="C27" s="19">
        <v>7</v>
      </c>
      <c r="D27" s="19">
        <v>4</v>
      </c>
      <c r="E27" s="2" t="s">
        <v>15</v>
      </c>
      <c r="F27" s="19">
        <f>_xlfn.XLOOKUP(E27,Information!$H$11:$H$17,Information!$I$11:$I$17)</f>
        <v>0</v>
      </c>
      <c r="G27" s="19">
        <v>1</v>
      </c>
      <c r="H27" s="19">
        <v>6</v>
      </c>
      <c r="I27" s="19"/>
      <c r="J27" s="32">
        <v>77</v>
      </c>
      <c r="K27" t="str">
        <f t="shared" si="0"/>
        <v>6X74</v>
      </c>
      <c r="M27" s="40" t="s">
        <v>56</v>
      </c>
      <c r="N27" s="48">
        <f>N17</f>
        <v>121935.11208435855</v>
      </c>
      <c r="O27" s="46">
        <v>88020.177627405705</v>
      </c>
      <c r="P27" s="48">
        <f t="shared" ref="P27:P29" si="4">N27-O27</f>
        <v>33914.934456952848</v>
      </c>
      <c r="Q27" s="2">
        <f t="shared" ref="Q27:Q29" si="5">P27/O27</f>
        <v>0.38530863457827419</v>
      </c>
      <c r="R27" s="2">
        <v>1</v>
      </c>
      <c r="S27" s="7">
        <f t="shared" ref="S27:S29" si="6">Q27*R27</f>
        <v>0.38530863457827419</v>
      </c>
    </row>
    <row r="28" spans="2:19" ht="15" thickBot="1" x14ac:dyDescent="0.35">
      <c r="B28" s="21">
        <v>0</v>
      </c>
      <c r="C28" s="22">
        <v>7</v>
      </c>
      <c r="D28" s="22">
        <v>6</v>
      </c>
      <c r="E28" s="9" t="s">
        <v>12</v>
      </c>
      <c r="F28" s="22">
        <f>_xlfn.XLOOKUP(E28,Information!$H$11:$H$17,Information!$I$11:$I$17)</f>
        <v>1</v>
      </c>
      <c r="G28" s="22">
        <v>0</v>
      </c>
      <c r="H28" s="22">
        <v>6</v>
      </c>
      <c r="I28" s="22"/>
      <c r="J28" s="33">
        <v>32</v>
      </c>
      <c r="K28" t="str">
        <f t="shared" si="0"/>
        <v>6X76</v>
      </c>
      <c r="M28" s="40" t="s">
        <v>57</v>
      </c>
      <c r="N28" s="2">
        <f>N20</f>
        <v>9867.7007640504617</v>
      </c>
      <c r="O28" s="2">
        <v>7962</v>
      </c>
      <c r="P28" s="48">
        <f t="shared" si="4"/>
        <v>1905.7007640504617</v>
      </c>
      <c r="Q28" s="2">
        <f t="shared" si="5"/>
        <v>0.23934950565818408</v>
      </c>
      <c r="R28" s="2">
        <v>0</v>
      </c>
      <c r="S28" s="7">
        <f t="shared" si="6"/>
        <v>0</v>
      </c>
    </row>
    <row r="29" spans="2:19" ht="15" thickBot="1" x14ac:dyDescent="0.35">
      <c r="K29" t="str">
        <f>_xlfn.TEXTJOIN("+",1,K5:K28)</f>
        <v>17X12+23X14+10X17+9X24+14X26+8X27+7X31+11X32+19X36+16X41+14X42+13X43+18X45+11X53+16X54+15X56+8X57+23X63+5X64+12X67+15X71+6X73+6X74+6X76</v>
      </c>
      <c r="M29" s="41" t="s">
        <v>39</v>
      </c>
      <c r="N29" s="9">
        <f>N23</f>
        <v>9867.7007640504617</v>
      </c>
      <c r="O29" s="9">
        <v>7962</v>
      </c>
      <c r="P29" s="48">
        <f t="shared" si="4"/>
        <v>1905.7007640504617</v>
      </c>
      <c r="Q29" s="2">
        <f t="shared" si="5"/>
        <v>0.23934950565818408</v>
      </c>
      <c r="R29" s="9">
        <v>2</v>
      </c>
      <c r="S29" s="7">
        <f t="shared" si="6"/>
        <v>0.47869901131636816</v>
      </c>
    </row>
    <row r="31" spans="2:19" x14ac:dyDescent="0.3">
      <c r="M31" t="s">
        <v>59</v>
      </c>
      <c r="N31">
        <v>0.47869901131640796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6c853569-e95e-4378-8926-ab9501a771a3}" enabled="0" method="" siteId="{6c853569-e95e-4378-8926-ab9501a771a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Information</vt:lpstr>
      <vt:lpstr>Distance Model</vt:lpstr>
      <vt:lpstr>Transportation Model</vt:lpstr>
      <vt:lpstr>Transportation Model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Hickey</dc:creator>
  <cp:lastModifiedBy>Liam Hickey</cp:lastModifiedBy>
  <dcterms:created xsi:type="dcterms:W3CDTF">2025-04-29T00:42:30Z</dcterms:created>
  <dcterms:modified xsi:type="dcterms:W3CDTF">2025-04-29T02:40:34Z</dcterms:modified>
</cp:coreProperties>
</file>