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istral/Dropbox/Piotrek/Programowanie/Projekty/Solaris/src/main/resources/"/>
    </mc:Choice>
  </mc:AlternateContent>
  <xr:revisionPtr revIDLastSave="0" documentId="13_ncr:1_{188AD341-1B32-0A45-BE4E-0E239F55142A}" xr6:coauthVersionLast="43" xr6:coauthVersionMax="43" xr10:uidLastSave="{00000000-0000-0000-0000-000000000000}"/>
  <bookViews>
    <workbookView xWindow="480" yWindow="460" windowWidth="30940" windowHeight="19000" tabRatio="877" activeTab="1" xr2:uid="{00000000-000D-0000-FFFF-FFFF00000000}"/>
  </bookViews>
  <sheets>
    <sheet name="basic" sheetId="20" state="hidden" r:id="rId1"/>
    <sheet name="kosztorys" sheetId="7" r:id="rId2"/>
    <sheet name="2. Harmonogram i budżet" sheetId="13" state="hidden" r:id="rId3"/>
    <sheet name="3. Inwestycja referencyjna_old" sheetId="12" state="hidden" r:id="rId4"/>
    <sheet name="zalozenia" sheetId="1" r:id="rId5"/>
    <sheet name="sprawozdanie" sheetId="6" r:id="rId6"/>
    <sheet name="6. Rachunek inwestycyjny" sheetId="9" state="hidden" r:id="rId7"/>
    <sheet name="7. Uniknięte emisje" sheetId="10" state="hidden" r:id="rId8"/>
    <sheet name="8. Wykresy" sheetId="11" state="hidden" r:id="rId9"/>
    <sheet name="8. Strategia aukcyjna" sheetId="15" state="hidden" r:id="rId10"/>
    <sheet name="kalkulator" sheetId="8" r:id="rId11"/>
  </sheets>
  <externalReferences>
    <externalReference r:id="rId12"/>
  </externalReferences>
  <definedNames>
    <definedName name="tys">'[1]Spis treści'!$B$1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0" l="1"/>
  <c r="M1" i="1" l="1"/>
  <c r="F98" i="1"/>
  <c r="I98" i="1" s="1"/>
  <c r="F78" i="1"/>
  <c r="F61" i="1"/>
  <c r="F60" i="1"/>
  <c r="H72" i="7"/>
  <c r="I75" i="1" l="1"/>
  <c r="F115" i="1" l="1"/>
  <c r="F111" i="1"/>
  <c r="H111" i="1" s="1"/>
  <c r="T66" i="7"/>
  <c r="I151" i="6"/>
  <c r="I120" i="1"/>
  <c r="H119" i="1"/>
  <c r="T21" i="7"/>
  <c r="H36" i="1"/>
  <c r="H66" i="7"/>
  <c r="I140" i="6"/>
  <c r="I116" i="6"/>
  <c r="Z91" i="1"/>
  <c r="AA91" i="1"/>
  <c r="AB91" i="1"/>
  <c r="AC91" i="1"/>
  <c r="AD91" i="1"/>
  <c r="AE91" i="1"/>
  <c r="AF91" i="1"/>
  <c r="AG91" i="1"/>
  <c r="W91" i="1"/>
  <c r="X91" i="1"/>
  <c r="Y91" i="1"/>
  <c r="K15" i="13"/>
  <c r="L15" i="13"/>
  <c r="M15" i="13"/>
  <c r="N15" i="13"/>
  <c r="O15" i="13"/>
  <c r="P15" i="13"/>
  <c r="Q15" i="13"/>
  <c r="R15" i="13"/>
  <c r="S15" i="13"/>
  <c r="T15" i="13"/>
  <c r="U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J18" i="13"/>
  <c r="K18" i="13"/>
  <c r="L18" i="13"/>
  <c r="M18" i="13"/>
  <c r="O18" i="13"/>
  <c r="P18" i="13"/>
  <c r="Q18" i="13"/>
  <c r="R18" i="13"/>
  <c r="S18" i="13"/>
  <c r="T18" i="13"/>
  <c r="U18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J22" i="13"/>
  <c r="K22" i="13"/>
  <c r="L22" i="13"/>
  <c r="M22" i="13"/>
  <c r="N22" i="13"/>
  <c r="O22" i="13"/>
  <c r="P22" i="13"/>
  <c r="Q22" i="13"/>
  <c r="S22" i="13"/>
  <c r="T22" i="13"/>
  <c r="U22" i="13"/>
  <c r="J24" i="13"/>
  <c r="K24" i="13"/>
  <c r="L24" i="13"/>
  <c r="M24" i="13"/>
  <c r="N24" i="13"/>
  <c r="O24" i="13"/>
  <c r="P24" i="13"/>
  <c r="Q24" i="13"/>
  <c r="R24" i="13"/>
  <c r="T24" i="13"/>
  <c r="U24" i="13"/>
  <c r="J27" i="13"/>
  <c r="K27" i="13"/>
  <c r="L27" i="13"/>
  <c r="M27" i="13"/>
  <c r="N27" i="13"/>
  <c r="O27" i="13"/>
  <c r="P27" i="13"/>
  <c r="Q27" i="13"/>
  <c r="S27" i="13"/>
  <c r="T27" i="13"/>
  <c r="U27" i="13"/>
  <c r="J28" i="13"/>
  <c r="K28" i="13"/>
  <c r="L28" i="13"/>
  <c r="M28" i="13"/>
  <c r="N28" i="13"/>
  <c r="O28" i="13"/>
  <c r="P28" i="13"/>
  <c r="Q28" i="13"/>
  <c r="S28" i="13"/>
  <c r="T28" i="13"/>
  <c r="U28" i="13"/>
  <c r="J29" i="13"/>
  <c r="K29" i="13"/>
  <c r="L29" i="13"/>
  <c r="M29" i="13"/>
  <c r="N29" i="13"/>
  <c r="O29" i="13"/>
  <c r="P29" i="13"/>
  <c r="Q29" i="13"/>
  <c r="S29" i="13"/>
  <c r="T29" i="13"/>
  <c r="U29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J32" i="13"/>
  <c r="K32" i="13"/>
  <c r="L32" i="13"/>
  <c r="M32" i="13"/>
  <c r="N32" i="13"/>
  <c r="O32" i="13"/>
  <c r="P32" i="13"/>
  <c r="Q32" i="13"/>
  <c r="S32" i="13"/>
  <c r="T32" i="13"/>
  <c r="U32" i="13"/>
  <c r="J34" i="13"/>
  <c r="K34" i="13"/>
  <c r="L34" i="13"/>
  <c r="M34" i="13"/>
  <c r="N34" i="13"/>
  <c r="O34" i="13"/>
  <c r="P34" i="13"/>
  <c r="Q34" i="13"/>
  <c r="R34" i="13"/>
  <c r="T34" i="13"/>
  <c r="U34" i="13"/>
  <c r="J35" i="13"/>
  <c r="K35" i="13"/>
  <c r="L35" i="13"/>
  <c r="M35" i="13"/>
  <c r="N35" i="13"/>
  <c r="O35" i="13"/>
  <c r="P35" i="13"/>
  <c r="Q35" i="13"/>
  <c r="R35" i="13"/>
  <c r="T35" i="13"/>
  <c r="U35" i="13"/>
  <c r="J38" i="13"/>
  <c r="K38" i="13"/>
  <c r="L38" i="13"/>
  <c r="M38" i="13"/>
  <c r="N38" i="13"/>
  <c r="O38" i="13"/>
  <c r="P38" i="13"/>
  <c r="Q38" i="13"/>
  <c r="R38" i="13"/>
  <c r="T38" i="13"/>
  <c r="U38" i="13"/>
  <c r="J39" i="13"/>
  <c r="K39" i="13"/>
  <c r="L39" i="13"/>
  <c r="M39" i="13"/>
  <c r="N39" i="13"/>
  <c r="O39" i="13"/>
  <c r="P39" i="13"/>
  <c r="Q39" i="13"/>
  <c r="R39" i="13"/>
  <c r="T39" i="13"/>
  <c r="U39" i="13"/>
  <c r="J42" i="13"/>
  <c r="K42" i="13"/>
  <c r="L42" i="13"/>
  <c r="M42" i="13"/>
  <c r="N42" i="13"/>
  <c r="O42" i="13"/>
  <c r="P42" i="13"/>
  <c r="Q42" i="13"/>
  <c r="R42" i="13"/>
  <c r="S42" i="13"/>
  <c r="U42" i="13"/>
  <c r="J43" i="13"/>
  <c r="K43" i="13"/>
  <c r="L43" i="13"/>
  <c r="M43" i="13"/>
  <c r="N43" i="13"/>
  <c r="O43" i="13"/>
  <c r="P43" i="13"/>
  <c r="Q43" i="13"/>
  <c r="R43" i="13"/>
  <c r="S43" i="13"/>
  <c r="U43" i="13"/>
  <c r="J44" i="13"/>
  <c r="K44" i="13"/>
  <c r="L44" i="13"/>
  <c r="M44" i="13"/>
  <c r="N44" i="13"/>
  <c r="O44" i="13"/>
  <c r="P44" i="13"/>
  <c r="Q44" i="13"/>
  <c r="R44" i="13"/>
  <c r="S44" i="13"/>
  <c r="U44" i="13"/>
  <c r="J45" i="13"/>
  <c r="K45" i="13"/>
  <c r="L45" i="13"/>
  <c r="M45" i="13"/>
  <c r="N45" i="13"/>
  <c r="O45" i="13"/>
  <c r="P45" i="13"/>
  <c r="Q45" i="13"/>
  <c r="R45" i="13"/>
  <c r="S45" i="13"/>
  <c r="U45" i="13"/>
  <c r="T27" i="7"/>
  <c r="R27" i="13" s="1"/>
  <c r="W66" i="7" l="1"/>
  <c r="V66" i="7"/>
  <c r="U66" i="7"/>
  <c r="O47" i="7"/>
  <c r="N47" i="7"/>
  <c r="M47" i="7"/>
  <c r="W47" i="7"/>
  <c r="M69" i="7"/>
  <c r="N69" i="7"/>
  <c r="O69" i="7"/>
  <c r="R69" i="7"/>
  <c r="L15" i="7"/>
  <c r="H98" i="1"/>
  <c r="L47" i="7" l="1"/>
  <c r="J15" i="13"/>
  <c r="L69" i="7"/>
  <c r="E2" i="15" l="1"/>
  <c r="G3" i="15"/>
  <c r="H2" i="15"/>
  <c r="F3" i="15"/>
  <c r="E3" i="15"/>
  <c r="E1" i="15"/>
  <c r="I99" i="1"/>
  <c r="I100" i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F2" i="15" l="1"/>
  <c r="G2" i="15"/>
  <c r="F12" i="1"/>
  <c r="F25" i="1" l="1"/>
  <c r="H69" i="7"/>
  <c r="K11" i="20" s="1"/>
  <c r="AX46" i="13"/>
  <c r="AW46" i="13"/>
  <c r="AV46" i="13"/>
  <c r="AX41" i="13"/>
  <c r="AW41" i="13"/>
  <c r="AV41" i="13"/>
  <c r="AX40" i="13"/>
  <c r="AW40" i="13"/>
  <c r="AX37" i="13"/>
  <c r="AW37" i="13"/>
  <c r="AV37" i="13"/>
  <c r="AX26" i="13"/>
  <c r="AW26" i="13"/>
  <c r="AX25" i="13"/>
  <c r="AW25" i="13"/>
  <c r="AX24" i="13"/>
  <c r="AW24" i="13"/>
  <c r="AX20" i="13"/>
  <c r="AW20" i="13"/>
  <c r="AX18" i="13"/>
  <c r="AW18" i="13"/>
  <c r="H67" i="7" l="1"/>
  <c r="H59" i="7"/>
  <c r="H62" i="7"/>
  <c r="H61" i="7"/>
  <c r="H56" i="7"/>
  <c r="H64" i="7"/>
  <c r="H60" i="7"/>
  <c r="H65" i="7"/>
  <c r="H63" i="7"/>
  <c r="H57" i="7"/>
  <c r="H58" i="7"/>
  <c r="M47" i="13"/>
  <c r="U47" i="13"/>
  <c r="L47" i="13"/>
  <c r="K47" i="13"/>
  <c r="AV31" i="13"/>
  <c r="H31" i="13" s="1"/>
  <c r="AV16" i="13"/>
  <c r="H16" i="13" s="1"/>
  <c r="I16" i="13" s="1"/>
  <c r="U34" i="7"/>
  <c r="S34" i="13" s="1"/>
  <c r="AX31" i="7"/>
  <c r="H31" i="7" s="1"/>
  <c r="K31" i="7" s="1"/>
  <c r="T32" i="7"/>
  <c r="R32" i="13" s="1"/>
  <c r="T29" i="7"/>
  <c r="R29" i="13" s="1"/>
  <c r="T28" i="7"/>
  <c r="R28" i="13" s="1"/>
  <c r="AX16" i="7"/>
  <c r="H16" i="7" s="1"/>
  <c r="K16" i="7" s="1"/>
  <c r="K57" i="7"/>
  <c r="AZ46" i="7"/>
  <c r="AY46" i="7"/>
  <c r="AX46" i="7"/>
  <c r="AZ41" i="7"/>
  <c r="AY41" i="7"/>
  <c r="AZ40" i="7"/>
  <c r="AY40" i="7"/>
  <c r="AZ37" i="7"/>
  <c r="AY37" i="7"/>
  <c r="AZ26" i="7"/>
  <c r="AY26" i="7"/>
  <c r="AZ25" i="7"/>
  <c r="AY25" i="7"/>
  <c r="AZ24" i="7"/>
  <c r="AY24" i="7"/>
  <c r="AZ20" i="7"/>
  <c r="AY20" i="7"/>
  <c r="AZ18" i="7"/>
  <c r="AY18" i="7"/>
  <c r="P69" i="7"/>
  <c r="AX66" i="7"/>
  <c r="K66" i="7"/>
  <c r="T61" i="7" l="1"/>
  <c r="U61" i="7"/>
  <c r="V61" i="7"/>
  <c r="W61" i="7"/>
  <c r="V60" i="7"/>
  <c r="W60" i="7"/>
  <c r="T60" i="7"/>
  <c r="U60" i="7"/>
  <c r="K62" i="7"/>
  <c r="V62" i="7"/>
  <c r="W62" i="7"/>
  <c r="U62" i="7"/>
  <c r="T62" i="7"/>
  <c r="V44" i="7" s="1"/>
  <c r="T44" i="13" s="1"/>
  <c r="V64" i="7"/>
  <c r="W64" i="7"/>
  <c r="U64" i="7"/>
  <c r="T64" i="7"/>
  <c r="T57" i="7"/>
  <c r="U57" i="7"/>
  <c r="V57" i="7"/>
  <c r="W57" i="7"/>
  <c r="T59" i="7"/>
  <c r="U59" i="7"/>
  <c r="V59" i="7"/>
  <c r="W59" i="7"/>
  <c r="T65" i="7"/>
  <c r="U65" i="7"/>
  <c r="V65" i="7"/>
  <c r="W65" i="7"/>
  <c r="V58" i="7"/>
  <c r="W58" i="7"/>
  <c r="T58" i="7"/>
  <c r="U58" i="7"/>
  <c r="T63" i="7"/>
  <c r="U63" i="7"/>
  <c r="V63" i="7"/>
  <c r="W63" i="7"/>
  <c r="U67" i="7"/>
  <c r="T67" i="7"/>
  <c r="V67" i="7"/>
  <c r="W67" i="7"/>
  <c r="AX34" i="7"/>
  <c r="H34" i="7" s="1"/>
  <c r="K34" i="7" s="1"/>
  <c r="AV21" i="13"/>
  <c r="H21" i="13" s="1"/>
  <c r="I21" i="13" s="1"/>
  <c r="T22" i="7"/>
  <c r="R22" i="13" s="1"/>
  <c r="Q69" i="7"/>
  <c r="S69" i="7"/>
  <c r="AV34" i="13"/>
  <c r="H34" i="13" s="1"/>
  <c r="I34" i="13" s="1"/>
  <c r="AX28" i="7"/>
  <c r="H28" i="7" s="1"/>
  <c r="K28" i="7" s="1"/>
  <c r="AX21" i="7"/>
  <c r="H21" i="7" s="1"/>
  <c r="K21" i="7" s="1"/>
  <c r="P47" i="13"/>
  <c r="R47" i="7"/>
  <c r="AX27" i="7"/>
  <c r="H27" i="7" s="1"/>
  <c r="K27" i="7" s="1"/>
  <c r="P18" i="7"/>
  <c r="AV29" i="13"/>
  <c r="H29" i="13" s="1"/>
  <c r="I29" i="13" s="1"/>
  <c r="V43" i="7"/>
  <c r="T43" i="13" s="1"/>
  <c r="AV28" i="13"/>
  <c r="H28" i="13" s="1"/>
  <c r="I28" i="13" s="1"/>
  <c r="U24" i="7"/>
  <c r="AV32" i="13"/>
  <c r="H32" i="13" s="1"/>
  <c r="I32" i="13" s="1"/>
  <c r="AX29" i="7"/>
  <c r="H29" i="7" s="1"/>
  <c r="K29" i="7" s="1"/>
  <c r="AX32" i="7"/>
  <c r="H32" i="7" s="1"/>
  <c r="K32" i="7" s="1"/>
  <c r="U35" i="7"/>
  <c r="I31" i="13"/>
  <c r="H102" i="1"/>
  <c r="F14" i="12"/>
  <c r="F23" i="12" s="1"/>
  <c r="F25" i="12" s="1"/>
  <c r="F33" i="12"/>
  <c r="F31" i="12" s="1"/>
  <c r="AX57" i="7" l="1"/>
  <c r="AX18" i="7"/>
  <c r="H18" i="7" s="1"/>
  <c r="K18" i="7" s="1"/>
  <c r="N18" i="13"/>
  <c r="N47" i="13" s="1"/>
  <c r="S24" i="13"/>
  <c r="S47" i="7"/>
  <c r="S35" i="13"/>
  <c r="O47" i="13"/>
  <c r="AV27" i="13"/>
  <c r="H27" i="13" s="1"/>
  <c r="I27" i="13" s="1"/>
  <c r="AX22" i="7"/>
  <c r="H22" i="7" s="1"/>
  <c r="K22" i="7" s="1"/>
  <c r="Q47" i="7"/>
  <c r="P47" i="7"/>
  <c r="H30" i="7"/>
  <c r="K30" i="7" s="1"/>
  <c r="H26" i="7"/>
  <c r="K26" i="7" s="1"/>
  <c r="AX24" i="7"/>
  <c r="H24" i="7" s="1"/>
  <c r="K24" i="7" s="1"/>
  <c r="V45" i="7"/>
  <c r="AX43" i="7"/>
  <c r="H43" i="7" s="1"/>
  <c r="Q47" i="13"/>
  <c r="AX35" i="7"/>
  <c r="H35" i="7" s="1"/>
  <c r="AX44" i="7"/>
  <c r="H44" i="7" s="1"/>
  <c r="K44" i="7" s="1"/>
  <c r="AV22" i="13"/>
  <c r="H22" i="13" s="1"/>
  <c r="H30" i="13"/>
  <c r="I30" i="13" s="1"/>
  <c r="F27" i="12"/>
  <c r="T45" i="13" l="1"/>
  <c r="AV24" i="13"/>
  <c r="H24" i="13" s="1"/>
  <c r="AV18" i="13"/>
  <c r="H18" i="13" s="1"/>
  <c r="I18" i="13" s="1"/>
  <c r="H20" i="7"/>
  <c r="H19" i="7" s="1"/>
  <c r="K19" i="7" s="1"/>
  <c r="H26" i="13"/>
  <c r="I26" i="13" s="1"/>
  <c r="K20" i="7"/>
  <c r="H23" i="7"/>
  <c r="K23" i="7" s="1"/>
  <c r="I22" i="13"/>
  <c r="H20" i="13"/>
  <c r="AV44" i="13"/>
  <c r="H44" i="13" s="1"/>
  <c r="I44" i="13" s="1"/>
  <c r="AV35" i="13"/>
  <c r="H35" i="13" s="1"/>
  <c r="K35" i="7"/>
  <c r="H33" i="7"/>
  <c r="K43" i="7"/>
  <c r="AX45" i="7"/>
  <c r="H45" i="7" s="1"/>
  <c r="K45" i="7" s="1"/>
  <c r="AV43" i="13"/>
  <c r="H43" i="13" s="1"/>
  <c r="F28" i="12"/>
  <c r="F26" i="12" s="1"/>
  <c r="F30" i="12" s="1"/>
  <c r="H17" i="13" l="1"/>
  <c r="I17" i="13" s="1"/>
  <c r="H23" i="13"/>
  <c r="I23" i="13" s="1"/>
  <c r="I24" i="13"/>
  <c r="I43" i="13"/>
  <c r="I35" i="13"/>
  <c r="H33" i="13"/>
  <c r="I20" i="13"/>
  <c r="H19" i="13"/>
  <c r="I19" i="13" s="1"/>
  <c r="K33" i="7"/>
  <c r="H25" i="7"/>
  <c r="K25" i="7" s="1"/>
  <c r="AV45" i="13"/>
  <c r="H45" i="13" s="1"/>
  <c r="I45" i="13" s="1"/>
  <c r="AZ64" i="7"/>
  <c r="AY64" i="7"/>
  <c r="U38" i="7"/>
  <c r="J47" i="13"/>
  <c r="K64" i="7"/>
  <c r="H129" i="1"/>
  <c r="S38" i="13" l="1"/>
  <c r="AX38" i="7"/>
  <c r="H38" i="7" s="1"/>
  <c r="I33" i="13"/>
  <c r="H25" i="13"/>
  <c r="I25" i="13" s="1"/>
  <c r="AX15" i="7"/>
  <c r="AX64" i="7"/>
  <c r="U39" i="7"/>
  <c r="AX58" i="7"/>
  <c r="H105" i="1"/>
  <c r="I105" i="1" s="1"/>
  <c r="T47" i="7" l="1"/>
  <c r="S39" i="13"/>
  <c r="AV39" i="13" s="1"/>
  <c r="H39" i="13" s="1"/>
  <c r="I39" i="13" s="1"/>
  <c r="H15" i="7"/>
  <c r="H14" i="7" s="1"/>
  <c r="K15" i="7"/>
  <c r="AV15" i="13"/>
  <c r="AX39" i="7"/>
  <c r="H39" i="7" s="1"/>
  <c r="K39" i="7" s="1"/>
  <c r="K38" i="7"/>
  <c r="AV38" i="13"/>
  <c r="H38" i="13" s="1"/>
  <c r="I106" i="1"/>
  <c r="H10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S47" i="13" l="1"/>
  <c r="K14" i="7"/>
  <c r="R47" i="13"/>
  <c r="H37" i="7"/>
  <c r="H15" i="13"/>
  <c r="H37" i="13"/>
  <c r="I38" i="13"/>
  <c r="H81" i="1"/>
  <c r="H72" i="1" s="1"/>
  <c r="I37" i="13" l="1"/>
  <c r="H36" i="13"/>
  <c r="H14" i="13"/>
  <c r="I15" i="13"/>
  <c r="H75" i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F79" i="1" s="1"/>
  <c r="X78" i="1" s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I81" i="1"/>
  <c r="I72" i="1" s="1"/>
  <c r="K14" i="10"/>
  <c r="K13" i="10"/>
  <c r="K12" i="10"/>
  <c r="K11" i="10"/>
  <c r="K10" i="10"/>
  <c r="J14" i="10"/>
  <c r="J13" i="10"/>
  <c r="J12" i="10"/>
  <c r="J11" i="10"/>
  <c r="J10" i="10"/>
  <c r="Y74" i="1" l="1"/>
  <c r="Z74" i="1" s="1"/>
  <c r="AA74" i="1" s="1"/>
  <c r="AB74" i="1" s="1"/>
  <c r="AC74" i="1" s="1"/>
  <c r="AD74" i="1" s="1"/>
  <c r="AE74" i="1" s="1"/>
  <c r="AF74" i="1" s="1"/>
  <c r="AG74" i="1" s="1"/>
  <c r="I36" i="13"/>
  <c r="I14" i="13"/>
  <c r="L10" i="10"/>
  <c r="M10" i="10" s="1"/>
  <c r="N10" i="10" s="1"/>
  <c r="J81" i="1"/>
  <c r="J72" i="1" s="1"/>
  <c r="J75" i="1"/>
  <c r="L11" i="10"/>
  <c r="M11" i="10" s="1"/>
  <c r="N11" i="10" s="1"/>
  <c r="L12" i="10"/>
  <c r="M12" i="10" s="1"/>
  <c r="N12" i="10" s="1"/>
  <c r="L13" i="10"/>
  <c r="M13" i="10" s="1"/>
  <c r="N13" i="10" s="1"/>
  <c r="L14" i="10"/>
  <c r="M14" i="10" s="1"/>
  <c r="N14" i="10" s="1"/>
  <c r="K81" i="1" l="1"/>
  <c r="K72" i="1" s="1"/>
  <c r="K75" i="1"/>
  <c r="F20" i="9"/>
  <c r="F14" i="9"/>
  <c r="F15" i="9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L75" i="1" l="1"/>
  <c r="L81" i="1"/>
  <c r="L72" i="1" s="1"/>
  <c r="M81" i="1" l="1"/>
  <c r="M72" i="1" s="1"/>
  <c r="M75" i="1"/>
  <c r="K63" i="7"/>
  <c r="K58" i="7"/>
  <c r="AZ68" i="7"/>
  <c r="AY68" i="7"/>
  <c r="AX68" i="7"/>
  <c r="AZ67" i="7"/>
  <c r="AY67" i="7"/>
  <c r="N75" i="1" l="1"/>
  <c r="N81" i="1"/>
  <c r="N72" i="1" s="1"/>
  <c r="K65" i="7"/>
  <c r="K60" i="7"/>
  <c r="K61" i="7"/>
  <c r="I133" i="6"/>
  <c r="J125" i="6"/>
  <c r="H100" i="1"/>
  <c r="H99" i="1"/>
  <c r="F7" i="8"/>
  <c r="D197" i="8" s="1"/>
  <c r="F6" i="8"/>
  <c r="F5" i="8"/>
  <c r="O81" i="1" l="1"/>
  <c r="O72" i="1" s="1"/>
  <c r="O75" i="1"/>
  <c r="I88" i="6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D228" i="8"/>
  <c r="D194" i="8"/>
  <c r="D284" i="8"/>
  <c r="D252" i="8"/>
  <c r="D220" i="8"/>
  <c r="D260" i="8"/>
  <c r="D308" i="8"/>
  <c r="D276" i="8"/>
  <c r="D244" i="8"/>
  <c r="D212" i="8"/>
  <c r="D292" i="8"/>
  <c r="D300" i="8"/>
  <c r="D268" i="8"/>
  <c r="D236" i="8"/>
  <c r="D204" i="8"/>
  <c r="D195" i="8"/>
  <c r="D307" i="8"/>
  <c r="D299" i="8"/>
  <c r="D291" i="8"/>
  <c r="D283" i="8"/>
  <c r="D275" i="8"/>
  <c r="D267" i="8"/>
  <c r="D259" i="8"/>
  <c r="D251" i="8"/>
  <c r="D243" i="8"/>
  <c r="D235" i="8"/>
  <c r="D227" i="8"/>
  <c r="D219" i="8"/>
  <c r="D211" i="8"/>
  <c r="D203" i="8"/>
  <c r="D312" i="8"/>
  <c r="D304" i="8"/>
  <c r="D296" i="8"/>
  <c r="D288" i="8"/>
  <c r="D280" i="8"/>
  <c r="D272" i="8"/>
  <c r="D264" i="8"/>
  <c r="D256" i="8"/>
  <c r="D248" i="8"/>
  <c r="D240" i="8"/>
  <c r="D232" i="8"/>
  <c r="D224" i="8"/>
  <c r="D216" i="8"/>
  <c r="D208" i="8"/>
  <c r="D200" i="8"/>
  <c r="D311" i="8"/>
  <c r="D303" i="8"/>
  <c r="D295" i="8"/>
  <c r="D287" i="8"/>
  <c r="D279" i="8"/>
  <c r="D271" i="8"/>
  <c r="D263" i="8"/>
  <c r="D255" i="8"/>
  <c r="D247" i="8"/>
  <c r="D239" i="8"/>
  <c r="D231" i="8"/>
  <c r="D223" i="8"/>
  <c r="D215" i="8"/>
  <c r="D207" i="8"/>
  <c r="D199" i="8"/>
  <c r="D196" i="8"/>
  <c r="D310" i="8"/>
  <c r="D306" i="8"/>
  <c r="D302" i="8"/>
  <c r="D298" i="8"/>
  <c r="D294" i="8"/>
  <c r="D290" i="8"/>
  <c r="D286" i="8"/>
  <c r="D282" i="8"/>
  <c r="D278" i="8"/>
  <c r="D274" i="8"/>
  <c r="D270" i="8"/>
  <c r="D266" i="8"/>
  <c r="D262" i="8"/>
  <c r="D258" i="8"/>
  <c r="D254" i="8"/>
  <c r="D250" i="8"/>
  <c r="D246" i="8"/>
  <c r="D242" i="8"/>
  <c r="D238" i="8"/>
  <c r="D234" i="8"/>
  <c r="D230" i="8"/>
  <c r="D226" i="8"/>
  <c r="D222" i="8"/>
  <c r="D218" i="8"/>
  <c r="D214" i="8"/>
  <c r="D210" i="8"/>
  <c r="D206" i="8"/>
  <c r="D202" i="8"/>
  <c r="D198" i="8"/>
  <c r="D313" i="8"/>
  <c r="D309" i="8"/>
  <c r="D305" i="8"/>
  <c r="D301" i="8"/>
  <c r="D297" i="8"/>
  <c r="D293" i="8"/>
  <c r="D289" i="8"/>
  <c r="D285" i="8"/>
  <c r="D281" i="8"/>
  <c r="D277" i="8"/>
  <c r="D273" i="8"/>
  <c r="D269" i="8"/>
  <c r="D265" i="8"/>
  <c r="D261" i="8"/>
  <c r="D257" i="8"/>
  <c r="D253" i="8"/>
  <c r="D249" i="8"/>
  <c r="D245" i="8"/>
  <c r="D241" i="8"/>
  <c r="D237" i="8"/>
  <c r="D233" i="8"/>
  <c r="D229" i="8"/>
  <c r="D225" i="8"/>
  <c r="D221" i="8"/>
  <c r="D217" i="8"/>
  <c r="D213" i="8"/>
  <c r="D209" i="8"/>
  <c r="D205" i="8"/>
  <c r="D201" i="8"/>
  <c r="P75" i="1" l="1"/>
  <c r="P81" i="1"/>
  <c r="P72" i="1" s="1"/>
  <c r="AZ65" i="7"/>
  <c r="AY65" i="7"/>
  <c r="AX65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Z58" i="7"/>
  <c r="AY58" i="7"/>
  <c r="K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AG124" i="1"/>
  <c r="AH23" i="6" s="1"/>
  <c r="AF124" i="1"/>
  <c r="AG23" i="6" s="1"/>
  <c r="AE124" i="1"/>
  <c r="AF23" i="6" s="1"/>
  <c r="AD124" i="1"/>
  <c r="AE23" i="6" s="1"/>
  <c r="AC124" i="1"/>
  <c r="AD23" i="6" s="1"/>
  <c r="AB124" i="1"/>
  <c r="AC23" i="6" s="1"/>
  <c r="AA124" i="1"/>
  <c r="AB23" i="6" s="1"/>
  <c r="Z124" i="1"/>
  <c r="AA23" i="6" s="1"/>
  <c r="Y124" i="1"/>
  <c r="Z23" i="6" s="1"/>
  <c r="X124" i="1"/>
  <c r="Y23" i="6" s="1"/>
  <c r="W124" i="1"/>
  <c r="X23" i="6" s="1"/>
  <c r="V124" i="1"/>
  <c r="W23" i="6" s="1"/>
  <c r="U124" i="1"/>
  <c r="V23" i="6" s="1"/>
  <c r="T124" i="1"/>
  <c r="U23" i="6" s="1"/>
  <c r="S124" i="1"/>
  <c r="T23" i="6" s="1"/>
  <c r="R124" i="1"/>
  <c r="S23" i="6" s="1"/>
  <c r="Q124" i="1"/>
  <c r="R23" i="6" s="1"/>
  <c r="P124" i="1"/>
  <c r="Q23" i="6" s="1"/>
  <c r="O124" i="1"/>
  <c r="P23" i="6" s="1"/>
  <c r="N124" i="1"/>
  <c r="O23" i="6" s="1"/>
  <c r="M124" i="1"/>
  <c r="N23" i="6" s="1"/>
  <c r="L124" i="1"/>
  <c r="M23" i="6" s="1"/>
  <c r="F125" i="1"/>
  <c r="AG119" i="1"/>
  <c r="AH22" i="6" s="1"/>
  <c r="AF119" i="1"/>
  <c r="AG22" i="6" s="1"/>
  <c r="AE119" i="1"/>
  <c r="AF22" i="6" s="1"/>
  <c r="AD119" i="1"/>
  <c r="AE22" i="6" s="1"/>
  <c r="AC119" i="1"/>
  <c r="AD22" i="6" s="1"/>
  <c r="AB119" i="1"/>
  <c r="AC22" i="6" s="1"/>
  <c r="AA119" i="1"/>
  <c r="AB22" i="6" s="1"/>
  <c r="Z119" i="1"/>
  <c r="AA22" i="6" s="1"/>
  <c r="Y119" i="1"/>
  <c r="Z22" i="6" s="1"/>
  <c r="X119" i="1"/>
  <c r="Y22" i="6" s="1"/>
  <c r="W119" i="1"/>
  <c r="X22" i="6" s="1"/>
  <c r="V119" i="1"/>
  <c r="W22" i="6" s="1"/>
  <c r="U119" i="1"/>
  <c r="V22" i="6" s="1"/>
  <c r="T119" i="1"/>
  <c r="U22" i="6" s="1"/>
  <c r="S119" i="1"/>
  <c r="T22" i="6" s="1"/>
  <c r="R119" i="1"/>
  <c r="S22" i="6" s="1"/>
  <c r="Q119" i="1"/>
  <c r="R22" i="6" s="1"/>
  <c r="P119" i="1"/>
  <c r="Q22" i="6" s="1"/>
  <c r="O119" i="1"/>
  <c r="P22" i="6" s="1"/>
  <c r="N119" i="1"/>
  <c r="O22" i="6" s="1"/>
  <c r="M119" i="1"/>
  <c r="N22" i="6" s="1"/>
  <c r="L119" i="1"/>
  <c r="M22" i="6" s="1"/>
  <c r="K119" i="1"/>
  <c r="L22" i="6" s="1"/>
  <c r="I95" i="1"/>
  <c r="H95" i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H113" i="1"/>
  <c r="AH18" i="6"/>
  <c r="AH112" i="6" s="1"/>
  <c r="AH150" i="6" s="1"/>
  <c r="AG18" i="6"/>
  <c r="AG112" i="6" s="1"/>
  <c r="AG150" i="6" s="1"/>
  <c r="AF18" i="6"/>
  <c r="AF112" i="6" s="1"/>
  <c r="AF150" i="6" s="1"/>
  <c r="AE18" i="6"/>
  <c r="AE112" i="6" s="1"/>
  <c r="AE150" i="6" s="1"/>
  <c r="AD18" i="6"/>
  <c r="AD112" i="6" s="1"/>
  <c r="AD150" i="6" s="1"/>
  <c r="AC18" i="6"/>
  <c r="AC112" i="6" s="1"/>
  <c r="AC150" i="6" s="1"/>
  <c r="AB18" i="6"/>
  <c r="AB112" i="6" s="1"/>
  <c r="AB150" i="6" s="1"/>
  <c r="AA18" i="6"/>
  <c r="AA112" i="6" s="1"/>
  <c r="AA150" i="6" s="1"/>
  <c r="Z18" i="6"/>
  <c r="Z112" i="6" s="1"/>
  <c r="Z150" i="6" s="1"/>
  <c r="Y18" i="6"/>
  <c r="Y112" i="6" s="1"/>
  <c r="Y150" i="6" s="1"/>
  <c r="I93" i="1"/>
  <c r="H35" i="1"/>
  <c r="I33" i="1"/>
  <c r="I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G23" i="1"/>
  <c r="I21" i="1"/>
  <c r="I102" i="1"/>
  <c r="I113" i="1" l="1"/>
  <c r="H110" i="1"/>
  <c r="J93" i="1"/>
  <c r="J99" i="1"/>
  <c r="K99" i="1" s="1"/>
  <c r="L99" i="1" s="1"/>
  <c r="J100" i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Q81" i="1"/>
  <c r="Q72" i="1" s="1"/>
  <c r="J105" i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J125" i="1"/>
  <c r="J124" i="1" s="1"/>
  <c r="K23" i="6" s="1"/>
  <c r="J120" i="1"/>
  <c r="J119" i="1" s="1"/>
  <c r="K22" i="6" s="1"/>
  <c r="J106" i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Q75" i="1"/>
  <c r="H125" i="1"/>
  <c r="H124" i="1" s="1"/>
  <c r="I23" i="6" s="1"/>
  <c r="K125" i="1"/>
  <c r="K124" i="1" s="1"/>
  <c r="L23" i="6" s="1"/>
  <c r="I125" i="1"/>
  <c r="I124" i="1" s="1"/>
  <c r="J23" i="6" s="1"/>
  <c r="I111" i="1"/>
  <c r="I110" i="1" s="1"/>
  <c r="I115" i="1"/>
  <c r="H115" i="1"/>
  <c r="H114" i="1" s="1"/>
  <c r="H109" i="1" s="1"/>
  <c r="J98" i="1"/>
  <c r="K98" i="1" s="1"/>
  <c r="L98" i="1" s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J95" i="1"/>
  <c r="I19" i="6"/>
  <c r="K95" i="1"/>
  <c r="J19" i="6"/>
  <c r="I119" i="1"/>
  <c r="J22" i="6" s="1"/>
  <c r="AY56" i="7"/>
  <c r="AZ56" i="7"/>
  <c r="X18" i="6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F18" i="1"/>
  <c r="J21" i="1"/>
  <c r="K21" i="1" s="1"/>
  <c r="I25" i="1"/>
  <c r="K93" i="1" l="1"/>
  <c r="X112" i="6"/>
  <c r="X150" i="6" s="1"/>
  <c r="J115" i="1"/>
  <c r="K115" i="1" s="1"/>
  <c r="K114" i="1" s="1"/>
  <c r="I114" i="1"/>
  <c r="I109" i="1" s="1"/>
  <c r="I108" i="1" s="1"/>
  <c r="J21" i="6" s="1"/>
  <c r="I26" i="1"/>
  <c r="F26" i="1" s="1"/>
  <c r="R75" i="1"/>
  <c r="R81" i="1"/>
  <c r="R72" i="1" s="1"/>
  <c r="J111" i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H108" i="1"/>
  <c r="I21" i="6" s="1"/>
  <c r="M95" i="1"/>
  <c r="L19" i="6"/>
  <c r="L95" i="1"/>
  <c r="K19" i="6"/>
  <c r="M98" i="1"/>
  <c r="J25" i="1"/>
  <c r="L21" i="1"/>
  <c r="K25" i="1"/>
  <c r="L115" i="1" l="1"/>
  <c r="L114" i="1" s="1"/>
  <c r="J114" i="1"/>
  <c r="L93" i="1"/>
  <c r="F17" i="12"/>
  <c r="F39" i="12" s="1"/>
  <c r="F40" i="12" s="1"/>
  <c r="M115" i="1"/>
  <c r="M114" i="1" s="1"/>
  <c r="N110" i="1"/>
  <c r="S81" i="1"/>
  <c r="S72" i="1" s="1"/>
  <c r="S75" i="1"/>
  <c r="J110" i="1"/>
  <c r="J109" i="1" s="1"/>
  <c r="J108" i="1" s="1"/>
  <c r="K21" i="6" s="1"/>
  <c r="L110" i="1"/>
  <c r="L109" i="1" s="1"/>
  <c r="L108" i="1" s="1"/>
  <c r="M21" i="6" s="1"/>
  <c r="O110" i="1"/>
  <c r="M110" i="1"/>
  <c r="K110" i="1"/>
  <c r="K109" i="1" s="1"/>
  <c r="K108" i="1" s="1"/>
  <c r="L21" i="6" s="1"/>
  <c r="O95" i="1"/>
  <c r="N19" i="6"/>
  <c r="N95" i="1"/>
  <c r="M19" i="6"/>
  <c r="N98" i="1"/>
  <c r="P110" i="1"/>
  <c r="M21" i="1"/>
  <c r="L25" i="1"/>
  <c r="N115" i="1" l="1"/>
  <c r="N114" i="1" s="1"/>
  <c r="M93" i="1"/>
  <c r="M109" i="1"/>
  <c r="M108" i="1" s="1"/>
  <c r="N21" i="6" s="1"/>
  <c r="N109" i="1"/>
  <c r="N108" i="1" s="1"/>
  <c r="O21" i="6" s="1"/>
  <c r="T75" i="1"/>
  <c r="T81" i="1"/>
  <c r="T72" i="1" s="1"/>
  <c r="O115" i="1"/>
  <c r="O114" i="1" s="1"/>
  <c r="O109" i="1" s="1"/>
  <c r="O108" i="1" s="1"/>
  <c r="P21" i="6" s="1"/>
  <c r="P95" i="1"/>
  <c r="O19" i="6"/>
  <c r="Q95" i="1"/>
  <c r="P19" i="6"/>
  <c r="M99" i="1"/>
  <c r="O98" i="1"/>
  <c r="Q110" i="1"/>
  <c r="M25" i="1"/>
  <c r="N21" i="1"/>
  <c r="N93" i="1" l="1"/>
  <c r="U81" i="1"/>
  <c r="U72" i="1" s="1"/>
  <c r="U75" i="1"/>
  <c r="P115" i="1"/>
  <c r="P114" i="1" s="1"/>
  <c r="P109" i="1" s="1"/>
  <c r="P108" i="1" s="1"/>
  <c r="Q21" i="6" s="1"/>
  <c r="S95" i="1"/>
  <c r="R19" i="6"/>
  <c r="R95" i="1"/>
  <c r="Q19" i="6"/>
  <c r="P98" i="1"/>
  <c r="N99" i="1"/>
  <c r="R110" i="1"/>
  <c r="O21" i="1"/>
  <c r="N25" i="1"/>
  <c r="O93" i="1" l="1"/>
  <c r="V75" i="1"/>
  <c r="V81" i="1"/>
  <c r="V72" i="1" s="1"/>
  <c r="Q115" i="1"/>
  <c r="Q114" i="1" s="1"/>
  <c r="Q109" i="1" s="1"/>
  <c r="Q108" i="1" s="1"/>
  <c r="R21" i="6" s="1"/>
  <c r="U95" i="1"/>
  <c r="T19" i="6"/>
  <c r="T95" i="1"/>
  <c r="S19" i="6"/>
  <c r="O99" i="1"/>
  <c r="Q98" i="1"/>
  <c r="S110" i="1"/>
  <c r="O25" i="1"/>
  <c r="P21" i="1"/>
  <c r="P93" i="1" l="1"/>
  <c r="W75" i="1"/>
  <c r="W81" i="1"/>
  <c r="W72" i="1" s="1"/>
  <c r="R115" i="1"/>
  <c r="R114" i="1" s="1"/>
  <c r="R109" i="1" s="1"/>
  <c r="R108" i="1" s="1"/>
  <c r="S21" i="6" s="1"/>
  <c r="V95" i="1"/>
  <c r="U19" i="6"/>
  <c r="W95" i="1"/>
  <c r="V19" i="6"/>
  <c r="P99" i="1"/>
  <c r="R98" i="1"/>
  <c r="T110" i="1"/>
  <c r="Q21" i="1"/>
  <c r="P25" i="1"/>
  <c r="Q93" i="1" l="1"/>
  <c r="S115" i="1"/>
  <c r="S114" i="1" s="1"/>
  <c r="X81" i="1"/>
  <c r="X75" i="1"/>
  <c r="X95" i="1"/>
  <c r="W19" i="6"/>
  <c r="Y95" i="1"/>
  <c r="X19" i="6"/>
  <c r="S98" i="1"/>
  <c r="Q99" i="1"/>
  <c r="S109" i="1"/>
  <c r="S108" i="1" s="1"/>
  <c r="T21" i="6" s="1"/>
  <c r="T115" i="1"/>
  <c r="T114" i="1" s="1"/>
  <c r="U110" i="1"/>
  <c r="R21" i="1"/>
  <c r="Q25" i="1"/>
  <c r="X72" i="1" l="1"/>
  <c r="X77" i="1"/>
  <c r="R93" i="1"/>
  <c r="Y75" i="1"/>
  <c r="Y81" i="1"/>
  <c r="Y72" i="1" s="1"/>
  <c r="Z95" i="1"/>
  <c r="Y19" i="6"/>
  <c r="AA95" i="1"/>
  <c r="Z19" i="6"/>
  <c r="R99" i="1"/>
  <c r="T98" i="1"/>
  <c r="U115" i="1"/>
  <c r="U114" i="1" s="1"/>
  <c r="T109" i="1"/>
  <c r="T108" i="1" s="1"/>
  <c r="U21" i="6" s="1"/>
  <c r="V110" i="1"/>
  <c r="S21" i="1"/>
  <c r="R25" i="1"/>
  <c r="S93" i="1" l="1"/>
  <c r="Z75" i="1"/>
  <c r="Z81" i="1"/>
  <c r="Z72" i="1" s="1"/>
  <c r="AC95" i="1"/>
  <c r="AB19" i="6"/>
  <c r="AB95" i="1"/>
  <c r="AA19" i="6"/>
  <c r="U98" i="1"/>
  <c r="S99" i="1"/>
  <c r="U109" i="1"/>
  <c r="U108" i="1" s="1"/>
  <c r="V21" i="6" s="1"/>
  <c r="V115" i="1"/>
  <c r="V114" i="1" s="1"/>
  <c r="W110" i="1"/>
  <c r="T21" i="1"/>
  <c r="S25" i="1"/>
  <c r="T93" i="1" l="1"/>
  <c r="AA81" i="1"/>
  <c r="AA72" i="1" s="1"/>
  <c r="AA75" i="1"/>
  <c r="AD95" i="1"/>
  <c r="AC19" i="6"/>
  <c r="AE95" i="1"/>
  <c r="AD19" i="6"/>
  <c r="V98" i="1"/>
  <c r="T99" i="1"/>
  <c r="V109" i="1"/>
  <c r="V108" i="1" s="1"/>
  <c r="W21" i="6" s="1"/>
  <c r="W115" i="1"/>
  <c r="W114" i="1" s="1"/>
  <c r="X110" i="1"/>
  <c r="U21" i="1"/>
  <c r="T25" i="1"/>
  <c r="U93" i="1" l="1"/>
  <c r="AB75" i="1"/>
  <c r="AB81" i="1"/>
  <c r="AB72" i="1" s="1"/>
  <c r="AF95" i="1"/>
  <c r="AE19" i="6"/>
  <c r="AG95" i="1"/>
  <c r="AF19" i="6"/>
  <c r="U99" i="1"/>
  <c r="W98" i="1"/>
  <c r="W109" i="1"/>
  <c r="W108" i="1" s="1"/>
  <c r="X21" i="6" s="1"/>
  <c r="X115" i="1"/>
  <c r="X114" i="1" s="1"/>
  <c r="Y110" i="1"/>
  <c r="V21" i="1"/>
  <c r="U25" i="1"/>
  <c r="AC75" i="1" l="1"/>
  <c r="AC81" i="1"/>
  <c r="AC72" i="1" s="1"/>
  <c r="AH19" i="6"/>
  <c r="AG19" i="6"/>
  <c r="X98" i="1"/>
  <c r="V99" i="1"/>
  <c r="Y115" i="1"/>
  <c r="Y114" i="1" s="1"/>
  <c r="X109" i="1"/>
  <c r="X108" i="1" s="1"/>
  <c r="Y21" i="6" s="1"/>
  <c r="Z110" i="1"/>
  <c r="W21" i="1"/>
  <c r="V25" i="1"/>
  <c r="AD81" i="1" l="1"/>
  <c r="AD72" i="1" s="1"/>
  <c r="AD75" i="1"/>
  <c r="Y98" i="1"/>
  <c r="W99" i="1"/>
  <c r="Y109" i="1"/>
  <c r="Y108" i="1" s="1"/>
  <c r="Z21" i="6" s="1"/>
  <c r="Z115" i="1"/>
  <c r="Z114" i="1" s="1"/>
  <c r="AA110" i="1"/>
  <c r="X21" i="1"/>
  <c r="W25" i="1"/>
  <c r="F82" i="1" s="1"/>
  <c r="AE75" i="1" l="1"/>
  <c r="AE81" i="1"/>
  <c r="AE72" i="1" s="1"/>
  <c r="X99" i="1"/>
  <c r="Z98" i="1"/>
  <c r="Z109" i="1"/>
  <c r="Z108" i="1" s="1"/>
  <c r="AA21" i="6" s="1"/>
  <c r="AA115" i="1"/>
  <c r="AA114" i="1" s="1"/>
  <c r="AB110" i="1"/>
  <c r="Y21" i="1"/>
  <c r="X25" i="1"/>
  <c r="X86" i="1" s="1"/>
  <c r="Y78" i="1"/>
  <c r="Y77" i="1" s="1"/>
  <c r="F83" i="1" l="1"/>
  <c r="F86" i="1"/>
  <c r="AF81" i="1"/>
  <c r="AF72" i="1" s="1"/>
  <c r="AF75" i="1"/>
  <c r="AA98" i="1"/>
  <c r="Y99" i="1"/>
  <c r="AB115" i="1"/>
  <c r="AB114" i="1" s="1"/>
  <c r="AA109" i="1"/>
  <c r="AA108" i="1" s="1"/>
  <c r="AB21" i="6" s="1"/>
  <c r="AC110" i="1"/>
  <c r="Z21" i="1"/>
  <c r="Y25" i="1"/>
  <c r="Z78" i="1"/>
  <c r="Z77" i="1" s="1"/>
  <c r="X103" i="1" l="1"/>
  <c r="X97" i="1" s="1"/>
  <c r="Y20" i="6" s="1"/>
  <c r="AG75" i="1"/>
  <c r="AG81" i="1"/>
  <c r="AG72" i="1" s="1"/>
  <c r="Y14" i="6"/>
  <c r="Y13" i="6" s="1"/>
  <c r="Y86" i="1"/>
  <c r="Z99" i="1"/>
  <c r="AB98" i="1"/>
  <c r="AC115" i="1"/>
  <c r="AC114" i="1" s="1"/>
  <c r="AB109" i="1"/>
  <c r="AB108" i="1" s="1"/>
  <c r="AC21" i="6" s="1"/>
  <c r="AD110" i="1"/>
  <c r="AA21" i="1"/>
  <c r="Z25" i="1"/>
  <c r="AA78" i="1"/>
  <c r="AA77" i="1" s="1"/>
  <c r="Y103" i="1" l="1"/>
  <c r="Y97" i="1" s="1"/>
  <c r="Z20" i="6" s="1"/>
  <c r="Z14" i="6"/>
  <c r="Z13" i="6" s="1"/>
  <c r="Z86" i="1"/>
  <c r="AA14" i="6" s="1"/>
  <c r="AA13" i="6" s="1"/>
  <c r="X130" i="1"/>
  <c r="AC98" i="1"/>
  <c r="AA99" i="1"/>
  <c r="AC109" i="1"/>
  <c r="AC108" i="1" s="1"/>
  <c r="AD21" i="6" s="1"/>
  <c r="AD115" i="1"/>
  <c r="AD114" i="1" s="1"/>
  <c r="AE110" i="1"/>
  <c r="AB21" i="1"/>
  <c r="AA25" i="1"/>
  <c r="AB78" i="1"/>
  <c r="AB77" i="1" s="1"/>
  <c r="Z103" i="1" l="1"/>
  <c r="Z97" i="1" s="1"/>
  <c r="X128" i="1"/>
  <c r="Y24" i="6" s="1"/>
  <c r="Y17" i="6" s="1"/>
  <c r="Y27" i="6" s="1"/>
  <c r="Y35" i="6" s="1"/>
  <c r="AA86" i="1"/>
  <c r="AB14" i="6" s="1"/>
  <c r="AB13" i="6" s="1"/>
  <c r="Y130" i="1"/>
  <c r="AB99" i="1"/>
  <c r="AD98" i="1"/>
  <c r="AD109" i="1"/>
  <c r="AD108" i="1" s="1"/>
  <c r="AE21" i="6" s="1"/>
  <c r="AE115" i="1"/>
  <c r="AE114" i="1" s="1"/>
  <c r="AF110" i="1"/>
  <c r="AG110" i="1"/>
  <c r="AC21" i="1"/>
  <c r="AB25" i="1"/>
  <c r="AC78" i="1"/>
  <c r="AC77" i="1" s="1"/>
  <c r="AA103" i="1" l="1"/>
  <c r="AA97" i="1" s="1"/>
  <c r="Y128" i="1"/>
  <c r="Z24" i="6" s="1"/>
  <c r="Z17" i="6" s="1"/>
  <c r="Z27" i="6" s="1"/>
  <c r="Z35" i="6" s="1"/>
  <c r="Z130" i="1"/>
  <c r="AB86" i="1"/>
  <c r="AC14" i="6" s="1"/>
  <c r="AC13" i="6" s="1"/>
  <c r="AE98" i="1"/>
  <c r="AC99" i="1"/>
  <c r="AE109" i="1"/>
  <c r="AE108" i="1" s="1"/>
  <c r="AF21" i="6" s="1"/>
  <c r="AF115" i="1"/>
  <c r="AF114" i="1" s="1"/>
  <c r="AD21" i="1"/>
  <c r="AC25" i="1"/>
  <c r="AD78" i="1"/>
  <c r="AD77" i="1" s="1"/>
  <c r="AB103" i="1" l="1"/>
  <c r="Z128" i="1"/>
  <c r="AA24" i="6" s="1"/>
  <c r="AB20" i="6"/>
  <c r="AA20" i="6"/>
  <c r="AB97" i="1"/>
  <c r="AC86" i="1"/>
  <c r="AD14" i="6" s="1"/>
  <c r="AD13" i="6" s="1"/>
  <c r="AA130" i="1"/>
  <c r="AF98" i="1"/>
  <c r="AD99" i="1"/>
  <c r="AG115" i="1"/>
  <c r="AF109" i="1"/>
  <c r="AF108" i="1" s="1"/>
  <c r="AG21" i="6" s="1"/>
  <c r="AE21" i="1"/>
  <c r="AD25" i="1"/>
  <c r="AE78" i="1"/>
  <c r="AE77" i="1" s="1"/>
  <c r="AC103" i="1" l="1"/>
  <c r="AC97" i="1" s="1"/>
  <c r="AA17" i="6"/>
  <c r="AA27" i="6" s="1"/>
  <c r="AA35" i="6" s="1"/>
  <c r="AA128" i="1"/>
  <c r="AB24" i="6" s="1"/>
  <c r="AB17" i="6" s="1"/>
  <c r="AB27" i="6" s="1"/>
  <c r="AB35" i="6" s="1"/>
  <c r="AC20" i="6"/>
  <c r="AD86" i="1"/>
  <c r="AB130" i="1"/>
  <c r="AE99" i="1"/>
  <c r="AG98" i="1"/>
  <c r="AG114" i="1"/>
  <c r="AG109" i="1" s="1"/>
  <c r="AG108" i="1" s="1"/>
  <c r="AH21" i="6" s="1"/>
  <c r="AF21" i="1"/>
  <c r="AE25" i="1"/>
  <c r="AF78" i="1"/>
  <c r="AF77" i="1" s="1"/>
  <c r="AD103" i="1" l="1"/>
  <c r="AD97" i="1" s="1"/>
  <c r="AE20" i="6" s="1"/>
  <c r="AB128" i="1"/>
  <c r="AC24" i="6" s="1"/>
  <c r="AC17" i="6" s="1"/>
  <c r="AC27" i="6" s="1"/>
  <c r="AC35" i="6" s="1"/>
  <c r="AE86" i="1"/>
  <c r="AE103" i="1" s="1"/>
  <c r="AE14" i="6"/>
  <c r="AE13" i="6" s="1"/>
  <c r="AD20" i="6"/>
  <c r="AC130" i="1"/>
  <c r="AF99" i="1"/>
  <c r="AG21" i="1"/>
  <c r="AG25" i="1" s="1"/>
  <c r="AF25" i="1"/>
  <c r="AG78" i="1"/>
  <c r="AG77" i="1" s="1"/>
  <c r="AE97" i="1" l="1"/>
  <c r="AF20" i="6" s="1"/>
  <c r="AC128" i="1"/>
  <c r="AD24" i="6" s="1"/>
  <c r="AD17" i="6" s="1"/>
  <c r="AD27" i="6" s="1"/>
  <c r="AD35" i="6" s="1"/>
  <c r="AF86" i="1"/>
  <c r="AG14" i="6" s="1"/>
  <c r="AG13" i="6" s="1"/>
  <c r="AG86" i="1"/>
  <c r="AG103" i="1" s="1"/>
  <c r="AF14" i="6"/>
  <c r="AF13" i="6" s="1"/>
  <c r="AD130" i="1"/>
  <c r="AG99" i="1"/>
  <c r="AG97" i="1" l="1"/>
  <c r="AF103" i="1"/>
  <c r="AF97" i="1" s="1"/>
  <c r="AF130" i="1" s="1"/>
  <c r="AD128" i="1"/>
  <c r="AE24" i="6" s="1"/>
  <c r="AE17" i="6" s="1"/>
  <c r="AE27" i="6" s="1"/>
  <c r="AE35" i="6" s="1"/>
  <c r="AE130" i="1"/>
  <c r="AH14" i="6"/>
  <c r="AH13" i="6" s="1"/>
  <c r="AE128" i="1" l="1"/>
  <c r="AF24" i="6" s="1"/>
  <c r="AF17" i="6" s="1"/>
  <c r="AF27" i="6" s="1"/>
  <c r="AF35" i="6" s="1"/>
  <c r="AF128" i="1"/>
  <c r="AG24" i="6" s="1"/>
  <c r="AG20" i="6"/>
  <c r="AG130" i="1"/>
  <c r="AG17" i="6" l="1"/>
  <c r="AG27" i="6" s="1"/>
  <c r="AG35" i="6" s="1"/>
  <c r="AG128" i="1"/>
  <c r="AH24" i="6" s="1"/>
  <c r="AH20" i="6"/>
  <c r="AH17" i="6" l="1"/>
  <c r="AH27" i="6" s="1"/>
  <c r="AH35" i="6" s="1"/>
  <c r="AX67" i="7" l="1"/>
  <c r="K67" i="7" l="1"/>
  <c r="H103" i="1" l="1"/>
  <c r="H97" i="1" s="1"/>
  <c r="H130" i="1" l="1"/>
  <c r="H128" i="1" s="1"/>
  <c r="I24" i="6" s="1"/>
  <c r="K59" i="7" l="1"/>
  <c r="AX59" i="7" l="1"/>
  <c r="F16" i="12" l="1"/>
  <c r="F15" i="12" s="1"/>
  <c r="M4" i="15"/>
  <c r="F43" i="12" l="1"/>
  <c r="F46" i="12" s="1"/>
  <c r="F49" i="12" l="1"/>
  <c r="H78" i="1"/>
  <c r="E4" i="15"/>
  <c r="I78" i="1" l="1"/>
  <c r="J78" i="1" s="1"/>
  <c r="H77" i="1"/>
  <c r="I77" i="1"/>
  <c r="I86" i="1" s="1"/>
  <c r="J116" i="6"/>
  <c r="H17" i="7"/>
  <c r="AX37" i="7"/>
  <c r="J77" i="1" l="1"/>
  <c r="J86" i="1" s="1"/>
  <c r="K78" i="1"/>
  <c r="H86" i="1"/>
  <c r="I14" i="6" s="1"/>
  <c r="I13" i="6" s="1"/>
  <c r="I103" i="1"/>
  <c r="I101" i="1"/>
  <c r="K17" i="7"/>
  <c r="J14" i="6"/>
  <c r="J13" i="6" s="1"/>
  <c r="J103" i="1"/>
  <c r="J101" i="1"/>
  <c r="K14" i="6"/>
  <c r="K13" i="6" s="1"/>
  <c r="L78" i="1"/>
  <c r="K77" i="1"/>
  <c r="K86" i="1" s="1"/>
  <c r="K116" i="6"/>
  <c r="H36" i="7"/>
  <c r="K37" i="7"/>
  <c r="I97" i="1" l="1"/>
  <c r="I130" i="1"/>
  <c r="I128" i="1" s="1"/>
  <c r="J24" i="6" s="1"/>
  <c r="J20" i="6"/>
  <c r="J97" i="1"/>
  <c r="K20" i="6" s="1"/>
  <c r="M78" i="1"/>
  <c r="L77" i="1"/>
  <c r="L86" i="1" s="1"/>
  <c r="K103" i="1"/>
  <c r="L14" i="6"/>
  <c r="L13" i="6" s="1"/>
  <c r="K101" i="1"/>
  <c r="L116" i="6"/>
  <c r="K36" i="7"/>
  <c r="AX41" i="7"/>
  <c r="K97" i="1" l="1"/>
  <c r="L20" i="6" s="1"/>
  <c r="J130" i="1"/>
  <c r="J128" i="1" s="1"/>
  <c r="K24" i="6" s="1"/>
  <c r="L103" i="1"/>
  <c r="L101" i="1"/>
  <c r="M14" i="6"/>
  <c r="M13" i="6" s="1"/>
  <c r="N78" i="1"/>
  <c r="M77" i="1"/>
  <c r="M86" i="1" s="1"/>
  <c r="M116" i="6"/>
  <c r="L97" i="1" l="1"/>
  <c r="L130" i="1" s="1"/>
  <c r="L128" i="1" s="1"/>
  <c r="M24" i="6" s="1"/>
  <c r="K130" i="1"/>
  <c r="K128" i="1" s="1"/>
  <c r="L24" i="6" s="1"/>
  <c r="O78" i="1"/>
  <c r="N77" i="1"/>
  <c r="N86" i="1" s="1"/>
  <c r="M103" i="1"/>
  <c r="M101" i="1"/>
  <c r="N14" i="6"/>
  <c r="N13" i="6" s="1"/>
  <c r="N116" i="6"/>
  <c r="M20" i="6" l="1"/>
  <c r="M97" i="1"/>
  <c r="M130" i="1" s="1"/>
  <c r="M128" i="1" s="1"/>
  <c r="N24" i="6" s="1"/>
  <c r="N103" i="1"/>
  <c r="N101" i="1"/>
  <c r="O14" i="6"/>
  <c r="O13" i="6" s="1"/>
  <c r="P78" i="1"/>
  <c r="O77" i="1"/>
  <c r="O86" i="1" s="1"/>
  <c r="O116" i="6"/>
  <c r="N20" i="6" l="1"/>
  <c r="O103" i="1"/>
  <c r="O101" i="1"/>
  <c r="P14" i="6"/>
  <c r="P13" i="6" s="1"/>
  <c r="Q78" i="1"/>
  <c r="P77" i="1"/>
  <c r="P86" i="1" s="1"/>
  <c r="N97" i="1"/>
  <c r="P116" i="6"/>
  <c r="O97" i="1" l="1"/>
  <c r="P20" i="6" s="1"/>
  <c r="R78" i="1"/>
  <c r="Q77" i="1"/>
  <c r="Q86" i="1" s="1"/>
  <c r="O20" i="6"/>
  <c r="N130" i="1"/>
  <c r="N128" i="1" s="1"/>
  <c r="O24" i="6" s="1"/>
  <c r="P103" i="1"/>
  <c r="P101" i="1"/>
  <c r="Q14" i="6"/>
  <c r="Q13" i="6" s="1"/>
  <c r="Q116" i="6"/>
  <c r="O130" i="1" l="1"/>
  <c r="O128" i="1" s="1"/>
  <c r="P24" i="6" s="1"/>
  <c r="P97" i="1"/>
  <c r="P130" i="1" s="1"/>
  <c r="P128" i="1" s="1"/>
  <c r="Q24" i="6" s="1"/>
  <c r="Q103" i="1"/>
  <c r="Q101" i="1"/>
  <c r="R14" i="6"/>
  <c r="R13" i="6" s="1"/>
  <c r="S78" i="1"/>
  <c r="R77" i="1"/>
  <c r="R86" i="1" s="1"/>
  <c r="R116" i="6"/>
  <c r="Q20" i="6" l="1"/>
  <c r="T78" i="1"/>
  <c r="S77" i="1"/>
  <c r="S86" i="1" s="1"/>
  <c r="R103" i="1"/>
  <c r="S14" i="6"/>
  <c r="S13" i="6" s="1"/>
  <c r="R101" i="1"/>
  <c r="Q97" i="1"/>
  <c r="S116" i="6"/>
  <c r="S103" i="1" l="1"/>
  <c r="T14" i="6"/>
  <c r="T13" i="6" s="1"/>
  <c r="S101" i="1"/>
  <c r="Q130" i="1"/>
  <c r="Q128" i="1" s="1"/>
  <c r="R24" i="6" s="1"/>
  <c r="R20" i="6"/>
  <c r="R97" i="1"/>
  <c r="U78" i="1"/>
  <c r="T77" i="1"/>
  <c r="T86" i="1" s="1"/>
  <c r="T116" i="6"/>
  <c r="S97" i="1" l="1"/>
  <c r="S130" i="1" s="1"/>
  <c r="S128" i="1" s="1"/>
  <c r="T24" i="6" s="1"/>
  <c r="T103" i="1"/>
  <c r="T101" i="1"/>
  <c r="U14" i="6"/>
  <c r="U13" i="6" s="1"/>
  <c r="S20" i="6"/>
  <c r="R130" i="1"/>
  <c r="R128" i="1" s="1"/>
  <c r="S24" i="6" s="1"/>
  <c r="V78" i="1"/>
  <c r="U77" i="1"/>
  <c r="U86" i="1" s="1"/>
  <c r="U116" i="6"/>
  <c r="T20" i="6" l="1"/>
  <c r="W78" i="1"/>
  <c r="V77" i="1"/>
  <c r="V86" i="1" s="1"/>
  <c r="T97" i="1"/>
  <c r="U103" i="1"/>
  <c r="U101" i="1"/>
  <c r="V14" i="6"/>
  <c r="V13" i="6" s="1"/>
  <c r="V116" i="6"/>
  <c r="W77" i="1" l="1"/>
  <c r="W86" i="1" s="1"/>
  <c r="T130" i="1"/>
  <c r="T128" i="1" s="1"/>
  <c r="U24" i="6" s="1"/>
  <c r="U20" i="6"/>
  <c r="U97" i="1"/>
  <c r="V103" i="1"/>
  <c r="W14" i="6"/>
  <c r="W13" i="6" s="1"/>
  <c r="V101" i="1"/>
  <c r="W103" i="1"/>
  <c r="W116" i="6"/>
  <c r="X14" i="6" l="1"/>
  <c r="X13" i="6" s="1"/>
  <c r="W101" i="1"/>
  <c r="W97" i="1" s="1"/>
  <c r="W130" i="1" s="1"/>
  <c r="W128" i="1" s="1"/>
  <c r="X24" i="6" s="1"/>
  <c r="U130" i="1"/>
  <c r="U128" i="1" s="1"/>
  <c r="V24" i="6" s="1"/>
  <c r="V20" i="6"/>
  <c r="V97" i="1"/>
  <c r="X116" i="6"/>
  <c r="X20" i="6" l="1"/>
  <c r="V130" i="1"/>
  <c r="V128" i="1" s="1"/>
  <c r="W24" i="6" s="1"/>
  <c r="W20" i="6"/>
  <c r="Y116" i="6"/>
  <c r="X17" i="6" l="1"/>
  <c r="X27" i="6" s="1"/>
  <c r="X35" i="6" s="1"/>
  <c r="Z116" i="6"/>
  <c r="AA116" i="6" l="1"/>
  <c r="AB116" i="6" l="1"/>
  <c r="AC116" i="6" l="1"/>
  <c r="AD116" i="6" l="1"/>
  <c r="AE116" i="6" l="1"/>
  <c r="AF116" i="6" l="1"/>
  <c r="AH116" i="6" l="1"/>
  <c r="AG116" i="6"/>
  <c r="J4" i="15" l="1"/>
  <c r="H47" i="7" l="1"/>
  <c r="H50" i="7" s="1"/>
  <c r="F56" i="1" l="1"/>
  <c r="F55" i="1" s="1"/>
  <c r="F58" i="1" s="1"/>
  <c r="F59" i="1" l="1"/>
  <c r="K13" i="20" s="1"/>
  <c r="K12" i="20"/>
  <c r="L4" i="15"/>
  <c r="K4" i="15" l="1"/>
  <c r="F19" i="9"/>
  <c r="F23" i="9" s="1"/>
  <c r="E156" i="6" s="1"/>
  <c r="I156" i="6" s="1"/>
  <c r="J157" i="6" s="1"/>
  <c r="F4" i="8"/>
  <c r="D13" i="8" s="1"/>
  <c r="H67" i="1" s="1"/>
  <c r="F9" i="8" l="1"/>
  <c r="D102" i="8" s="1"/>
  <c r="G13" i="8"/>
  <c r="D176" i="8"/>
  <c r="D63" i="8"/>
  <c r="D72" i="8"/>
  <c r="D175" i="8"/>
  <c r="D180" i="8"/>
  <c r="D62" i="8"/>
  <c r="D83" i="8"/>
  <c r="D25" i="8"/>
  <c r="D96" i="8"/>
  <c r="D150" i="8"/>
  <c r="D20" i="8"/>
  <c r="D44" i="8"/>
  <c r="D75" i="8"/>
  <c r="D100" i="8"/>
  <c r="D140" i="8"/>
  <c r="D161" i="8"/>
  <c r="D170" i="8"/>
  <c r="D60" i="8"/>
  <c r="D98" i="8"/>
  <c r="D123" i="8"/>
  <c r="D166" i="8"/>
  <c r="D97" i="8"/>
  <c r="D41" i="8"/>
  <c r="D85" i="8"/>
  <c r="D162" i="8"/>
  <c r="D122" i="8"/>
  <c r="D95" i="8"/>
  <c r="D108" i="8"/>
  <c r="D127" i="8"/>
  <c r="D39" i="8"/>
  <c r="D34" i="8"/>
  <c r="D186" i="8"/>
  <c r="D119" i="8"/>
  <c r="D90" i="8"/>
  <c r="D47" i="8"/>
  <c r="D94" i="8"/>
  <c r="D87" i="8"/>
  <c r="D187" i="8"/>
  <c r="D74" i="8"/>
  <c r="D181" i="8"/>
  <c r="D114" i="8"/>
  <c r="D139" i="8"/>
  <c r="D79" i="8"/>
  <c r="D101" i="8"/>
  <c r="D88" i="8"/>
  <c r="D82" i="8"/>
  <c r="D126" i="8"/>
  <c r="D16" i="8"/>
  <c r="D154" i="8"/>
  <c r="D135" i="8"/>
  <c r="D159" i="8"/>
  <c r="D109" i="8"/>
  <c r="D18" i="8"/>
  <c r="D173" i="8"/>
  <c r="D61" i="8"/>
  <c r="D151" i="8"/>
  <c r="D46" i="8"/>
  <c r="D169" i="8"/>
  <c r="D179" i="8"/>
  <c r="D137" i="8"/>
  <c r="D26" i="8"/>
  <c r="D128" i="8"/>
  <c r="D19" i="8"/>
  <c r="D15" i="8"/>
  <c r="D55" i="8"/>
  <c r="D69" i="8"/>
  <c r="D130" i="8"/>
  <c r="D52" i="8"/>
  <c r="D183" i="8"/>
  <c r="D107" i="8"/>
  <c r="D57" i="8"/>
  <c r="D153" i="8"/>
  <c r="D147" i="8"/>
  <c r="D178" i="8"/>
  <c r="D188" i="8"/>
  <c r="D29" i="8"/>
  <c r="D22" i="8"/>
  <c r="D121" i="8"/>
  <c r="D86" i="8"/>
  <c r="D27" i="8"/>
  <c r="D149" i="8"/>
  <c r="D30" i="8"/>
  <c r="D78" i="8"/>
  <c r="D56" i="8"/>
  <c r="D134" i="8"/>
  <c r="D158" i="8"/>
  <c r="D42" i="8"/>
  <c r="D91" i="8"/>
  <c r="D172" i="8"/>
  <c r="D92" i="8"/>
  <c r="D43" i="8"/>
  <c r="D106" i="8"/>
  <c r="D35" i="8"/>
  <c r="D193" i="8"/>
  <c r="D131" i="8"/>
  <c r="D64" i="8"/>
  <c r="D111" i="8"/>
  <c r="D99" i="8"/>
  <c r="D89" i="8"/>
  <c r="D141" i="8"/>
  <c r="D177" i="8"/>
  <c r="D165" i="8"/>
  <c r="D23" i="8"/>
  <c r="D120" i="8"/>
  <c r="D76" i="8"/>
  <c r="D38" i="8"/>
  <c r="D51" i="8"/>
  <c r="D117" i="8"/>
  <c r="D160" i="8"/>
  <c r="D31" i="8"/>
  <c r="D93" i="8"/>
  <c r="D71" i="8"/>
  <c r="D81" i="8"/>
  <c r="D84" i="8"/>
  <c r="D54" i="8"/>
  <c r="D152" i="8"/>
  <c r="D65" i="8"/>
  <c r="D191" i="8"/>
  <c r="D70" i="8"/>
  <c r="D104" i="8"/>
  <c r="D66" i="8"/>
  <c r="D116" i="8"/>
  <c r="D33" i="8"/>
  <c r="D105" i="8"/>
  <c r="D189" i="8"/>
  <c r="D50" i="8"/>
  <c r="D45" i="8"/>
  <c r="E14" i="8"/>
  <c r="J156" i="6"/>
  <c r="K156" i="6" s="1"/>
  <c r="L156" i="6" s="1"/>
  <c r="M156" i="6" s="1"/>
  <c r="N156" i="6" s="1"/>
  <c r="O156" i="6" s="1"/>
  <c r="P156" i="6" s="1"/>
  <c r="Q156" i="6" s="1"/>
  <c r="R156" i="6" s="1"/>
  <c r="S156" i="6" s="1"/>
  <c r="T156" i="6" s="1"/>
  <c r="U156" i="6" s="1"/>
  <c r="V156" i="6" s="1"/>
  <c r="W156" i="6" s="1"/>
  <c r="X156" i="6" s="1"/>
  <c r="Y156" i="6" s="1"/>
  <c r="Z156" i="6" s="1"/>
  <c r="AA156" i="6" s="1"/>
  <c r="AB156" i="6" s="1"/>
  <c r="AC156" i="6" s="1"/>
  <c r="AD156" i="6" s="1"/>
  <c r="AE156" i="6" s="1"/>
  <c r="AF156" i="6" s="1"/>
  <c r="AG156" i="6" s="1"/>
  <c r="AH156" i="6" s="1"/>
  <c r="D110" i="8" l="1"/>
  <c r="D192" i="8"/>
  <c r="D182" i="8"/>
  <c r="D190" i="8"/>
  <c r="D163" i="8"/>
  <c r="D138" i="8"/>
  <c r="D14" i="8"/>
  <c r="F14" i="8" s="1"/>
  <c r="G14" i="8" s="1"/>
  <c r="D129" i="8"/>
  <c r="D168" i="8"/>
  <c r="D143" i="8"/>
  <c r="D164" i="8"/>
  <c r="D124" i="8"/>
  <c r="D185" i="8"/>
  <c r="D145" i="8"/>
  <c r="D49" i="8"/>
  <c r="D80" i="8"/>
  <c r="D136" i="8"/>
  <c r="D113" i="8"/>
  <c r="D184" i="8"/>
  <c r="D36" i="8"/>
  <c r="D155" i="8"/>
  <c r="D148" i="8"/>
  <c r="D115" i="8"/>
  <c r="D174" i="8"/>
  <c r="D73" i="8"/>
  <c r="D48" i="8"/>
  <c r="D24" i="8"/>
  <c r="D37" i="8"/>
  <c r="D68" i="8"/>
  <c r="D142" i="8"/>
  <c r="D77" i="8"/>
  <c r="D28" i="8"/>
  <c r="D144" i="8"/>
  <c r="D21" i="8"/>
  <c r="D58" i="8"/>
  <c r="D125" i="8"/>
  <c r="D53" i="8"/>
  <c r="D103" i="8"/>
  <c r="D156" i="8"/>
  <c r="D157" i="8"/>
  <c r="D32" i="8"/>
  <c r="D118" i="8"/>
  <c r="D167" i="8"/>
  <c r="D112" i="8"/>
  <c r="D133" i="8"/>
  <c r="D132" i="8"/>
  <c r="D171" i="8"/>
  <c r="D40" i="8"/>
  <c r="D67" i="8"/>
  <c r="D17" i="8"/>
  <c r="D146" i="8"/>
  <c r="D59" i="8"/>
  <c r="K157" i="6"/>
  <c r="L157" i="6" s="1"/>
  <c r="M157" i="6" s="1"/>
  <c r="N157" i="6" s="1"/>
  <c r="O157" i="6" s="1"/>
  <c r="P157" i="6" s="1"/>
  <c r="Q157" i="6" s="1"/>
  <c r="R157" i="6" s="1"/>
  <c r="S157" i="6" s="1"/>
  <c r="T157" i="6" s="1"/>
  <c r="U157" i="6" s="1"/>
  <c r="V157" i="6" s="1"/>
  <c r="W157" i="6" s="1"/>
  <c r="X157" i="6" s="1"/>
  <c r="Y157" i="6" s="1"/>
  <c r="Z157" i="6" s="1"/>
  <c r="AA157" i="6" s="1"/>
  <c r="AB157" i="6" s="1"/>
  <c r="AC157" i="6" s="1"/>
  <c r="AD157" i="6" s="1"/>
  <c r="AE157" i="6" s="1"/>
  <c r="AF157" i="6" s="1"/>
  <c r="AG157" i="6" s="1"/>
  <c r="AH157" i="6" s="1"/>
  <c r="E15" i="8" l="1"/>
  <c r="F15" i="8" l="1"/>
  <c r="G15" i="8" l="1"/>
  <c r="E16" i="8" l="1"/>
  <c r="F16" i="8" l="1"/>
  <c r="G16" i="8" l="1"/>
  <c r="E17" i="8" l="1"/>
  <c r="F17" i="8" l="1"/>
  <c r="G17" i="8" l="1"/>
  <c r="E18" i="8" l="1"/>
  <c r="F18" i="8" s="1"/>
  <c r="G18" i="8"/>
  <c r="E19" i="8" l="1"/>
  <c r="F19" i="8" s="1"/>
  <c r="G19" i="8" s="1"/>
  <c r="E20" i="8" l="1"/>
  <c r="F20" i="8" l="1"/>
  <c r="H66" i="1"/>
  <c r="I40" i="6" s="1"/>
  <c r="H65" i="1" l="1"/>
  <c r="G20" i="8"/>
  <c r="E21" i="8" l="1"/>
  <c r="H68" i="1"/>
  <c r="I152" i="6"/>
  <c r="H64" i="1"/>
  <c r="I131" i="6"/>
  <c r="F21" i="8" l="1"/>
  <c r="G21" i="8" l="1"/>
  <c r="E22" i="8" l="1"/>
  <c r="F22" i="8" l="1"/>
  <c r="G22" i="8" l="1"/>
  <c r="E23" i="8" l="1"/>
  <c r="F23" i="8" l="1"/>
  <c r="G23" i="8" l="1"/>
  <c r="E24" i="8" l="1"/>
  <c r="F24" i="8" l="1"/>
  <c r="G24" i="8" l="1"/>
  <c r="E25" i="8" l="1"/>
  <c r="F25" i="8" l="1"/>
  <c r="G25" i="8" l="1"/>
  <c r="E26" i="8" l="1"/>
  <c r="F26" i="8" s="1"/>
  <c r="G26" i="8" s="1"/>
  <c r="E27" i="8" l="1"/>
  <c r="F27" i="8" s="1"/>
  <c r="G27" i="8" s="1"/>
  <c r="E28" i="8" l="1"/>
  <c r="F28" i="8" s="1"/>
  <c r="G28" i="8" s="1"/>
  <c r="E29" i="8" l="1"/>
  <c r="F29" i="8" s="1"/>
  <c r="G29" i="8"/>
  <c r="E30" i="8" l="1"/>
  <c r="F30" i="8" s="1"/>
  <c r="G30" i="8" s="1"/>
  <c r="E31" i="8" l="1"/>
  <c r="F31" i="8" s="1"/>
  <c r="G31" i="8" s="1"/>
  <c r="E32" i="8" l="1"/>
  <c r="F32" i="8" l="1"/>
  <c r="I66" i="1"/>
  <c r="J40" i="6" s="1"/>
  <c r="I65" i="1" l="1"/>
  <c r="G32" i="8"/>
  <c r="E33" i="8" l="1"/>
  <c r="I64" i="1"/>
  <c r="J152" i="6"/>
  <c r="J131" i="6"/>
  <c r="I68" i="1"/>
  <c r="I100" i="6" l="1"/>
  <c r="F33" i="8"/>
  <c r="I98" i="6" l="1"/>
  <c r="I96" i="6"/>
  <c r="I95" i="6" s="1"/>
  <c r="G33" i="8"/>
  <c r="I93" i="6" l="1"/>
  <c r="E34" i="8"/>
  <c r="F34" i="8" l="1"/>
  <c r="G34" i="8" l="1"/>
  <c r="E35" i="8" l="1"/>
  <c r="F35" i="8" l="1"/>
  <c r="G35" i="8" l="1"/>
  <c r="E36" i="8" l="1"/>
  <c r="F36" i="8" l="1"/>
  <c r="G36" i="8" l="1"/>
  <c r="E37" i="8" l="1"/>
  <c r="F37" i="8" l="1"/>
  <c r="G37" i="8" l="1"/>
  <c r="E38" i="8" l="1"/>
  <c r="F38" i="8" s="1"/>
  <c r="G38" i="8" s="1"/>
  <c r="E39" i="8" l="1"/>
  <c r="F39" i="8" s="1"/>
  <c r="G39" i="8" s="1"/>
  <c r="E40" i="8" l="1"/>
  <c r="F40" i="8" s="1"/>
  <c r="G40" i="8" s="1"/>
  <c r="E41" i="8" l="1"/>
  <c r="F41" i="8" s="1"/>
  <c r="G41" i="8" s="1"/>
  <c r="E42" i="8" l="1"/>
  <c r="F42" i="8" s="1"/>
  <c r="G42" i="8" s="1"/>
  <c r="E43" i="8" l="1"/>
  <c r="F43" i="8" s="1"/>
  <c r="G43" i="8" s="1"/>
  <c r="E44" i="8" l="1"/>
  <c r="F44" i="8" l="1"/>
  <c r="J66" i="1"/>
  <c r="K40" i="6" s="1"/>
  <c r="J65" i="1" l="1"/>
  <c r="G44" i="8"/>
  <c r="E45" i="8" l="1"/>
  <c r="K152" i="6"/>
  <c r="J64" i="1"/>
  <c r="K131" i="6"/>
  <c r="J68" i="1"/>
  <c r="J100" i="6" l="1"/>
  <c r="F45" i="8"/>
  <c r="J98" i="6" l="1"/>
  <c r="J96" i="6"/>
  <c r="J95" i="6" s="1"/>
  <c r="G45" i="8"/>
  <c r="J93" i="6" l="1"/>
  <c r="E46" i="8"/>
  <c r="F46" i="8" l="1"/>
  <c r="G46" i="8" l="1"/>
  <c r="E47" i="8" l="1"/>
  <c r="F47" i="8" l="1"/>
  <c r="G47" i="8" l="1"/>
  <c r="E48" i="8" l="1"/>
  <c r="F48" i="8" l="1"/>
  <c r="G48" i="8" l="1"/>
  <c r="E49" i="8" l="1"/>
  <c r="F49" i="8" l="1"/>
  <c r="G49" i="8" l="1"/>
  <c r="E50" i="8" l="1"/>
  <c r="F50" i="8" s="1"/>
  <c r="G50" i="8"/>
  <c r="E51" i="8" l="1"/>
  <c r="F51" i="8" s="1"/>
  <c r="G51" i="8"/>
  <c r="E52" i="8" l="1"/>
  <c r="F52" i="8" s="1"/>
  <c r="G52" i="8" s="1"/>
  <c r="E53" i="8" l="1"/>
  <c r="F53" i="8" s="1"/>
  <c r="G53" i="8"/>
  <c r="E54" i="8" l="1"/>
  <c r="F54" i="8" s="1"/>
  <c r="G54" i="8"/>
  <c r="E55" i="8" l="1"/>
  <c r="F55" i="8" s="1"/>
  <c r="G55" i="8" s="1"/>
  <c r="E56" i="8" l="1"/>
  <c r="F56" i="8" l="1"/>
  <c r="K66" i="1"/>
  <c r="L40" i="6" s="1"/>
  <c r="K65" i="1" l="1"/>
  <c r="G56" i="8"/>
  <c r="E57" i="8" l="1"/>
  <c r="L152" i="6"/>
  <c r="K64" i="1"/>
  <c r="L131" i="6"/>
  <c r="K68" i="1"/>
  <c r="K100" i="6" l="1"/>
  <c r="F57" i="8"/>
  <c r="K98" i="6" l="1"/>
  <c r="K96" i="6"/>
  <c r="K95" i="6" s="1"/>
  <c r="G57" i="8"/>
  <c r="K93" i="6" l="1"/>
  <c r="E58" i="8"/>
  <c r="F58" i="8" l="1"/>
  <c r="G58" i="8" l="1"/>
  <c r="E59" i="8" l="1"/>
  <c r="F59" i="8" l="1"/>
  <c r="G59" i="8" l="1"/>
  <c r="E60" i="8" l="1"/>
  <c r="F60" i="8" l="1"/>
  <c r="G60" i="8" l="1"/>
  <c r="E61" i="8" l="1"/>
  <c r="F61" i="8" l="1"/>
  <c r="G61" i="8" l="1"/>
  <c r="E62" i="8" l="1"/>
  <c r="F62" i="8" s="1"/>
  <c r="G62" i="8"/>
  <c r="E63" i="8" l="1"/>
  <c r="F63" i="8" s="1"/>
  <c r="G63" i="8"/>
  <c r="E64" i="8" l="1"/>
  <c r="F64" i="8" s="1"/>
  <c r="G64" i="8" s="1"/>
  <c r="E65" i="8" l="1"/>
  <c r="F65" i="8" s="1"/>
  <c r="G65" i="8" s="1"/>
  <c r="E66" i="8" l="1"/>
  <c r="F66" i="8" s="1"/>
  <c r="G66" i="8" s="1"/>
  <c r="E67" i="8" l="1"/>
  <c r="F67" i="8" s="1"/>
  <c r="G67" i="8"/>
  <c r="E68" i="8" l="1"/>
  <c r="F68" i="8" l="1"/>
  <c r="L66" i="1"/>
  <c r="M40" i="6" s="1"/>
  <c r="L65" i="1" l="1"/>
  <c r="G68" i="8"/>
  <c r="E69" i="8" l="1"/>
  <c r="M152" i="6"/>
  <c r="L64" i="1"/>
  <c r="M131" i="6"/>
  <c r="L68" i="1"/>
  <c r="L100" i="6" l="1"/>
  <c r="F69" i="8"/>
  <c r="L98" i="6" l="1"/>
  <c r="L96" i="6"/>
  <c r="L95" i="6" s="1"/>
  <c r="G69" i="8"/>
  <c r="E70" i="8" l="1"/>
  <c r="L93" i="6"/>
  <c r="F70" i="8" l="1"/>
  <c r="G70" i="8" l="1"/>
  <c r="E71" i="8" l="1"/>
  <c r="F71" i="8" l="1"/>
  <c r="G71" i="8" l="1"/>
  <c r="E72" i="8" l="1"/>
  <c r="F72" i="8" l="1"/>
  <c r="G72" i="8" l="1"/>
  <c r="E73" i="8" l="1"/>
  <c r="F73" i="8" l="1"/>
  <c r="G73" i="8" l="1"/>
  <c r="E74" i="8" l="1"/>
  <c r="F74" i="8" s="1"/>
  <c r="G74" i="8"/>
  <c r="E75" i="8" l="1"/>
  <c r="F75" i="8" s="1"/>
  <c r="G75" i="8" s="1"/>
  <c r="E76" i="8" l="1"/>
  <c r="F76" i="8" s="1"/>
  <c r="G76" i="8"/>
  <c r="E77" i="8" l="1"/>
  <c r="F77" i="8" s="1"/>
  <c r="G77" i="8" s="1"/>
  <c r="E78" i="8" l="1"/>
  <c r="F78" i="8" s="1"/>
  <c r="G78" i="8" s="1"/>
  <c r="E79" i="8" l="1"/>
  <c r="F79" i="8" s="1"/>
  <c r="G79" i="8" s="1"/>
  <c r="E80" i="8" l="1"/>
  <c r="F80" i="8" l="1"/>
  <c r="M66" i="1"/>
  <c r="N40" i="6" s="1"/>
  <c r="M65" i="1" l="1"/>
  <c r="G80" i="8"/>
  <c r="E81" i="8" l="1"/>
  <c r="M64" i="1"/>
  <c r="N152" i="6"/>
  <c r="N131" i="6"/>
  <c r="M68" i="1"/>
  <c r="M100" i="6" l="1"/>
  <c r="F81" i="8"/>
  <c r="M98" i="6" l="1"/>
  <c r="M96" i="6"/>
  <c r="M95" i="6" s="1"/>
  <c r="G81" i="8"/>
  <c r="M93" i="6" l="1"/>
  <c r="E82" i="8"/>
  <c r="F82" i="8" l="1"/>
  <c r="G82" i="8" l="1"/>
  <c r="E83" i="8" l="1"/>
  <c r="F83" i="8" l="1"/>
  <c r="G83" i="8" l="1"/>
  <c r="E84" i="8" l="1"/>
  <c r="F84" i="8" l="1"/>
  <c r="G84" i="8" l="1"/>
  <c r="E85" i="8" l="1"/>
  <c r="F85" i="8" l="1"/>
  <c r="G85" i="8" l="1"/>
  <c r="E86" i="8" l="1"/>
  <c r="F86" i="8" s="1"/>
  <c r="G86" i="8"/>
  <c r="E87" i="8" l="1"/>
  <c r="F87" i="8" s="1"/>
  <c r="G87" i="8" s="1"/>
  <c r="E88" i="8" l="1"/>
  <c r="F88" i="8" s="1"/>
  <c r="G88" i="8" s="1"/>
  <c r="E89" i="8" l="1"/>
  <c r="F89" i="8" s="1"/>
  <c r="G89" i="8" s="1"/>
  <c r="E90" i="8" l="1"/>
  <c r="F90" i="8" s="1"/>
  <c r="G90" i="8" s="1"/>
  <c r="E91" i="8" l="1"/>
  <c r="F91" i="8" s="1"/>
  <c r="G91" i="8" s="1"/>
  <c r="E92" i="8" l="1"/>
  <c r="F92" i="8" l="1"/>
  <c r="N66" i="1"/>
  <c r="O40" i="6" s="1"/>
  <c r="N65" i="1" l="1"/>
  <c r="G92" i="8"/>
  <c r="E93" i="8" l="1"/>
  <c r="O131" i="6"/>
  <c r="O152" i="6"/>
  <c r="N64" i="1"/>
  <c r="N68" i="1"/>
  <c r="N100" i="6" l="1"/>
  <c r="F93" i="8"/>
  <c r="N98" i="6" l="1"/>
  <c r="N96" i="6"/>
  <c r="N95" i="6" s="1"/>
  <c r="G93" i="8"/>
  <c r="N93" i="6" l="1"/>
  <c r="E94" i="8"/>
  <c r="F94" i="8" l="1"/>
  <c r="G94" i="8" l="1"/>
  <c r="E95" i="8" l="1"/>
  <c r="F95" i="8" l="1"/>
  <c r="G95" i="8" l="1"/>
  <c r="E96" i="8" l="1"/>
  <c r="F96" i="8" l="1"/>
  <c r="G96" i="8" l="1"/>
  <c r="E97" i="8" l="1"/>
  <c r="F97" i="8" l="1"/>
  <c r="G97" i="8" l="1"/>
  <c r="E98" i="8" l="1"/>
  <c r="F98" i="8" s="1"/>
  <c r="G98" i="8" s="1"/>
  <c r="E99" i="8" l="1"/>
  <c r="F99" i="8" s="1"/>
  <c r="G99" i="8"/>
  <c r="E100" i="8" l="1"/>
  <c r="F100" i="8" s="1"/>
  <c r="G100" i="8"/>
  <c r="E101" i="8" l="1"/>
  <c r="F101" i="8" s="1"/>
  <c r="G101" i="8" s="1"/>
  <c r="E102" i="8" l="1"/>
  <c r="F102" i="8" s="1"/>
  <c r="G102" i="8"/>
  <c r="E103" i="8" l="1"/>
  <c r="F103" i="8" s="1"/>
  <c r="G103" i="8" s="1"/>
  <c r="E104" i="8" l="1"/>
  <c r="F104" i="8" l="1"/>
  <c r="O66" i="1"/>
  <c r="P40" i="6" s="1"/>
  <c r="O65" i="1" l="1"/>
  <c r="G104" i="8"/>
  <c r="E105" i="8" l="1"/>
  <c r="O64" i="1"/>
  <c r="P152" i="6"/>
  <c r="P131" i="6"/>
  <c r="O68" i="1"/>
  <c r="F105" i="8" l="1"/>
  <c r="O100" i="6"/>
  <c r="O98" i="6" l="1"/>
  <c r="O96" i="6"/>
  <c r="O95" i="6" s="1"/>
  <c r="G105" i="8"/>
  <c r="O93" i="6" l="1"/>
  <c r="E106" i="8"/>
  <c r="F106" i="8" l="1"/>
  <c r="G106" i="8" l="1"/>
  <c r="E107" i="8" l="1"/>
  <c r="F107" i="8" l="1"/>
  <c r="G107" i="8" l="1"/>
  <c r="E108" i="8" l="1"/>
  <c r="F108" i="8" l="1"/>
  <c r="G108" i="8" l="1"/>
  <c r="E109" i="8" l="1"/>
  <c r="F109" i="8" l="1"/>
  <c r="G109" i="8" l="1"/>
  <c r="E110" i="8" l="1"/>
  <c r="F110" i="8" s="1"/>
  <c r="G110" i="8"/>
  <c r="E111" i="8" l="1"/>
  <c r="F111" i="8" s="1"/>
  <c r="G111" i="8" s="1"/>
  <c r="E112" i="8" l="1"/>
  <c r="F112" i="8" s="1"/>
  <c r="G112" i="8"/>
  <c r="E113" i="8" l="1"/>
  <c r="F113" i="8" s="1"/>
  <c r="G113" i="8" s="1"/>
  <c r="E114" i="8" l="1"/>
  <c r="F114" i="8" s="1"/>
  <c r="G114" i="8"/>
  <c r="E115" i="8" l="1"/>
  <c r="F115" i="8" s="1"/>
  <c r="G115" i="8"/>
  <c r="E116" i="8" l="1"/>
  <c r="F116" i="8" l="1"/>
  <c r="P66" i="1"/>
  <c r="Q40" i="6" s="1"/>
  <c r="P65" i="1" l="1"/>
  <c r="G116" i="8"/>
  <c r="E117" i="8" l="1"/>
  <c r="P64" i="1"/>
  <c r="Q152" i="6"/>
  <c r="Q131" i="6"/>
  <c r="P68" i="1"/>
  <c r="P100" i="6" l="1"/>
  <c r="F117" i="8"/>
  <c r="G117" i="8" l="1"/>
  <c r="P98" i="6"/>
  <c r="P96" i="6"/>
  <c r="P95" i="6" s="1"/>
  <c r="P93" i="6" l="1"/>
  <c r="E118" i="8"/>
  <c r="F118" i="8" l="1"/>
  <c r="G118" i="8" l="1"/>
  <c r="E119" i="8" l="1"/>
  <c r="F119" i="8" l="1"/>
  <c r="G119" i="8" l="1"/>
  <c r="E120" i="8" l="1"/>
  <c r="F120" i="8" l="1"/>
  <c r="G120" i="8" l="1"/>
  <c r="E121" i="8" l="1"/>
  <c r="F121" i="8" l="1"/>
  <c r="G121" i="8" l="1"/>
  <c r="E122" i="8" l="1"/>
  <c r="F122" i="8" s="1"/>
  <c r="G122" i="8"/>
  <c r="E123" i="8" l="1"/>
  <c r="F123" i="8" s="1"/>
  <c r="G123" i="8" s="1"/>
  <c r="E124" i="8" l="1"/>
  <c r="F124" i="8" s="1"/>
  <c r="G124" i="8" s="1"/>
  <c r="E125" i="8" l="1"/>
  <c r="F125" i="8" s="1"/>
  <c r="G125" i="8" s="1"/>
  <c r="E126" i="8" l="1"/>
  <c r="F126" i="8" s="1"/>
  <c r="G126" i="8"/>
  <c r="E127" i="8" l="1"/>
  <c r="F127" i="8" s="1"/>
  <c r="G127" i="8"/>
  <c r="E128" i="8" l="1"/>
  <c r="F128" i="8" l="1"/>
  <c r="Q66" i="1"/>
  <c r="R40" i="6" s="1"/>
  <c r="Q65" i="1" l="1"/>
  <c r="G128" i="8"/>
  <c r="E129" i="8" l="1"/>
  <c r="Q64" i="1"/>
  <c r="R152" i="6"/>
  <c r="R131" i="6"/>
  <c r="Q68" i="1"/>
  <c r="Q100" i="6" l="1"/>
  <c r="F129" i="8"/>
  <c r="Q98" i="6" l="1"/>
  <c r="Q96" i="6"/>
  <c r="Q95" i="6" s="1"/>
  <c r="G129" i="8"/>
  <c r="Q93" i="6" l="1"/>
  <c r="E130" i="8"/>
  <c r="F130" i="8" l="1"/>
  <c r="G130" i="8" l="1"/>
  <c r="E131" i="8" l="1"/>
  <c r="F131" i="8" l="1"/>
  <c r="G131" i="8" l="1"/>
  <c r="E132" i="8" l="1"/>
  <c r="F132" i="8" l="1"/>
  <c r="G132" i="8" l="1"/>
  <c r="E133" i="8" l="1"/>
  <c r="F133" i="8" l="1"/>
  <c r="G133" i="8" l="1"/>
  <c r="E134" i="8" l="1"/>
  <c r="F134" i="8" s="1"/>
  <c r="G134" i="8"/>
  <c r="E135" i="8" l="1"/>
  <c r="F135" i="8" s="1"/>
  <c r="G135" i="8" s="1"/>
  <c r="E136" i="8" l="1"/>
  <c r="F136" i="8" s="1"/>
  <c r="G136" i="8"/>
  <c r="E137" i="8" l="1"/>
  <c r="F137" i="8" s="1"/>
  <c r="G137" i="8"/>
  <c r="E138" i="8" l="1"/>
  <c r="F138" i="8" s="1"/>
  <c r="G138" i="8" s="1"/>
  <c r="E139" i="8" l="1"/>
  <c r="F139" i="8" s="1"/>
  <c r="G139" i="8"/>
  <c r="E140" i="8" l="1"/>
  <c r="F140" i="8" l="1"/>
  <c r="R66" i="1"/>
  <c r="S40" i="6" s="1"/>
  <c r="R65" i="1" l="1"/>
  <c r="G140" i="8"/>
  <c r="E141" i="8" l="1"/>
  <c r="R64" i="1"/>
  <c r="S152" i="6"/>
  <c r="S131" i="6"/>
  <c r="R68" i="1"/>
  <c r="R100" i="6" l="1"/>
  <c r="F141" i="8"/>
  <c r="R98" i="6" l="1"/>
  <c r="R96" i="6"/>
  <c r="R95" i="6" s="1"/>
  <c r="G141" i="8"/>
  <c r="R93" i="6" l="1"/>
  <c r="E142" i="8"/>
  <c r="F142" i="8" l="1"/>
  <c r="G142" i="8" l="1"/>
  <c r="E143" i="8" l="1"/>
  <c r="F143" i="8" l="1"/>
  <c r="G143" i="8" l="1"/>
  <c r="E144" i="8" l="1"/>
  <c r="F144" i="8" l="1"/>
  <c r="G144" i="8" l="1"/>
  <c r="E145" i="8" l="1"/>
  <c r="F145" i="8" l="1"/>
  <c r="G145" i="8" l="1"/>
  <c r="E146" i="8" l="1"/>
  <c r="F146" i="8" s="1"/>
  <c r="G146" i="8"/>
  <c r="E147" i="8" l="1"/>
  <c r="F147" i="8" s="1"/>
  <c r="G147" i="8"/>
  <c r="E148" i="8" l="1"/>
  <c r="F148" i="8" s="1"/>
  <c r="G148" i="8"/>
  <c r="E149" i="8" l="1"/>
  <c r="F149" i="8" s="1"/>
  <c r="G149" i="8"/>
  <c r="E150" i="8" l="1"/>
  <c r="F150" i="8" s="1"/>
  <c r="G150" i="8"/>
  <c r="E151" i="8" l="1"/>
  <c r="F151" i="8" s="1"/>
  <c r="G151" i="8" s="1"/>
  <c r="E152" i="8" l="1"/>
  <c r="F152" i="8" l="1"/>
  <c r="S66" i="1"/>
  <c r="T40" i="6" s="1"/>
  <c r="S65" i="1" l="1"/>
  <c r="G152" i="8"/>
  <c r="E153" i="8" l="1"/>
  <c r="T152" i="6"/>
  <c r="S64" i="1"/>
  <c r="T131" i="6"/>
  <c r="S68" i="1"/>
  <c r="S100" i="6" l="1"/>
  <c r="F153" i="8"/>
  <c r="S98" i="6" l="1"/>
  <c r="S96" i="6"/>
  <c r="S95" i="6" s="1"/>
  <c r="G153" i="8"/>
  <c r="S93" i="6" l="1"/>
  <c r="E154" i="8"/>
  <c r="F154" i="8" l="1"/>
  <c r="G154" i="8" l="1"/>
  <c r="E155" i="8" l="1"/>
  <c r="F155" i="8" l="1"/>
  <c r="G155" i="8" l="1"/>
  <c r="E156" i="8" l="1"/>
  <c r="F156" i="8" l="1"/>
  <c r="G156" i="8" l="1"/>
  <c r="E157" i="8" l="1"/>
  <c r="F157" i="8" l="1"/>
  <c r="G157" i="8" l="1"/>
  <c r="E158" i="8" l="1"/>
  <c r="F158" i="8" s="1"/>
  <c r="G158" i="8"/>
  <c r="E159" i="8" l="1"/>
  <c r="F159" i="8" s="1"/>
  <c r="G159" i="8"/>
  <c r="E160" i="8" l="1"/>
  <c r="F160" i="8" s="1"/>
  <c r="G160" i="8"/>
  <c r="E161" i="8" l="1"/>
  <c r="F161" i="8" s="1"/>
  <c r="G161" i="8" s="1"/>
  <c r="E162" i="8" l="1"/>
  <c r="F162" i="8" s="1"/>
  <c r="G162" i="8" s="1"/>
  <c r="E163" i="8" l="1"/>
  <c r="F163" i="8" s="1"/>
  <c r="G163" i="8"/>
  <c r="E164" i="8" l="1"/>
  <c r="F164" i="8" l="1"/>
  <c r="T66" i="1"/>
  <c r="U40" i="6" s="1"/>
  <c r="T65" i="1" l="1"/>
  <c r="G164" i="8"/>
  <c r="E165" i="8" l="1"/>
  <c r="U152" i="6"/>
  <c r="T64" i="1"/>
  <c r="U131" i="6"/>
  <c r="T68" i="1"/>
  <c r="T100" i="6" l="1"/>
  <c r="F165" i="8"/>
  <c r="T98" i="6" l="1"/>
  <c r="T96" i="6"/>
  <c r="T95" i="6" s="1"/>
  <c r="G165" i="8"/>
  <c r="T93" i="6" l="1"/>
  <c r="E166" i="8"/>
  <c r="F166" i="8" l="1"/>
  <c r="G166" i="8" l="1"/>
  <c r="E167" i="8" l="1"/>
  <c r="F167" i="8" l="1"/>
  <c r="G167" i="8" l="1"/>
  <c r="E168" i="8" l="1"/>
  <c r="F168" i="8" l="1"/>
  <c r="G168" i="8" l="1"/>
  <c r="E169" i="8" l="1"/>
  <c r="F169" i="8" l="1"/>
  <c r="G169" i="8" l="1"/>
  <c r="E170" i="8" l="1"/>
  <c r="F170" i="8" s="1"/>
  <c r="G170" i="8"/>
  <c r="E171" i="8" l="1"/>
  <c r="F171" i="8" s="1"/>
  <c r="G171" i="8" s="1"/>
  <c r="E172" i="8" l="1"/>
  <c r="F172" i="8" s="1"/>
  <c r="G172" i="8"/>
  <c r="E173" i="8" l="1"/>
  <c r="F173" i="8" s="1"/>
  <c r="G173" i="8" s="1"/>
  <c r="E174" i="8" l="1"/>
  <c r="F174" i="8" s="1"/>
  <c r="G174" i="8"/>
  <c r="E175" i="8" l="1"/>
  <c r="F175" i="8" s="1"/>
  <c r="G175" i="8"/>
  <c r="E176" i="8" l="1"/>
  <c r="F176" i="8" l="1"/>
  <c r="U66" i="1"/>
  <c r="V40" i="6" s="1"/>
  <c r="U65" i="1" l="1"/>
  <c r="G176" i="8"/>
  <c r="E177" i="8" l="1"/>
  <c r="U64" i="1"/>
  <c r="V152" i="6"/>
  <c r="V131" i="6"/>
  <c r="U68" i="1"/>
  <c r="U100" i="6" l="1"/>
  <c r="F177" i="8"/>
  <c r="U98" i="6" l="1"/>
  <c r="U96" i="6"/>
  <c r="U95" i="6" s="1"/>
  <c r="G177" i="8"/>
  <c r="U93" i="6" l="1"/>
  <c r="E178" i="8"/>
  <c r="F178" i="8" l="1"/>
  <c r="G178" i="8" l="1"/>
  <c r="E179" i="8" l="1"/>
  <c r="F179" i="8" l="1"/>
  <c r="G179" i="8" l="1"/>
  <c r="E180" i="8" l="1"/>
  <c r="F180" i="8" l="1"/>
  <c r="G180" i="8" l="1"/>
  <c r="E181" i="8" l="1"/>
  <c r="F181" i="8" l="1"/>
  <c r="G181" i="8" l="1"/>
  <c r="E182" i="8" l="1"/>
  <c r="F182" i="8" s="1"/>
  <c r="G182" i="8" s="1"/>
  <c r="E183" i="8" l="1"/>
  <c r="F183" i="8" s="1"/>
  <c r="G183" i="8"/>
  <c r="E184" i="8" l="1"/>
  <c r="F184" i="8" s="1"/>
  <c r="G184" i="8" s="1"/>
  <c r="E185" i="8" l="1"/>
  <c r="F185" i="8" s="1"/>
  <c r="G185" i="8" s="1"/>
  <c r="E186" i="8" l="1"/>
  <c r="F186" i="8" s="1"/>
  <c r="G186" i="8"/>
  <c r="E187" i="8" l="1"/>
  <c r="F187" i="8" s="1"/>
  <c r="G187" i="8"/>
  <c r="E188" i="8" l="1"/>
  <c r="F188" i="8" l="1"/>
  <c r="V66" i="1"/>
  <c r="W40" i="6" s="1"/>
  <c r="V65" i="1" l="1"/>
  <c r="G188" i="8"/>
  <c r="E189" i="8" l="1"/>
  <c r="W152" i="6"/>
  <c r="V64" i="1"/>
  <c r="W131" i="6"/>
  <c r="V68" i="1"/>
  <c r="V100" i="6" l="1"/>
  <c r="F189" i="8"/>
  <c r="V98" i="6" l="1"/>
  <c r="V96" i="6"/>
  <c r="V95" i="6" s="1"/>
  <c r="G189" i="8"/>
  <c r="V93" i="6" l="1"/>
  <c r="E190" i="8"/>
  <c r="F190" i="8" l="1"/>
  <c r="G190" i="8" l="1"/>
  <c r="E191" i="8" l="1"/>
  <c r="F191" i="8" l="1"/>
  <c r="G191" i="8" l="1"/>
  <c r="E192" i="8" l="1"/>
  <c r="F192" i="8" l="1"/>
  <c r="G192" i="8" l="1"/>
  <c r="E193" i="8" l="1"/>
  <c r="F193" i="8" l="1"/>
  <c r="G193" i="8" l="1"/>
  <c r="E194" i="8" l="1"/>
  <c r="F194" i="8" s="1"/>
  <c r="G194" i="8" s="1"/>
  <c r="E195" i="8" l="1"/>
  <c r="F195" i="8" s="1"/>
  <c r="G195" i="8"/>
  <c r="E196" i="8" l="1"/>
  <c r="F196" i="8" s="1"/>
  <c r="G196" i="8" s="1"/>
  <c r="E197" i="8" l="1"/>
  <c r="F197" i="8" s="1"/>
  <c r="G197" i="8"/>
  <c r="E198" i="8" l="1"/>
  <c r="F198" i="8" s="1"/>
  <c r="G198" i="8"/>
  <c r="E199" i="8" l="1"/>
  <c r="F199" i="8" s="1"/>
  <c r="G199" i="8" s="1"/>
  <c r="E200" i="8" l="1"/>
  <c r="F200" i="8" l="1"/>
  <c r="W66" i="1"/>
  <c r="X40" i="6" s="1"/>
  <c r="X43" i="6" l="1"/>
  <c r="X46" i="6"/>
  <c r="X52" i="6" s="1"/>
  <c r="W65" i="1"/>
  <c r="G200" i="8"/>
  <c r="E201" i="8" l="1"/>
  <c r="W64" i="1"/>
  <c r="X152" i="6"/>
  <c r="X131" i="6"/>
  <c r="W68" i="1"/>
  <c r="X91" i="6"/>
  <c r="X111" i="6"/>
  <c r="X132" i="6"/>
  <c r="X89" i="6" s="1"/>
  <c r="X135" i="6" l="1"/>
  <c r="X118" i="6"/>
  <c r="X149" i="6"/>
  <c r="X155" i="6" s="1"/>
  <c r="X160" i="6" s="1"/>
  <c r="W100" i="6"/>
  <c r="X138" i="6"/>
  <c r="F201" i="8"/>
  <c r="W98" i="6" l="1"/>
  <c r="W96" i="6"/>
  <c r="W95" i="6" s="1"/>
  <c r="G201" i="8"/>
  <c r="W93" i="6" l="1"/>
  <c r="E202" i="8"/>
  <c r="F202" i="8" l="1"/>
  <c r="G202" i="8" l="1"/>
  <c r="E203" i="8" l="1"/>
  <c r="F203" i="8" l="1"/>
  <c r="G203" i="8" l="1"/>
  <c r="E204" i="8" l="1"/>
  <c r="F204" i="8" l="1"/>
  <c r="G204" i="8" l="1"/>
  <c r="E205" i="8" l="1"/>
  <c r="F205" i="8" l="1"/>
  <c r="G205" i="8" l="1"/>
  <c r="E206" i="8" l="1"/>
  <c r="F206" i="8" s="1"/>
  <c r="G206" i="8" s="1"/>
  <c r="E207" i="8" l="1"/>
  <c r="F207" i="8" s="1"/>
  <c r="G207" i="8"/>
  <c r="E208" i="8" l="1"/>
  <c r="F208" i="8" s="1"/>
  <c r="G208" i="8"/>
  <c r="E209" i="8" l="1"/>
  <c r="F209" i="8" s="1"/>
  <c r="G209" i="8"/>
  <c r="E210" i="8" l="1"/>
  <c r="F210" i="8" s="1"/>
  <c r="G210" i="8"/>
  <c r="E211" i="8" l="1"/>
  <c r="F211" i="8" s="1"/>
  <c r="G211" i="8"/>
  <c r="E212" i="8" l="1"/>
  <c r="F212" i="8" l="1"/>
  <c r="X66" i="1"/>
  <c r="Y40" i="6" s="1"/>
  <c r="Y43" i="6" s="1"/>
  <c r="Y46" i="6" l="1"/>
  <c r="Y52" i="6"/>
  <c r="X65" i="1"/>
  <c r="G212" i="8"/>
  <c r="E213" i="8" l="1"/>
  <c r="Y152" i="6"/>
  <c r="X64" i="1"/>
  <c r="Y131" i="6"/>
  <c r="X68" i="1"/>
  <c r="Y91" i="6"/>
  <c r="Y111" i="6"/>
  <c r="Y132" i="6"/>
  <c r="Y89" i="6" s="1"/>
  <c r="Y135" i="6" l="1"/>
  <c r="Y118" i="6"/>
  <c r="Y149" i="6"/>
  <c r="Y155" i="6" s="1"/>
  <c r="Y160" i="6" s="1"/>
  <c r="X100" i="6"/>
  <c r="Y138" i="6"/>
  <c r="F213" i="8"/>
  <c r="X98" i="6" l="1"/>
  <c r="X96" i="6"/>
  <c r="X95" i="6" s="1"/>
  <c r="G213" i="8"/>
  <c r="X93" i="6" l="1"/>
  <c r="E214" i="8"/>
  <c r="F214" i="8" l="1"/>
  <c r="G214" i="8" l="1"/>
  <c r="E215" i="8" l="1"/>
  <c r="F215" i="8" l="1"/>
  <c r="G215" i="8" l="1"/>
  <c r="E216" i="8" l="1"/>
  <c r="F216" i="8" l="1"/>
  <c r="G216" i="8" l="1"/>
  <c r="E217" i="8" l="1"/>
  <c r="F217" i="8" l="1"/>
  <c r="G217" i="8" l="1"/>
  <c r="E218" i="8" l="1"/>
  <c r="F218" i="8" s="1"/>
  <c r="G218" i="8"/>
  <c r="E219" i="8" l="1"/>
  <c r="F219" i="8" s="1"/>
  <c r="G219" i="8"/>
  <c r="E220" i="8" l="1"/>
  <c r="F220" i="8" s="1"/>
  <c r="G220" i="8"/>
  <c r="E221" i="8" l="1"/>
  <c r="F221" i="8" s="1"/>
  <c r="G221" i="8" s="1"/>
  <c r="E222" i="8" l="1"/>
  <c r="F222" i="8" s="1"/>
  <c r="G222" i="8"/>
  <c r="E223" i="8" l="1"/>
  <c r="F223" i="8" s="1"/>
  <c r="G223" i="8"/>
  <c r="E224" i="8" l="1"/>
  <c r="F224" i="8" l="1"/>
  <c r="Y66" i="1"/>
  <c r="Z40" i="6" s="1"/>
  <c r="Z43" i="6" s="1"/>
  <c r="Z46" i="6" l="1"/>
  <c r="Z52" i="6"/>
  <c r="Y65" i="1"/>
  <c r="G224" i="8"/>
  <c r="E225" i="8" l="1"/>
  <c r="Z152" i="6"/>
  <c r="Y64" i="1"/>
  <c r="Z131" i="6"/>
  <c r="Y68" i="1"/>
  <c r="Z91" i="6"/>
  <c r="Z111" i="6"/>
  <c r="Z132" i="6"/>
  <c r="Z89" i="6" s="1"/>
  <c r="Z135" i="6" l="1"/>
  <c r="Z118" i="6"/>
  <c r="Z138" i="6" s="1"/>
  <c r="Z149" i="6"/>
  <c r="Z155" i="6" s="1"/>
  <c r="Z160" i="6" s="1"/>
  <c r="Y100" i="6"/>
  <c r="F225" i="8"/>
  <c r="Y98" i="6" l="1"/>
  <c r="Y96" i="6"/>
  <c r="Y95" i="6" s="1"/>
  <c r="G225" i="8"/>
  <c r="Y93" i="6" l="1"/>
  <c r="E226" i="8"/>
  <c r="F226" i="8" l="1"/>
  <c r="G226" i="8" l="1"/>
  <c r="E227" i="8" l="1"/>
  <c r="F227" i="8" l="1"/>
  <c r="G227" i="8" l="1"/>
  <c r="E228" i="8" l="1"/>
  <c r="F228" i="8" l="1"/>
  <c r="G228" i="8" l="1"/>
  <c r="E229" i="8" l="1"/>
  <c r="F229" i="8" l="1"/>
  <c r="G229" i="8" l="1"/>
  <c r="E230" i="8" l="1"/>
  <c r="F230" i="8" s="1"/>
  <c r="G230" i="8" s="1"/>
  <c r="E231" i="8" l="1"/>
  <c r="F231" i="8" s="1"/>
  <c r="G231" i="8"/>
  <c r="E232" i="8" l="1"/>
  <c r="F232" i="8" s="1"/>
  <c r="G232" i="8" s="1"/>
  <c r="E233" i="8" l="1"/>
  <c r="F233" i="8" s="1"/>
  <c r="G233" i="8" s="1"/>
  <c r="E234" i="8" l="1"/>
  <c r="F234" i="8" s="1"/>
  <c r="G234" i="8" s="1"/>
  <c r="E235" i="8" l="1"/>
  <c r="F235" i="8" s="1"/>
  <c r="G235" i="8" s="1"/>
  <c r="E236" i="8" l="1"/>
  <c r="F236" i="8" l="1"/>
  <c r="Z66" i="1"/>
  <c r="AA40" i="6" s="1"/>
  <c r="AA43" i="6" s="1"/>
  <c r="AA46" i="6" l="1"/>
  <c r="AA52" i="6" s="1"/>
  <c r="Z65" i="1"/>
  <c r="G236" i="8"/>
  <c r="E237" i="8" l="1"/>
  <c r="Z64" i="1"/>
  <c r="AA152" i="6"/>
  <c r="AA131" i="6"/>
  <c r="Z68" i="1"/>
  <c r="AA91" i="6"/>
  <c r="AA132" i="6"/>
  <c r="AA89" i="6" s="1"/>
  <c r="AA111" i="6"/>
  <c r="Z100" i="6" l="1"/>
  <c r="AA135" i="6"/>
  <c r="F237" i="8"/>
  <c r="AA118" i="6"/>
  <c r="AA149" i="6"/>
  <c r="AA155" i="6" s="1"/>
  <c r="AA160" i="6" s="1"/>
  <c r="AA138" i="6" l="1"/>
  <c r="Z98" i="6"/>
  <c r="Z96" i="6"/>
  <c r="Z95" i="6" s="1"/>
  <c r="G237" i="8"/>
  <c r="Z93" i="6" l="1"/>
  <c r="E238" i="8"/>
  <c r="F238" i="8" l="1"/>
  <c r="G238" i="8" l="1"/>
  <c r="E239" i="8" l="1"/>
  <c r="F239" i="8" l="1"/>
  <c r="G239" i="8" l="1"/>
  <c r="E240" i="8" l="1"/>
  <c r="F240" i="8" l="1"/>
  <c r="G240" i="8" l="1"/>
  <c r="E241" i="8" l="1"/>
  <c r="F241" i="8" l="1"/>
  <c r="G241" i="8" l="1"/>
  <c r="E242" i="8" l="1"/>
  <c r="F242" i="8" s="1"/>
  <c r="G242" i="8"/>
  <c r="E243" i="8" l="1"/>
  <c r="F243" i="8" s="1"/>
  <c r="G243" i="8" s="1"/>
  <c r="E244" i="8" l="1"/>
  <c r="F244" i="8" s="1"/>
  <c r="G244" i="8"/>
  <c r="E245" i="8" l="1"/>
  <c r="F245" i="8" s="1"/>
  <c r="G245" i="8"/>
  <c r="E246" i="8" l="1"/>
  <c r="F246" i="8" s="1"/>
  <c r="G246" i="8"/>
  <c r="E247" i="8" l="1"/>
  <c r="F247" i="8" s="1"/>
  <c r="G247" i="8"/>
  <c r="E248" i="8" l="1"/>
  <c r="F248" i="8" l="1"/>
  <c r="AA66" i="1"/>
  <c r="AB40" i="6" s="1"/>
  <c r="AB43" i="6" s="1"/>
  <c r="AB46" i="6" l="1"/>
  <c r="AB52" i="6"/>
  <c r="AA65" i="1"/>
  <c r="G248" i="8"/>
  <c r="E249" i="8" l="1"/>
  <c r="AB152" i="6"/>
  <c r="AA64" i="1"/>
  <c r="AB131" i="6"/>
  <c r="AA68" i="1"/>
  <c r="AB132" i="6"/>
  <c r="AB89" i="6" s="1"/>
  <c r="AB91" i="6"/>
  <c r="AB111" i="6"/>
  <c r="AA100" i="6" l="1"/>
  <c r="AB135" i="6"/>
  <c r="F249" i="8"/>
  <c r="AB118" i="6"/>
  <c r="AB149" i="6"/>
  <c r="AB155" i="6" s="1"/>
  <c r="AB160" i="6" s="1"/>
  <c r="AB138" i="6" l="1"/>
  <c r="G249" i="8"/>
  <c r="AA98" i="6"/>
  <c r="AA96" i="6"/>
  <c r="AA95" i="6" s="1"/>
  <c r="AA93" i="6" s="1"/>
  <c r="E250" i="8" l="1"/>
  <c r="F250" i="8" l="1"/>
  <c r="G250" i="8" l="1"/>
  <c r="E251" i="8" l="1"/>
  <c r="F251" i="8" l="1"/>
  <c r="G251" i="8" l="1"/>
  <c r="E252" i="8" l="1"/>
  <c r="F252" i="8" l="1"/>
  <c r="G252" i="8" l="1"/>
  <c r="E253" i="8" l="1"/>
  <c r="F253" i="8" l="1"/>
  <c r="G253" i="8" l="1"/>
  <c r="E254" i="8" l="1"/>
  <c r="F254" i="8" s="1"/>
  <c r="G254" i="8"/>
  <c r="E255" i="8" l="1"/>
  <c r="F255" i="8" s="1"/>
  <c r="G255" i="8"/>
  <c r="E256" i="8" l="1"/>
  <c r="F256" i="8" s="1"/>
  <c r="G256" i="8"/>
  <c r="E257" i="8" l="1"/>
  <c r="F257" i="8" s="1"/>
  <c r="G257" i="8" s="1"/>
  <c r="E258" i="8" l="1"/>
  <c r="F258" i="8" s="1"/>
  <c r="G258" i="8"/>
  <c r="E259" i="8" l="1"/>
  <c r="F259" i="8" s="1"/>
  <c r="G259" i="8"/>
  <c r="E260" i="8" l="1"/>
  <c r="F260" i="8" l="1"/>
  <c r="AB66" i="1"/>
  <c r="AC40" i="6" s="1"/>
  <c r="AC43" i="6" s="1"/>
  <c r="AC46" i="6" l="1"/>
  <c r="AC52" i="6"/>
  <c r="AB65" i="1"/>
  <c r="G260" i="8"/>
  <c r="E261" i="8" l="1"/>
  <c r="AB64" i="1"/>
  <c r="AC152" i="6"/>
  <c r="AC131" i="6"/>
  <c r="AB68" i="1"/>
  <c r="AC91" i="6"/>
  <c r="AC132" i="6"/>
  <c r="AC89" i="6" s="1"/>
  <c r="AC111" i="6"/>
  <c r="AB100" i="6" l="1"/>
  <c r="AC135" i="6"/>
  <c r="AC118" i="6"/>
  <c r="AC149" i="6"/>
  <c r="AC155" i="6" s="1"/>
  <c r="AC160" i="6" s="1"/>
  <c r="F261" i="8"/>
  <c r="AC138" i="6" l="1"/>
  <c r="AB98" i="6"/>
  <c r="AB96" i="6"/>
  <c r="AB95" i="6" s="1"/>
  <c r="G261" i="8"/>
  <c r="AB93" i="6" l="1"/>
  <c r="E262" i="8"/>
  <c r="F262" i="8" l="1"/>
  <c r="G262" i="8" l="1"/>
  <c r="E263" i="8" l="1"/>
  <c r="F263" i="8" l="1"/>
  <c r="G263" i="8" l="1"/>
  <c r="E264" i="8" l="1"/>
  <c r="F264" i="8" l="1"/>
  <c r="G264" i="8" l="1"/>
  <c r="E265" i="8" l="1"/>
  <c r="F265" i="8" l="1"/>
  <c r="G265" i="8" l="1"/>
  <c r="E266" i="8" l="1"/>
  <c r="F266" i="8" s="1"/>
  <c r="G266" i="8"/>
  <c r="E267" i="8" l="1"/>
  <c r="F267" i="8" s="1"/>
  <c r="G267" i="8"/>
  <c r="E268" i="8" l="1"/>
  <c r="F268" i="8" s="1"/>
  <c r="G268" i="8"/>
  <c r="E269" i="8" l="1"/>
  <c r="F269" i="8" s="1"/>
  <c r="G269" i="8"/>
  <c r="E270" i="8" l="1"/>
  <c r="F270" i="8" s="1"/>
  <c r="G270" i="8"/>
  <c r="E271" i="8" l="1"/>
  <c r="F271" i="8" s="1"/>
  <c r="G271" i="8"/>
  <c r="E272" i="8" l="1"/>
  <c r="F272" i="8" l="1"/>
  <c r="AC66" i="1"/>
  <c r="AD40" i="6" s="1"/>
  <c r="AD43" i="6" s="1"/>
  <c r="AD46" i="6" l="1"/>
  <c r="AD52" i="6"/>
  <c r="AC65" i="1"/>
  <c r="G272" i="8"/>
  <c r="E273" i="8" l="1"/>
  <c r="AD152" i="6"/>
  <c r="AC64" i="1"/>
  <c r="AD131" i="6"/>
  <c r="AC68" i="1"/>
  <c r="AD91" i="6"/>
  <c r="AD111" i="6"/>
  <c r="AD132" i="6"/>
  <c r="AD89" i="6" s="1"/>
  <c r="AD135" i="6" l="1"/>
  <c r="AD118" i="6"/>
  <c r="AD149" i="6"/>
  <c r="AD155" i="6" s="1"/>
  <c r="AD160" i="6" s="1"/>
  <c r="AC100" i="6"/>
  <c r="AD138" i="6"/>
  <c r="F273" i="8"/>
  <c r="AC98" i="6" l="1"/>
  <c r="AC96" i="6"/>
  <c r="AC95" i="6" s="1"/>
  <c r="G273" i="8"/>
  <c r="AC93" i="6" l="1"/>
  <c r="E274" i="8"/>
  <c r="F274" i="8" l="1"/>
  <c r="G274" i="8" l="1"/>
  <c r="E275" i="8" l="1"/>
  <c r="F275" i="8" l="1"/>
  <c r="G275" i="8" l="1"/>
  <c r="E276" i="8" l="1"/>
  <c r="F276" i="8" l="1"/>
  <c r="G276" i="8" l="1"/>
  <c r="E277" i="8" l="1"/>
  <c r="F277" i="8" l="1"/>
  <c r="G277" i="8" l="1"/>
  <c r="E278" i="8" l="1"/>
  <c r="F278" i="8" s="1"/>
  <c r="G278" i="8"/>
  <c r="E279" i="8" l="1"/>
  <c r="F279" i="8" s="1"/>
  <c r="G279" i="8" s="1"/>
  <c r="E280" i="8" l="1"/>
  <c r="F280" i="8" s="1"/>
  <c r="G280" i="8"/>
  <c r="E281" i="8" l="1"/>
  <c r="F281" i="8" s="1"/>
  <c r="G281" i="8"/>
  <c r="E282" i="8" l="1"/>
  <c r="F282" i="8" s="1"/>
  <c r="G282" i="8" s="1"/>
  <c r="E283" i="8" l="1"/>
  <c r="F283" i="8" s="1"/>
  <c r="G283" i="8" s="1"/>
  <c r="E284" i="8" l="1"/>
  <c r="F284" i="8" l="1"/>
  <c r="AD66" i="1"/>
  <c r="AE40" i="6" s="1"/>
  <c r="AE43" i="6" s="1"/>
  <c r="AE46" i="6" l="1"/>
  <c r="AE52" i="6"/>
  <c r="AD65" i="1"/>
  <c r="G284" i="8"/>
  <c r="E285" i="8" l="1"/>
  <c r="AE152" i="6"/>
  <c r="AD64" i="1"/>
  <c r="AE131" i="6"/>
  <c r="AD68" i="1"/>
  <c r="AE91" i="6"/>
  <c r="AE132" i="6"/>
  <c r="AE89" i="6" s="1"/>
  <c r="AE111" i="6"/>
  <c r="AD100" i="6" l="1"/>
  <c r="AE135" i="6"/>
  <c r="F285" i="8"/>
  <c r="AE118" i="6"/>
  <c r="AE149" i="6"/>
  <c r="AE155" i="6" s="1"/>
  <c r="AE160" i="6" s="1"/>
  <c r="AE138" i="6" l="1"/>
  <c r="AD98" i="6"/>
  <c r="AD96" i="6"/>
  <c r="AD95" i="6" s="1"/>
  <c r="G285" i="8"/>
  <c r="AD93" i="6" l="1"/>
  <c r="E286" i="8"/>
  <c r="F286" i="8" l="1"/>
  <c r="G286" i="8" l="1"/>
  <c r="E287" i="8" l="1"/>
  <c r="F287" i="8" l="1"/>
  <c r="G287" i="8" l="1"/>
  <c r="E288" i="8" l="1"/>
  <c r="F288" i="8" l="1"/>
  <c r="G288" i="8" l="1"/>
  <c r="E289" i="8" l="1"/>
  <c r="F289" i="8" l="1"/>
  <c r="G289" i="8" l="1"/>
  <c r="E290" i="8" l="1"/>
  <c r="F290" i="8" s="1"/>
  <c r="G290" i="8"/>
  <c r="E291" i="8" l="1"/>
  <c r="F291" i="8" s="1"/>
  <c r="G291" i="8"/>
  <c r="E292" i="8" l="1"/>
  <c r="F292" i="8" s="1"/>
  <c r="G292" i="8" s="1"/>
  <c r="E293" i="8" l="1"/>
  <c r="F293" i="8" s="1"/>
  <c r="G293" i="8" s="1"/>
  <c r="E294" i="8" l="1"/>
  <c r="F294" i="8" s="1"/>
  <c r="G294" i="8"/>
  <c r="E295" i="8" l="1"/>
  <c r="F295" i="8" s="1"/>
  <c r="G295" i="8" s="1"/>
  <c r="E296" i="8" l="1"/>
  <c r="F296" i="8" l="1"/>
  <c r="AE66" i="1"/>
  <c r="AF40" i="6" s="1"/>
  <c r="AF43" i="6" s="1"/>
  <c r="AF46" i="6" l="1"/>
  <c r="AF52" i="6" s="1"/>
  <c r="AE65" i="1"/>
  <c r="G296" i="8"/>
  <c r="E297" i="8" l="1"/>
  <c r="AE64" i="1"/>
  <c r="AF152" i="6"/>
  <c r="AF131" i="6"/>
  <c r="AE68" i="1"/>
  <c r="AF91" i="6"/>
  <c r="AF132" i="6"/>
  <c r="AF89" i="6" s="1"/>
  <c r="AF111" i="6"/>
  <c r="AE100" i="6" l="1"/>
  <c r="AF135" i="6"/>
  <c r="AF149" i="6"/>
  <c r="AF155" i="6" s="1"/>
  <c r="AF160" i="6" s="1"/>
  <c r="AF118" i="6"/>
  <c r="F297" i="8"/>
  <c r="AF138" i="6" l="1"/>
  <c r="AE98" i="6"/>
  <c r="AE96" i="6"/>
  <c r="AE95" i="6" s="1"/>
  <c r="G297" i="8"/>
  <c r="AE93" i="6" l="1"/>
  <c r="E298" i="8"/>
  <c r="F298" i="8" l="1"/>
  <c r="G298" i="8" l="1"/>
  <c r="E299" i="8" l="1"/>
  <c r="F299" i="8" l="1"/>
  <c r="G299" i="8" l="1"/>
  <c r="E300" i="8" l="1"/>
  <c r="F300" i="8" l="1"/>
  <c r="G300" i="8" l="1"/>
  <c r="E301" i="8" l="1"/>
  <c r="F301" i="8" l="1"/>
  <c r="G301" i="8" l="1"/>
  <c r="E302" i="8" l="1"/>
  <c r="F302" i="8" s="1"/>
  <c r="G302" i="8" s="1"/>
  <c r="E303" i="8" l="1"/>
  <c r="F303" i="8" s="1"/>
  <c r="G303" i="8" s="1"/>
  <c r="E304" i="8" l="1"/>
  <c r="F304" i="8" s="1"/>
  <c r="G304" i="8"/>
  <c r="E305" i="8" l="1"/>
  <c r="F305" i="8" s="1"/>
  <c r="G305" i="8"/>
  <c r="E306" i="8" l="1"/>
  <c r="F306" i="8" s="1"/>
  <c r="G306" i="8"/>
  <c r="E307" i="8" l="1"/>
  <c r="F307" i="8" s="1"/>
  <c r="G307" i="8"/>
  <c r="E308" i="8" l="1"/>
  <c r="F308" i="8" l="1"/>
  <c r="AF66" i="1"/>
  <c r="AG40" i="6" s="1"/>
  <c r="AG43" i="6" s="1"/>
  <c r="AG46" i="6" l="1"/>
  <c r="AG52" i="6" s="1"/>
  <c r="AF65" i="1"/>
  <c r="G308" i="8"/>
  <c r="E309" i="8" l="1"/>
  <c r="AF64" i="1"/>
  <c r="AG152" i="6"/>
  <c r="AG131" i="6"/>
  <c r="AF68" i="1"/>
  <c r="AG111" i="6"/>
  <c r="AG91" i="6"/>
  <c r="AG132" i="6"/>
  <c r="AG89" i="6" s="1"/>
  <c r="AG135" i="6" l="1"/>
  <c r="AG149" i="6"/>
  <c r="AG155" i="6" s="1"/>
  <c r="AG160" i="6" s="1"/>
  <c r="AG118" i="6"/>
  <c r="AG138" i="6" s="1"/>
  <c r="AF100" i="6"/>
  <c r="F309" i="8"/>
  <c r="AF98" i="6" l="1"/>
  <c r="AF96" i="6"/>
  <c r="AF95" i="6" s="1"/>
  <c r="AF93" i="6" s="1"/>
  <c r="G309" i="8"/>
  <c r="E310" i="8" l="1"/>
  <c r="F310" i="8" l="1"/>
  <c r="G310" i="8" l="1"/>
  <c r="E311" i="8" l="1"/>
  <c r="F311" i="8" l="1"/>
  <c r="G311" i="8" l="1"/>
  <c r="E312" i="8" l="1"/>
  <c r="F312" i="8" l="1"/>
  <c r="G312" i="8" l="1"/>
  <c r="E313" i="8" l="1"/>
  <c r="F313" i="8" l="1"/>
  <c r="AG66" i="1"/>
  <c r="AH40" i="6" s="1"/>
  <c r="AH43" i="6" s="1"/>
  <c r="AH46" i="6" l="1"/>
  <c r="AH52" i="6" s="1"/>
  <c r="AG65" i="1"/>
  <c r="G313" i="8"/>
  <c r="AG64" i="1" l="1"/>
  <c r="AH152" i="6"/>
  <c r="AH131" i="6"/>
  <c r="AG68" i="1"/>
  <c r="AH91" i="6"/>
  <c r="AH132" i="6"/>
  <c r="AH89" i="6" s="1"/>
  <c r="AH111" i="6"/>
  <c r="AH118" i="6" l="1"/>
  <c r="AH149" i="6"/>
  <c r="AH155" i="6" s="1"/>
  <c r="AH160" i="6" s="1"/>
  <c r="AH100" i="6"/>
  <c r="AH98" i="6" s="1"/>
  <c r="AG100" i="6"/>
  <c r="AH135" i="6"/>
  <c r="AH138" i="6" s="1"/>
  <c r="AH96" i="6" l="1"/>
  <c r="AH95" i="6" s="1"/>
  <c r="AH93" i="6" s="1"/>
  <c r="AG98" i="6"/>
  <c r="AG96" i="6"/>
  <c r="AG95" i="6" s="1"/>
  <c r="AG93" i="6" l="1"/>
  <c r="V56" i="7" l="1"/>
  <c r="V69" i="7"/>
  <c r="W56" i="7"/>
  <c r="W69" i="7" s="1"/>
  <c r="K56" i="7"/>
  <c r="K69" i="7" s="1"/>
  <c r="K72" i="7" s="1"/>
  <c r="U56" i="7"/>
  <c r="U69" i="7" s="1"/>
  <c r="U47" i="7" s="1"/>
  <c r="T56" i="7"/>
  <c r="T69" i="7" s="1"/>
  <c r="F57" i="1"/>
  <c r="S92" i="1" s="1"/>
  <c r="S91" i="1" s="1"/>
  <c r="T18" i="6" s="1"/>
  <c r="O92" i="1" l="1"/>
  <c r="O91" i="1" s="1"/>
  <c r="P18" i="6" s="1"/>
  <c r="K92" i="1"/>
  <c r="K91" i="1" s="1"/>
  <c r="L18" i="6" s="1"/>
  <c r="L17" i="6" s="1"/>
  <c r="L27" i="6" s="1"/>
  <c r="L35" i="6" s="1"/>
  <c r="L43" i="6" s="1"/>
  <c r="V92" i="1"/>
  <c r="V91" i="1" s="1"/>
  <c r="W18" i="6" s="1"/>
  <c r="W112" i="6" s="1"/>
  <c r="W150" i="6" s="1"/>
  <c r="T112" i="6"/>
  <c r="T150" i="6" s="1"/>
  <c r="T17" i="6"/>
  <c r="T27" i="6" s="1"/>
  <c r="T35" i="6" s="1"/>
  <c r="T43" i="6" s="1"/>
  <c r="P112" i="6"/>
  <c r="P150" i="6" s="1"/>
  <c r="P17" i="6"/>
  <c r="P27" i="6" s="1"/>
  <c r="P35" i="6" s="1"/>
  <c r="P43" i="6" s="1"/>
  <c r="L112" i="6"/>
  <c r="L150" i="6" s="1"/>
  <c r="T92" i="1"/>
  <c r="T91" i="1" s="1"/>
  <c r="U18" i="6" s="1"/>
  <c r="J92" i="1"/>
  <c r="J91" i="1" s="1"/>
  <c r="K18" i="6" s="1"/>
  <c r="L92" i="1"/>
  <c r="L91" i="1" s="1"/>
  <c r="M18" i="6" s="1"/>
  <c r="I123" i="6"/>
  <c r="I125" i="6" s="1"/>
  <c r="R92" i="1"/>
  <c r="R91" i="1" s="1"/>
  <c r="S18" i="6" s="1"/>
  <c r="I20" i="6"/>
  <c r="I92" i="1"/>
  <c r="I91" i="1" s="1"/>
  <c r="J18" i="6" s="1"/>
  <c r="N92" i="1"/>
  <c r="N91" i="1" s="1"/>
  <c r="O18" i="6" s="1"/>
  <c r="M92" i="1"/>
  <c r="M91" i="1" s="1"/>
  <c r="N18" i="6" s="1"/>
  <c r="U92" i="1"/>
  <c r="U91" i="1" s="1"/>
  <c r="V18" i="6" s="1"/>
  <c r="P92" i="1"/>
  <c r="P91" i="1" s="1"/>
  <c r="Q18" i="6" s="1"/>
  <c r="Q92" i="1"/>
  <c r="Q91" i="1" s="1"/>
  <c r="R18" i="6" s="1"/>
  <c r="H92" i="1"/>
  <c r="H91" i="1" s="1"/>
  <c r="I18" i="6" s="1"/>
  <c r="W17" i="6"/>
  <c r="W27" i="6" s="1"/>
  <c r="W35" i="6" s="1"/>
  <c r="W43" i="6" s="1"/>
  <c r="K47" i="7"/>
  <c r="K50" i="7" s="1"/>
  <c r="V42" i="7"/>
  <c r="AX56" i="7"/>
  <c r="AX69" i="7" s="1"/>
  <c r="AX72" i="7" s="1"/>
  <c r="O112" i="6" l="1"/>
  <c r="O150" i="6" s="1"/>
  <c r="O17" i="6"/>
  <c r="O27" i="6" s="1"/>
  <c r="O35" i="6" s="1"/>
  <c r="O43" i="6" s="1"/>
  <c r="W46" i="6"/>
  <c r="W52" i="6" s="1"/>
  <c r="N17" i="6"/>
  <c r="N27" i="6" s="1"/>
  <c r="N35" i="6" s="1"/>
  <c r="N43" i="6" s="1"/>
  <c r="N112" i="6"/>
  <c r="N150" i="6" s="1"/>
  <c r="J112" i="6"/>
  <c r="J150" i="6" s="1"/>
  <c r="J17" i="6"/>
  <c r="J27" i="6" s="1"/>
  <c r="J35" i="6" s="1"/>
  <c r="J43" i="6" s="1"/>
  <c r="T46" i="6"/>
  <c r="T52" i="6" s="1"/>
  <c r="L46" i="6"/>
  <c r="L52" i="6"/>
  <c r="P46" i="6"/>
  <c r="P52" i="6" s="1"/>
  <c r="S17" i="6"/>
  <c r="S27" i="6" s="1"/>
  <c r="S35" i="6" s="1"/>
  <c r="S43" i="6" s="1"/>
  <c r="S112" i="6"/>
  <c r="S150" i="6" s="1"/>
  <c r="M112" i="6"/>
  <c r="M150" i="6" s="1"/>
  <c r="M17" i="6"/>
  <c r="M27" i="6" s="1"/>
  <c r="M35" i="6" s="1"/>
  <c r="M43" i="6" s="1"/>
  <c r="U112" i="6"/>
  <c r="U150" i="6" s="1"/>
  <c r="U17" i="6"/>
  <c r="U27" i="6" s="1"/>
  <c r="U35" i="6" s="1"/>
  <c r="U43" i="6" s="1"/>
  <c r="V47" i="7"/>
  <c r="T42" i="13"/>
  <c r="AX42" i="7"/>
  <c r="I17" i="6"/>
  <c r="I27" i="6" s="1"/>
  <c r="I35" i="6" s="1"/>
  <c r="I43" i="6" s="1"/>
  <c r="I112" i="6"/>
  <c r="I150" i="6" s="1"/>
  <c r="R112" i="6"/>
  <c r="R150" i="6" s="1"/>
  <c r="R17" i="6"/>
  <c r="R27" i="6" s="1"/>
  <c r="R35" i="6" s="1"/>
  <c r="R43" i="6" s="1"/>
  <c r="Q112" i="6"/>
  <c r="Q150" i="6" s="1"/>
  <c r="Q17" i="6"/>
  <c r="Q27" i="6" s="1"/>
  <c r="Q35" i="6" s="1"/>
  <c r="Q43" i="6" s="1"/>
  <c r="V17" i="6"/>
  <c r="V27" i="6" s="1"/>
  <c r="V35" i="6" s="1"/>
  <c r="V43" i="6" s="1"/>
  <c r="V112" i="6"/>
  <c r="V150" i="6" s="1"/>
  <c r="K17" i="6"/>
  <c r="K27" i="6" s="1"/>
  <c r="K35" i="6" s="1"/>
  <c r="K43" i="6" s="1"/>
  <c r="K112" i="6"/>
  <c r="K150" i="6" s="1"/>
  <c r="I69" i="6"/>
  <c r="AV42" i="13" l="1"/>
  <c r="T47" i="13"/>
  <c r="I46" i="6"/>
  <c r="I52" i="6" s="1"/>
  <c r="S46" i="6"/>
  <c r="S52" i="6" s="1"/>
  <c r="U46" i="6"/>
  <c r="U52" i="6" s="1"/>
  <c r="AX47" i="7"/>
  <c r="AX50" i="7" s="1"/>
  <c r="H42" i="7"/>
  <c r="Q46" i="6"/>
  <c r="Q52" i="6" s="1"/>
  <c r="R46" i="6"/>
  <c r="R52" i="6" s="1"/>
  <c r="J46" i="6"/>
  <c r="J52" i="6" s="1"/>
  <c r="P132" i="6"/>
  <c r="P91" i="6"/>
  <c r="P111" i="6"/>
  <c r="L91" i="6"/>
  <c r="L111" i="6"/>
  <c r="L132" i="6"/>
  <c r="M46" i="6"/>
  <c r="M52" i="6" s="1"/>
  <c r="O46" i="6"/>
  <c r="O52" i="6" s="1"/>
  <c r="K46" i="6"/>
  <c r="K52" i="6"/>
  <c r="V46" i="6"/>
  <c r="V52" i="6" s="1"/>
  <c r="N46" i="6"/>
  <c r="N52" i="6" s="1"/>
  <c r="W91" i="6"/>
  <c r="W111" i="6"/>
  <c r="W132" i="6"/>
  <c r="I66" i="6"/>
  <c r="I64" i="6" s="1"/>
  <c r="J69" i="6"/>
  <c r="T91" i="6"/>
  <c r="T111" i="6"/>
  <c r="T132" i="6"/>
  <c r="S132" i="6" l="1"/>
  <c r="S111" i="6"/>
  <c r="S91" i="6"/>
  <c r="U132" i="6"/>
  <c r="U91" i="6"/>
  <c r="U111" i="6"/>
  <c r="M91" i="6"/>
  <c r="M132" i="6"/>
  <c r="M111" i="6"/>
  <c r="I132" i="6"/>
  <c r="I111" i="6"/>
  <c r="I91" i="6"/>
  <c r="J90" i="6" s="1"/>
  <c r="J132" i="6"/>
  <c r="J91" i="6"/>
  <c r="J111" i="6"/>
  <c r="L89" i="6"/>
  <c r="L135" i="6"/>
  <c r="N132" i="6"/>
  <c r="N91" i="6"/>
  <c r="N111" i="6"/>
  <c r="T149" i="6"/>
  <c r="T155" i="6" s="1"/>
  <c r="T160" i="6" s="1"/>
  <c r="T118" i="6"/>
  <c r="V111" i="6"/>
  <c r="V91" i="6"/>
  <c r="V132" i="6"/>
  <c r="L118" i="6"/>
  <c r="L149" i="6"/>
  <c r="L155" i="6" s="1"/>
  <c r="L160" i="6" s="1"/>
  <c r="W89" i="6"/>
  <c r="W135" i="6"/>
  <c r="W138" i="6" s="1"/>
  <c r="T89" i="6"/>
  <c r="T135" i="6"/>
  <c r="R91" i="6"/>
  <c r="R111" i="6"/>
  <c r="R132" i="6"/>
  <c r="J66" i="6"/>
  <c r="J64" i="6" s="1"/>
  <c r="K69" i="6"/>
  <c r="K132" i="6"/>
  <c r="K91" i="6"/>
  <c r="K111" i="6"/>
  <c r="Q111" i="6"/>
  <c r="Q91" i="6"/>
  <c r="Q132" i="6"/>
  <c r="W118" i="6"/>
  <c r="W149" i="6"/>
  <c r="W155" i="6" s="1"/>
  <c r="W160" i="6" s="1"/>
  <c r="O111" i="6"/>
  <c r="O132" i="6"/>
  <c r="O91" i="6"/>
  <c r="K42" i="7"/>
  <c r="H41" i="7"/>
  <c r="P118" i="6"/>
  <c r="P149" i="6"/>
  <c r="P155" i="6" s="1"/>
  <c r="P160" i="6" s="1"/>
  <c r="P135" i="6"/>
  <c r="P138" i="6" s="1"/>
  <c r="P89" i="6"/>
  <c r="AV47" i="13"/>
  <c r="AV50" i="13" s="1"/>
  <c r="H42" i="13"/>
  <c r="T138" i="6" l="1"/>
  <c r="H41" i="13"/>
  <c r="I42" i="13"/>
  <c r="K149" i="6"/>
  <c r="K155" i="6" s="1"/>
  <c r="K160" i="6" s="1"/>
  <c r="K118" i="6"/>
  <c r="O135" i="6"/>
  <c r="O89" i="6"/>
  <c r="K89" i="6"/>
  <c r="K135" i="6"/>
  <c r="J149" i="6"/>
  <c r="J155" i="6" s="1"/>
  <c r="J160" i="6" s="1"/>
  <c r="J118" i="6"/>
  <c r="U89" i="6"/>
  <c r="U135" i="6"/>
  <c r="U118" i="6"/>
  <c r="U149" i="6"/>
  <c r="U155" i="6" s="1"/>
  <c r="U160" i="6" s="1"/>
  <c r="O149" i="6"/>
  <c r="O155" i="6" s="1"/>
  <c r="O160" i="6" s="1"/>
  <c r="O118" i="6"/>
  <c r="I118" i="6"/>
  <c r="I149" i="6"/>
  <c r="I155" i="6" s="1"/>
  <c r="I160" i="6" s="1"/>
  <c r="I163" i="6" s="1"/>
  <c r="J163" i="6" s="1"/>
  <c r="N118" i="6"/>
  <c r="N149" i="6"/>
  <c r="N155" i="6" s="1"/>
  <c r="N160" i="6" s="1"/>
  <c r="K90" i="6"/>
  <c r="L90" i="6" s="1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Q89" i="6"/>
  <c r="Q135" i="6"/>
  <c r="R89" i="6"/>
  <c r="R135" i="6"/>
  <c r="N89" i="6"/>
  <c r="N135" i="6"/>
  <c r="N138" i="6" s="1"/>
  <c r="I135" i="6"/>
  <c r="I89" i="6"/>
  <c r="I87" i="6" s="1"/>
  <c r="I84" i="6" s="1"/>
  <c r="S118" i="6"/>
  <c r="S149" i="6"/>
  <c r="S155" i="6" s="1"/>
  <c r="S160" i="6" s="1"/>
  <c r="Q118" i="6"/>
  <c r="Q149" i="6"/>
  <c r="Q155" i="6" s="1"/>
  <c r="Q160" i="6" s="1"/>
  <c r="M135" i="6"/>
  <c r="M89" i="6"/>
  <c r="V118" i="6"/>
  <c r="V149" i="6"/>
  <c r="V155" i="6" s="1"/>
  <c r="V160" i="6" s="1"/>
  <c r="J135" i="6"/>
  <c r="J89" i="6"/>
  <c r="J87" i="6" s="1"/>
  <c r="J84" i="6" s="1"/>
  <c r="K66" i="6"/>
  <c r="K64" i="6" s="1"/>
  <c r="L69" i="6"/>
  <c r="K41" i="7"/>
  <c r="H40" i="7"/>
  <c r="K40" i="7" s="1"/>
  <c r="R149" i="6"/>
  <c r="R155" i="6" s="1"/>
  <c r="R160" i="6" s="1"/>
  <c r="R118" i="6"/>
  <c r="V135" i="6"/>
  <c r="V89" i="6"/>
  <c r="L138" i="6"/>
  <c r="M118" i="6"/>
  <c r="M149" i="6"/>
  <c r="M155" i="6" s="1"/>
  <c r="M160" i="6" s="1"/>
  <c r="S89" i="6"/>
  <c r="S135" i="6"/>
  <c r="M138" i="6" l="1"/>
  <c r="O138" i="6"/>
  <c r="S138" i="6"/>
  <c r="K163" i="6"/>
  <c r="L163" i="6" s="1"/>
  <c r="M163" i="6" s="1"/>
  <c r="N163" i="6" s="1"/>
  <c r="O163" i="6" s="1"/>
  <c r="P163" i="6" s="1"/>
  <c r="Q163" i="6" s="1"/>
  <c r="R163" i="6" s="1"/>
  <c r="S163" i="6" s="1"/>
  <c r="T163" i="6" s="1"/>
  <c r="U163" i="6" s="1"/>
  <c r="V163" i="6" s="1"/>
  <c r="W163" i="6" s="1"/>
  <c r="X163" i="6" s="1"/>
  <c r="W87" i="6"/>
  <c r="W84" i="6" s="1"/>
  <c r="P87" i="6"/>
  <c r="P84" i="6" s="1"/>
  <c r="S87" i="6"/>
  <c r="S84" i="6" s="1"/>
  <c r="R138" i="6"/>
  <c r="T87" i="6"/>
  <c r="T84" i="6" s="1"/>
  <c r="K138" i="6"/>
  <c r="O87" i="6"/>
  <c r="O84" i="6" s="1"/>
  <c r="N87" i="6"/>
  <c r="N84" i="6" s="1"/>
  <c r="U87" i="6"/>
  <c r="U84" i="6" s="1"/>
  <c r="K87" i="6"/>
  <c r="K84" i="6" s="1"/>
  <c r="I138" i="6"/>
  <c r="I142" i="6" s="1"/>
  <c r="R87" i="6"/>
  <c r="R84" i="6" s="1"/>
  <c r="V87" i="6"/>
  <c r="V84" i="6" s="1"/>
  <c r="V138" i="6"/>
  <c r="Q87" i="6"/>
  <c r="Q84" i="6" s="1"/>
  <c r="Q138" i="6"/>
  <c r="X87" i="6"/>
  <c r="X84" i="6" s="1"/>
  <c r="Y90" i="6"/>
  <c r="J138" i="6"/>
  <c r="L87" i="6"/>
  <c r="L84" i="6" s="1"/>
  <c r="U138" i="6"/>
  <c r="L66" i="6"/>
  <c r="L64" i="6" s="1"/>
  <c r="M69" i="6"/>
  <c r="M87" i="6"/>
  <c r="M84" i="6" s="1"/>
  <c r="I41" i="13"/>
  <c r="H40" i="13"/>
  <c r="Y163" i="6" l="1"/>
  <c r="Z163" i="6" s="1"/>
  <c r="AA163" i="6" s="1"/>
  <c r="AB163" i="6" s="1"/>
  <c r="AC163" i="6" s="1"/>
  <c r="AD163" i="6" s="1"/>
  <c r="AE163" i="6" s="1"/>
  <c r="AF163" i="6" s="1"/>
  <c r="AG163" i="6" s="1"/>
  <c r="AH163" i="6" s="1"/>
  <c r="K15" i="20"/>
  <c r="F29" i="9"/>
  <c r="F32" i="9"/>
  <c r="F30" i="9"/>
  <c r="H4" i="15" s="1"/>
  <c r="Y87" i="6"/>
  <c r="Y84" i="6" s="1"/>
  <c r="Z90" i="6"/>
  <c r="N69" i="6"/>
  <c r="M66" i="6"/>
  <c r="M64" i="6" s="1"/>
  <c r="J140" i="6"/>
  <c r="J142" i="6" s="1"/>
  <c r="I78" i="6"/>
  <c r="I77" i="6" s="1"/>
  <c r="I74" i="6" s="1"/>
  <c r="I40" i="13"/>
  <c r="I47" i="13" s="1"/>
  <c r="I50" i="13" s="1"/>
  <c r="H47" i="13"/>
  <c r="H50" i="13" s="1"/>
  <c r="F31" i="9"/>
  <c r="I4" i="15" s="1"/>
  <c r="O69" i="6" l="1"/>
  <c r="N66" i="6"/>
  <c r="N64" i="6" s="1"/>
  <c r="AA90" i="6"/>
  <c r="Z87" i="6"/>
  <c r="Z84" i="6" s="1"/>
  <c r="I153" i="6"/>
  <c r="I61" i="6"/>
  <c r="I58" i="6" s="1"/>
  <c r="K140" i="6"/>
  <c r="K142" i="6" s="1"/>
  <c r="J78" i="6"/>
  <c r="J77" i="6" s="1"/>
  <c r="J74" i="6" s="1"/>
  <c r="K78" i="6" l="1"/>
  <c r="K77" i="6" s="1"/>
  <c r="K74" i="6" s="1"/>
  <c r="L140" i="6"/>
  <c r="L142" i="6" s="1"/>
  <c r="J153" i="6"/>
  <c r="J61" i="6"/>
  <c r="J58" i="6" s="1"/>
  <c r="AB90" i="6"/>
  <c r="AA87" i="6"/>
  <c r="AA84" i="6" s="1"/>
  <c r="P69" i="6"/>
  <c r="O66" i="6"/>
  <c r="O64" i="6" s="1"/>
  <c r="P66" i="6" l="1"/>
  <c r="P64" i="6" s="1"/>
  <c r="Q69" i="6"/>
  <c r="AB87" i="6"/>
  <c r="AB84" i="6" s="1"/>
  <c r="AC90" i="6"/>
  <c r="M140" i="6"/>
  <c r="M142" i="6" s="1"/>
  <c r="L78" i="6"/>
  <c r="L77" i="6" s="1"/>
  <c r="L74" i="6" s="1"/>
  <c r="K153" i="6"/>
  <c r="K61" i="6"/>
  <c r="K58" i="6" s="1"/>
  <c r="AC87" i="6" l="1"/>
  <c r="AC84" i="6" s="1"/>
  <c r="AD90" i="6"/>
  <c r="L153" i="6"/>
  <c r="L61" i="6"/>
  <c r="L58" i="6" s="1"/>
  <c r="R69" i="6"/>
  <c r="Q66" i="6"/>
  <c r="Q64" i="6" s="1"/>
  <c r="M78" i="6"/>
  <c r="M77" i="6" s="1"/>
  <c r="M74" i="6" s="1"/>
  <c r="N140" i="6"/>
  <c r="N142" i="6" s="1"/>
  <c r="M153" i="6" l="1"/>
  <c r="M61" i="6"/>
  <c r="M58" i="6" s="1"/>
  <c r="R66" i="6"/>
  <c r="R64" i="6" s="1"/>
  <c r="S69" i="6"/>
  <c r="AE90" i="6"/>
  <c r="AD87" i="6"/>
  <c r="AD84" i="6" s="1"/>
  <c r="O140" i="6"/>
  <c r="O142" i="6" s="1"/>
  <c r="N78" i="6"/>
  <c r="N77" i="6" s="1"/>
  <c r="N74" i="6" s="1"/>
  <c r="O78" i="6" l="1"/>
  <c r="O77" i="6" s="1"/>
  <c r="O74" i="6" s="1"/>
  <c r="P140" i="6"/>
  <c r="P142" i="6" s="1"/>
  <c r="AE87" i="6"/>
  <c r="AE84" i="6" s="1"/>
  <c r="AF90" i="6"/>
  <c r="T69" i="6"/>
  <c r="S66" i="6"/>
  <c r="S64" i="6" s="1"/>
  <c r="N153" i="6"/>
  <c r="N61" i="6"/>
  <c r="N58" i="6" s="1"/>
  <c r="T66" i="6" l="1"/>
  <c r="T64" i="6" s="1"/>
  <c r="U69" i="6"/>
  <c r="AF87" i="6"/>
  <c r="AF84" i="6" s="1"/>
  <c r="AG90" i="6"/>
  <c r="P78" i="6"/>
  <c r="P77" i="6" s="1"/>
  <c r="P74" i="6" s="1"/>
  <c r="Q140" i="6"/>
  <c r="Q142" i="6" s="1"/>
  <c r="O153" i="6"/>
  <c r="O61" i="6"/>
  <c r="O58" i="6" s="1"/>
  <c r="P153" i="6" l="1"/>
  <c r="P61" i="6"/>
  <c r="P58" i="6" s="1"/>
  <c r="AH90" i="6"/>
  <c r="AH87" i="6" s="1"/>
  <c r="AH84" i="6" s="1"/>
  <c r="AG87" i="6"/>
  <c r="AG84" i="6" s="1"/>
  <c r="R140" i="6"/>
  <c r="R142" i="6" s="1"/>
  <c r="Q78" i="6"/>
  <c r="Q77" i="6" s="1"/>
  <c r="Q74" i="6" s="1"/>
  <c r="V69" i="6"/>
  <c r="U66" i="6"/>
  <c r="U64" i="6" s="1"/>
  <c r="S140" i="6" l="1"/>
  <c r="S142" i="6" s="1"/>
  <c r="R78" i="6"/>
  <c r="R77" i="6" s="1"/>
  <c r="R74" i="6" s="1"/>
  <c r="W69" i="6"/>
  <c r="V66" i="6"/>
  <c r="V64" i="6" s="1"/>
  <c r="Q153" i="6"/>
  <c r="Q61" i="6"/>
  <c r="Q58" i="6" s="1"/>
  <c r="X69" i="6" l="1"/>
  <c r="W66" i="6"/>
  <c r="W64" i="6" s="1"/>
  <c r="R153" i="6"/>
  <c r="R61" i="6"/>
  <c r="R58" i="6" s="1"/>
  <c r="T140" i="6"/>
  <c r="T142" i="6" s="1"/>
  <c r="S78" i="6"/>
  <c r="S77" i="6" s="1"/>
  <c r="S74" i="6" s="1"/>
  <c r="S153" i="6" l="1"/>
  <c r="S61" i="6"/>
  <c r="S58" i="6" s="1"/>
  <c r="T78" i="6"/>
  <c r="T77" i="6" s="1"/>
  <c r="T74" i="6" s="1"/>
  <c r="U140" i="6"/>
  <c r="U142" i="6" s="1"/>
  <c r="X66" i="6"/>
  <c r="X64" i="6" s="1"/>
  <c r="Y69" i="6"/>
  <c r="Y66" i="6" l="1"/>
  <c r="Y64" i="6" s="1"/>
  <c r="Z69" i="6"/>
  <c r="T153" i="6"/>
  <c r="T61" i="6"/>
  <c r="T58" i="6" s="1"/>
  <c r="U78" i="6"/>
  <c r="U77" i="6" s="1"/>
  <c r="U74" i="6" s="1"/>
  <c r="V140" i="6"/>
  <c r="V142" i="6" s="1"/>
  <c r="W140" i="6" l="1"/>
  <c r="W142" i="6" s="1"/>
  <c r="V78" i="6"/>
  <c r="V77" i="6" s="1"/>
  <c r="V74" i="6" s="1"/>
  <c r="U153" i="6"/>
  <c r="U61" i="6"/>
  <c r="AA69" i="6"/>
  <c r="Z66" i="6"/>
  <c r="Z64" i="6" s="1"/>
  <c r="AA66" i="6" l="1"/>
  <c r="AA64" i="6" s="1"/>
  <c r="AB69" i="6"/>
  <c r="U58" i="6"/>
  <c r="U103" i="6"/>
  <c r="V153" i="6"/>
  <c r="V61" i="6"/>
  <c r="V58" i="6" s="1"/>
  <c r="W78" i="6"/>
  <c r="W77" i="6" s="1"/>
  <c r="W74" i="6" s="1"/>
  <c r="X140" i="6"/>
  <c r="X142" i="6" s="1"/>
  <c r="W153" i="6" l="1"/>
  <c r="W61" i="6"/>
  <c r="W58" i="6" s="1"/>
  <c r="AB66" i="6"/>
  <c r="AB64" i="6" s="1"/>
  <c r="AC69" i="6"/>
  <c r="I164" i="6"/>
  <c r="X78" i="6"/>
  <c r="X77" i="6" s="1"/>
  <c r="X74" i="6" s="1"/>
  <c r="Y140" i="6"/>
  <c r="Y142" i="6" s="1"/>
  <c r="X153" i="6" l="1"/>
  <c r="X61" i="6"/>
  <c r="X58" i="6" s="1"/>
  <c r="AD69" i="6"/>
  <c r="AC66" i="6"/>
  <c r="AC64" i="6" s="1"/>
  <c r="Y78" i="6"/>
  <c r="Y77" i="6" s="1"/>
  <c r="Y74" i="6" s="1"/>
  <c r="Z140" i="6"/>
  <c r="Z142" i="6" s="1"/>
  <c r="Z78" i="6" l="1"/>
  <c r="Z77" i="6" s="1"/>
  <c r="Z74" i="6" s="1"/>
  <c r="AA140" i="6"/>
  <c r="AA142" i="6" s="1"/>
  <c r="Y153" i="6"/>
  <c r="Y61" i="6"/>
  <c r="Y58" i="6" s="1"/>
  <c r="AD66" i="6"/>
  <c r="AD64" i="6" s="1"/>
  <c r="AE69" i="6"/>
  <c r="AE66" i="6" l="1"/>
  <c r="AE64" i="6" s="1"/>
  <c r="AF69" i="6"/>
  <c r="AA78" i="6"/>
  <c r="AA77" i="6" s="1"/>
  <c r="AA74" i="6" s="1"/>
  <c r="AB140" i="6"/>
  <c r="AB142" i="6" s="1"/>
  <c r="Z153" i="6"/>
  <c r="Z61" i="6"/>
  <c r="Z58" i="6" s="1"/>
  <c r="AG69" i="6" l="1"/>
  <c r="AF66" i="6"/>
  <c r="AF64" i="6" s="1"/>
  <c r="AB78" i="6"/>
  <c r="AB77" i="6" s="1"/>
  <c r="AB74" i="6" s="1"/>
  <c r="AC140" i="6"/>
  <c r="AC142" i="6" s="1"/>
  <c r="AA153" i="6"/>
  <c r="AA61" i="6"/>
  <c r="AA58" i="6" s="1"/>
  <c r="AB153" i="6" l="1"/>
  <c r="AB61" i="6"/>
  <c r="AB58" i="6" s="1"/>
  <c r="AC78" i="6"/>
  <c r="AC77" i="6" s="1"/>
  <c r="AC74" i="6" s="1"/>
  <c r="AD140" i="6"/>
  <c r="AD142" i="6" s="1"/>
  <c r="AG66" i="6"/>
  <c r="AG64" i="6" s="1"/>
  <c r="AH69" i="6"/>
  <c r="AH66" i="6" s="1"/>
  <c r="AH64" i="6" s="1"/>
  <c r="AC153" i="6" l="1"/>
  <c r="AC61" i="6"/>
  <c r="AC58" i="6" s="1"/>
  <c r="AD78" i="6"/>
  <c r="AD77" i="6" s="1"/>
  <c r="AD74" i="6" s="1"/>
  <c r="AE140" i="6"/>
  <c r="AE142" i="6" s="1"/>
  <c r="AD153" i="6" l="1"/>
  <c r="AD61" i="6"/>
  <c r="AD58" i="6" s="1"/>
  <c r="AE78" i="6"/>
  <c r="AE77" i="6" s="1"/>
  <c r="AE74" i="6" s="1"/>
  <c r="AF140" i="6"/>
  <c r="AF142" i="6" s="1"/>
  <c r="AE153" i="6" l="1"/>
  <c r="AE61" i="6"/>
  <c r="AE58" i="6" s="1"/>
  <c r="AF78" i="6"/>
  <c r="AF77" i="6" s="1"/>
  <c r="AF74" i="6" s="1"/>
  <c r="AG140" i="6"/>
  <c r="AG142" i="6" s="1"/>
  <c r="AF153" i="6" l="1"/>
  <c r="AF61" i="6"/>
  <c r="AF58" i="6" s="1"/>
  <c r="AH140" i="6"/>
  <c r="AH142" i="6" s="1"/>
  <c r="AG78" i="6"/>
  <c r="AG77" i="6" s="1"/>
  <c r="AG74" i="6" s="1"/>
  <c r="AH78" i="6" l="1"/>
  <c r="AH77" i="6" s="1"/>
  <c r="AH74" i="6" s="1"/>
  <c r="K14" i="20"/>
  <c r="AH153" i="6"/>
  <c r="AH61" i="6"/>
  <c r="AH58" i="6" s="1"/>
  <c r="AG153" i="6"/>
  <c r="AG61" i="6"/>
  <c r="AG58" i="6" l="1"/>
  <c r="AG10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109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PC:</t>
        </r>
        <r>
          <rPr>
            <sz val="9"/>
            <color indexed="81"/>
            <rFont val="Tahoma"/>
            <family val="2"/>
            <charset val="238"/>
          </rPr>
          <t xml:space="preserve">
Należy brać pod uwagę ryzyko zakwalifikowania przez gminę podatku od nieruchomości jako podatku od budowli co powoduje konieczność zapłaty 2% wartości budowli. 
Orzeczenia sądu wskazują na bezpodstawność takiej interpretacji. Co do podatku od instalacji to jest również ryzyko zakwalifikowania paneli jako budynków co wiąże się z podatkiem od nieruchomości rzędu parunastu złotych za metr kwadratowy.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F16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38"/>
          </rPr>
          <t>PC:</t>
        </r>
        <r>
          <rPr>
            <sz val="9"/>
            <color indexed="81"/>
            <rFont val="Tahoma"/>
            <family val="2"/>
            <charset val="238"/>
          </rPr>
          <t xml:space="preserve">
Na podstawie rentowności 10-letnich obligacji polskiego rządu</t>
        </r>
      </text>
    </comment>
  </commentList>
</comments>
</file>

<file path=xl/sharedStrings.xml><?xml version="1.0" encoding="utf-8"?>
<sst xmlns="http://schemas.openxmlformats.org/spreadsheetml/2006/main" count="1498" uniqueCount="446">
  <si>
    <t>L.p.</t>
  </si>
  <si>
    <t>jedn.</t>
  </si>
  <si>
    <t>Pozycja</t>
  </si>
  <si>
    <t>Wielkość zainstalowanej mocy</t>
  </si>
  <si>
    <t>Wartość</t>
  </si>
  <si>
    <t>kW</t>
  </si>
  <si>
    <t>Poziom inflacji</t>
  </si>
  <si>
    <t>Obszar założeń</t>
  </si>
  <si>
    <t>Sprawność instalacji</t>
  </si>
  <si>
    <t>%</t>
  </si>
  <si>
    <t>PLN/MWh</t>
  </si>
  <si>
    <t>Prognoza wyprodukowanej energii</t>
  </si>
  <si>
    <t>MWh</t>
  </si>
  <si>
    <t>4.1</t>
  </si>
  <si>
    <t>Przychody ze sprzedaży</t>
  </si>
  <si>
    <t>PLN</t>
  </si>
  <si>
    <t>Dzierżawa gruntu</t>
  </si>
  <si>
    <t>Naprawy serwisowe</t>
  </si>
  <si>
    <t>Ochrona obiektu</t>
  </si>
  <si>
    <t>Podatek od nieruchomości</t>
  </si>
  <si>
    <t>Koszty bilansowania handlowego</t>
  </si>
  <si>
    <t>I</t>
  </si>
  <si>
    <t>Założenia dotyczące instalacji</t>
  </si>
  <si>
    <t>II</t>
  </si>
  <si>
    <t>Założenia makroekonomiczne</t>
  </si>
  <si>
    <t>PLN/USD</t>
  </si>
  <si>
    <t>Założenia dotyczące przychodów</t>
  </si>
  <si>
    <t>Założenia inwestycyjne</t>
  </si>
  <si>
    <t>Założenia kosztowe</t>
  </si>
  <si>
    <t>Projekt Solaris</t>
  </si>
  <si>
    <t>Założenia do modelu</t>
  </si>
  <si>
    <t>Koszt inwestycji</t>
  </si>
  <si>
    <t>Wkład własny</t>
  </si>
  <si>
    <t>CAPEX na 1kW mocy</t>
  </si>
  <si>
    <t>PLN/kW</t>
  </si>
  <si>
    <t>Oprocentowanie</t>
  </si>
  <si>
    <t>Prowizja banku</t>
  </si>
  <si>
    <t>III</t>
  </si>
  <si>
    <t>IV</t>
  </si>
  <si>
    <t>V</t>
  </si>
  <si>
    <t>Zużycie energii na potrzeby własne (rocznie)</t>
  </si>
  <si>
    <t>Skumulowany spadek sprawności paneli</t>
  </si>
  <si>
    <t>Średni spadek sprawności instalacji w czasie</t>
  </si>
  <si>
    <t>Początkowy spadek sprawności</t>
  </si>
  <si>
    <t>3.1</t>
  </si>
  <si>
    <t>Amortyzacja</t>
  </si>
  <si>
    <t>Zużycie materiałów i energii</t>
  </si>
  <si>
    <t>Usługi obce</t>
  </si>
  <si>
    <t>1.1</t>
  </si>
  <si>
    <t>Stawka amortyzacji instalacji PV (liniowa)</t>
  </si>
  <si>
    <t>Podatki i opłaty</t>
  </si>
  <si>
    <t>Wynagrodzenia</t>
  </si>
  <si>
    <t>Ubezpieczenia społeczne i inne świadczenia</t>
  </si>
  <si>
    <t>Pozostałe koszty rodzajowe</t>
  </si>
  <si>
    <t>Kurs walutowy USD</t>
  </si>
  <si>
    <t>Długość spłaty kredytu</t>
  </si>
  <si>
    <t>Obsługa obiektu (koszenie, odśnieżanie, nadzór)</t>
  </si>
  <si>
    <t>lata</t>
  </si>
  <si>
    <r>
      <t>m</t>
    </r>
    <r>
      <rPr>
        <vertAlign val="superscript"/>
        <sz val="10"/>
        <color theme="1"/>
        <rFont val="Arial"/>
        <family val="2"/>
        <charset val="238"/>
      </rPr>
      <t>2</t>
    </r>
  </si>
  <si>
    <t>3.2</t>
  </si>
  <si>
    <t>3.3</t>
  </si>
  <si>
    <t>3.4</t>
  </si>
  <si>
    <t>3.5</t>
  </si>
  <si>
    <t>3.6</t>
  </si>
  <si>
    <r>
      <t>PLN/m</t>
    </r>
    <r>
      <rPr>
        <vertAlign val="superscript"/>
        <sz val="10"/>
        <color theme="1"/>
        <rFont val="Arial"/>
        <family val="2"/>
        <charset val="238"/>
      </rPr>
      <t>2</t>
    </r>
  </si>
  <si>
    <t>Podatek od nieruchomości - grunty</t>
  </si>
  <si>
    <t>Powierzchnia opodatkowana (grunty)</t>
  </si>
  <si>
    <t>Współczynnik powierzchniowy (grunty)</t>
  </si>
  <si>
    <t>Podatek od nieruchomości - budynki</t>
  </si>
  <si>
    <t>Powierzchnia opodatkowana (budynki)</t>
  </si>
  <si>
    <t>Współczynnik powierzchniowy (budynki)</t>
  </si>
  <si>
    <t>4.1.1</t>
  </si>
  <si>
    <t>4.1.2</t>
  </si>
  <si>
    <t>Stawka podatku od nieruchomości (budynki)</t>
  </si>
  <si>
    <t>Stawka podatku od nieruchomości (grunty)</t>
  </si>
  <si>
    <t>5.1</t>
  </si>
  <si>
    <t>Miesięczna placa pracownika nr 1</t>
  </si>
  <si>
    <t>Wynagrodzenie pracownika nr 1</t>
  </si>
  <si>
    <t>Długość zatrudnienia pracownika nr 1</t>
  </si>
  <si>
    <t>Ubezpieczenia pracownika nr 1</t>
  </si>
  <si>
    <t>Miesięczna stopa kosztów pracodawcy</t>
  </si>
  <si>
    <t>7.1</t>
  </si>
  <si>
    <t>VI</t>
  </si>
  <si>
    <t>VII</t>
  </si>
  <si>
    <t>VIII</t>
  </si>
  <si>
    <t>IX</t>
  </si>
  <si>
    <t>X</t>
  </si>
  <si>
    <t>XI</t>
  </si>
  <si>
    <t>XII</t>
  </si>
  <si>
    <t>Rachunek zysków i strat</t>
  </si>
  <si>
    <t>A</t>
  </si>
  <si>
    <t>Przychody brutto ze sprzedaży</t>
  </si>
  <si>
    <t>Przychody brutto ze sprzedaży produktów</t>
  </si>
  <si>
    <t xml:space="preserve">Przychody brutto ze sprzedaży towarów i materiałów </t>
  </si>
  <si>
    <t>-</t>
  </si>
  <si>
    <t>B</t>
  </si>
  <si>
    <t>Koszty działalności operacyjnej</t>
  </si>
  <si>
    <t xml:space="preserve">Zużycie materiałów i energii </t>
  </si>
  <si>
    <t xml:space="preserve">Wynagrodzenia </t>
  </si>
  <si>
    <t xml:space="preserve">Ubezpieczenia społeczne i inne świadczenia </t>
  </si>
  <si>
    <t xml:space="preserve">Pozostałe koszty rodzajowe </t>
  </si>
  <si>
    <t>C</t>
  </si>
  <si>
    <t>Zysk (strata) ze sprzedaży (A-B)</t>
  </si>
  <si>
    <t>D</t>
  </si>
  <si>
    <t xml:space="preserve"> Pozostałe przychody operacyjne </t>
  </si>
  <si>
    <t>E</t>
  </si>
  <si>
    <t xml:space="preserve"> Pozostałe koszty operacyjne </t>
  </si>
  <si>
    <t>F</t>
  </si>
  <si>
    <t>Zysk (strata) z działalności operacyjnej (C+D-E)</t>
  </si>
  <si>
    <t>G</t>
  </si>
  <si>
    <t>Przychody finansowe</t>
  </si>
  <si>
    <t>H</t>
  </si>
  <si>
    <t>Koszty finansowe</t>
  </si>
  <si>
    <t>Zysk (strata) brutto (F+G-H)</t>
  </si>
  <si>
    <t>J</t>
  </si>
  <si>
    <t>Podatek dochodowy</t>
  </si>
  <si>
    <t>Stopa podatku CIT</t>
  </si>
  <si>
    <t>K</t>
  </si>
  <si>
    <t>Pozostałe obowiązkowe zmniejszenia zysku (zwiększenia straty)</t>
  </si>
  <si>
    <t>L</t>
  </si>
  <si>
    <t>Zysk (strata) netto (I-J-K)</t>
  </si>
  <si>
    <t>Bilans (stan na 31 grudnia)</t>
  </si>
  <si>
    <t>Aktywa</t>
  </si>
  <si>
    <t>Aktywa trwałe(I+II+III)</t>
  </si>
  <si>
    <t xml:space="preserve">Wartości niematerialne i prawne </t>
  </si>
  <si>
    <t>Rzeczowe aktywa trwałe (1+2+3+4+5)</t>
  </si>
  <si>
    <t xml:space="preserve">grunty (w tym prawo użytkowania wieczystego gruntu) </t>
  </si>
  <si>
    <t xml:space="preserve">budynki i budowle </t>
  </si>
  <si>
    <t xml:space="preserve">urządzenia techniczne i maszyny </t>
  </si>
  <si>
    <t xml:space="preserve">środki transportu </t>
  </si>
  <si>
    <t xml:space="preserve">pozostałe środki trwałe </t>
  </si>
  <si>
    <t xml:space="preserve">Pozostałe aktywa trwałe </t>
  </si>
  <si>
    <t>Aktywa obrotowe(I+II+III+IV)</t>
  </si>
  <si>
    <t xml:space="preserve">Zapasy </t>
  </si>
  <si>
    <t xml:space="preserve">Należności krótkoterminowe </t>
  </si>
  <si>
    <t>Inwestycje krótkoterminowe</t>
  </si>
  <si>
    <t>Środki pieniężne</t>
  </si>
  <si>
    <t>Inwestycje kótkoterminowe</t>
  </si>
  <si>
    <t>Pozostałe aktywa obrotowe</t>
  </si>
  <si>
    <t xml:space="preserve">Pasywa </t>
  </si>
  <si>
    <t>Kapitał (fundusz) własny</t>
  </si>
  <si>
    <t>Kapitał udziałowy</t>
  </si>
  <si>
    <t>Dywidenda</t>
  </si>
  <si>
    <t>Zysk (strata) z okresów poprzednich</t>
  </si>
  <si>
    <t>Zysk (strata) netto</t>
  </si>
  <si>
    <t xml:space="preserve">Zobowiązania i rezerwy na zobowiązania (I+II+III+IV) </t>
  </si>
  <si>
    <t xml:space="preserve">Rezerwy na zobowiązania </t>
  </si>
  <si>
    <t>Zobowiązania długoterminowe (1+2)</t>
  </si>
  <si>
    <t>Kredyty i pożyczki</t>
  </si>
  <si>
    <t>Pozostałe</t>
  </si>
  <si>
    <t>Zobowiązania krótkoterminowe (1+2+3)</t>
  </si>
  <si>
    <t>Z tytułu dostaw i usług</t>
  </si>
  <si>
    <t>Rozliczenia międzyokresowe</t>
  </si>
  <si>
    <t>Przepływy środków pieniężnych</t>
  </si>
  <si>
    <t>Przepływy środków pieniężnych z działalności operacyjnej</t>
  </si>
  <si>
    <t xml:space="preserve">Zysk (strata) netto </t>
  </si>
  <si>
    <t xml:space="preserve">Amortyzacja </t>
  </si>
  <si>
    <t xml:space="preserve">Zmiana stanu zapasów </t>
  </si>
  <si>
    <t xml:space="preserve">Zmiana stanu należności </t>
  </si>
  <si>
    <t xml:space="preserve">Zmiana stanu zobowiązań krótkoterminowych, z wyjątkiem pożyczek i kredytów </t>
  </si>
  <si>
    <t>Zmiana stanu rozliczeń międzyokresowych</t>
  </si>
  <si>
    <t xml:space="preserve">Inne korekty </t>
  </si>
  <si>
    <t xml:space="preserve">Razem (1+2+3+4+5+6+7) </t>
  </si>
  <si>
    <t>Przepływy środków pieniężnych z działalności inwestycyjnej</t>
  </si>
  <si>
    <t>Rzeczowe aktywa trwałe i WNiP</t>
  </si>
  <si>
    <t xml:space="preserve">Razem (1+2) </t>
  </si>
  <si>
    <t>Przepływy środków pieniężnych z działalności finansowej</t>
  </si>
  <si>
    <t xml:space="preserve">Kredyty i pożyczki krótkoterminowe </t>
  </si>
  <si>
    <t>Kredyty i pożyczki długoterminowe</t>
  </si>
  <si>
    <t>Dywidendy</t>
  </si>
  <si>
    <t>Wpłaty do kapitału własnego</t>
  </si>
  <si>
    <t xml:space="preserve">Razem (1+2+3+4+5) </t>
  </si>
  <si>
    <t>Przepływy pieniężne netto razem (I+II+III)</t>
  </si>
  <si>
    <t>Środki pieniężne na początek okresu</t>
  </si>
  <si>
    <t>Środki pieniężne na koniec okresu (D+E)</t>
  </si>
  <si>
    <t>Sprawozdanie finansowe</t>
  </si>
  <si>
    <t>Nazwa pozycji</t>
  </si>
  <si>
    <t>Koszty dodatkowe</t>
  </si>
  <si>
    <t>Raty kapitałowe</t>
  </si>
  <si>
    <t>Raty odsetkowe</t>
  </si>
  <si>
    <t>Wysokość spłacanych rat</t>
  </si>
  <si>
    <t>Wartość PMT (miesiąc)</t>
  </si>
  <si>
    <t>Kwota kredytu długoterminowego</t>
  </si>
  <si>
    <t>Liczba okresów spłaty w roku</t>
  </si>
  <si>
    <t>#</t>
  </si>
  <si>
    <t>Rata miesięczna</t>
  </si>
  <si>
    <t>Rata odsetkowa</t>
  </si>
  <si>
    <t>Rata kapitałowa</t>
  </si>
  <si>
    <t>Saldo spłat</t>
  </si>
  <si>
    <t>Oprocentowanie roczne</t>
  </si>
  <si>
    <t>Prowizja jednorazowa</t>
  </si>
  <si>
    <t>Saldo kredytu (na koniec okresu - 31.12)</t>
  </si>
  <si>
    <t>Współczynnik korygujący dla pierwszego roku</t>
  </si>
  <si>
    <t>Wartość środków trwałych</t>
  </si>
  <si>
    <t>Założenia ogólne</t>
  </si>
  <si>
    <t>Rotacja zobowiązań</t>
  </si>
  <si>
    <t>Rotacja należności</t>
  </si>
  <si>
    <t>dni</t>
  </si>
  <si>
    <t>Kapitał zakładowy inwestycyjny</t>
  </si>
  <si>
    <t>Cena średnia energii publikowana przez URE</t>
  </si>
  <si>
    <t>Cena referencyjna dla PV do 1MW mocy</t>
  </si>
  <si>
    <t>1.2</t>
  </si>
  <si>
    <t>1.3</t>
  </si>
  <si>
    <t>Możliwa górna granica pomocy publicznej</t>
  </si>
  <si>
    <t>Suma e.e. wyprodukowanej przez 15 lat wsparcia</t>
  </si>
  <si>
    <t>Cena sprzedaży energii po 15 latach</t>
  </si>
  <si>
    <t>Wartość netto</t>
  </si>
  <si>
    <t>Wartość brutto</t>
  </si>
  <si>
    <t>Przygotowanie dokumentacji projektowej</t>
  </si>
  <si>
    <t>Koszt jednostkowy</t>
  </si>
  <si>
    <t>ilość</t>
  </si>
  <si>
    <t>Wydatki projektowe</t>
  </si>
  <si>
    <t>Wydatki projektowe na 1 kW zainstalowanej mocy</t>
  </si>
  <si>
    <t>FCFE</t>
  </si>
  <si>
    <t>Wydatki inwestycyjne na pokrycie kapitału</t>
  </si>
  <si>
    <t>Spłata kredytu</t>
  </si>
  <si>
    <t>Kapitał obrotowy netto</t>
  </si>
  <si>
    <t>Zmiany w kapitale obrotowym netto</t>
  </si>
  <si>
    <t>WACC</t>
  </si>
  <si>
    <t>Współczynnik dyskonta</t>
  </si>
  <si>
    <t>DCF</t>
  </si>
  <si>
    <t>Rachunek inwestycyjny</t>
  </si>
  <si>
    <t>Założenia wyceny</t>
  </si>
  <si>
    <t>Zdyskontowane przepływy pieniężne</t>
  </si>
  <si>
    <t>Stopa wolna od ryzyka</t>
  </si>
  <si>
    <t>Premia za ryzyko</t>
  </si>
  <si>
    <t>Oprocentowanie kredytu</t>
  </si>
  <si>
    <t>Koszt kapitału własnego</t>
  </si>
  <si>
    <t>Wartość przepływów pieniężnych po 10 latach</t>
  </si>
  <si>
    <t>Wartość przepływów pieniężnych po 15 latach</t>
  </si>
  <si>
    <t>Wartość przepływów pieniężnych po 20 latach</t>
  </si>
  <si>
    <t>Wartość przepływów pieniężnych po 25 latach</t>
  </si>
  <si>
    <t>Wartość wkładów własnych</t>
  </si>
  <si>
    <t>Wartość zaciągniętych kredytów</t>
  </si>
  <si>
    <t>WACC - średni ważony koszt kapitału</t>
  </si>
  <si>
    <t>SUMA przepływów pieniężnych</t>
  </si>
  <si>
    <t>7.2</t>
  </si>
  <si>
    <t>Nazwa</t>
  </si>
  <si>
    <t>Symbol</t>
  </si>
  <si>
    <t>Pierwotna wielkość unikniętej emisji</t>
  </si>
  <si>
    <t>Uniknięta emisja na 1 kW mocy</t>
  </si>
  <si>
    <t>Całkowita wielkość unikniętej emisji</t>
  </si>
  <si>
    <t>Dwutlenek węgla</t>
  </si>
  <si>
    <r>
      <t>CO</t>
    </r>
    <r>
      <rPr>
        <vertAlign val="subscript"/>
        <sz val="10"/>
        <color theme="1"/>
        <rFont val="Arial"/>
        <family val="2"/>
        <charset val="238"/>
      </rPr>
      <t>2</t>
    </r>
  </si>
  <si>
    <t xml:space="preserve">Tlenek węgla </t>
  </si>
  <si>
    <t>CO</t>
  </si>
  <si>
    <t>Tlenek azotu</t>
  </si>
  <si>
    <r>
      <t>NO</t>
    </r>
    <r>
      <rPr>
        <vertAlign val="subscript"/>
        <sz val="10"/>
        <color theme="1"/>
        <rFont val="Arial"/>
        <family val="2"/>
        <charset val="238"/>
      </rPr>
      <t>x</t>
    </r>
  </si>
  <si>
    <t>Tlenek siarki</t>
  </si>
  <si>
    <r>
      <t>SO</t>
    </r>
    <r>
      <rPr>
        <vertAlign val="subscript"/>
        <sz val="10"/>
        <color theme="1"/>
        <rFont val="Arial"/>
        <family val="2"/>
        <charset val="238"/>
      </rPr>
      <t>2</t>
    </r>
  </si>
  <si>
    <t>Pyły</t>
  </si>
  <si>
    <t>Uniknięta emisja rocznie</t>
  </si>
  <si>
    <t>Uniknięta emisja</t>
  </si>
  <si>
    <t>Jedn.</t>
  </si>
  <si>
    <t>ton</t>
  </si>
  <si>
    <t>Moc pierwotna [kW]</t>
  </si>
  <si>
    <t>Moc instalacji [kW]</t>
  </si>
  <si>
    <t>Uniknięta emisja pierwsze 3 lata</t>
  </si>
  <si>
    <t>2.1</t>
  </si>
  <si>
    <t>2.2</t>
  </si>
  <si>
    <t>2.3</t>
  </si>
  <si>
    <t>2.4</t>
  </si>
  <si>
    <t>2.5</t>
  </si>
  <si>
    <t>2.6</t>
  </si>
  <si>
    <t>Cena wylicytowana w ramach aukcji OZE</t>
  </si>
  <si>
    <t>Składnik premiowy ceny lub refundacja od OREO</t>
  </si>
  <si>
    <t>Rynkowa cena sprzedaży energii</t>
  </si>
  <si>
    <t>Wzrost cen energii w czasie</t>
  </si>
  <si>
    <t>Wykresy</t>
  </si>
  <si>
    <t>Płynność finansowa Inwestycji jako skumulowane środki finansowe</t>
  </si>
  <si>
    <t>Skumulowane FCFE</t>
  </si>
  <si>
    <t>Wycena metodą zdyskontowanych przepływów pieniężnych</t>
  </si>
  <si>
    <t>Maksymalna wydajność produkcji</t>
  </si>
  <si>
    <t>kWh</t>
  </si>
  <si>
    <t>3.7</t>
  </si>
  <si>
    <t>Koszty raportowania</t>
  </si>
  <si>
    <t>Jednostkowe koszty bilansowania handlowego</t>
  </si>
  <si>
    <t>Procentowe koszty bilansowania handlowego</t>
  </si>
  <si>
    <t>Cena sprzedaży energii elektrycznej</t>
  </si>
  <si>
    <t>Inwestycja referencyjna</t>
  </si>
  <si>
    <t>Moc instalacji</t>
  </si>
  <si>
    <t>Parametry porównawcze inwestycji w farmę PV</t>
  </si>
  <si>
    <t>Parametry porównawcze inwestycji w elektrownie węglową</t>
  </si>
  <si>
    <t>Wydatki porównawcze dla inwestycji PV na 1 kW zainstalowanej mocy</t>
  </si>
  <si>
    <t>Sprawność instalacji PV w ciągu roku liczona w godzinach</t>
  </si>
  <si>
    <t>h</t>
  </si>
  <si>
    <t>Wydatki porównawcze dla inwestycji węglowej</t>
  </si>
  <si>
    <t>Wydatki porównawcze dla inwestycji węglowej na 1 kW zainstalowanej mocy</t>
  </si>
  <si>
    <t>Sprawność instalacji węglowej w ciągu roku liczona w godzinach</t>
  </si>
  <si>
    <t>Sprawność procentowa instalacji węglowej w ciągu roku</t>
  </si>
  <si>
    <t>4.2</t>
  </si>
  <si>
    <t>Maksymalna ilość godzin pracujących w ciągu roku</t>
  </si>
  <si>
    <t>Kalkulacja kosztów kwalifikowanych inwestycji</t>
  </si>
  <si>
    <t>Współczynnik sprawności</t>
  </si>
  <si>
    <t>Wydatki porównawcze dla inwestycji węglowej po korekcie współczynnikiem sprawności</t>
  </si>
  <si>
    <t>Koszty kwalifikowane inwestycji</t>
  </si>
  <si>
    <t>Dofinansowanie maksymalne</t>
  </si>
  <si>
    <t>Poziom maksymalny</t>
  </si>
  <si>
    <t>Dofinansowanie minimalne</t>
  </si>
  <si>
    <t>Poziom minimalny</t>
  </si>
  <si>
    <t>5.2</t>
  </si>
  <si>
    <t>6.1</t>
  </si>
  <si>
    <t>6.2</t>
  </si>
  <si>
    <t>6.3</t>
  </si>
  <si>
    <t>4.3</t>
  </si>
  <si>
    <t>Ilość wyprodukowanej energii w ciągu 15 lat</t>
  </si>
  <si>
    <t>Ilość wyprodukowanej energii w ciągu roku</t>
  </si>
  <si>
    <t>Koszt referencyjny instalacji węglowej (wydatki kapitałowe i operacyjne)</t>
  </si>
  <si>
    <t>Powierzchnia dzierżawionego gruntu</t>
  </si>
  <si>
    <t>Roczna godzinowa sprawność instalacji PV netto</t>
  </si>
  <si>
    <t>Koszty porównawcze dla inwestycji PV</t>
  </si>
  <si>
    <t>2.7</t>
  </si>
  <si>
    <t>Taktyka cenowa w aukcji OZE</t>
  </si>
  <si>
    <t>5.3</t>
  </si>
  <si>
    <t>Kapitał obrotowy (kredytowy lub własny)</t>
  </si>
  <si>
    <t>Dodatkowe koszty operacyjne związane z eksploatacją instalacji węglowej</t>
  </si>
  <si>
    <t>Średni zdyskontowany koszt dodatkowy przypadający na 1 MWh wytworzonej energii</t>
  </si>
  <si>
    <t>Przyłączenie do sieci dystrybucyjnej energii elektrycznej</t>
  </si>
  <si>
    <t>Kosztorys i plan inwestycyjny</t>
  </si>
  <si>
    <t>Ubezpieczenie farmy PV (podstawowe)</t>
  </si>
  <si>
    <t>Zakup konstrukcji nośnej paneli fotowoltaicznych i inwerterów</t>
  </si>
  <si>
    <t>Zakup trafostacji</t>
  </si>
  <si>
    <t>Harmonogram oraz budżet projektu</t>
  </si>
  <si>
    <t>SUMA wydatków</t>
  </si>
  <si>
    <t>Ogrodzenie terenu montaż</t>
  </si>
  <si>
    <t>Ogrodzenie terenu zakup</t>
  </si>
  <si>
    <t>Opracowanie studium wykonalności inwestycji</t>
  </si>
  <si>
    <t>Opracowanie projektu pozwolenia na budowę</t>
  </si>
  <si>
    <t>Zapewnienie zgodności projektu z wymogami regulacyjnymi</t>
  </si>
  <si>
    <t>Opracowanie modelu finansowego i analizy regulacyjnej</t>
  </si>
  <si>
    <t>Wybór wykonawcy w ramach przetargu i rozpoczęcie prac budowlanych</t>
  </si>
  <si>
    <t>Zakup elementów instalacji fotowoltaicznej (konstrukcji nośnej)</t>
  </si>
  <si>
    <t>Przyłączenie instalacji do sieci dystrybucyjnej</t>
  </si>
  <si>
    <t>Koszt przyczłączenia instalacji do sieci</t>
  </si>
  <si>
    <t>Realizacja przez Wykonawcę prac mających na celu budowę farmy PV</t>
  </si>
  <si>
    <t>Zakup inwerterów, trafostacji i okablowania (pierwsza transza płatności)</t>
  </si>
  <si>
    <t>Zakup paneli PV (pierwsza transza płatności)</t>
  </si>
  <si>
    <t>Budowa instalacji PV, przygotowanie terenu i montaż</t>
  </si>
  <si>
    <t>Zainstalowanie systemów monitorowania wydajności i kamer wizyjnych</t>
  </si>
  <si>
    <t>Zakup i montaż systemów monitoringu wydajności i monitoringu wizyjnego</t>
  </si>
  <si>
    <t>Przeprowadzenie testów instalacji PV i ukończenie budowy</t>
  </si>
  <si>
    <t>Koszty ponoszone po odbiorze instalacji (druga transza płatności)</t>
  </si>
  <si>
    <t>SUMA</t>
  </si>
  <si>
    <t>3.1.1</t>
  </si>
  <si>
    <t>3.1.2</t>
  </si>
  <si>
    <t>Zakup konstrukcji noścnej</t>
  </si>
  <si>
    <t>5.1.1</t>
  </si>
  <si>
    <t>5.1.2</t>
  </si>
  <si>
    <t>5.1.3</t>
  </si>
  <si>
    <t>Zakup trafostacji i okablowania (pierwsza transza płatności)</t>
  </si>
  <si>
    <t>Zakup inwerterów (pierwsza transza płatności)</t>
  </si>
  <si>
    <t>Zakup elementów ogrodzenia (fundamenty)</t>
  </si>
  <si>
    <t>Zakup elementów ogrodzenia (siatka)</t>
  </si>
  <si>
    <t>5.2.1</t>
  </si>
  <si>
    <t>5.2.2</t>
  </si>
  <si>
    <t>Zakup elementów ogrodzenia (słupy)</t>
  </si>
  <si>
    <t>5.3.1</t>
  </si>
  <si>
    <t>5.3.2</t>
  </si>
  <si>
    <t>Montaż elementów ogrodzenia</t>
  </si>
  <si>
    <t>Przygotowanie terenu oraz montaż poszczególnych elementów instalacji</t>
  </si>
  <si>
    <t>Zakup i montaż systemu monitoringu wydajności</t>
  </si>
  <si>
    <t>Zakup i montaż systemu monitoringu wizyjnego</t>
  </si>
  <si>
    <t>Zakup elementów ogrodzenia (końcowa transza)</t>
  </si>
  <si>
    <t>Zakup paneli PV (końcowa transza płatności)</t>
  </si>
  <si>
    <t>Zakup trafostacji i okablowania (końcowa transza płatności)</t>
  </si>
  <si>
    <t>Zakup inwerterów (końcowa transza płatności)</t>
  </si>
  <si>
    <t>Harmonogram rzeczowy i budżet Projektu</t>
  </si>
  <si>
    <t>Harmonogram oraz budżet projektu (wydatki ogólne)</t>
  </si>
  <si>
    <t>Strategia aukcyjna</t>
  </si>
  <si>
    <t>Scenariusz inwestycyjny 1</t>
  </si>
  <si>
    <t>Scenariusz inwestycyjny 2</t>
  </si>
  <si>
    <t>Cena referencyjna</t>
  </si>
  <si>
    <t>Cena aukcyjna: wysoka</t>
  </si>
  <si>
    <t>Cena aukcyjna: średnia</t>
  </si>
  <si>
    <t>Cena minimalna</t>
  </si>
  <si>
    <t>Dotacja 
RPO WP</t>
  </si>
  <si>
    <t>Licytowana cena 
e.e. [PLN/MWh]</t>
  </si>
  <si>
    <t>Wsparcie 
aukcyjne</t>
  </si>
  <si>
    <t>TAK</t>
  </si>
  <si>
    <t>Przeciętne miesięczne przepływy finansowe netto</t>
  </si>
  <si>
    <t>Wysokość kredytu</t>
  </si>
  <si>
    <t>Wysokość wkładu własnego</t>
  </si>
  <si>
    <t>Wysokość dotacji</t>
  </si>
  <si>
    <t>NIE</t>
  </si>
  <si>
    <t>Cena rynkowa: wysoka</t>
  </si>
  <si>
    <t>Cena rynkowa: średnia</t>
  </si>
  <si>
    <t>Cena rynkowa: niska</t>
  </si>
  <si>
    <t>Scenariusz inwestycyjny 3</t>
  </si>
  <si>
    <t>Scenariusz inwestycyjny 4</t>
  </si>
  <si>
    <t>Net Present Value po 15Y</t>
  </si>
  <si>
    <t>Net Present Value po 20Y</t>
  </si>
  <si>
    <t>Realny spadek cen energii w czasie</t>
  </si>
  <si>
    <t>Realna stałość cen energii w czasie</t>
  </si>
  <si>
    <t>Zakup paneli fotowoltaicznych</t>
  </si>
  <si>
    <t>wzrost 2,0% Y/Y</t>
  </si>
  <si>
    <t>wzrost 4,0% Y/Y</t>
  </si>
  <si>
    <t>wzrost 0,5% Y/Y</t>
  </si>
  <si>
    <t>Cena aukcyjna: bardzo niska</t>
  </si>
  <si>
    <t>Cena aukcyjna: średnio-niska</t>
  </si>
  <si>
    <t>Cena minimalna NPV 15Y</t>
  </si>
  <si>
    <t>Cena minimalna NPV 20Y</t>
  </si>
  <si>
    <t>Cena aukcyjna: niska 20Y</t>
  </si>
  <si>
    <t>Cena aukcyjna: niska 15Y</t>
  </si>
  <si>
    <t>6.1.1</t>
  </si>
  <si>
    <t>6.1.2</t>
  </si>
  <si>
    <t>7.1.1</t>
  </si>
  <si>
    <t>7.1.2</t>
  </si>
  <si>
    <t>7.1.3</t>
  </si>
  <si>
    <t>7.1.4</t>
  </si>
  <si>
    <t>Koszty działalności promocyjnej</t>
  </si>
  <si>
    <t>Zakup inwerterów</t>
  </si>
  <si>
    <t>1</t>
  </si>
  <si>
    <t>2</t>
  </si>
  <si>
    <t>3</t>
  </si>
  <si>
    <t>4</t>
  </si>
  <si>
    <t>5</t>
  </si>
  <si>
    <t>6</t>
  </si>
  <si>
    <t>7</t>
  </si>
  <si>
    <t>Opracowanie kompleksowej dokumentacji projektowej</t>
  </si>
  <si>
    <t>6.4</t>
  </si>
  <si>
    <t>Koszt amortyzacji instalacji PV</t>
  </si>
  <si>
    <t>PLN/EUR</t>
  </si>
  <si>
    <t>Kurs walutowy EUR</t>
  </si>
  <si>
    <t>pozycje z wyceny</t>
  </si>
  <si>
    <t>6.6</t>
  </si>
  <si>
    <t>5.1, 5.2, 5.3(1), 5.3(2)</t>
  </si>
  <si>
    <t>6.5</t>
  </si>
  <si>
    <t>1,2</t>
  </si>
  <si>
    <t>5.4</t>
  </si>
  <si>
    <t>Montaż konstrukcji, paneli, inwerterów i trafostacji wraz z okablowaniem</t>
  </si>
  <si>
    <t>Konfiguracja i uruchomienie farmy</t>
  </si>
  <si>
    <t>§</t>
  </si>
  <si>
    <t>inputValues</t>
  </si>
  <si>
    <t>cena za kW</t>
  </si>
  <si>
    <t>wkład własny</t>
  </si>
  <si>
    <t>oprocentowanie kredytu</t>
  </si>
  <si>
    <t>prowizja banku</t>
  </si>
  <si>
    <t>cena sprzedaży energii</t>
  </si>
  <si>
    <t>miesięczny koszt dzierżawy gruntu</t>
  </si>
  <si>
    <t>moc zainstalowana</t>
  </si>
  <si>
    <t>outputValues</t>
  </si>
  <si>
    <t>koszt budowy instalacji</t>
  </si>
  <si>
    <t>kwota kredytu</t>
  </si>
  <si>
    <t>okres zwrotu z inwestycji</t>
  </si>
  <si>
    <t>FCFE po 15 latach</t>
  </si>
  <si>
    <t>ROI po 15 latach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</si>
</sst>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zł&quot;;[Red]\-#,##0.00\ &quot;zł&quot;"/>
    <numFmt numFmtId="165" formatCode="0.0%"/>
    <numFmt numFmtId="166" formatCode="0.0"/>
    <numFmt numFmtId="167" formatCode="0.0000"/>
    <numFmt numFmtId="168" formatCode="#,##0.0000"/>
    <numFmt numFmtId="169" formatCode="#,##0.000"/>
    <numFmt numFmtId="170" formatCode="0.000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vertAlign val="superscript"/>
      <sz val="10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name val="Arial"/>
      <family val="2"/>
      <charset val="238"/>
    </font>
    <font>
      <b/>
      <sz val="10"/>
      <color theme="0" tint="-4.9989318521683403E-2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0" tint="-0.34998626667073579"/>
      <name val="Arial"/>
      <family val="2"/>
      <charset val="238"/>
    </font>
    <font>
      <b/>
      <sz val="9"/>
      <color theme="0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10"/>
      <color theme="0" tint="-0.34998626667073579"/>
      <name val="Arial"/>
      <family val="2"/>
      <charset val="238"/>
    </font>
    <font>
      <sz val="10"/>
      <color theme="0" tint="-4.9989318521683403E-2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theme="1"/>
      <name val="Arial"/>
      <family val="2"/>
    </font>
    <font>
      <sz val="10"/>
      <name val="Times New Roman CE"/>
      <family val="1"/>
      <charset val="238"/>
    </font>
    <font>
      <sz val="11"/>
      <color theme="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/>
      <bottom style="mediumDashed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2" fillId="0" borderId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5" fontId="2" fillId="0" borderId="0" xfId="1" applyNumberFormat="1" applyFont="1"/>
    <xf numFmtId="2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5" fontId="2" fillId="0" borderId="0" xfId="0" applyNumberFormat="1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10" fontId="3" fillId="5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left" indent="4"/>
    </xf>
    <xf numFmtId="0" fontId="2" fillId="6" borderId="1" xfId="0" applyFont="1" applyFill="1" applyBorder="1"/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3" fontId="3" fillId="5" borderId="0" xfId="0" applyNumberFormat="1" applyFont="1" applyFill="1" applyBorder="1" applyAlignment="1">
      <alignment horizontal="center"/>
    </xf>
    <xf numFmtId="0" fontId="10" fillId="6" borderId="1" xfId="0" applyFont="1" applyFill="1" applyBorder="1"/>
    <xf numFmtId="9" fontId="3" fillId="5" borderId="1" xfId="1" applyNumberFormat="1" applyFont="1" applyFill="1" applyBorder="1" applyAlignment="1">
      <alignment horizontal="center"/>
    </xf>
    <xf numFmtId="0" fontId="2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5" fillId="8" borderId="0" xfId="0" applyFont="1" applyFill="1"/>
    <xf numFmtId="0" fontId="2" fillId="0" borderId="3" xfId="0" applyFont="1" applyBorder="1"/>
    <xf numFmtId="0" fontId="2" fillId="0" borderId="4" xfId="0" applyFont="1" applyBorder="1"/>
    <xf numFmtId="0" fontId="5" fillId="9" borderId="0" xfId="0" applyFont="1" applyFill="1"/>
    <xf numFmtId="0" fontId="2" fillId="0" borderId="5" xfId="0" applyFont="1" applyBorder="1"/>
    <xf numFmtId="0" fontId="2" fillId="0" borderId="6" xfId="0" applyFont="1" applyBorder="1"/>
    <xf numFmtId="3" fontId="3" fillId="0" borderId="0" xfId="0" applyNumberFormat="1" applyFont="1" applyAlignment="1">
      <alignment horizontal="right"/>
    </xf>
    <xf numFmtId="3" fontId="3" fillId="0" borderId="3" xfId="0" applyNumberFormat="1" applyFont="1" applyBorder="1"/>
    <xf numFmtId="3" fontId="3" fillId="0" borderId="4" xfId="0" applyNumberFormat="1" applyFont="1" applyBorder="1"/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2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0" fontId="3" fillId="7" borderId="0" xfId="0" applyFont="1" applyFill="1"/>
    <xf numFmtId="0" fontId="11" fillId="0" borderId="0" xfId="0" applyFont="1" applyAlignment="1">
      <alignment horizontal="left" indent="2"/>
    </xf>
    <xf numFmtId="9" fontId="2" fillId="5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6" borderId="1" xfId="0" applyNumberFormat="1" applyFont="1" applyFill="1" applyBorder="1"/>
    <xf numFmtId="3" fontId="4" fillId="0" borderId="0" xfId="0" applyNumberFormat="1" applyFont="1"/>
    <xf numFmtId="0" fontId="9" fillId="4" borderId="0" xfId="0" applyFont="1" applyFill="1"/>
    <xf numFmtId="0" fontId="9" fillId="4" borderId="3" xfId="0" applyFont="1" applyFill="1" applyBorder="1"/>
    <xf numFmtId="0" fontId="9" fillId="4" borderId="4" xfId="0" applyFont="1" applyFill="1" applyBorder="1"/>
    <xf numFmtId="0" fontId="5" fillId="3" borderId="0" xfId="0" applyFont="1" applyFill="1" applyAlignment="1">
      <alignment horizontal="left" vertical="center" indent="1"/>
    </xf>
    <xf numFmtId="0" fontId="2" fillId="4" borderId="0" xfId="0" applyFont="1" applyFill="1"/>
    <xf numFmtId="164" fontId="3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3" fillId="0" borderId="2" xfId="0" applyFont="1" applyBorder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5" fontId="3" fillId="0" borderId="1" xfId="1" applyNumberFormat="1" applyFont="1" applyFill="1" applyBorder="1" applyAlignment="1">
      <alignment horizontal="right"/>
    </xf>
    <xf numFmtId="0" fontId="3" fillId="0" borderId="7" xfId="0" applyFont="1" applyBorder="1"/>
    <xf numFmtId="3" fontId="3" fillId="0" borderId="8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167" fontId="2" fillId="0" borderId="0" xfId="0" applyNumberFormat="1" applyFont="1"/>
    <xf numFmtId="9" fontId="3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Border="1"/>
    <xf numFmtId="4" fontId="3" fillId="4" borderId="1" xfId="0" applyNumberFormat="1" applyFont="1" applyFill="1" applyBorder="1" applyAlignment="1">
      <alignment horizontal="right"/>
    </xf>
    <xf numFmtId="4" fontId="2" fillId="5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/>
    <xf numFmtId="0" fontId="16" fillId="0" borderId="0" xfId="0" applyFont="1"/>
    <xf numFmtId="3" fontId="17" fillId="6" borderId="1" xfId="0" applyNumberFormat="1" applyFont="1" applyFill="1" applyBorder="1"/>
    <xf numFmtId="3" fontId="3" fillId="0" borderId="9" xfId="0" applyNumberFormat="1" applyFont="1" applyBorder="1" applyAlignment="1">
      <alignment horizontal="right"/>
    </xf>
    <xf numFmtId="0" fontId="11" fillId="0" borderId="0" xfId="0" applyFont="1" applyAlignment="1">
      <alignment horizontal="left" indent="1"/>
    </xf>
    <xf numFmtId="165" fontId="2" fillId="5" borderId="1" xfId="1" applyNumberFormat="1" applyFont="1" applyFill="1" applyBorder="1" applyAlignment="1">
      <alignment horizontal="right"/>
    </xf>
    <xf numFmtId="3" fontId="3" fillId="0" borderId="8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3" fontId="2" fillId="5" borderId="1" xfId="1" applyNumberFormat="1" applyFont="1" applyFill="1" applyBorder="1" applyAlignment="1">
      <alignment horizontal="right"/>
    </xf>
    <xf numFmtId="168" fontId="2" fillId="0" borderId="0" xfId="0" applyNumberFormat="1" applyFont="1"/>
    <xf numFmtId="169" fontId="2" fillId="5" borderId="1" xfId="0" applyNumberFormat="1" applyFont="1" applyFill="1" applyBorder="1" applyAlignment="1">
      <alignment horizontal="right"/>
    </xf>
    <xf numFmtId="1" fontId="3" fillId="5" borderId="1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3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10" xfId="0" applyNumberFormat="1" applyFont="1" applyBorder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4"/>
    </xf>
    <xf numFmtId="3" fontId="4" fillId="10" borderId="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9" fillId="4" borderId="0" xfId="0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4" fontId="4" fillId="11" borderId="11" xfId="0" applyNumberFormat="1" applyFont="1" applyFill="1" applyBorder="1"/>
    <xf numFmtId="0" fontId="2" fillId="0" borderId="11" xfId="0" applyFont="1" applyBorder="1"/>
    <xf numFmtId="3" fontId="4" fillId="11" borderId="11" xfId="0" applyNumberFormat="1" applyFont="1" applyFill="1" applyBorder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3" fontId="18" fillId="5" borderId="1" xfId="1" applyNumberFormat="1" applyFont="1" applyFill="1" applyBorder="1" applyAlignment="1">
      <alignment horizontal="right"/>
    </xf>
    <xf numFmtId="3" fontId="18" fillId="0" borderId="0" xfId="0" applyNumberFormat="1" applyFont="1"/>
    <xf numFmtId="3" fontId="18" fillId="0" borderId="2" xfId="0" applyNumberFormat="1" applyFont="1" applyBorder="1"/>
    <xf numFmtId="3" fontId="19" fillId="4" borderId="0" xfId="0" applyNumberFormat="1" applyFont="1" applyFill="1"/>
    <xf numFmtId="3" fontId="3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left"/>
    </xf>
    <xf numFmtId="2" fontId="2" fillId="0" borderId="10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3" fontId="2" fillId="7" borderId="0" xfId="0" applyNumberFormat="1" applyFont="1" applyFill="1" applyAlignment="1">
      <alignment horizontal="right"/>
    </xf>
    <xf numFmtId="2" fontId="2" fillId="7" borderId="0" xfId="0" applyNumberFormat="1" applyFont="1" applyFill="1"/>
    <xf numFmtId="3" fontId="2" fillId="7" borderId="0" xfId="0" applyNumberFormat="1" applyFont="1" applyFill="1"/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9" fontId="3" fillId="0" borderId="0" xfId="0" applyNumberFormat="1" applyFont="1"/>
    <xf numFmtId="3" fontId="20" fillId="2" borderId="0" xfId="0" applyNumberFormat="1" applyFont="1" applyFill="1"/>
    <xf numFmtId="3" fontId="3" fillId="5" borderId="0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3" fontId="0" fillId="0" borderId="0" xfId="0" applyNumberFormat="1" applyFont="1"/>
    <xf numFmtId="3" fontId="23" fillId="7" borderId="0" xfId="0" applyNumberFormat="1" applyFont="1" applyFill="1"/>
    <xf numFmtId="0" fontId="13" fillId="3" borderId="0" xfId="0" applyFont="1" applyFill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right"/>
    </xf>
    <xf numFmtId="10" fontId="2" fillId="5" borderId="0" xfId="1" applyNumberFormat="1" applyFont="1" applyFill="1" applyBorder="1" applyAlignment="1">
      <alignment horizontal="right"/>
    </xf>
    <xf numFmtId="3" fontId="24" fillId="13" borderId="1" xfId="3" applyNumberFormat="1" applyBorder="1" applyAlignment="1">
      <alignment horizontal="center"/>
    </xf>
    <xf numFmtId="3" fontId="24" fillId="13" borderId="0" xfId="3" applyNumberFormat="1"/>
    <xf numFmtId="0" fontId="24" fillId="13" borderId="0" xfId="3"/>
    <xf numFmtId="165" fontId="24" fillId="13" borderId="1" xfId="3" applyNumberFormat="1" applyBorder="1" applyAlignment="1">
      <alignment horizontal="center"/>
    </xf>
    <xf numFmtId="170" fontId="24" fillId="13" borderId="0" xfId="3" applyNumberFormat="1"/>
    <xf numFmtId="2" fontId="24" fillId="13" borderId="1" xfId="3" applyNumberFormat="1" applyBorder="1" applyAlignment="1">
      <alignment horizontal="center"/>
    </xf>
    <xf numFmtId="1" fontId="24" fillId="13" borderId="1" xfId="3" applyNumberFormat="1" applyBorder="1" applyAlignment="1">
      <alignment horizontal="center"/>
    </xf>
    <xf numFmtId="0" fontId="25" fillId="0" borderId="0" xfId="0" applyFont="1"/>
    <xf numFmtId="3" fontId="24" fillId="14" borderId="0" xfId="4" applyNumberFormat="1" applyAlignment="1">
      <alignment horizontal="center"/>
    </xf>
    <xf numFmtId="3" fontId="24" fillId="14" borderId="0" xfId="4" applyNumberFormat="1"/>
    <xf numFmtId="9" fontId="0" fillId="0" borderId="0" xfId="1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/>
    </xf>
  </cellXfs>
  <cellStyles count="5">
    <cellStyle name="Akcent 2" xfId="3" builtinId="33"/>
    <cellStyle name="Akcent 6" xfId="4" builtinId="49"/>
    <cellStyle name="Normalny" xfId="0" builtinId="0"/>
    <cellStyle name="Normalny 2" xfId="2" xr:uid="{9F030CF1-C25E-1E43-8321-2AF862AB56E0}"/>
    <cellStyle name="Procentowy" xfId="1" builtinId="5"/>
  </cellStyles>
  <dxfs count="0"/>
  <tableStyles count="0" defaultTableStyle="TableStyleMedium2" defaultPivotStyle="PivotStyleLight16"/>
  <colors>
    <mruColors>
      <color rgb="FFC00000"/>
      <color rgb="FF0900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sprawozdanie!$D$142:$E$142</c:f>
              <c:strCache>
                <c:ptCount val="2"/>
                <c:pt idx="0">
                  <c:v>Środki pieniężne na koniec okresu (D+E)</c:v>
                </c:pt>
                <c:pt idx="1">
                  <c:v>PLN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sprawozdanie!$I$7:$AH$7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sprawozdanie!$F$142:$AH$142</c:f>
              <c:numCache>
                <c:formatCode>#,##0</c:formatCode>
                <c:ptCount val="27"/>
                <c:pt idx="1">
                  <c:v>-372489.21900963783</c:v>
                </c:pt>
                <c:pt idx="2">
                  <c:v>-346363.81607463979</c:v>
                </c:pt>
                <c:pt idx="3">
                  <c:v>-318719.41028504504</c:v>
                </c:pt>
                <c:pt idx="4">
                  <c:v>-289497.2146072379</c:v>
                </c:pt>
                <c:pt idx="5">
                  <c:v>-258636.98277109809</c:v>
                </c:pt>
                <c:pt idx="6">
                  <c:v>-226076.94602143089</c:v>
                </c:pt>
                <c:pt idx="7">
                  <c:v>-192226.21109805847</c:v>
                </c:pt>
                <c:pt idx="8">
                  <c:v>-157525.44523679983</c:v>
                </c:pt>
                <c:pt idx="9">
                  <c:v>-121954.6713909511</c:v>
                </c:pt>
                <c:pt idx="10">
                  <c:v>-85494.30198174114</c:v>
                </c:pt>
                <c:pt idx="11">
                  <c:v>-48125.174768074867</c:v>
                </c:pt>
                <c:pt idx="12">
                  <c:v>-9828.5915284574294</c:v>
                </c:pt>
                <c:pt idx="13">
                  <c:v>29413.640285783753</c:v>
                </c:pt>
                <c:pt idx="14">
                  <c:v>69619.162757792685</c:v>
                </c:pt>
                <c:pt idx="15">
                  <c:v>110805.01939526547</c:v>
                </c:pt>
                <c:pt idx="16">
                  <c:v>212911.44760887828</c:v>
                </c:pt>
                <c:pt idx="17">
                  <c:v>288480.88621217071</c:v>
                </c:pt>
                <c:pt idx="18">
                  <c:v>365066.06823378272</c:v>
                </c:pt>
                <c:pt idx="19">
                  <c:v>442703.53444700351</c:v>
                </c:pt>
                <c:pt idx="20">
                  <c:v>521430.9671598312</c:v>
                </c:pt>
                <c:pt idx="21">
                  <c:v>601287.23815280898</c:v>
                </c:pt>
                <c:pt idx="22">
                  <c:v>682312.45858277404</c:v>
                </c:pt>
                <c:pt idx="23">
                  <c:v>764548.03094548953</c:v>
                </c:pt>
                <c:pt idx="24">
                  <c:v>848036.70319460728</c:v>
                </c:pt>
                <c:pt idx="25">
                  <c:v>932822.62511912722</c:v>
                </c:pt>
                <c:pt idx="26">
                  <c:v>1018951.4070864832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2-4B1A-97BF-C3583C26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0592"/>
        <c:axId val="66331776"/>
      </c:lineChart>
      <c:catAx>
        <c:axId val="675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6331776"/>
        <c:crosses val="autoZero"/>
        <c:auto val="1"/>
        <c:lblAlgn val="ctr"/>
        <c:lblOffset val="100"/>
        <c:noMultiLvlLbl val="0"/>
      </c:catAx>
      <c:valAx>
        <c:axId val="663317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75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sprawozdanie!$D$160</c:f>
              <c:strCache>
                <c:ptCount val="1"/>
                <c:pt idx="0">
                  <c:v>FCFE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sprawozdanie!$I$7:$AH$7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sprawozdanie!$I$160:$AH$160</c:f>
              <c:numCache>
                <c:formatCode>#,##0</c:formatCode>
                <c:ptCount val="26"/>
                <c:pt idx="0">
                  <c:v>-224699.74035023953</c:v>
                </c:pt>
                <c:pt idx="1">
                  <c:v>24775.677903121676</c:v>
                </c:pt>
                <c:pt idx="2">
                  <c:v>24861.78791058049</c:v>
                </c:pt>
                <c:pt idx="3">
                  <c:v>24923.0099868791</c:v>
                </c:pt>
                <c:pt idx="4">
                  <c:v>24960.275828729187</c:v>
                </c:pt>
                <c:pt idx="5">
                  <c:v>24974.547677835402</c:v>
                </c:pt>
                <c:pt idx="6">
                  <c:v>24623.137817574847</c:v>
                </c:pt>
                <c:pt idx="7">
                  <c:v>23937.395912500506</c:v>
                </c:pt>
                <c:pt idx="8">
                  <c:v>23269.856510368616</c:v>
                </c:pt>
                <c:pt idx="9">
                  <c:v>22619.552328169644</c:v>
                </c:pt>
                <c:pt idx="10">
                  <c:v>21985.606188732043</c:v>
                </c:pt>
                <c:pt idx="11">
                  <c:v>21367.222257128149</c:v>
                </c:pt>
                <c:pt idx="12">
                  <c:v>20763.678070557169</c:v>
                </c:pt>
                <c:pt idx="13">
                  <c:v>20174.317294110959</c:v>
                </c:pt>
                <c:pt idx="14">
                  <c:v>19598.543140363789</c:v>
                </c:pt>
                <c:pt idx="15">
                  <c:v>46077.755842058723</c:v>
                </c:pt>
                <c:pt idx="16">
                  <c:v>32340.518589986437</c:v>
                </c:pt>
                <c:pt idx="17">
                  <c:v>31081.93741535857</c:v>
                </c:pt>
                <c:pt idx="18">
                  <c:v>29881.145001573852</c:v>
                </c:pt>
                <c:pt idx="19">
                  <c:v>28735.219579190427</c:v>
                </c:pt>
                <c:pt idx="20">
                  <c:v>27641.398110748803</c:v>
                </c:pt>
                <c:pt idx="21">
                  <c:v>26597.067158531652</c:v>
                </c:pt>
                <c:pt idx="22">
                  <c:v>25599.754303945512</c:v>
                </c:pt>
                <c:pt idx="23">
                  <c:v>24647.120083756858</c:v>
                </c:pt>
                <c:pt idx="24">
                  <c:v>23736.950410690923</c:v>
                </c:pt>
                <c:pt idx="25">
                  <c:v>22867.149448022938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0-4D51-8343-D697601C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73120"/>
        <c:axId val="66374656"/>
      </c:barChart>
      <c:lineChart>
        <c:grouping val="standard"/>
        <c:varyColors val="0"/>
        <c:ser>
          <c:idx val="0"/>
          <c:order val="1"/>
          <c:tx>
            <c:v>Skumulowane FCFE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sprawozdanie!$I$163:$AH$163</c:f>
              <c:numCache>
                <c:formatCode>#,##0</c:formatCode>
                <c:ptCount val="26"/>
                <c:pt idx="0">
                  <c:v>-224699.74035023953</c:v>
                </c:pt>
                <c:pt idx="1">
                  <c:v>-199924.06244711785</c:v>
                </c:pt>
                <c:pt idx="2">
                  <c:v>-175062.27453653736</c:v>
                </c:pt>
                <c:pt idx="3">
                  <c:v>-150139.26454965826</c:v>
                </c:pt>
                <c:pt idx="4">
                  <c:v>-125178.98872092908</c:v>
                </c:pt>
                <c:pt idx="5">
                  <c:v>-100204.44104309367</c:v>
                </c:pt>
                <c:pt idx="6">
                  <c:v>-75581.303225518815</c:v>
                </c:pt>
                <c:pt idx="7">
                  <c:v>-51643.90731301831</c:v>
                </c:pt>
                <c:pt idx="8">
                  <c:v>-28374.050802649694</c:v>
                </c:pt>
                <c:pt idx="9">
                  <c:v>-5754.4984744800495</c:v>
                </c:pt>
                <c:pt idx="10">
                  <c:v>16231.107714251993</c:v>
                </c:pt>
                <c:pt idx="11">
                  <c:v>37598.329971380139</c:v>
                </c:pt>
                <c:pt idx="12">
                  <c:v>58362.008041937312</c:v>
                </c:pt>
                <c:pt idx="13">
                  <c:v>78536.325336048263</c:v>
                </c:pt>
                <c:pt idx="14">
                  <c:v>98134.868476412055</c:v>
                </c:pt>
                <c:pt idx="15">
                  <c:v>144212.62431847077</c:v>
                </c:pt>
                <c:pt idx="16">
                  <c:v>176553.1429084572</c:v>
                </c:pt>
                <c:pt idx="17">
                  <c:v>207635.08032381578</c:v>
                </c:pt>
                <c:pt idx="18">
                  <c:v>237516.22532538965</c:v>
                </c:pt>
                <c:pt idx="19">
                  <c:v>266251.44490458007</c:v>
                </c:pt>
                <c:pt idx="20">
                  <c:v>293892.84301532886</c:v>
                </c:pt>
                <c:pt idx="21">
                  <c:v>320489.91017386049</c:v>
                </c:pt>
                <c:pt idx="22">
                  <c:v>346089.66447780601</c:v>
                </c:pt>
                <c:pt idx="23">
                  <c:v>370736.78456156288</c:v>
                </c:pt>
                <c:pt idx="24">
                  <c:v>394473.73497225379</c:v>
                </c:pt>
                <c:pt idx="25">
                  <c:v>417340.88442027674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0-4D51-8343-D697601C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3120"/>
        <c:axId val="66374656"/>
      </c:lineChart>
      <c:catAx>
        <c:axId val="663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6374656"/>
        <c:crosses val="autoZero"/>
        <c:auto val="1"/>
        <c:lblAlgn val="ctr"/>
        <c:lblOffset val="100"/>
        <c:noMultiLvlLbl val="0"/>
      </c:catAx>
      <c:valAx>
        <c:axId val="66374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63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39510</xdr:colOff>
      <xdr:row>0</xdr:row>
      <xdr:rowOff>29979</xdr:rowOff>
    </xdr:from>
    <xdr:to>
      <xdr:col>3</xdr:col>
      <xdr:colOff>213274</xdr:colOff>
      <xdr:row>3</xdr:row>
      <xdr:rowOff>114365</xdr:rowOff>
    </xdr:to>
    <xdr:pic>
      <xdr:nvPicPr>
        <xdr:cNvPr id="2" name="Obraz 1" descr="http://warminski.zhp.pl/wp-content/uploads/2013/06/s%C5%82oneczk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10" y="29979"/>
          <a:ext cx="516664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45720</xdr:rowOff>
    </xdr:from>
    <xdr:to>
      <xdr:col>3</xdr:col>
      <xdr:colOff>163831</xdr:colOff>
      <xdr:row>3</xdr:row>
      <xdr:rowOff>151673</xdr:rowOff>
    </xdr:to>
    <xdr:pic>
      <xdr:nvPicPr>
        <xdr:cNvPr id="3" name="Obraz 2" descr="http://warminski.zhp.pl/wp-content/uploads/2013/06/s%C5%82oneczk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5720"/>
          <a:ext cx="548641" cy="574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39510</xdr:colOff>
      <xdr:row>0</xdr:row>
      <xdr:rowOff>29979</xdr:rowOff>
    </xdr:from>
    <xdr:to>
      <xdr:col>3</xdr:col>
      <xdr:colOff>278588</xdr:colOff>
      <xdr:row>3</xdr:row>
      <xdr:rowOff>97355</xdr:rowOff>
    </xdr:to>
    <xdr:pic>
      <xdr:nvPicPr>
        <xdr:cNvPr id="2" name="Obraz 1" descr="http://warminski.zhp.pl/wp-content/uploads/2013/06/s%C5%82oneczk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50" y="29979"/>
          <a:ext cx="547688" cy="5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220028</xdr:colOff>
      <xdr:row>3</xdr:row>
      <xdr:rowOff>91189</xdr:rowOff>
    </xdr:to>
    <xdr:pic>
      <xdr:nvPicPr>
        <xdr:cNvPr id="2" name="Obraz 1" descr="http://warminski.zhp.pl/wp-content/uploads/2013/06/s%C5%82oneczk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548641" cy="574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39510</xdr:colOff>
      <xdr:row>0</xdr:row>
      <xdr:rowOff>29979</xdr:rowOff>
    </xdr:from>
    <xdr:to>
      <xdr:col>3</xdr:col>
      <xdr:colOff>278588</xdr:colOff>
      <xdr:row>3</xdr:row>
      <xdr:rowOff>109262</xdr:rowOff>
    </xdr:to>
    <xdr:pic>
      <xdr:nvPicPr>
        <xdr:cNvPr id="2" name="Obraz 1" descr="http://warminski.zhp.pl/wp-content/uploads/2013/06/s%C5%82oneczk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50" y="29979"/>
          <a:ext cx="547688" cy="5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130968</xdr:rowOff>
    </xdr:from>
    <xdr:to>
      <xdr:col>9</xdr:col>
      <xdr:colOff>23812</xdr:colOff>
      <xdr:row>25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9</xdr:col>
      <xdr:colOff>23812</xdr:colOff>
      <xdr:row>47</xdr:row>
      <xdr:rowOff>111919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39510</xdr:colOff>
      <xdr:row>0</xdr:row>
      <xdr:rowOff>29979</xdr:rowOff>
    </xdr:from>
    <xdr:to>
      <xdr:col>3</xdr:col>
      <xdr:colOff>278588</xdr:colOff>
      <xdr:row>3</xdr:row>
      <xdr:rowOff>97355</xdr:rowOff>
    </xdr:to>
    <xdr:pic>
      <xdr:nvPicPr>
        <xdr:cNvPr id="2" name="Obraz 1" descr="http://warminski.zhp.pl/wp-content/uploads/2013/06/s%C5%82oneczko.png">
          <a:extLst>
            <a:ext uri="{FF2B5EF4-FFF2-40B4-BE49-F238E27FC236}">
              <a16:creationId xmlns:a16="http://schemas.microsoft.com/office/drawing/2014/main" id="{585D4541-D106-4984-9CB1-ADC77ECF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10" y="29979"/>
          <a:ext cx="536258" cy="570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tral/Dropbox/Piotrek/Farma%20fotowoltaiczna/2018/&#378;r&#243;d&#322;o/Kopia%20regu&#322;y%20Biznesplan%20hala%20Aktualizacja%202016%20tablice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s treści"/>
      <sheetName val="Kapitały i  udziały"/>
      <sheetName val="Nakłady inwestycyjne"/>
      <sheetName val="Kredyt bankowy drugi"/>
      <sheetName val="RZiS-po inwest -wyciag"/>
      <sheetName val="RZiS"/>
      <sheetName val="BIL-po inwestycji -wyciag"/>
      <sheetName val="BIL - po inwestycji"/>
      <sheetName val="Wskaźniki- po inwestycji"/>
      <sheetName val="Analiza wrażliwości"/>
      <sheetName val="Inwestycja -APP "/>
      <sheetName val="Arkusz1"/>
      <sheetName val="RPP- po inwestycji"/>
      <sheetName val="Inwestyc.kredyt bankowy_"/>
      <sheetName val="Kredyt na zwrot VAT"/>
      <sheetName val="Kredyt udziałowca"/>
      <sheetName val="Przychody i koszty"/>
      <sheetName val="Amortyzacja "/>
      <sheetName val="RPP - po inwestycji wyciąg"/>
      <sheetName val="SWOT"/>
      <sheetName val="CIT"/>
    </sheetNames>
    <sheetDataSet>
      <sheetData sheetId="0">
        <row r="1">
          <cell r="B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3B1F-242E-7D4E-B601-08375DA36C3A}">
  <sheetPr>
    <tabColor theme="4" tint="0.79998168889431442"/>
  </sheetPr>
  <dimension ref="G10:K17"/>
  <sheetViews>
    <sheetView workbookViewId="0">
      <selection activeCell="K16" sqref="K16"/>
    </sheetView>
  </sheetViews>
  <sheetFormatPr baseColWidth="10" defaultRowHeight="15"/>
  <cols>
    <col min="7" max="7" width="35.83203125" customWidth="1"/>
    <col min="10" max="10" width="24.33203125" customWidth="1"/>
  </cols>
  <sheetData>
    <row r="10" spans="7:11">
      <c r="G10" s="170" t="s">
        <v>432</v>
      </c>
      <c r="J10" s="170" t="s">
        <v>440</v>
      </c>
    </row>
    <row r="11" spans="7:11" ht="16">
      <c r="G11" t="s">
        <v>439</v>
      </c>
      <c r="H11" s="165">
        <v>499.98</v>
      </c>
      <c r="J11" t="s">
        <v>441</v>
      </c>
      <c r="K11" s="172">
        <f>kosztorys!H69</f>
        <v>1855425.78</v>
      </c>
    </row>
    <row r="12" spans="7:11" ht="16">
      <c r="G12" t="s">
        <v>433</v>
      </c>
      <c r="H12" s="165">
        <v>3711</v>
      </c>
      <c r="J12" t="s">
        <v>434</v>
      </c>
      <c r="K12" s="172">
        <f>zalozenia!F58</f>
        <v>371085.15600000002</v>
      </c>
    </row>
    <row r="13" spans="7:11" ht="16">
      <c r="G13" t="s">
        <v>434</v>
      </c>
      <c r="H13" s="167">
        <v>0.2</v>
      </c>
      <c r="J13" t="s">
        <v>442</v>
      </c>
      <c r="K13" s="172">
        <f>zalozenia!F59</f>
        <v>1484340.6240000001</v>
      </c>
    </row>
    <row r="14" spans="7:11" ht="16">
      <c r="G14" t="s">
        <v>435</v>
      </c>
      <c r="H14" s="167">
        <v>5.0999999999999997E-2</v>
      </c>
      <c r="J14" t="s">
        <v>443</v>
      </c>
      <c r="K14">
        <f>COUNTIF(sprawozdanie!J142:AH142, "&lt;0")</f>
        <v>11</v>
      </c>
    </row>
    <row r="15" spans="7:11" ht="16">
      <c r="G15" t="s">
        <v>436</v>
      </c>
      <c r="H15" s="165">
        <v>1.4999999999999999E-2</v>
      </c>
      <c r="J15" t="s">
        <v>444</v>
      </c>
      <c r="K15" s="172">
        <f>sprawozdanie!X163</f>
        <v>144212.62431847077</v>
      </c>
    </row>
    <row r="16" spans="7:11" ht="16">
      <c r="G16" t="s">
        <v>437</v>
      </c>
      <c r="H16" s="165">
        <v>347.2</v>
      </c>
      <c r="J16" t="s">
        <v>445</v>
      </c>
      <c r="K16" s="173">
        <f>SUM(sprawozdanie!J138:X138)/15/K12</f>
        <v>0.10516915181565785</v>
      </c>
    </row>
    <row r="17" spans="7:8" ht="16">
      <c r="G17" t="s">
        <v>438</v>
      </c>
      <c r="H17" s="165">
        <v>150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BI129"/>
  <sheetViews>
    <sheetView showGridLines="0" zoomScale="70" zoomScaleNormal="70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L4" sqref="L4"/>
    </sheetView>
  </sheetViews>
  <sheetFormatPr baseColWidth="10" defaultColWidth="0" defaultRowHeight="0" customHeight="1" zeroHeight="1"/>
  <cols>
    <col min="1" max="2" width="1.1640625" style="49" customWidth="1"/>
    <col min="3" max="3" width="4.33203125" style="1" customWidth="1"/>
    <col min="4" max="4" width="35.1640625" style="1" customWidth="1"/>
    <col min="5" max="5" width="16.5" style="127" bestFit="1" customWidth="1"/>
    <col min="6" max="7" width="10.1640625" style="1" customWidth="1"/>
    <col min="8" max="9" width="14" style="1" customWidth="1"/>
    <col min="10" max="10" width="25.1640625" style="1" customWidth="1"/>
    <col min="11" max="11" width="14" style="1" customWidth="1"/>
    <col min="12" max="12" width="18.33203125" style="1" customWidth="1"/>
    <col min="13" max="13" width="14" style="1" customWidth="1"/>
    <col min="14" max="15" width="1" style="1" customWidth="1"/>
    <col min="16" max="16" width="4.33203125" style="50" customWidth="1"/>
    <col min="17" max="61" width="0" style="1" hidden="1" customWidth="1"/>
    <col min="62" max="16384" width="9.1640625" style="1" hidden="1"/>
  </cols>
  <sheetData>
    <row r="1" spans="1:16" ht="13">
      <c r="A1" s="1"/>
      <c r="B1" s="1"/>
      <c r="D1" s="2"/>
      <c r="E1" s="127">
        <f>E27*0.97</f>
        <v>451.05</v>
      </c>
    </row>
    <row r="2" spans="1:16" ht="13">
      <c r="A2" s="1"/>
      <c r="B2" s="1"/>
      <c r="D2" s="120" t="s">
        <v>29</v>
      </c>
      <c r="E2" s="130">
        <f>E27-E30</f>
        <v>32.549999999999955</v>
      </c>
      <c r="F2" s="1">
        <f>E2*(3/4)</f>
        <v>24.412499999999966</v>
      </c>
      <c r="G2" s="1">
        <f>E2/2</f>
        <v>16.274999999999977</v>
      </c>
      <c r="H2" s="1">
        <f>E2/2</f>
        <v>16.274999999999977</v>
      </c>
      <c r="J2" s="1">
        <v>398.18</v>
      </c>
    </row>
    <row r="3" spans="1:16" ht="13">
      <c r="A3" s="1"/>
      <c r="B3" s="1"/>
      <c r="D3" s="36" t="s">
        <v>368</v>
      </c>
      <c r="E3" s="131">
        <f>E28/E27</f>
        <v>0.96907526881720429</v>
      </c>
      <c r="F3" s="131">
        <f>E29/E27</f>
        <v>0.9536129032258065</v>
      </c>
      <c r="G3" s="1">
        <f>E30/E27</f>
        <v>0.93</v>
      </c>
    </row>
    <row r="4" spans="1:16" ht="13">
      <c r="A4" s="1"/>
      <c r="B4" s="1"/>
      <c r="D4" s="2"/>
      <c r="E4" s="132">
        <f>zalozenia!F78</f>
        <v>347.2</v>
      </c>
      <c r="F4" s="133"/>
      <c r="G4" s="133"/>
      <c r="H4" s="134">
        <f>'6. Rachunek inwestycyjny'!F30</f>
        <v>-116245.36608134402</v>
      </c>
      <c r="I4" s="134">
        <f>'6. Rachunek inwestycyjny'!F31</f>
        <v>50945.647952058527</v>
      </c>
      <c r="J4" s="134">
        <f>sprawozdanie!K4</f>
        <v>0</v>
      </c>
      <c r="K4" s="134">
        <f>zalozenia!F59</f>
        <v>1484340.6240000001</v>
      </c>
      <c r="L4" s="134">
        <f>zalozenia!F58+zalozenia!F42</f>
        <v>446085.15600000002</v>
      </c>
      <c r="M4" s="134" t="e">
        <f>zalozenia!#REF!</f>
        <v>#REF!</v>
      </c>
    </row>
    <row r="5" spans="1:16" ht="2" customHeight="1"/>
    <row r="6" spans="1:16" ht="2" customHeight="1">
      <c r="C6" s="31"/>
      <c r="D6" s="31"/>
      <c r="E6" s="128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6" s="52" customFormat="1" ht="13">
      <c r="A7" s="51"/>
      <c r="B7" s="51"/>
      <c r="C7" s="177" t="s">
        <v>0</v>
      </c>
      <c r="D7" s="178" t="s">
        <v>2</v>
      </c>
      <c r="E7" s="180" t="s">
        <v>376</v>
      </c>
      <c r="F7" s="176" t="s">
        <v>375</v>
      </c>
      <c r="G7" s="176" t="s">
        <v>377</v>
      </c>
      <c r="H7" s="176" t="s">
        <v>389</v>
      </c>
      <c r="I7" s="176" t="s">
        <v>390</v>
      </c>
      <c r="J7" s="176" t="s">
        <v>379</v>
      </c>
      <c r="K7" s="176" t="s">
        <v>380</v>
      </c>
      <c r="L7" s="176" t="s">
        <v>381</v>
      </c>
      <c r="M7" s="176" t="s">
        <v>382</v>
      </c>
      <c r="N7" s="21"/>
      <c r="O7" s="21"/>
      <c r="P7" s="51"/>
    </row>
    <row r="8" spans="1:16" s="52" customFormat="1" ht="13">
      <c r="A8" s="51"/>
      <c r="B8" s="51"/>
      <c r="C8" s="177"/>
      <c r="D8" s="178"/>
      <c r="E8" s="181"/>
      <c r="F8" s="176"/>
      <c r="G8" s="176"/>
      <c r="H8" s="176"/>
      <c r="I8" s="176"/>
      <c r="J8" s="176"/>
      <c r="K8" s="176"/>
      <c r="L8" s="176"/>
      <c r="M8" s="176"/>
      <c r="N8" s="21"/>
      <c r="O8" s="21"/>
      <c r="P8" s="51"/>
    </row>
    <row r="9" spans="1:16" ht="2" customHeight="1"/>
    <row r="10" spans="1:16" ht="2" customHeight="1">
      <c r="C10" s="31"/>
      <c r="D10" s="31"/>
      <c r="E10" s="128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6" s="55" customFormat="1" ht="13">
      <c r="A11" s="51"/>
      <c r="B11" s="51"/>
      <c r="C11" s="75" t="s">
        <v>21</v>
      </c>
      <c r="D11" s="75" t="s">
        <v>369</v>
      </c>
      <c r="E11" s="129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51"/>
    </row>
    <row r="12" spans="1:16" ht="2" customHeight="1"/>
    <row r="13" spans="1:16" ht="2" customHeight="1">
      <c r="C13" s="31"/>
      <c r="D13" s="31"/>
      <c r="E13" s="128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6" ht="13">
      <c r="C14" s="2">
        <v>1</v>
      </c>
      <c r="D14" s="1" t="s">
        <v>371</v>
      </c>
      <c r="E14" s="135">
        <v>465</v>
      </c>
      <c r="F14" s="123" t="s">
        <v>378</v>
      </c>
      <c r="G14" s="123" t="s">
        <v>378</v>
      </c>
      <c r="H14" s="138">
        <v>128911.52388689003</v>
      </c>
      <c r="I14" s="138">
        <v>261519.59390683635</v>
      </c>
      <c r="J14" s="138">
        <v>2165.4691010215997</v>
      </c>
      <c r="K14" s="138">
        <v>1922919.8800000001</v>
      </c>
      <c r="L14" s="138">
        <v>110000</v>
      </c>
      <c r="M14" s="138">
        <v>0</v>
      </c>
    </row>
    <row r="15" spans="1:16" ht="13">
      <c r="C15" s="2">
        <v>2</v>
      </c>
      <c r="D15" s="1" t="s">
        <v>372</v>
      </c>
      <c r="E15" s="135">
        <v>450.62</v>
      </c>
      <c r="F15" s="123" t="s">
        <v>378</v>
      </c>
      <c r="G15" s="123" t="s">
        <v>378</v>
      </c>
      <c r="H15" s="138">
        <v>151343.2523231059</v>
      </c>
      <c r="I15" s="138">
        <v>283756.45270318253</v>
      </c>
      <c r="J15" s="138">
        <v>2280.0779760028154</v>
      </c>
      <c r="K15" s="138">
        <v>1824105.4581499961</v>
      </c>
      <c r="L15" s="138">
        <v>100000</v>
      </c>
      <c r="M15" s="138">
        <v>98814.421850003928</v>
      </c>
    </row>
    <row r="16" spans="1:16" ht="13">
      <c r="C16" s="2">
        <v>3</v>
      </c>
      <c r="D16" s="1" t="s">
        <v>373</v>
      </c>
      <c r="E16" s="135">
        <v>443.43</v>
      </c>
      <c r="F16" s="123" t="s">
        <v>378</v>
      </c>
      <c r="G16" s="123" t="s">
        <v>378</v>
      </c>
      <c r="H16" s="138">
        <v>162155.51845431892</v>
      </c>
      <c r="I16" s="138">
        <v>294534.93114979321</v>
      </c>
      <c r="J16" s="138">
        <v>2363.6865111124475</v>
      </c>
      <c r="K16" s="138">
        <v>1774698.2472249947</v>
      </c>
      <c r="L16" s="138">
        <v>100000</v>
      </c>
      <c r="M16" s="138">
        <v>148221.63277500551</v>
      </c>
    </row>
    <row r="17" spans="1:16" ht="13">
      <c r="C17" s="2">
        <v>4</v>
      </c>
      <c r="D17" s="1" t="s">
        <v>398</v>
      </c>
      <c r="E17" s="135">
        <v>432.45000000000005</v>
      </c>
      <c r="F17" s="123" t="s">
        <v>378</v>
      </c>
      <c r="G17" s="123" t="s">
        <v>378</v>
      </c>
      <c r="H17" s="138">
        <v>179057.21308461641</v>
      </c>
      <c r="I17" s="138">
        <v>311251.16920058208</v>
      </c>
      <c r="J17" s="138">
        <v>2435.811305418335</v>
      </c>
      <c r="K17" s="138">
        <v>1699247.4578012777</v>
      </c>
      <c r="L17" s="138">
        <v>90000</v>
      </c>
      <c r="M17" s="138">
        <v>223672.42219872237</v>
      </c>
    </row>
    <row r="18" spans="1:16" ht="13">
      <c r="C18" s="2">
        <v>5</v>
      </c>
      <c r="D18" s="1" t="s">
        <v>402</v>
      </c>
      <c r="E18" s="135">
        <v>416.88955325486359</v>
      </c>
      <c r="F18" s="123" t="s">
        <v>378</v>
      </c>
      <c r="G18" s="123" t="s">
        <v>378</v>
      </c>
      <c r="H18" s="138">
        <v>202468.93582518137</v>
      </c>
      <c r="I18" s="138">
        <v>334595.72634518932</v>
      </c>
      <c r="J18" s="138">
        <v>2616.7551382434131</v>
      </c>
      <c r="K18" s="138">
        <v>1592321.4112888721</v>
      </c>
      <c r="L18" s="138">
        <v>90000</v>
      </c>
      <c r="M18" s="138">
        <v>330598.46871112793</v>
      </c>
    </row>
    <row r="19" spans="1:16" ht="13">
      <c r="C19" s="2">
        <v>6</v>
      </c>
      <c r="D19" s="1" t="s">
        <v>401</v>
      </c>
      <c r="E19" s="135">
        <v>389.62581746946495</v>
      </c>
      <c r="F19" s="123" t="s">
        <v>378</v>
      </c>
      <c r="G19" s="123" t="s">
        <v>378</v>
      </c>
      <c r="H19" s="138">
        <v>243549.84753108263</v>
      </c>
      <c r="I19" s="138">
        <v>375587.38397819659</v>
      </c>
      <c r="J19" s="138">
        <v>2933.7900493189813</v>
      </c>
      <c r="K19" s="138">
        <v>1404974.3814484365</v>
      </c>
      <c r="L19" s="138">
        <v>90000</v>
      </c>
      <c r="M19" s="138">
        <v>517945.49855156353</v>
      </c>
    </row>
    <row r="20" spans="1:16" ht="13">
      <c r="C20" s="2">
        <v>7</v>
      </c>
      <c r="D20" s="1" t="s">
        <v>397</v>
      </c>
      <c r="E20" s="135">
        <v>347.19612503249198</v>
      </c>
      <c r="F20" s="123" t="s">
        <v>378</v>
      </c>
      <c r="G20" s="123" t="s">
        <v>378</v>
      </c>
      <c r="H20" s="138">
        <v>307467.0040894337</v>
      </c>
      <c r="I20" s="138">
        <v>439671.68927506788</v>
      </c>
      <c r="J20" s="138">
        <v>3482.7370415654482</v>
      </c>
      <c r="K20" s="138">
        <v>1113412.1055490649</v>
      </c>
      <c r="L20" s="138">
        <v>100000</v>
      </c>
      <c r="M20" s="138">
        <v>809507.77445093519</v>
      </c>
    </row>
    <row r="21" spans="1:16" ht="13">
      <c r="C21" s="2">
        <v>8</v>
      </c>
      <c r="D21" s="1" t="s">
        <v>374</v>
      </c>
      <c r="E21" s="135">
        <v>276.0974610299869</v>
      </c>
      <c r="F21" s="123" t="s">
        <v>378</v>
      </c>
      <c r="G21" s="123" t="s">
        <v>378</v>
      </c>
      <c r="H21" s="138">
        <v>3.4924596548080444E-10</v>
      </c>
      <c r="I21" s="138">
        <v>127195.34964433621</v>
      </c>
      <c r="J21" s="138">
        <v>1231.0360069651599</v>
      </c>
      <c r="K21" s="138">
        <v>1113412.1055490649</v>
      </c>
      <c r="L21" s="138">
        <v>140000</v>
      </c>
      <c r="M21" s="138">
        <v>809507.77445093519</v>
      </c>
    </row>
    <row r="22" spans="1:16" ht="2" customHeight="1">
      <c r="E22" s="136"/>
      <c r="H22" s="139"/>
      <c r="I22" s="139"/>
      <c r="J22" s="139"/>
      <c r="K22" s="139"/>
      <c r="L22" s="139"/>
      <c r="M22" s="139"/>
    </row>
    <row r="23" spans="1:16" ht="2" customHeight="1">
      <c r="C23" s="31"/>
      <c r="D23" s="31"/>
      <c r="E23" s="137"/>
      <c r="F23" s="31"/>
      <c r="G23" s="31"/>
      <c r="H23" s="140"/>
      <c r="I23" s="140"/>
      <c r="J23" s="140"/>
      <c r="K23" s="140"/>
      <c r="L23" s="140"/>
      <c r="M23" s="140"/>
      <c r="N23" s="31"/>
      <c r="O23" s="31"/>
    </row>
    <row r="24" spans="1:16" s="55" customFormat="1" ht="13">
      <c r="A24" s="51"/>
      <c r="B24" s="51"/>
      <c r="C24" s="75" t="s">
        <v>23</v>
      </c>
      <c r="D24" s="75" t="s">
        <v>370</v>
      </c>
      <c r="E24" s="129"/>
      <c r="F24" s="75"/>
      <c r="G24" s="75"/>
      <c r="H24" s="141"/>
      <c r="I24" s="141"/>
      <c r="J24" s="141"/>
      <c r="K24" s="141"/>
      <c r="L24" s="141"/>
      <c r="M24" s="141"/>
      <c r="N24" s="75"/>
      <c r="O24" s="75"/>
      <c r="P24" s="51"/>
    </row>
    <row r="25" spans="1:16" ht="2" customHeight="1">
      <c r="E25" s="136"/>
      <c r="H25" s="139"/>
      <c r="I25" s="139"/>
      <c r="J25" s="139"/>
      <c r="K25" s="139"/>
      <c r="L25" s="139"/>
      <c r="M25" s="139"/>
    </row>
    <row r="26" spans="1:16" ht="2" customHeight="1">
      <c r="C26" s="31"/>
      <c r="D26" s="31"/>
      <c r="E26" s="137"/>
      <c r="F26" s="31"/>
      <c r="G26" s="31"/>
      <c r="H26" s="140"/>
      <c r="I26" s="140"/>
      <c r="J26" s="140"/>
      <c r="K26" s="140"/>
      <c r="L26" s="140"/>
      <c r="M26" s="140"/>
      <c r="N26" s="31"/>
      <c r="O26" s="31"/>
    </row>
    <row r="27" spans="1:16" ht="13">
      <c r="C27" s="2">
        <v>1</v>
      </c>
      <c r="D27" s="1" t="s">
        <v>371</v>
      </c>
      <c r="E27" s="135">
        <v>465</v>
      </c>
      <c r="F27" s="124" t="s">
        <v>383</v>
      </c>
      <c r="G27" s="123" t="s">
        <v>378</v>
      </c>
      <c r="H27" s="138">
        <v>214042.66360832012</v>
      </c>
      <c r="I27" s="138">
        <v>346528.60891029175</v>
      </c>
      <c r="J27" s="138">
        <v>2660.8588909433779</v>
      </c>
      <c r="K27" s="138">
        <v>1922919.8800000001</v>
      </c>
      <c r="L27" s="138">
        <v>100000</v>
      </c>
      <c r="M27" s="138">
        <v>0</v>
      </c>
    </row>
    <row r="28" spans="1:16" ht="13">
      <c r="C28" s="2">
        <v>2</v>
      </c>
      <c r="D28" s="1" t="s">
        <v>372</v>
      </c>
      <c r="E28" s="135">
        <v>450.62</v>
      </c>
      <c r="F28" s="124" t="s">
        <v>383</v>
      </c>
      <c r="G28" s="123" t="s">
        <v>378</v>
      </c>
      <c r="H28" s="138">
        <v>64735.415687631263</v>
      </c>
      <c r="I28" s="138">
        <v>196544.35135943751</v>
      </c>
      <c r="J28" s="138">
        <v>1823.1968548724765</v>
      </c>
      <c r="K28" s="138">
        <v>1922919.8800000001</v>
      </c>
      <c r="L28" s="138">
        <v>140000</v>
      </c>
      <c r="M28" s="138">
        <v>0</v>
      </c>
    </row>
    <row r="29" spans="1:16" ht="13">
      <c r="C29" s="2">
        <v>3</v>
      </c>
      <c r="D29" s="1" t="s">
        <v>373</v>
      </c>
      <c r="E29" s="135">
        <v>443.43</v>
      </c>
      <c r="F29" s="124" t="s">
        <v>383</v>
      </c>
      <c r="G29" s="123" t="s">
        <v>378</v>
      </c>
      <c r="H29" s="138">
        <v>32448.875612192671</v>
      </c>
      <c r="I29" s="138">
        <v>163794.77703437058</v>
      </c>
      <c r="J29" s="138">
        <v>1621.4162634908064</v>
      </c>
      <c r="K29" s="138">
        <v>1922919.8800000001</v>
      </c>
      <c r="L29" s="138">
        <v>150000</v>
      </c>
      <c r="M29" s="138">
        <v>0</v>
      </c>
    </row>
    <row r="30" spans="1:16" ht="13">
      <c r="C30" s="2">
        <v>4</v>
      </c>
      <c r="D30" s="1" t="s">
        <v>398</v>
      </c>
      <c r="E30" s="135">
        <v>432.45000000000005</v>
      </c>
      <c r="F30" s="124" t="s">
        <v>383</v>
      </c>
      <c r="G30" s="123" t="s">
        <v>378</v>
      </c>
      <c r="H30" s="138">
        <v>70070.390181343566</v>
      </c>
      <c r="I30" s="138">
        <v>200061.14264820173</v>
      </c>
      <c r="J30" s="138">
        <v>1554.4509852443482</v>
      </c>
      <c r="K30" s="138">
        <v>1922919.8800000001</v>
      </c>
      <c r="L30" s="138">
        <v>110000</v>
      </c>
      <c r="M30" s="138">
        <v>0</v>
      </c>
    </row>
    <row r="31" spans="1:16" ht="13">
      <c r="C31" s="2">
        <v>5</v>
      </c>
      <c r="D31" s="1" t="s">
        <v>399</v>
      </c>
      <c r="E31" s="135">
        <v>416.88955325486359</v>
      </c>
      <c r="F31" s="124" t="s">
        <v>383</v>
      </c>
      <c r="G31" s="123" t="s">
        <v>378</v>
      </c>
      <c r="H31" s="138">
        <v>4.5110937207937241E-10</v>
      </c>
      <c r="I31" s="138">
        <v>128739.55030403411</v>
      </c>
      <c r="J31" s="138">
        <v>987.34312850223444</v>
      </c>
      <c r="K31" s="138">
        <v>1922919.8800000001</v>
      </c>
      <c r="L31" s="138">
        <v>110000</v>
      </c>
      <c r="M31" s="138">
        <v>0</v>
      </c>
    </row>
    <row r="32" spans="1:16" ht="13">
      <c r="C32" s="2">
        <v>6</v>
      </c>
      <c r="D32" s="1" t="s">
        <v>400</v>
      </c>
      <c r="E32" s="135">
        <v>389.62581746946546</v>
      </c>
      <c r="F32" s="124" t="s">
        <v>383</v>
      </c>
      <c r="G32" s="123" t="s">
        <v>378</v>
      </c>
      <c r="H32" s="138">
        <v>-127005.57118763959</v>
      </c>
      <c r="I32" s="138">
        <v>5.5297277867794037E-10</v>
      </c>
      <c r="J32" s="138">
        <v>197.15039567819758</v>
      </c>
      <c r="K32" s="138">
        <v>1922919.8800000001</v>
      </c>
      <c r="L32" s="138">
        <v>150000</v>
      </c>
      <c r="M32" s="138">
        <v>0</v>
      </c>
    </row>
    <row r="33" spans="1:16" ht="2" customHeight="1">
      <c r="E33" s="136"/>
      <c r="H33" s="139"/>
      <c r="I33" s="139"/>
      <c r="J33" s="139"/>
      <c r="K33" s="139"/>
      <c r="L33" s="139"/>
      <c r="M33" s="139"/>
    </row>
    <row r="34" spans="1:16" ht="2" customHeight="1">
      <c r="C34" s="31"/>
      <c r="D34" s="31"/>
      <c r="E34" s="137"/>
      <c r="F34" s="31"/>
      <c r="G34" s="31"/>
      <c r="H34" s="140"/>
      <c r="I34" s="140"/>
      <c r="J34" s="140"/>
      <c r="K34" s="140"/>
      <c r="L34" s="140"/>
      <c r="M34" s="140"/>
      <c r="N34" s="31"/>
      <c r="O34" s="31"/>
    </row>
    <row r="35" spans="1:16" s="55" customFormat="1" ht="13">
      <c r="A35" s="51"/>
      <c r="B35" s="51"/>
      <c r="C35" s="75" t="s">
        <v>23</v>
      </c>
      <c r="D35" s="75" t="s">
        <v>387</v>
      </c>
      <c r="E35" s="129"/>
      <c r="F35" s="75"/>
      <c r="G35" s="75"/>
      <c r="H35" s="141"/>
      <c r="I35" s="141"/>
      <c r="J35" s="141"/>
      <c r="K35" s="141"/>
      <c r="L35" s="141"/>
      <c r="M35" s="141"/>
      <c r="N35" s="75"/>
      <c r="O35" s="75"/>
      <c r="P35" s="51"/>
    </row>
    <row r="36" spans="1:16" ht="2" customHeight="1">
      <c r="E36" s="136"/>
      <c r="H36" s="139"/>
      <c r="I36" s="139"/>
      <c r="J36" s="139"/>
      <c r="K36" s="139"/>
      <c r="L36" s="139"/>
      <c r="M36" s="139"/>
    </row>
    <row r="37" spans="1:16" ht="2" customHeight="1">
      <c r="C37" s="31"/>
      <c r="D37" s="31"/>
      <c r="E37" s="137"/>
      <c r="F37" s="31"/>
      <c r="G37" s="31"/>
      <c r="H37" s="140"/>
      <c r="I37" s="140"/>
      <c r="J37" s="140"/>
      <c r="K37" s="140"/>
      <c r="L37" s="140"/>
      <c r="M37" s="140"/>
      <c r="N37" s="31"/>
      <c r="O37" s="31"/>
    </row>
    <row r="38" spans="1:16" ht="13">
      <c r="C38" s="2">
        <v>1</v>
      </c>
      <c r="D38" s="1" t="s">
        <v>384</v>
      </c>
      <c r="E38" s="135" t="s">
        <v>395</v>
      </c>
      <c r="F38" s="123" t="s">
        <v>378</v>
      </c>
      <c r="G38" s="124" t="s">
        <v>383</v>
      </c>
      <c r="H38" s="138">
        <v>-405193.5562918128</v>
      </c>
      <c r="I38" s="138">
        <v>-219633.81585955233</v>
      </c>
      <c r="J38" s="138">
        <v>-18.587463422172245</v>
      </c>
      <c r="K38" s="138">
        <v>1113412.1055490649</v>
      </c>
      <c r="L38" s="138">
        <v>460000</v>
      </c>
      <c r="M38" s="138">
        <v>809507.77445093519</v>
      </c>
    </row>
    <row r="39" spans="1:16" ht="13">
      <c r="C39" s="2">
        <v>2</v>
      </c>
      <c r="D39" s="1" t="s">
        <v>385</v>
      </c>
      <c r="E39" s="135" t="s">
        <v>394</v>
      </c>
      <c r="F39" s="123" t="s">
        <v>378</v>
      </c>
      <c r="G39" s="124" t="s">
        <v>383</v>
      </c>
      <c r="H39" s="138">
        <v>-530131.3524483837</v>
      </c>
      <c r="I39" s="138">
        <v>-405571.61783375521</v>
      </c>
      <c r="J39" s="138">
        <v>79.841366868782245</v>
      </c>
      <c r="K39" s="138">
        <v>1113412.1055490649</v>
      </c>
      <c r="L39" s="138">
        <v>660000</v>
      </c>
      <c r="M39" s="138">
        <v>809507.77445093519</v>
      </c>
    </row>
    <row r="40" spans="1:16" ht="13">
      <c r="C40" s="2">
        <v>3</v>
      </c>
      <c r="D40" s="1" t="s">
        <v>386</v>
      </c>
      <c r="E40" s="135" t="s">
        <v>396</v>
      </c>
      <c r="F40" s="123" t="s">
        <v>378</v>
      </c>
      <c r="G40" s="124" t="s">
        <v>383</v>
      </c>
      <c r="H40" s="138">
        <v>-613774.86727628671</v>
      </c>
      <c r="I40" s="138">
        <v>-524844.86308829137</v>
      </c>
      <c r="J40" s="138">
        <v>128.58980477732982</v>
      </c>
      <c r="K40" s="138">
        <v>1113412.1055490649</v>
      </c>
      <c r="L40" s="138">
        <v>790000</v>
      </c>
      <c r="M40" s="138">
        <v>809507.77445093519</v>
      </c>
    </row>
    <row r="41" spans="1:16" ht="2" customHeight="1">
      <c r="E41" s="136"/>
      <c r="H41" s="139"/>
      <c r="I41" s="139"/>
      <c r="J41" s="139"/>
      <c r="K41" s="139"/>
      <c r="L41" s="139"/>
      <c r="M41" s="139"/>
    </row>
    <row r="42" spans="1:16" ht="2" customHeight="1">
      <c r="C42" s="31"/>
      <c r="D42" s="31"/>
      <c r="E42" s="137"/>
      <c r="F42" s="31"/>
      <c r="G42" s="31"/>
      <c r="H42" s="140"/>
      <c r="I42" s="140"/>
      <c r="J42" s="140"/>
      <c r="K42" s="140"/>
      <c r="L42" s="140"/>
      <c r="M42" s="140"/>
      <c r="N42" s="31"/>
      <c r="O42" s="31"/>
    </row>
    <row r="43" spans="1:16" s="55" customFormat="1" ht="13">
      <c r="A43" s="51"/>
      <c r="B43" s="51"/>
      <c r="C43" s="75" t="s">
        <v>23</v>
      </c>
      <c r="D43" s="75" t="s">
        <v>388</v>
      </c>
      <c r="E43" s="129"/>
      <c r="F43" s="75"/>
      <c r="G43" s="75"/>
      <c r="H43" s="141"/>
      <c r="I43" s="141"/>
      <c r="J43" s="141"/>
      <c r="K43" s="141"/>
      <c r="L43" s="141"/>
      <c r="M43" s="141"/>
      <c r="N43" s="75"/>
      <c r="O43" s="75"/>
      <c r="P43" s="51"/>
    </row>
    <row r="44" spans="1:16" ht="2" customHeight="1">
      <c r="E44" s="136"/>
      <c r="H44" s="139"/>
      <c r="I44" s="139"/>
      <c r="J44" s="139"/>
      <c r="K44" s="139"/>
      <c r="L44" s="139"/>
      <c r="M44" s="139"/>
    </row>
    <row r="45" spans="1:16" ht="2" customHeight="1">
      <c r="C45" s="31"/>
      <c r="D45" s="31"/>
      <c r="E45" s="137"/>
      <c r="F45" s="31"/>
      <c r="G45" s="31"/>
      <c r="H45" s="140"/>
      <c r="I45" s="140"/>
      <c r="J45" s="140"/>
      <c r="K45" s="140"/>
      <c r="L45" s="140"/>
      <c r="M45" s="140"/>
      <c r="N45" s="31"/>
      <c r="O45" s="31"/>
    </row>
    <row r="46" spans="1:16" ht="13">
      <c r="C46" s="2">
        <v>1</v>
      </c>
      <c r="D46" s="1" t="s">
        <v>384</v>
      </c>
      <c r="E46" s="135" t="s">
        <v>395</v>
      </c>
      <c r="F46" s="124" t="s">
        <v>383</v>
      </c>
      <c r="G46" s="124" t="s">
        <v>383</v>
      </c>
      <c r="H46" s="138">
        <v>-1261279.4455084621</v>
      </c>
      <c r="I46" s="138">
        <v>-1078320.0556010047</v>
      </c>
      <c r="J46" s="138">
        <v>260.96358112683652</v>
      </c>
      <c r="K46" s="138">
        <v>1922919.8800000001</v>
      </c>
      <c r="L46" s="138">
        <v>1640000</v>
      </c>
      <c r="M46" s="138">
        <v>0</v>
      </c>
    </row>
    <row r="47" spans="1:16" ht="13">
      <c r="C47" s="2">
        <v>2</v>
      </c>
      <c r="D47" s="1" t="s">
        <v>385</v>
      </c>
      <c r="E47" s="135" t="s">
        <v>394</v>
      </c>
      <c r="F47" s="124" t="s">
        <v>383</v>
      </c>
      <c r="G47" s="124" t="s">
        <v>383</v>
      </c>
      <c r="H47" s="138">
        <v>-1392894.0713710897</v>
      </c>
      <c r="I47" s="138">
        <v>-1274379.9802754433</v>
      </c>
      <c r="J47" s="138">
        <v>321.37896997577417</v>
      </c>
      <c r="K47" s="138">
        <v>1922919.8800000001</v>
      </c>
      <c r="L47" s="138">
        <v>1840000</v>
      </c>
      <c r="M47" s="138">
        <v>0</v>
      </c>
    </row>
    <row r="48" spans="1:16" ht="13">
      <c r="C48" s="2">
        <v>3</v>
      </c>
      <c r="D48" s="1" t="s">
        <v>386</v>
      </c>
      <c r="E48" s="135" t="s">
        <v>396</v>
      </c>
      <c r="F48" s="124" t="s">
        <v>383</v>
      </c>
      <c r="G48" s="124" t="s">
        <v>383</v>
      </c>
      <c r="H48" s="138">
        <v>-1479153.6818380265</v>
      </c>
      <c r="I48" s="138">
        <v>-1397609.7449207224</v>
      </c>
      <c r="J48" s="138">
        <v>360.6528707663665</v>
      </c>
      <c r="K48" s="138">
        <v>1922919.8800000001</v>
      </c>
      <c r="L48" s="138">
        <v>1970000</v>
      </c>
      <c r="M48" s="138">
        <v>0</v>
      </c>
    </row>
    <row r="49" spans="3:57" ht="2" customHeight="1">
      <c r="H49" s="125"/>
      <c r="I49" s="125"/>
      <c r="J49" s="125"/>
      <c r="K49" s="125"/>
      <c r="L49" s="125"/>
      <c r="M49" s="125"/>
    </row>
    <row r="50" spans="3:57" ht="2" customHeight="1">
      <c r="C50" s="31"/>
      <c r="D50" s="31"/>
      <c r="E50" s="128"/>
      <c r="F50" s="31"/>
      <c r="G50" s="31"/>
      <c r="H50" s="126"/>
      <c r="I50" s="126"/>
      <c r="J50" s="126"/>
      <c r="K50" s="126"/>
      <c r="L50" s="126"/>
      <c r="M50" s="126"/>
      <c r="N50" s="31"/>
      <c r="O50" s="31"/>
    </row>
    <row r="51" spans="3:57" s="49" customFormat="1" ht="12.5" customHeight="1">
      <c r="C51" s="1"/>
      <c r="D51" s="1"/>
      <c r="E51" s="127"/>
      <c r="F51" s="1"/>
      <c r="G51" s="1"/>
      <c r="H51" s="1"/>
      <c r="I51" s="1"/>
      <c r="J51" s="1"/>
      <c r="K51" s="1"/>
      <c r="L51" s="1"/>
      <c r="M51" s="1"/>
      <c r="N51" s="1"/>
      <c r="O51" s="1"/>
      <c r="P51" s="50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3:57" s="49" customFormat="1" ht="12.5" customHeight="1">
      <c r="C52" s="1"/>
      <c r="D52" s="1"/>
      <c r="E52" s="127"/>
      <c r="F52" s="1"/>
      <c r="G52" s="1"/>
      <c r="H52" s="1"/>
      <c r="I52" s="1"/>
      <c r="J52" s="1"/>
      <c r="K52" s="1"/>
      <c r="L52" s="1"/>
      <c r="M52" s="1"/>
      <c r="N52" s="1"/>
      <c r="O52" s="1"/>
      <c r="P52" s="5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3:57" s="49" customFormat="1" ht="12.5" customHeight="1">
      <c r="C53" s="1"/>
      <c r="D53" s="1"/>
      <c r="E53" s="127"/>
      <c r="F53" s="1"/>
      <c r="G53" s="1"/>
      <c r="H53" s="1"/>
      <c r="I53" s="1"/>
      <c r="J53" s="1"/>
      <c r="K53" s="1"/>
      <c r="L53" s="1"/>
      <c r="M53" s="1"/>
      <c r="N53" s="1"/>
      <c r="O53" s="1"/>
      <c r="P53" s="5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3:57" s="49" customFormat="1" ht="12.5" hidden="1" customHeight="1">
      <c r="C54" s="1"/>
      <c r="D54" s="1"/>
      <c r="E54" s="127"/>
      <c r="F54" s="1"/>
      <c r="G54" s="1"/>
      <c r="H54" s="1"/>
      <c r="I54" s="1"/>
      <c r="J54" s="1"/>
      <c r="K54" s="1"/>
      <c r="L54" s="1"/>
      <c r="M54" s="1"/>
      <c r="N54" s="1"/>
      <c r="O54" s="1"/>
      <c r="P54" s="5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3:57" s="49" customFormat="1" ht="12.5" hidden="1" customHeight="1">
      <c r="C55" s="1"/>
      <c r="D55" s="1"/>
      <c r="E55" s="127"/>
      <c r="F55" s="1"/>
      <c r="G55" s="1"/>
      <c r="H55" s="1"/>
      <c r="I55" s="1"/>
      <c r="J55" s="1"/>
      <c r="K55" s="1"/>
      <c r="L55" s="1"/>
      <c r="M55" s="1"/>
      <c r="N55" s="1"/>
      <c r="O55" s="1"/>
      <c r="P55" s="50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3:57" s="49" customFormat="1" ht="12.5" hidden="1" customHeight="1">
      <c r="C56" s="1"/>
      <c r="D56" s="1"/>
      <c r="E56" s="127"/>
      <c r="F56" s="1"/>
      <c r="G56" s="1"/>
      <c r="H56" s="1"/>
      <c r="I56" s="1"/>
      <c r="J56" s="1"/>
      <c r="K56" s="1"/>
      <c r="L56" s="1"/>
      <c r="M56" s="1"/>
      <c r="N56" s="1"/>
      <c r="O56" s="1"/>
      <c r="P56" s="5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3:57" s="49" customFormat="1" ht="12.5" hidden="1" customHeight="1">
      <c r="C57" s="1"/>
      <c r="D57" s="1"/>
      <c r="E57" s="127"/>
      <c r="F57" s="1"/>
      <c r="G57" s="1"/>
      <c r="H57" s="1"/>
      <c r="I57" s="1"/>
      <c r="J57" s="1"/>
      <c r="K57" s="1"/>
      <c r="L57" s="1"/>
      <c r="M57" s="1"/>
      <c r="N57" s="1"/>
      <c r="O57" s="1"/>
      <c r="P57" s="5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3:57" s="49" customFormat="1" ht="12.5" hidden="1" customHeight="1">
      <c r="C58" s="1"/>
      <c r="D58" s="1"/>
      <c r="E58" s="127"/>
      <c r="F58" s="1"/>
      <c r="G58" s="1"/>
      <c r="H58" s="1"/>
      <c r="I58" s="1"/>
      <c r="J58" s="1"/>
      <c r="K58" s="1"/>
      <c r="L58" s="1"/>
      <c r="M58" s="1"/>
      <c r="N58" s="1"/>
      <c r="O58" s="1"/>
      <c r="P58" s="5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3:57" s="49" customFormat="1" ht="12.5" hidden="1" customHeight="1">
      <c r="C59" s="1"/>
      <c r="D59" s="1"/>
      <c r="E59" s="127"/>
      <c r="F59" s="1"/>
      <c r="G59" s="1"/>
      <c r="H59" s="1"/>
      <c r="I59" s="1"/>
      <c r="J59" s="1"/>
      <c r="K59" s="1"/>
      <c r="L59" s="1"/>
      <c r="M59" s="1"/>
      <c r="N59" s="1"/>
      <c r="O59" s="1"/>
      <c r="P59" s="5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3:57" s="49" customFormat="1" ht="12.5" hidden="1" customHeight="1">
      <c r="C60" s="1"/>
      <c r="D60" s="1"/>
      <c r="E60" s="127"/>
      <c r="F60" s="1"/>
      <c r="G60" s="1"/>
      <c r="H60" s="1"/>
      <c r="I60" s="1"/>
      <c r="J60" s="1"/>
      <c r="K60" s="1"/>
      <c r="L60" s="1"/>
      <c r="M60" s="1"/>
      <c r="N60" s="1"/>
      <c r="O60" s="1"/>
      <c r="P60" s="5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3:57" s="49" customFormat="1" ht="12.5" hidden="1" customHeight="1">
      <c r="C61" s="1"/>
      <c r="D61" s="1"/>
      <c r="E61" s="127"/>
      <c r="F61" s="1"/>
      <c r="G61" s="1"/>
      <c r="H61" s="1"/>
      <c r="I61" s="1"/>
      <c r="J61" s="1"/>
      <c r="K61" s="1"/>
      <c r="L61" s="1"/>
      <c r="M61" s="1"/>
      <c r="N61" s="1"/>
      <c r="O61" s="1"/>
      <c r="P61" s="5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3:57" s="49" customFormat="1" ht="12.5" hidden="1" customHeight="1">
      <c r="C62" s="1"/>
      <c r="D62" s="1"/>
      <c r="E62" s="127"/>
      <c r="F62" s="1"/>
      <c r="G62" s="1"/>
      <c r="H62" s="1"/>
      <c r="I62" s="1"/>
      <c r="J62" s="1"/>
      <c r="K62" s="1"/>
      <c r="L62" s="1"/>
      <c r="M62" s="1"/>
      <c r="N62" s="1"/>
      <c r="O62" s="1"/>
      <c r="P62" s="5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3:57" s="49" customFormat="1" ht="12.5" hidden="1" customHeight="1">
      <c r="C63" s="1"/>
      <c r="D63" s="1"/>
      <c r="E63" s="127"/>
      <c r="F63" s="1"/>
      <c r="G63" s="1"/>
      <c r="H63" s="1"/>
      <c r="I63" s="1"/>
      <c r="J63" s="1"/>
      <c r="K63" s="1"/>
      <c r="L63" s="1"/>
      <c r="M63" s="1"/>
      <c r="N63" s="1"/>
      <c r="O63" s="1"/>
      <c r="P63" s="50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3:57" s="49" customFormat="1" ht="12.5" hidden="1" customHeight="1">
      <c r="C64" s="1"/>
      <c r="D64" s="1"/>
      <c r="E64" s="127"/>
      <c r="F64" s="1"/>
      <c r="G64" s="1"/>
      <c r="H64" s="1"/>
      <c r="I64" s="1"/>
      <c r="J64" s="1"/>
      <c r="K64" s="1"/>
      <c r="L64" s="1"/>
      <c r="M64" s="1"/>
      <c r="N64" s="1"/>
      <c r="O64" s="1"/>
      <c r="P64" s="50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3:57" s="49" customFormat="1" ht="12.5" hidden="1" customHeight="1">
      <c r="C65" s="1"/>
      <c r="D65" s="1"/>
      <c r="E65" s="127"/>
      <c r="F65" s="1"/>
      <c r="G65" s="1"/>
      <c r="H65" s="1"/>
      <c r="I65" s="1"/>
      <c r="J65" s="1"/>
      <c r="K65" s="1"/>
      <c r="L65" s="1"/>
      <c r="M65" s="1"/>
      <c r="N65" s="1"/>
      <c r="O65" s="1"/>
      <c r="P65" s="5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3:57" s="49" customFormat="1" ht="12.5" hidden="1" customHeight="1">
      <c r="C66" s="1"/>
      <c r="D66" s="1"/>
      <c r="E66" s="127"/>
      <c r="F66" s="1"/>
      <c r="G66" s="1"/>
      <c r="H66" s="1"/>
      <c r="I66" s="1"/>
      <c r="J66" s="1"/>
      <c r="K66" s="1"/>
      <c r="L66" s="1"/>
      <c r="M66" s="1"/>
      <c r="N66" s="1"/>
      <c r="O66" s="1"/>
      <c r="P66" s="50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3:57" s="49" customFormat="1" ht="12.5" hidden="1" customHeight="1">
      <c r="C67" s="1"/>
      <c r="D67" s="1"/>
      <c r="E67" s="127"/>
      <c r="F67" s="1"/>
      <c r="G67" s="1"/>
      <c r="H67" s="1"/>
      <c r="I67" s="1"/>
      <c r="J67" s="1"/>
      <c r="K67" s="1"/>
      <c r="L67" s="1"/>
      <c r="M67" s="1"/>
      <c r="N67" s="1"/>
      <c r="O67" s="1"/>
      <c r="P67" s="50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3:57" s="49" customFormat="1" ht="12.5" hidden="1" customHeight="1">
      <c r="C68" s="1"/>
      <c r="D68" s="1"/>
      <c r="E68" s="127"/>
      <c r="F68" s="1"/>
      <c r="G68" s="1"/>
      <c r="H68" s="1"/>
      <c r="I68" s="1"/>
      <c r="J68" s="1"/>
      <c r="K68" s="1"/>
      <c r="L68" s="1"/>
      <c r="M68" s="1"/>
      <c r="N68" s="1"/>
      <c r="O68" s="1"/>
      <c r="P68" s="5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3:57" s="49" customFormat="1" ht="12.5" hidden="1" customHeight="1">
      <c r="C69" s="1"/>
      <c r="D69" s="1"/>
      <c r="E69" s="127"/>
      <c r="F69" s="1"/>
      <c r="G69" s="1"/>
      <c r="H69" s="1"/>
      <c r="I69" s="1"/>
      <c r="J69" s="1"/>
      <c r="K69" s="1"/>
      <c r="L69" s="1"/>
      <c r="M69" s="1"/>
      <c r="N69" s="1"/>
      <c r="O69" s="1"/>
      <c r="P69" s="5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3:57" s="49" customFormat="1" ht="12.5" hidden="1" customHeight="1">
      <c r="C70" s="1"/>
      <c r="D70" s="1"/>
      <c r="E70" s="127"/>
      <c r="F70" s="1"/>
      <c r="G70" s="1"/>
      <c r="H70" s="1"/>
      <c r="I70" s="1"/>
      <c r="J70" s="1"/>
      <c r="K70" s="1"/>
      <c r="L70" s="1"/>
      <c r="M70" s="1"/>
      <c r="N70" s="1"/>
      <c r="O70" s="1"/>
      <c r="P70" s="5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3:57" s="49" customFormat="1" ht="12.5" hidden="1" customHeight="1">
      <c r="C71" s="1"/>
      <c r="D71" s="1"/>
      <c r="E71" s="127"/>
      <c r="F71" s="1"/>
      <c r="G71" s="1"/>
      <c r="H71" s="1"/>
      <c r="I71" s="1"/>
      <c r="J71" s="1"/>
      <c r="K71" s="1"/>
      <c r="L71" s="1"/>
      <c r="M71" s="1"/>
      <c r="N71" s="1"/>
      <c r="O71" s="1"/>
      <c r="P71" s="5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3:57" s="49" customFormat="1" ht="12.5" hidden="1" customHeight="1">
      <c r="C72" s="1"/>
      <c r="D72" s="1"/>
      <c r="E72" s="127"/>
      <c r="F72" s="1"/>
      <c r="G72" s="1"/>
      <c r="H72" s="1"/>
      <c r="I72" s="1"/>
      <c r="J72" s="1"/>
      <c r="K72" s="1"/>
      <c r="L72" s="1"/>
      <c r="M72" s="1"/>
      <c r="N72" s="1"/>
      <c r="O72" s="1"/>
      <c r="P72" s="5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3:57" s="49" customFormat="1" ht="12.5" hidden="1" customHeight="1">
      <c r="C73" s="1"/>
      <c r="D73" s="1"/>
      <c r="E73" s="127"/>
      <c r="F73" s="1"/>
      <c r="G73" s="1"/>
      <c r="H73" s="1"/>
      <c r="I73" s="1"/>
      <c r="J73" s="1"/>
      <c r="K73" s="1"/>
      <c r="L73" s="1"/>
      <c r="M73" s="1"/>
      <c r="N73" s="1"/>
      <c r="O73" s="1"/>
      <c r="P73" s="5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3:57" s="49" customFormat="1" ht="12.5" hidden="1" customHeight="1">
      <c r="C74" s="1"/>
      <c r="D74" s="1"/>
      <c r="E74" s="127"/>
      <c r="F74" s="1"/>
      <c r="G74" s="1"/>
      <c r="H74" s="1"/>
      <c r="I74" s="1"/>
      <c r="J74" s="1"/>
      <c r="K74" s="1"/>
      <c r="L74" s="1"/>
      <c r="M74" s="1"/>
      <c r="N74" s="1"/>
      <c r="O74" s="1"/>
      <c r="P74" s="5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3:57" s="49" customFormat="1" ht="12.5" hidden="1" customHeight="1">
      <c r="C75" s="1"/>
      <c r="D75" s="1"/>
      <c r="E75" s="127"/>
      <c r="F75" s="1"/>
      <c r="G75" s="1"/>
      <c r="H75" s="1"/>
      <c r="I75" s="1"/>
      <c r="J75" s="1"/>
      <c r="K75" s="1"/>
      <c r="L75" s="1"/>
      <c r="M75" s="1"/>
      <c r="N75" s="1"/>
      <c r="O75" s="1"/>
      <c r="P75" s="5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3:57" s="49" customFormat="1" ht="12.5" hidden="1" customHeight="1">
      <c r="C76" s="1"/>
      <c r="D76" s="1"/>
      <c r="E76" s="127"/>
      <c r="F76" s="1"/>
      <c r="G76" s="1"/>
      <c r="H76" s="1"/>
      <c r="I76" s="1"/>
      <c r="J76" s="1"/>
      <c r="K76" s="1"/>
      <c r="L76" s="1"/>
      <c r="M76" s="1"/>
      <c r="N76" s="1"/>
      <c r="O76" s="1"/>
      <c r="P76" s="50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3:57" s="49" customFormat="1" ht="12.5" hidden="1" customHeight="1">
      <c r="C77" s="1"/>
      <c r="D77" s="1"/>
      <c r="E77" s="127"/>
      <c r="F77" s="1"/>
      <c r="G77" s="1"/>
      <c r="H77" s="1"/>
      <c r="I77" s="1"/>
      <c r="J77" s="1"/>
      <c r="K77" s="1"/>
      <c r="L77" s="1"/>
      <c r="M77" s="1"/>
      <c r="N77" s="1"/>
      <c r="O77" s="1"/>
      <c r="P77" s="50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3:57" s="49" customFormat="1" ht="12.5" hidden="1" customHeight="1">
      <c r="C78" s="1"/>
      <c r="D78" s="1"/>
      <c r="E78" s="127"/>
      <c r="F78" s="1"/>
      <c r="G78" s="1"/>
      <c r="H78" s="1"/>
      <c r="I78" s="1"/>
      <c r="J78" s="1"/>
      <c r="K78" s="1"/>
      <c r="L78" s="1"/>
      <c r="M78" s="1"/>
      <c r="N78" s="1"/>
      <c r="O78" s="1"/>
      <c r="P78" s="50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3:57" s="49" customFormat="1" ht="12.5" hidden="1" customHeight="1">
      <c r="C79" s="1"/>
      <c r="D79" s="1"/>
      <c r="E79" s="127"/>
      <c r="F79" s="1"/>
      <c r="G79" s="1"/>
      <c r="H79" s="1"/>
      <c r="I79" s="1"/>
      <c r="J79" s="1"/>
      <c r="K79" s="1"/>
      <c r="L79" s="1"/>
      <c r="M79" s="1"/>
      <c r="N79" s="1"/>
      <c r="O79" s="1"/>
      <c r="P79" s="50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3:57" s="49" customFormat="1" ht="12.5" hidden="1" customHeight="1">
      <c r="C80" s="1"/>
      <c r="D80" s="1"/>
      <c r="E80" s="127"/>
      <c r="F80" s="1"/>
      <c r="G80" s="1"/>
      <c r="H80" s="1"/>
      <c r="I80" s="1"/>
      <c r="J80" s="1"/>
      <c r="K80" s="1"/>
      <c r="L80" s="1"/>
      <c r="M80" s="1"/>
      <c r="N80" s="1"/>
      <c r="O80" s="1"/>
      <c r="P80" s="5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3:57" s="49" customFormat="1" ht="12.5" hidden="1" customHeight="1">
      <c r="C81" s="1"/>
      <c r="D81" s="1"/>
      <c r="E81" s="127"/>
      <c r="F81" s="1"/>
      <c r="G81" s="1"/>
      <c r="H81" s="1"/>
      <c r="I81" s="1"/>
      <c r="J81" s="1"/>
      <c r="K81" s="1"/>
      <c r="L81" s="1"/>
      <c r="M81" s="1"/>
      <c r="N81" s="1"/>
      <c r="O81" s="1"/>
      <c r="P81" s="50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3:57" s="49" customFormat="1" ht="12.5" hidden="1" customHeight="1">
      <c r="C82" s="1"/>
      <c r="D82" s="1"/>
      <c r="E82" s="127"/>
      <c r="F82" s="1"/>
      <c r="G82" s="1"/>
      <c r="H82" s="1"/>
      <c r="I82" s="1"/>
      <c r="J82" s="1"/>
      <c r="K82" s="1"/>
      <c r="L82" s="1"/>
      <c r="M82" s="1"/>
      <c r="N82" s="1"/>
      <c r="O82" s="1"/>
      <c r="P82" s="5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3:57" s="49" customFormat="1" ht="12.5" hidden="1" customHeight="1">
      <c r="C83" s="1"/>
      <c r="D83" s="1"/>
      <c r="E83" s="127"/>
      <c r="F83" s="1"/>
      <c r="G83" s="1"/>
      <c r="H83" s="1"/>
      <c r="I83" s="1"/>
      <c r="J83" s="1"/>
      <c r="K83" s="1"/>
      <c r="L83" s="1"/>
      <c r="M83" s="1"/>
      <c r="N83" s="1"/>
      <c r="O83" s="1"/>
      <c r="P83" s="5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3:57" s="49" customFormat="1" ht="12.5" hidden="1" customHeight="1">
      <c r="C84" s="1"/>
      <c r="D84" s="1"/>
      <c r="E84" s="127"/>
      <c r="F84" s="1"/>
      <c r="G84" s="1"/>
      <c r="H84" s="1"/>
      <c r="I84" s="1"/>
      <c r="J84" s="1"/>
      <c r="K84" s="1"/>
      <c r="L84" s="1"/>
      <c r="M84" s="1"/>
      <c r="N84" s="1"/>
      <c r="O84" s="1"/>
      <c r="P84" s="5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3:57" s="49" customFormat="1" ht="12.5" hidden="1" customHeight="1">
      <c r="C85" s="1"/>
      <c r="D85" s="1"/>
      <c r="E85" s="127"/>
      <c r="F85" s="1"/>
      <c r="G85" s="1"/>
      <c r="H85" s="1"/>
      <c r="I85" s="1"/>
      <c r="J85" s="1"/>
      <c r="K85" s="1"/>
      <c r="L85" s="1"/>
      <c r="M85" s="1"/>
      <c r="N85" s="1"/>
      <c r="O85" s="1"/>
      <c r="P85" s="50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3:57" s="49" customFormat="1" ht="12.5" hidden="1" customHeight="1">
      <c r="C86" s="1"/>
      <c r="D86" s="2"/>
      <c r="E86" s="61"/>
      <c r="F86" s="7"/>
      <c r="G86" s="7"/>
      <c r="H86" s="7"/>
      <c r="I86" s="7"/>
      <c r="J86" s="7"/>
      <c r="K86" s="7"/>
      <c r="L86" s="7"/>
      <c r="M86" s="7"/>
      <c r="N86" s="1"/>
      <c r="O86" s="1"/>
      <c r="P86" s="50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3:57" s="49" customFormat="1" ht="12.5" hidden="1" customHeight="1">
      <c r="C87" s="1"/>
      <c r="D87" s="2"/>
      <c r="E87" s="61"/>
      <c r="F87" s="7"/>
      <c r="G87" s="7"/>
      <c r="H87" s="7"/>
      <c r="I87" s="7"/>
      <c r="J87" s="7"/>
      <c r="K87" s="7"/>
      <c r="L87" s="7"/>
      <c r="M87" s="7"/>
      <c r="N87" s="1"/>
      <c r="O87" s="1"/>
      <c r="P87" s="50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3:57" s="49" customFormat="1" ht="12.5" hidden="1" customHeight="1">
      <c r="C88" s="1"/>
      <c r="D88" s="1"/>
      <c r="E88" s="127"/>
      <c r="F88" s="1"/>
      <c r="G88" s="1"/>
      <c r="H88" s="1"/>
      <c r="I88" s="1"/>
      <c r="J88" s="1"/>
      <c r="K88" s="1"/>
      <c r="L88" s="1"/>
      <c r="M88" s="1"/>
      <c r="N88" s="1"/>
      <c r="O88" s="1"/>
      <c r="P88" s="5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3:57" s="49" customFormat="1" ht="12.5" hidden="1" customHeight="1">
      <c r="C89" s="1"/>
      <c r="D89" s="1"/>
      <c r="E89" s="127"/>
      <c r="F89" s="1"/>
      <c r="G89" s="1"/>
      <c r="H89" s="1"/>
      <c r="I89" s="1"/>
      <c r="J89" s="1"/>
      <c r="K89" s="1"/>
      <c r="L89" s="1"/>
      <c r="M89" s="1"/>
      <c r="N89" s="1"/>
      <c r="O89" s="1"/>
      <c r="P89" s="50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3:57" s="49" customFormat="1" ht="12.5" hidden="1" customHeight="1">
      <c r="C90" s="1"/>
      <c r="D90" s="1"/>
      <c r="E90" s="127"/>
      <c r="F90" s="1"/>
      <c r="G90" s="1"/>
      <c r="H90" s="1"/>
      <c r="I90" s="1"/>
      <c r="J90" s="1"/>
      <c r="K90" s="1"/>
      <c r="L90" s="1"/>
      <c r="M90" s="1"/>
      <c r="N90" s="1"/>
      <c r="O90" s="1"/>
      <c r="P90" s="50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3:57" s="49" customFormat="1" ht="12.5" hidden="1" customHeight="1">
      <c r="C91" s="1"/>
      <c r="D91" s="1"/>
      <c r="E91" s="127"/>
      <c r="F91" s="1"/>
      <c r="G91" s="1"/>
      <c r="H91" s="1"/>
      <c r="I91" s="1"/>
      <c r="J91" s="1"/>
      <c r="K91" s="1"/>
      <c r="L91" s="1"/>
      <c r="M91" s="1"/>
      <c r="N91" s="1"/>
      <c r="O91" s="1"/>
      <c r="P91" s="50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3:57" s="49" customFormat="1" ht="12.5" hidden="1" customHeight="1">
      <c r="C92" s="1"/>
      <c r="D92" s="1"/>
      <c r="E92" s="127"/>
      <c r="F92" s="1"/>
      <c r="G92" s="1"/>
      <c r="H92" s="1"/>
      <c r="I92" s="1"/>
      <c r="J92" s="1"/>
      <c r="K92" s="1"/>
      <c r="L92" s="1"/>
      <c r="M92" s="1"/>
      <c r="N92" s="1"/>
      <c r="O92" s="1"/>
      <c r="P92" s="50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3:57" s="49" customFormat="1" ht="12.5" hidden="1" customHeight="1">
      <c r="C93" s="1"/>
      <c r="D93" s="1"/>
      <c r="E93" s="127"/>
      <c r="F93" s="1"/>
      <c r="G93" s="1"/>
      <c r="H93" s="1"/>
      <c r="I93" s="1"/>
      <c r="J93" s="1"/>
      <c r="K93" s="1"/>
      <c r="L93" s="1"/>
      <c r="M93" s="1"/>
      <c r="N93" s="1"/>
      <c r="O93" s="1"/>
      <c r="P93" s="50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3:57" s="49" customFormat="1" ht="12.5" hidden="1" customHeight="1">
      <c r="C94" s="1"/>
      <c r="D94" s="1"/>
      <c r="E94" s="127"/>
      <c r="F94" s="1"/>
      <c r="G94" s="1"/>
      <c r="H94" s="1"/>
      <c r="I94" s="1"/>
      <c r="J94" s="1"/>
      <c r="K94" s="1"/>
      <c r="L94" s="1"/>
      <c r="M94" s="1"/>
      <c r="N94" s="1"/>
      <c r="O94" s="1"/>
      <c r="P94" s="50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3:57" s="49" customFormat="1" ht="12.5" hidden="1" customHeight="1">
      <c r="C95" s="1"/>
      <c r="D95" s="1"/>
      <c r="E95" s="127"/>
      <c r="F95" s="1"/>
      <c r="G95" s="1"/>
      <c r="H95" s="1"/>
      <c r="I95" s="1"/>
      <c r="J95" s="1"/>
      <c r="K95" s="1"/>
      <c r="L95" s="1"/>
      <c r="M95" s="1"/>
      <c r="N95" s="1"/>
      <c r="O95" s="1"/>
      <c r="P95" s="50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3:57" s="49" customFormat="1" ht="12.5" hidden="1" customHeight="1">
      <c r="C96" s="1"/>
      <c r="D96" s="1"/>
      <c r="E96" s="127"/>
      <c r="F96" s="1"/>
      <c r="G96" s="1"/>
      <c r="H96" s="1"/>
      <c r="I96" s="1"/>
      <c r="J96" s="1"/>
      <c r="K96" s="1"/>
      <c r="L96" s="1"/>
      <c r="M96" s="1"/>
      <c r="N96" s="1"/>
      <c r="O96" s="1"/>
      <c r="P96" s="5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3:57" s="49" customFormat="1" ht="12.5" hidden="1" customHeight="1">
      <c r="C97" s="1"/>
      <c r="D97" s="1"/>
      <c r="E97" s="127"/>
      <c r="F97" s="1"/>
      <c r="G97" s="1"/>
      <c r="H97" s="1"/>
      <c r="I97" s="1"/>
      <c r="J97" s="1"/>
      <c r="K97" s="1"/>
      <c r="L97" s="1"/>
      <c r="M97" s="1"/>
      <c r="N97" s="1"/>
      <c r="O97" s="1"/>
      <c r="P97" s="50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3:57" s="49" customFormat="1" ht="12.5" hidden="1" customHeight="1">
      <c r="C98" s="1"/>
      <c r="D98" s="1"/>
      <c r="E98" s="127"/>
      <c r="F98" s="1"/>
      <c r="G98" s="1"/>
      <c r="H98" s="1"/>
      <c r="I98" s="1"/>
      <c r="J98" s="1"/>
      <c r="K98" s="1"/>
      <c r="L98" s="1"/>
      <c r="M98" s="1"/>
      <c r="N98" s="1"/>
      <c r="O98" s="1"/>
      <c r="P98" s="50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3:57" s="49" customFormat="1" ht="12.5" hidden="1" customHeight="1">
      <c r="C99" s="1"/>
      <c r="D99" s="1"/>
      <c r="E99" s="127"/>
      <c r="F99" s="1"/>
      <c r="G99" s="1"/>
      <c r="H99" s="1"/>
      <c r="I99" s="1"/>
      <c r="J99" s="1"/>
      <c r="K99" s="1"/>
      <c r="L99" s="1"/>
      <c r="M99" s="1"/>
      <c r="N99" s="1"/>
      <c r="O99" s="1"/>
      <c r="P99" s="5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3:57" s="49" customFormat="1" ht="12.5" hidden="1" customHeight="1">
      <c r="C100" s="1"/>
      <c r="D100" s="1"/>
      <c r="E100" s="12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5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3:57" s="49" customFormat="1" ht="12.5" hidden="1" customHeight="1">
      <c r="C101" s="1"/>
      <c r="D101" s="1"/>
      <c r="E101" s="12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5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3:57" s="49" customFormat="1" ht="12.5" hidden="1" customHeight="1">
      <c r="C102" s="1"/>
      <c r="D102" s="1"/>
      <c r="E102" s="12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50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3:57" s="49" customFormat="1" ht="12.5" hidden="1" customHeight="1">
      <c r="C103" s="1"/>
      <c r="D103" s="1"/>
      <c r="E103" s="12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50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3:57" s="49" customFormat="1" ht="12.5" hidden="1" customHeight="1">
      <c r="C104" s="1"/>
      <c r="D104" s="1"/>
      <c r="E104" s="12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5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3:57" s="49" customFormat="1" ht="12.5" hidden="1" customHeight="1">
      <c r="C105" s="1"/>
      <c r="D105" s="1"/>
      <c r="E105" s="12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50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3:57" s="49" customFormat="1" ht="12.5" hidden="1" customHeight="1">
      <c r="C106" s="1"/>
      <c r="D106" s="1"/>
      <c r="E106" s="12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50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3:57" s="49" customFormat="1" ht="12.5" hidden="1" customHeight="1">
      <c r="C107" s="1"/>
      <c r="D107" s="1"/>
      <c r="E107" s="12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50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3:57" s="49" customFormat="1" ht="12.5" hidden="1" customHeight="1">
      <c r="C108" s="1"/>
      <c r="D108" s="1"/>
      <c r="E108" s="12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50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3:57" s="49" customFormat="1" ht="12.5" hidden="1" customHeight="1">
      <c r="C109" s="1"/>
      <c r="D109" s="1"/>
      <c r="E109" s="12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50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3:57" s="49" customFormat="1" ht="12.5" hidden="1" customHeight="1">
      <c r="C110" s="1"/>
      <c r="D110" s="1"/>
      <c r="E110" s="12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50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3:57" s="49" customFormat="1" ht="12.5" hidden="1" customHeight="1">
      <c r="C111" s="1"/>
      <c r="D111" s="1"/>
      <c r="E111" s="12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50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3:57" s="49" customFormat="1" ht="12.5" hidden="1" customHeight="1">
      <c r="C112" s="1"/>
      <c r="D112" s="1"/>
      <c r="E112" s="12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50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3:57" s="49" customFormat="1" ht="12.5" hidden="1" customHeight="1">
      <c r="C113" s="1"/>
      <c r="D113" s="1"/>
      <c r="E113" s="12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50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3:57" s="49" customFormat="1" ht="12.5" hidden="1" customHeight="1">
      <c r="C114" s="1"/>
      <c r="D114" s="1"/>
      <c r="E114" s="1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50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3:57" s="49" customFormat="1" ht="12.5" hidden="1" customHeight="1">
      <c r="C115" s="1"/>
      <c r="D115" s="1"/>
      <c r="E115" s="12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50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3:57" s="49" customFormat="1" ht="12.5" hidden="1" customHeight="1">
      <c r="C116" s="1"/>
      <c r="D116" s="1"/>
      <c r="E116" s="12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50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3:57" s="49" customFormat="1" ht="12.5" hidden="1" customHeight="1">
      <c r="C117" s="1"/>
      <c r="D117" s="1"/>
      <c r="E117" s="12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50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3:57" s="49" customFormat="1" ht="12.5" hidden="1" customHeight="1">
      <c r="C118" s="1"/>
      <c r="D118" s="1"/>
      <c r="E118" s="12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50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3:57" s="49" customFormat="1" ht="12.5" hidden="1" customHeight="1">
      <c r="C119" s="1"/>
      <c r="D119" s="1"/>
      <c r="E119" s="12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50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3:57" s="49" customFormat="1" ht="12.5" hidden="1" customHeight="1">
      <c r="C120" s="1"/>
      <c r="D120" s="1"/>
      <c r="E120" s="12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50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3:57" s="49" customFormat="1" ht="12.5" hidden="1" customHeight="1">
      <c r="C121" s="1"/>
      <c r="D121" s="1"/>
      <c r="E121" s="12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50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3:57" s="49" customFormat="1" ht="12.5" hidden="1" customHeight="1">
      <c r="C122" s="1"/>
      <c r="D122" s="1"/>
      <c r="E122" s="12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50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3:57" s="49" customFormat="1" ht="12.5" hidden="1" customHeight="1">
      <c r="C123" s="1"/>
      <c r="D123" s="1"/>
      <c r="E123" s="12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50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3:57" s="49" customFormat="1" ht="12.5" hidden="1" customHeight="1">
      <c r="C124" s="1"/>
      <c r="D124" s="1"/>
      <c r="E124" s="12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50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3:57" s="49" customFormat="1" ht="12.5" hidden="1" customHeight="1">
      <c r="C125" s="1"/>
      <c r="D125" s="1"/>
      <c r="E125" s="12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50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3:57" s="49" customFormat="1" ht="12.5" hidden="1" customHeight="1">
      <c r="C126" s="1"/>
      <c r="D126" s="1"/>
      <c r="E126" s="12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50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3:57" s="49" customFormat="1" ht="12.5" hidden="1" customHeight="1">
      <c r="C127" s="1"/>
      <c r="D127" s="1"/>
      <c r="E127" s="12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50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3:57" s="49" customFormat="1" ht="12.5" hidden="1" customHeight="1">
      <c r="C128" s="1"/>
      <c r="D128" s="1"/>
      <c r="E128" s="12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50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3:57" s="49" customFormat="1" ht="12.5" hidden="1" customHeight="1">
      <c r="C129" s="1"/>
      <c r="D129" s="1"/>
      <c r="E129" s="12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50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</sheetData>
  <mergeCells count="11">
    <mergeCell ref="H7:H8"/>
    <mergeCell ref="C7:C8"/>
    <mergeCell ref="D7:D8"/>
    <mergeCell ref="E7:E8"/>
    <mergeCell ref="F7:F8"/>
    <mergeCell ref="G7:G8"/>
    <mergeCell ref="J7:J8"/>
    <mergeCell ref="K7:K8"/>
    <mergeCell ref="L7:L8"/>
    <mergeCell ref="M7:M8"/>
    <mergeCell ref="I7:I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13"/>
  <sheetViews>
    <sheetView showGridLines="0" zoomScale="150" zoomScaleNormal="80" workbookViewId="0">
      <selection activeCell="F4" sqref="F4"/>
    </sheetView>
  </sheetViews>
  <sheetFormatPr baseColWidth="10" defaultColWidth="0" defaultRowHeight="13"/>
  <cols>
    <col min="1" max="2" width="1.33203125" style="1" customWidth="1"/>
    <col min="3" max="3" width="4.33203125" style="1" customWidth="1"/>
    <col min="4" max="4" width="26.83203125" style="1" customWidth="1"/>
    <col min="5" max="6" width="26.6640625" style="1" customWidth="1"/>
    <col min="7" max="7" width="26.5" style="1" customWidth="1"/>
    <col min="8" max="9" width="1.83203125" style="1" customWidth="1"/>
    <col min="10" max="16384" width="8.83203125" style="1" hidden="1"/>
  </cols>
  <sheetData>
    <row r="2" spans="3:7" ht="2" customHeight="1"/>
    <row r="3" spans="3:7" ht="2" customHeight="1">
      <c r="C3" s="31"/>
      <c r="D3" s="31"/>
      <c r="E3" s="31"/>
      <c r="F3" s="31"/>
      <c r="G3" s="31"/>
    </row>
    <row r="4" spans="3:7">
      <c r="D4" s="79" t="s">
        <v>182</v>
      </c>
      <c r="E4" s="3" t="s">
        <v>15</v>
      </c>
      <c r="F4" s="44">
        <f>zalozenia!F59</f>
        <v>1484340.6240000001</v>
      </c>
    </row>
    <row r="5" spans="3:7">
      <c r="D5" s="79" t="s">
        <v>189</v>
      </c>
      <c r="E5" s="3" t="s">
        <v>9</v>
      </c>
      <c r="F5" s="28">
        <f>zalozenia!F60</f>
        <v>5.0999999999999997E-2</v>
      </c>
    </row>
    <row r="6" spans="3:7">
      <c r="D6" s="79" t="s">
        <v>36</v>
      </c>
      <c r="E6" s="3" t="s">
        <v>9</v>
      </c>
      <c r="F6" s="28">
        <f>zalozenia!F61</f>
        <v>1.4999999999999999E-2</v>
      </c>
    </row>
    <row r="7" spans="3:7">
      <c r="D7" s="79" t="s">
        <v>55</v>
      </c>
      <c r="E7" s="3" t="s">
        <v>57</v>
      </c>
      <c r="F7" s="27">
        <f>zalozenia!F62</f>
        <v>15</v>
      </c>
    </row>
    <row r="8" spans="3:7">
      <c r="D8" s="79" t="s">
        <v>183</v>
      </c>
      <c r="E8" s="3" t="s">
        <v>184</v>
      </c>
      <c r="F8" s="27">
        <v>12</v>
      </c>
    </row>
    <row r="9" spans="3:7">
      <c r="D9" s="79" t="s">
        <v>181</v>
      </c>
      <c r="E9" s="3" t="s">
        <v>15</v>
      </c>
      <c r="F9" s="80">
        <f>PMT(F5/F8,F7*F8,-F4,0,0)</f>
        <v>11815.538644233979</v>
      </c>
    </row>
    <row r="10" spans="3:7" ht="2" customHeight="1"/>
    <row r="11" spans="3:7" ht="2" customHeight="1">
      <c r="C11" s="31"/>
      <c r="D11" s="31"/>
      <c r="E11" s="31"/>
      <c r="F11" s="31"/>
      <c r="G11" s="31"/>
    </row>
    <row r="12" spans="3:7">
      <c r="C12" s="38" t="s">
        <v>0</v>
      </c>
      <c r="D12" s="81" t="s">
        <v>185</v>
      </c>
      <c r="E12" s="81" t="s">
        <v>186</v>
      </c>
      <c r="F12" s="81" t="s">
        <v>187</v>
      </c>
      <c r="G12" s="81" t="s">
        <v>188</v>
      </c>
    </row>
    <row r="13" spans="3:7">
      <c r="C13" s="2">
        <v>0</v>
      </c>
      <c r="D13" s="12">
        <f>F4*F6</f>
        <v>22265.109359999999</v>
      </c>
      <c r="E13" s="12">
        <v>0</v>
      </c>
      <c r="F13" s="12">
        <v>0</v>
      </c>
      <c r="G13" s="12">
        <f>F4</f>
        <v>1484340.6240000001</v>
      </c>
    </row>
    <row r="14" spans="3:7">
      <c r="C14" s="2">
        <v>1</v>
      </c>
      <c r="D14" s="12">
        <f>IF(C14&lt;=$F$7*$F$8,$F$9,0)</f>
        <v>11815.538644233979</v>
      </c>
      <c r="E14" s="12">
        <f>G13*$F$5/$F$8</f>
        <v>6308.4476519999998</v>
      </c>
      <c r="F14" s="12">
        <f>D14-E14</f>
        <v>5507.0909922339788</v>
      </c>
      <c r="G14" s="12">
        <f>G13-F14</f>
        <v>1478833.5330077661</v>
      </c>
    </row>
    <row r="15" spans="3:7">
      <c r="C15" s="2">
        <v>2</v>
      </c>
      <c r="D15" s="12">
        <f t="shared" ref="D15:D78" si="0">IF(C15&lt;=$F$7*$F$8,$F$9,0)</f>
        <v>11815.538644233979</v>
      </c>
      <c r="E15" s="12">
        <f t="shared" ref="E15:E78" si="1">G14*$F$5/$F$8</f>
        <v>6285.0425152830057</v>
      </c>
      <c r="F15" s="12">
        <f t="shared" ref="F15:F78" si="2">D15-E15</f>
        <v>5530.4961289509729</v>
      </c>
      <c r="G15" s="12">
        <f t="shared" ref="G15:G78" si="3">G14-F15</f>
        <v>1473303.0368788152</v>
      </c>
    </row>
    <row r="16" spans="3:7">
      <c r="C16" s="2">
        <v>3</v>
      </c>
      <c r="D16" s="12">
        <f t="shared" si="0"/>
        <v>11815.538644233979</v>
      </c>
      <c r="E16" s="12">
        <f t="shared" si="1"/>
        <v>6261.5379067349641</v>
      </c>
      <c r="F16" s="12">
        <f t="shared" si="2"/>
        <v>5554.0007374990146</v>
      </c>
      <c r="G16" s="12">
        <f t="shared" si="3"/>
        <v>1467749.0361413162</v>
      </c>
    </row>
    <row r="17" spans="3:7">
      <c r="C17" s="2">
        <v>4</v>
      </c>
      <c r="D17" s="12">
        <f t="shared" si="0"/>
        <v>11815.538644233979</v>
      </c>
      <c r="E17" s="12">
        <f t="shared" si="1"/>
        <v>6237.933403600593</v>
      </c>
      <c r="F17" s="12">
        <f t="shared" si="2"/>
        <v>5577.6052406333856</v>
      </c>
      <c r="G17" s="12">
        <f t="shared" si="3"/>
        <v>1462171.4309006827</v>
      </c>
    </row>
    <row r="18" spans="3:7">
      <c r="C18" s="2">
        <v>5</v>
      </c>
      <c r="D18" s="12">
        <f t="shared" si="0"/>
        <v>11815.538644233979</v>
      </c>
      <c r="E18" s="12">
        <f t="shared" si="1"/>
        <v>6214.2285813279013</v>
      </c>
      <c r="F18" s="12">
        <f t="shared" si="2"/>
        <v>5601.3100629060773</v>
      </c>
      <c r="G18" s="12">
        <f t="shared" si="3"/>
        <v>1456570.1208377767</v>
      </c>
    </row>
    <row r="19" spans="3:7">
      <c r="C19" s="2">
        <v>6</v>
      </c>
      <c r="D19" s="12">
        <f t="shared" si="0"/>
        <v>11815.538644233979</v>
      </c>
      <c r="E19" s="12">
        <f t="shared" si="1"/>
        <v>6190.4230135605503</v>
      </c>
      <c r="F19" s="12">
        <f t="shared" si="2"/>
        <v>5625.1156306734283</v>
      </c>
      <c r="G19" s="12">
        <f t="shared" si="3"/>
        <v>1450945.0052071032</v>
      </c>
    </row>
    <row r="20" spans="3:7">
      <c r="C20" s="2">
        <v>7</v>
      </c>
      <c r="D20" s="12">
        <f t="shared" si="0"/>
        <v>11815.538644233979</v>
      </c>
      <c r="E20" s="12">
        <f t="shared" si="1"/>
        <v>6166.5162721301886</v>
      </c>
      <c r="F20" s="12">
        <f t="shared" si="2"/>
        <v>5649.0223721037901</v>
      </c>
      <c r="G20" s="12">
        <f t="shared" si="3"/>
        <v>1445295.9828349994</v>
      </c>
    </row>
    <row r="21" spans="3:7">
      <c r="C21" s="2">
        <v>8</v>
      </c>
      <c r="D21" s="12">
        <f t="shared" si="0"/>
        <v>11815.538644233979</v>
      </c>
      <c r="E21" s="12">
        <f t="shared" si="1"/>
        <v>6142.5079270487477</v>
      </c>
      <c r="F21" s="12">
        <f t="shared" si="2"/>
        <v>5673.030717185231</v>
      </c>
      <c r="G21" s="12">
        <f t="shared" si="3"/>
        <v>1439622.9521178142</v>
      </c>
    </row>
    <row r="22" spans="3:7">
      <c r="C22" s="2">
        <v>9</v>
      </c>
      <c r="D22" s="12">
        <f t="shared" si="0"/>
        <v>11815.538644233979</v>
      </c>
      <c r="E22" s="12">
        <f t="shared" si="1"/>
        <v>6118.3975465007097</v>
      </c>
      <c r="F22" s="12">
        <f t="shared" si="2"/>
        <v>5697.1410977332689</v>
      </c>
      <c r="G22" s="12">
        <f t="shared" si="3"/>
        <v>1433925.8110200809</v>
      </c>
    </row>
    <row r="23" spans="3:7">
      <c r="C23" s="2">
        <v>10</v>
      </c>
      <c r="D23" s="12">
        <f t="shared" si="0"/>
        <v>11815.538644233979</v>
      </c>
      <c r="E23" s="12">
        <f t="shared" si="1"/>
        <v>6094.1846968353429</v>
      </c>
      <c r="F23" s="12">
        <f t="shared" si="2"/>
        <v>5721.3539473986357</v>
      </c>
      <c r="G23" s="12">
        <f t="shared" si="3"/>
        <v>1428204.4570726822</v>
      </c>
    </row>
    <row r="24" spans="3:7">
      <c r="C24" s="2">
        <v>11</v>
      </c>
      <c r="D24" s="12">
        <f t="shared" si="0"/>
        <v>11815.538644233979</v>
      </c>
      <c r="E24" s="12">
        <f t="shared" si="1"/>
        <v>6069.8689425588991</v>
      </c>
      <c r="F24" s="12">
        <f t="shared" si="2"/>
        <v>5745.6697016750795</v>
      </c>
      <c r="G24" s="12">
        <f t="shared" si="3"/>
        <v>1422458.787371007</v>
      </c>
    </row>
    <row r="25" spans="3:7">
      <c r="C25" s="2">
        <v>12</v>
      </c>
      <c r="D25" s="12">
        <f t="shared" si="0"/>
        <v>11815.538644233979</v>
      </c>
      <c r="E25" s="12">
        <f t="shared" si="1"/>
        <v>6045.4498463267801</v>
      </c>
      <c r="F25" s="12">
        <f t="shared" si="2"/>
        <v>5770.0887979071986</v>
      </c>
      <c r="G25" s="12">
        <f t="shared" si="3"/>
        <v>1416688.6985730999</v>
      </c>
    </row>
    <row r="26" spans="3:7">
      <c r="C26" s="2">
        <v>13</v>
      </c>
      <c r="D26" s="12">
        <f t="shared" si="0"/>
        <v>11815.538644233979</v>
      </c>
      <c r="E26" s="12">
        <f t="shared" si="1"/>
        <v>6020.9269689356743</v>
      </c>
      <c r="F26" s="12">
        <f t="shared" si="2"/>
        <v>5794.6116752983044</v>
      </c>
      <c r="G26" s="12">
        <f t="shared" si="3"/>
        <v>1410894.0868978016</v>
      </c>
    </row>
    <row r="27" spans="3:7">
      <c r="C27" s="2">
        <v>14</v>
      </c>
      <c r="D27" s="12">
        <f t="shared" si="0"/>
        <v>11815.538644233979</v>
      </c>
      <c r="E27" s="12">
        <f t="shared" si="1"/>
        <v>5996.299869315656</v>
      </c>
      <c r="F27" s="12">
        <f t="shared" si="2"/>
        <v>5819.2387749183226</v>
      </c>
      <c r="G27" s="12">
        <f t="shared" si="3"/>
        <v>1405074.8481228834</v>
      </c>
    </row>
    <row r="28" spans="3:7">
      <c r="C28" s="2">
        <v>15</v>
      </c>
      <c r="D28" s="12">
        <f t="shared" si="0"/>
        <v>11815.538644233979</v>
      </c>
      <c r="E28" s="12">
        <f t="shared" si="1"/>
        <v>5971.5681045222545</v>
      </c>
      <c r="F28" s="12">
        <f t="shared" si="2"/>
        <v>5843.9705397117241</v>
      </c>
      <c r="G28" s="12">
        <f t="shared" si="3"/>
        <v>1399230.8775831717</v>
      </c>
    </row>
    <row r="29" spans="3:7">
      <c r="C29" s="2">
        <v>16</v>
      </c>
      <c r="D29" s="12">
        <f t="shared" si="0"/>
        <v>11815.538644233979</v>
      </c>
      <c r="E29" s="12">
        <f t="shared" si="1"/>
        <v>5946.7312297284798</v>
      </c>
      <c r="F29" s="12">
        <f t="shared" si="2"/>
        <v>5868.8074145054989</v>
      </c>
      <c r="G29" s="12">
        <f t="shared" si="3"/>
        <v>1393362.0701686663</v>
      </c>
    </row>
    <row r="30" spans="3:7">
      <c r="C30" s="2">
        <v>17</v>
      </c>
      <c r="D30" s="12">
        <f t="shared" si="0"/>
        <v>11815.538644233979</v>
      </c>
      <c r="E30" s="12">
        <f t="shared" si="1"/>
        <v>5921.7887982168313</v>
      </c>
      <c r="F30" s="12">
        <f t="shared" si="2"/>
        <v>5893.7498460171473</v>
      </c>
      <c r="G30" s="12">
        <f t="shared" si="3"/>
        <v>1387468.3203226491</v>
      </c>
    </row>
    <row r="31" spans="3:7">
      <c r="C31" s="2">
        <v>18</v>
      </c>
      <c r="D31" s="12">
        <f t="shared" si="0"/>
        <v>11815.538644233979</v>
      </c>
      <c r="E31" s="12">
        <f t="shared" si="1"/>
        <v>5896.7403613712586</v>
      </c>
      <c r="F31" s="12">
        <f t="shared" si="2"/>
        <v>5918.79828286272</v>
      </c>
      <c r="G31" s="12">
        <f t="shared" si="3"/>
        <v>1381549.5220397864</v>
      </c>
    </row>
    <row r="32" spans="3:7">
      <c r="C32" s="2">
        <v>19</v>
      </c>
      <c r="D32" s="12">
        <f t="shared" si="0"/>
        <v>11815.538644233979</v>
      </c>
      <c r="E32" s="12">
        <f t="shared" si="1"/>
        <v>5871.5854686690918</v>
      </c>
      <c r="F32" s="12">
        <f t="shared" si="2"/>
        <v>5943.9531755648868</v>
      </c>
      <c r="G32" s="12">
        <f t="shared" si="3"/>
        <v>1375605.5688642215</v>
      </c>
    </row>
    <row r="33" spans="3:7">
      <c r="C33" s="2">
        <v>20</v>
      </c>
      <c r="D33" s="12">
        <f t="shared" si="0"/>
        <v>11815.538644233979</v>
      </c>
      <c r="E33" s="12">
        <f t="shared" si="1"/>
        <v>5846.3236676729402</v>
      </c>
      <c r="F33" s="12">
        <f t="shared" si="2"/>
        <v>5969.2149765610384</v>
      </c>
      <c r="G33" s="12">
        <f t="shared" si="3"/>
        <v>1369636.3538876604</v>
      </c>
    </row>
    <row r="34" spans="3:7">
      <c r="C34" s="2">
        <v>21</v>
      </c>
      <c r="D34" s="12">
        <f t="shared" si="0"/>
        <v>11815.538644233979</v>
      </c>
      <c r="E34" s="12">
        <f t="shared" si="1"/>
        <v>5820.9545040225566</v>
      </c>
      <c r="F34" s="12">
        <f t="shared" si="2"/>
        <v>5994.584140211422</v>
      </c>
      <c r="G34" s="12">
        <f t="shared" si="3"/>
        <v>1363641.7697474491</v>
      </c>
    </row>
    <row r="35" spans="3:7">
      <c r="C35" s="2">
        <v>22</v>
      </c>
      <c r="D35" s="12">
        <f t="shared" si="0"/>
        <v>11815.538644233979</v>
      </c>
      <c r="E35" s="12">
        <f t="shared" si="1"/>
        <v>5795.4775214266583</v>
      </c>
      <c r="F35" s="12">
        <f t="shared" si="2"/>
        <v>6020.0611228073203</v>
      </c>
      <c r="G35" s="12">
        <f t="shared" si="3"/>
        <v>1357621.7086246419</v>
      </c>
    </row>
    <row r="36" spans="3:7">
      <c r="C36" s="2">
        <v>23</v>
      </c>
      <c r="D36" s="12">
        <f t="shared" si="0"/>
        <v>11815.538644233979</v>
      </c>
      <c r="E36" s="12">
        <f t="shared" si="1"/>
        <v>5769.8922616547279</v>
      </c>
      <c r="F36" s="12">
        <f t="shared" si="2"/>
        <v>6045.6463825792507</v>
      </c>
      <c r="G36" s="12">
        <f t="shared" si="3"/>
        <v>1351576.0622420625</v>
      </c>
    </row>
    <row r="37" spans="3:7">
      <c r="C37" s="2">
        <v>24</v>
      </c>
      <c r="D37" s="12">
        <f t="shared" si="0"/>
        <v>11815.538644233979</v>
      </c>
      <c r="E37" s="12">
        <f t="shared" si="1"/>
        <v>5744.1982645287653</v>
      </c>
      <c r="F37" s="12">
        <f t="shared" si="2"/>
        <v>6071.3403797052133</v>
      </c>
      <c r="G37" s="12">
        <f t="shared" si="3"/>
        <v>1345504.7218623573</v>
      </c>
    </row>
    <row r="38" spans="3:7">
      <c r="C38" s="2">
        <v>25</v>
      </c>
      <c r="D38" s="12">
        <f t="shared" si="0"/>
        <v>11815.538644233979</v>
      </c>
      <c r="E38" s="12">
        <f t="shared" si="1"/>
        <v>5718.3950679150184</v>
      </c>
      <c r="F38" s="12">
        <f t="shared" si="2"/>
        <v>6097.1435763189602</v>
      </c>
      <c r="G38" s="12">
        <f t="shared" si="3"/>
        <v>1339407.5782860385</v>
      </c>
    </row>
    <row r="39" spans="3:7">
      <c r="C39" s="2">
        <v>26</v>
      </c>
      <c r="D39" s="12">
        <f t="shared" si="0"/>
        <v>11815.538644233979</v>
      </c>
      <c r="E39" s="12">
        <f t="shared" si="1"/>
        <v>5692.4822077156632</v>
      </c>
      <c r="F39" s="12">
        <f t="shared" si="2"/>
        <v>6123.0564365183154</v>
      </c>
      <c r="G39" s="12">
        <f t="shared" si="3"/>
        <v>1333284.5218495203</v>
      </c>
    </row>
    <row r="40" spans="3:7">
      <c r="C40" s="2">
        <v>27</v>
      </c>
      <c r="D40" s="12">
        <f t="shared" si="0"/>
        <v>11815.538644233979</v>
      </c>
      <c r="E40" s="12">
        <f t="shared" si="1"/>
        <v>5666.4592178604607</v>
      </c>
      <c r="F40" s="12">
        <f t="shared" si="2"/>
        <v>6149.0794263735179</v>
      </c>
      <c r="G40" s="12">
        <f t="shared" si="3"/>
        <v>1327135.4424231467</v>
      </c>
    </row>
    <row r="41" spans="3:7">
      <c r="C41" s="2">
        <v>28</v>
      </c>
      <c r="D41" s="12">
        <f t="shared" si="0"/>
        <v>11815.538644233979</v>
      </c>
      <c r="E41" s="12">
        <f t="shared" si="1"/>
        <v>5640.3256302983727</v>
      </c>
      <c r="F41" s="12">
        <f t="shared" si="2"/>
        <v>6175.2130139356059</v>
      </c>
      <c r="G41" s="12">
        <f t="shared" si="3"/>
        <v>1320960.2294092111</v>
      </c>
    </row>
    <row r="42" spans="3:7">
      <c r="C42" s="2">
        <v>29</v>
      </c>
      <c r="D42" s="12">
        <f t="shared" si="0"/>
        <v>11815.538644233979</v>
      </c>
      <c r="E42" s="12">
        <f t="shared" si="1"/>
        <v>5614.0809749891459</v>
      </c>
      <c r="F42" s="12">
        <f t="shared" si="2"/>
        <v>6201.4576692448327</v>
      </c>
      <c r="G42" s="12">
        <f t="shared" si="3"/>
        <v>1314758.7717399662</v>
      </c>
    </row>
    <row r="43" spans="3:7">
      <c r="C43" s="2">
        <v>30</v>
      </c>
      <c r="D43" s="12">
        <f t="shared" si="0"/>
        <v>11815.538644233979</v>
      </c>
      <c r="E43" s="12">
        <f t="shared" si="1"/>
        <v>5587.7247798948556</v>
      </c>
      <c r="F43" s="12">
        <f t="shared" si="2"/>
        <v>6227.813864339123</v>
      </c>
      <c r="G43" s="12">
        <f t="shared" si="3"/>
        <v>1308530.9578756271</v>
      </c>
    </row>
    <row r="44" spans="3:7">
      <c r="C44" s="2">
        <v>31</v>
      </c>
      <c r="D44" s="12">
        <f t="shared" si="0"/>
        <v>11815.538644233979</v>
      </c>
      <c r="E44" s="12">
        <f t="shared" si="1"/>
        <v>5561.2565709714145</v>
      </c>
      <c r="F44" s="12">
        <f t="shared" si="2"/>
        <v>6254.2820732625642</v>
      </c>
      <c r="G44" s="12">
        <f t="shared" si="3"/>
        <v>1302276.6758023645</v>
      </c>
    </row>
    <row r="45" spans="3:7">
      <c r="C45" s="2">
        <v>32</v>
      </c>
      <c r="D45" s="12">
        <f t="shared" si="0"/>
        <v>11815.538644233979</v>
      </c>
      <c r="E45" s="12">
        <f t="shared" si="1"/>
        <v>5534.675872160049</v>
      </c>
      <c r="F45" s="12">
        <f t="shared" si="2"/>
        <v>6280.8627720739296</v>
      </c>
      <c r="G45" s="12">
        <f t="shared" si="3"/>
        <v>1295995.8130302907</v>
      </c>
    </row>
    <row r="46" spans="3:7">
      <c r="C46" s="2">
        <v>33</v>
      </c>
      <c r="D46" s="12">
        <f t="shared" si="0"/>
        <v>11815.538644233979</v>
      </c>
      <c r="E46" s="12">
        <f t="shared" si="1"/>
        <v>5507.9822053787348</v>
      </c>
      <c r="F46" s="12">
        <f t="shared" si="2"/>
        <v>6307.5564388552439</v>
      </c>
      <c r="G46" s="12">
        <f t="shared" si="3"/>
        <v>1289688.2565914355</v>
      </c>
    </row>
    <row r="47" spans="3:7">
      <c r="C47" s="2">
        <v>34</v>
      </c>
      <c r="D47" s="12">
        <f t="shared" si="0"/>
        <v>11815.538644233979</v>
      </c>
      <c r="E47" s="12">
        <f t="shared" si="1"/>
        <v>5481.1750905136005</v>
      </c>
      <c r="F47" s="12">
        <f t="shared" si="2"/>
        <v>6334.3635537203781</v>
      </c>
      <c r="G47" s="12">
        <f t="shared" si="3"/>
        <v>1283353.8930377152</v>
      </c>
    </row>
    <row r="48" spans="3:7">
      <c r="C48" s="2">
        <v>35</v>
      </c>
      <c r="D48" s="12">
        <f t="shared" si="0"/>
        <v>11815.538644233979</v>
      </c>
      <c r="E48" s="12">
        <f t="shared" si="1"/>
        <v>5454.2540454102891</v>
      </c>
      <c r="F48" s="12">
        <f t="shared" si="2"/>
        <v>6361.2845988236895</v>
      </c>
      <c r="G48" s="12">
        <f t="shared" si="3"/>
        <v>1276992.6084388916</v>
      </c>
    </row>
    <row r="49" spans="3:7">
      <c r="C49" s="2">
        <v>36</v>
      </c>
      <c r="D49" s="12">
        <f t="shared" si="0"/>
        <v>11815.538644233979</v>
      </c>
      <c r="E49" s="12">
        <f t="shared" si="1"/>
        <v>5427.2185858652892</v>
      </c>
      <c r="F49" s="12">
        <f t="shared" si="2"/>
        <v>6388.3200583686894</v>
      </c>
      <c r="G49" s="12">
        <f t="shared" si="3"/>
        <v>1270604.288380523</v>
      </c>
    </row>
    <row r="50" spans="3:7">
      <c r="C50" s="2">
        <v>37</v>
      </c>
      <c r="D50" s="12">
        <f t="shared" si="0"/>
        <v>11815.538644233979</v>
      </c>
      <c r="E50" s="12">
        <f t="shared" si="1"/>
        <v>5400.0682256172222</v>
      </c>
      <c r="F50" s="12">
        <f t="shared" si="2"/>
        <v>6415.4704186167564</v>
      </c>
      <c r="G50" s="12">
        <f t="shared" si="3"/>
        <v>1264188.8179619063</v>
      </c>
    </row>
    <row r="51" spans="3:7">
      <c r="C51" s="2">
        <v>38</v>
      </c>
      <c r="D51" s="12">
        <f t="shared" si="0"/>
        <v>11815.538644233979</v>
      </c>
      <c r="E51" s="12">
        <f t="shared" si="1"/>
        <v>5372.8024763381018</v>
      </c>
      <c r="F51" s="12">
        <f t="shared" si="2"/>
        <v>6442.7361678958769</v>
      </c>
      <c r="G51" s="12">
        <f t="shared" si="3"/>
        <v>1257746.0817940105</v>
      </c>
    </row>
    <row r="52" spans="3:7">
      <c r="C52" s="2">
        <v>39</v>
      </c>
      <c r="D52" s="12">
        <f t="shared" si="0"/>
        <v>11815.538644233979</v>
      </c>
      <c r="E52" s="12">
        <f t="shared" si="1"/>
        <v>5345.420847624544</v>
      </c>
      <c r="F52" s="12">
        <f t="shared" si="2"/>
        <v>6470.1177966094347</v>
      </c>
      <c r="G52" s="12">
        <f t="shared" si="3"/>
        <v>1251275.9639974011</v>
      </c>
    </row>
    <row r="53" spans="3:7">
      <c r="C53" s="2">
        <v>40</v>
      </c>
      <c r="D53" s="12">
        <f t="shared" si="0"/>
        <v>11815.538644233979</v>
      </c>
      <c r="E53" s="12">
        <f t="shared" si="1"/>
        <v>5317.922846988954</v>
      </c>
      <c r="F53" s="12">
        <f t="shared" si="2"/>
        <v>6497.6157972450246</v>
      </c>
      <c r="G53" s="12">
        <f t="shared" si="3"/>
        <v>1244778.3482001561</v>
      </c>
    </row>
    <row r="54" spans="3:7">
      <c r="C54" s="2">
        <v>41</v>
      </c>
      <c r="D54" s="12">
        <f t="shared" si="0"/>
        <v>11815.538644233979</v>
      </c>
      <c r="E54" s="12">
        <f t="shared" si="1"/>
        <v>5290.3079798506633</v>
      </c>
      <c r="F54" s="12">
        <f t="shared" si="2"/>
        <v>6525.2306643833153</v>
      </c>
      <c r="G54" s="12">
        <f t="shared" si="3"/>
        <v>1238253.1175357727</v>
      </c>
    </row>
    <row r="55" spans="3:7">
      <c r="C55" s="2">
        <v>42</v>
      </c>
      <c r="D55" s="12">
        <f t="shared" si="0"/>
        <v>11815.538644233979</v>
      </c>
      <c r="E55" s="12">
        <f t="shared" si="1"/>
        <v>5262.5757495270336</v>
      </c>
      <c r="F55" s="12">
        <f t="shared" si="2"/>
        <v>6552.962894706945</v>
      </c>
      <c r="G55" s="12">
        <f t="shared" si="3"/>
        <v>1231700.1546410657</v>
      </c>
    </row>
    <row r="56" spans="3:7">
      <c r="C56" s="2">
        <v>43</v>
      </c>
      <c r="D56" s="12">
        <f t="shared" si="0"/>
        <v>11815.538644233979</v>
      </c>
      <c r="E56" s="12">
        <f t="shared" si="1"/>
        <v>5234.7256572245287</v>
      </c>
      <c r="F56" s="12">
        <f t="shared" si="2"/>
        <v>6580.8129870094499</v>
      </c>
      <c r="G56" s="12">
        <f t="shared" si="3"/>
        <v>1225119.3416540562</v>
      </c>
    </row>
    <row r="57" spans="3:7">
      <c r="C57" s="2">
        <v>44</v>
      </c>
      <c r="D57" s="12">
        <f t="shared" si="0"/>
        <v>11815.538644233979</v>
      </c>
      <c r="E57" s="12">
        <f t="shared" si="1"/>
        <v>5206.7572020297384</v>
      </c>
      <c r="F57" s="12">
        <f t="shared" si="2"/>
        <v>6608.7814422042402</v>
      </c>
      <c r="G57" s="12">
        <f t="shared" si="3"/>
        <v>1218510.560211852</v>
      </c>
    </row>
    <row r="58" spans="3:7">
      <c r="C58" s="2">
        <v>45</v>
      </c>
      <c r="D58" s="12">
        <f t="shared" si="0"/>
        <v>11815.538644233979</v>
      </c>
      <c r="E58" s="12">
        <f t="shared" si="1"/>
        <v>5178.669880900371</v>
      </c>
      <c r="F58" s="12">
        <f t="shared" si="2"/>
        <v>6636.8687633336076</v>
      </c>
      <c r="G58" s="12">
        <f t="shared" si="3"/>
        <v>1211873.6914485183</v>
      </c>
    </row>
    <row r="59" spans="3:7">
      <c r="C59" s="2">
        <v>46</v>
      </c>
      <c r="D59" s="12">
        <f t="shared" si="0"/>
        <v>11815.538644233979</v>
      </c>
      <c r="E59" s="12">
        <f t="shared" si="1"/>
        <v>5150.4631886562029</v>
      </c>
      <c r="F59" s="12">
        <f t="shared" si="2"/>
        <v>6665.0754555777758</v>
      </c>
      <c r="G59" s="12">
        <f t="shared" si="3"/>
        <v>1205208.6159929405</v>
      </c>
    </row>
    <row r="60" spans="3:7">
      <c r="C60" s="2">
        <v>47</v>
      </c>
      <c r="D60" s="12">
        <f t="shared" si="0"/>
        <v>11815.538644233979</v>
      </c>
      <c r="E60" s="12">
        <f t="shared" si="1"/>
        <v>5122.1366179699971</v>
      </c>
      <c r="F60" s="12">
        <f t="shared" si="2"/>
        <v>6693.4020262639815</v>
      </c>
      <c r="G60" s="12">
        <f t="shared" si="3"/>
        <v>1198515.2139666765</v>
      </c>
    </row>
    <row r="61" spans="3:7">
      <c r="C61" s="2">
        <v>48</v>
      </c>
      <c r="D61" s="12">
        <f t="shared" si="0"/>
        <v>11815.538644233979</v>
      </c>
      <c r="E61" s="12">
        <f t="shared" si="1"/>
        <v>5093.6896593583742</v>
      </c>
      <c r="F61" s="12">
        <f t="shared" si="2"/>
        <v>6721.8489848756044</v>
      </c>
      <c r="G61" s="12">
        <f t="shared" si="3"/>
        <v>1191793.3649818008</v>
      </c>
    </row>
    <row r="62" spans="3:7">
      <c r="C62" s="2">
        <v>49</v>
      </c>
      <c r="D62" s="12">
        <f t="shared" si="0"/>
        <v>11815.538644233979</v>
      </c>
      <c r="E62" s="12">
        <f t="shared" si="1"/>
        <v>5065.1218011726532</v>
      </c>
      <c r="F62" s="12">
        <f t="shared" si="2"/>
        <v>6750.4168430613254</v>
      </c>
      <c r="G62" s="12">
        <f t="shared" si="3"/>
        <v>1185042.9481387394</v>
      </c>
    </row>
    <row r="63" spans="3:7">
      <c r="C63" s="2">
        <v>50</v>
      </c>
      <c r="D63" s="12">
        <f t="shared" si="0"/>
        <v>11815.538644233979</v>
      </c>
      <c r="E63" s="12">
        <f t="shared" si="1"/>
        <v>5036.4325295896424</v>
      </c>
      <c r="F63" s="12">
        <f t="shared" si="2"/>
        <v>6779.1061146443362</v>
      </c>
      <c r="G63" s="12">
        <f t="shared" si="3"/>
        <v>1178263.8420240951</v>
      </c>
    </row>
    <row r="64" spans="3:7">
      <c r="C64" s="2">
        <v>51</v>
      </c>
      <c r="D64" s="12">
        <f t="shared" si="0"/>
        <v>11815.538644233979</v>
      </c>
      <c r="E64" s="12">
        <f t="shared" si="1"/>
        <v>5007.621328602404</v>
      </c>
      <c r="F64" s="12">
        <f t="shared" si="2"/>
        <v>6807.9173156315746</v>
      </c>
      <c r="G64" s="12">
        <f t="shared" si="3"/>
        <v>1171455.9247084635</v>
      </c>
    </row>
    <row r="65" spans="3:7">
      <c r="C65" s="2">
        <v>52</v>
      </c>
      <c r="D65" s="12">
        <f t="shared" si="0"/>
        <v>11815.538644233979</v>
      </c>
      <c r="E65" s="12">
        <f t="shared" si="1"/>
        <v>4978.6876800109694</v>
      </c>
      <c r="F65" s="12">
        <f t="shared" si="2"/>
        <v>6836.8509642230092</v>
      </c>
      <c r="G65" s="12">
        <f t="shared" si="3"/>
        <v>1164619.0737442404</v>
      </c>
    </row>
    <row r="66" spans="3:7">
      <c r="C66" s="2">
        <v>53</v>
      </c>
      <c r="D66" s="12">
        <f t="shared" si="0"/>
        <v>11815.538644233979</v>
      </c>
      <c r="E66" s="12">
        <f t="shared" si="1"/>
        <v>4949.6310634130214</v>
      </c>
      <c r="F66" s="12">
        <f t="shared" si="2"/>
        <v>6865.9075808209573</v>
      </c>
      <c r="G66" s="12">
        <f t="shared" si="3"/>
        <v>1157753.1661634196</v>
      </c>
    </row>
    <row r="67" spans="3:7">
      <c r="C67" s="2">
        <v>54</v>
      </c>
      <c r="D67" s="12">
        <f t="shared" si="0"/>
        <v>11815.538644233979</v>
      </c>
      <c r="E67" s="12">
        <f t="shared" si="1"/>
        <v>4920.4509561945333</v>
      </c>
      <c r="F67" s="12">
        <f t="shared" si="2"/>
        <v>6895.0876880394453</v>
      </c>
      <c r="G67" s="12">
        <f t="shared" si="3"/>
        <v>1150858.0784753801</v>
      </c>
    </row>
    <row r="68" spans="3:7">
      <c r="C68" s="2">
        <v>55</v>
      </c>
      <c r="D68" s="12">
        <f t="shared" si="0"/>
        <v>11815.538644233979</v>
      </c>
      <c r="E68" s="12">
        <f t="shared" si="1"/>
        <v>4891.1468335203654</v>
      </c>
      <c r="F68" s="12">
        <f t="shared" si="2"/>
        <v>6924.3918107136133</v>
      </c>
      <c r="G68" s="12">
        <f t="shared" si="3"/>
        <v>1143933.6866646665</v>
      </c>
    </row>
    <row r="69" spans="3:7">
      <c r="C69" s="2">
        <v>56</v>
      </c>
      <c r="D69" s="12">
        <f t="shared" si="0"/>
        <v>11815.538644233979</v>
      </c>
      <c r="E69" s="12">
        <f t="shared" si="1"/>
        <v>4861.7181683248318</v>
      </c>
      <c r="F69" s="12">
        <f t="shared" si="2"/>
        <v>6953.8204759091468</v>
      </c>
      <c r="G69" s="12">
        <f t="shared" si="3"/>
        <v>1136979.8661887574</v>
      </c>
    </row>
    <row r="70" spans="3:7">
      <c r="C70" s="2">
        <v>57</v>
      </c>
      <c r="D70" s="12">
        <f t="shared" si="0"/>
        <v>11815.538644233979</v>
      </c>
      <c r="E70" s="12">
        <f t="shared" si="1"/>
        <v>4832.164431302218</v>
      </c>
      <c r="F70" s="12">
        <f t="shared" si="2"/>
        <v>6983.3742129317607</v>
      </c>
      <c r="G70" s="12">
        <f t="shared" si="3"/>
        <v>1129996.4919758255</v>
      </c>
    </row>
    <row r="71" spans="3:7">
      <c r="C71" s="2">
        <v>58</v>
      </c>
      <c r="D71" s="12">
        <f t="shared" si="0"/>
        <v>11815.538644233979</v>
      </c>
      <c r="E71" s="12">
        <f t="shared" si="1"/>
        <v>4802.4850908972576</v>
      </c>
      <c r="F71" s="12">
        <f t="shared" si="2"/>
        <v>7013.0535533367211</v>
      </c>
      <c r="G71" s="12">
        <f t="shared" si="3"/>
        <v>1122983.4384224887</v>
      </c>
    </row>
    <row r="72" spans="3:7">
      <c r="C72" s="2">
        <v>59</v>
      </c>
      <c r="D72" s="12">
        <f t="shared" si="0"/>
        <v>11815.538644233979</v>
      </c>
      <c r="E72" s="12">
        <f t="shared" si="1"/>
        <v>4772.6796132955769</v>
      </c>
      <c r="F72" s="12">
        <f t="shared" si="2"/>
        <v>7042.8590309384017</v>
      </c>
      <c r="G72" s="12">
        <f t="shared" si="3"/>
        <v>1115940.5793915503</v>
      </c>
    </row>
    <row r="73" spans="3:7">
      <c r="C73" s="2">
        <v>60</v>
      </c>
      <c r="D73" s="12">
        <f t="shared" si="0"/>
        <v>11815.538644233979</v>
      </c>
      <c r="E73" s="12">
        <f t="shared" si="1"/>
        <v>4742.7474624140877</v>
      </c>
      <c r="F73" s="12">
        <f t="shared" si="2"/>
        <v>7072.7911818198909</v>
      </c>
      <c r="G73" s="12">
        <f t="shared" si="3"/>
        <v>1108867.7882097303</v>
      </c>
    </row>
    <row r="74" spans="3:7">
      <c r="C74" s="2">
        <v>61</v>
      </c>
      <c r="D74" s="12">
        <f t="shared" si="0"/>
        <v>11815.538644233979</v>
      </c>
      <c r="E74" s="12">
        <f t="shared" si="1"/>
        <v>4712.6880998913539</v>
      </c>
      <c r="F74" s="12">
        <f t="shared" si="2"/>
        <v>7102.8505443426247</v>
      </c>
      <c r="G74" s="12">
        <f t="shared" si="3"/>
        <v>1101764.9376653878</v>
      </c>
    </row>
    <row r="75" spans="3:7">
      <c r="C75" s="2">
        <v>62</v>
      </c>
      <c r="D75" s="12">
        <f t="shared" si="0"/>
        <v>11815.538644233979</v>
      </c>
      <c r="E75" s="12">
        <f t="shared" si="1"/>
        <v>4682.5009850778979</v>
      </c>
      <c r="F75" s="12">
        <f t="shared" si="2"/>
        <v>7133.0376591560807</v>
      </c>
      <c r="G75" s="12">
        <f t="shared" si="3"/>
        <v>1094631.9000062316</v>
      </c>
    </row>
    <row r="76" spans="3:7">
      <c r="C76" s="2">
        <v>63</v>
      </c>
      <c r="D76" s="12">
        <f t="shared" si="0"/>
        <v>11815.538644233979</v>
      </c>
      <c r="E76" s="12">
        <f t="shared" si="1"/>
        <v>4652.185575026484</v>
      </c>
      <c r="F76" s="12">
        <f t="shared" si="2"/>
        <v>7163.3530692074946</v>
      </c>
      <c r="G76" s="12">
        <f t="shared" si="3"/>
        <v>1087468.5469370242</v>
      </c>
    </row>
    <row r="77" spans="3:7">
      <c r="C77" s="2">
        <v>64</v>
      </c>
      <c r="D77" s="12">
        <f t="shared" si="0"/>
        <v>11815.538644233979</v>
      </c>
      <c r="E77" s="12">
        <f t="shared" si="1"/>
        <v>4621.7413244823529</v>
      </c>
      <c r="F77" s="12">
        <f t="shared" si="2"/>
        <v>7193.7973197516258</v>
      </c>
      <c r="G77" s="12">
        <f t="shared" si="3"/>
        <v>1080274.7496172725</v>
      </c>
    </row>
    <row r="78" spans="3:7">
      <c r="C78" s="2">
        <v>65</v>
      </c>
      <c r="D78" s="12">
        <f t="shared" si="0"/>
        <v>11815.538644233979</v>
      </c>
      <c r="E78" s="12">
        <f t="shared" si="1"/>
        <v>4591.1676858734081</v>
      </c>
      <c r="F78" s="12">
        <f t="shared" si="2"/>
        <v>7224.3709583605705</v>
      </c>
      <c r="G78" s="12">
        <f t="shared" si="3"/>
        <v>1073050.3786589119</v>
      </c>
    </row>
    <row r="79" spans="3:7">
      <c r="C79" s="2">
        <v>66</v>
      </c>
      <c r="D79" s="12">
        <f t="shared" ref="D79:D142" si="4">IF(C79&lt;=$F$7*$F$8,$F$9,0)</f>
        <v>11815.538644233979</v>
      </c>
      <c r="E79" s="12">
        <f t="shared" ref="E79:E142" si="5">G78*$F$5/$F$8</f>
        <v>4560.4641093003747</v>
      </c>
      <c r="F79" s="12">
        <f t="shared" ref="F79:F142" si="6">D79-E79</f>
        <v>7255.0745349336039</v>
      </c>
      <c r="G79" s="12">
        <f t="shared" ref="G79:G142" si="7">G78-F79</f>
        <v>1065795.3041239784</v>
      </c>
    </row>
    <row r="80" spans="3:7">
      <c r="C80" s="2">
        <v>67</v>
      </c>
      <c r="D80" s="12">
        <f t="shared" si="4"/>
        <v>11815.538644233979</v>
      </c>
      <c r="E80" s="12">
        <f t="shared" si="5"/>
        <v>4529.6300425269083</v>
      </c>
      <c r="F80" s="12">
        <f t="shared" si="6"/>
        <v>7285.9086017070704</v>
      </c>
      <c r="G80" s="12">
        <f t="shared" si="7"/>
        <v>1058509.3955222713</v>
      </c>
    </row>
    <row r="81" spans="3:7">
      <c r="C81" s="2">
        <v>68</v>
      </c>
      <c r="D81" s="12">
        <f t="shared" si="4"/>
        <v>11815.538644233979</v>
      </c>
      <c r="E81" s="12">
        <f t="shared" si="5"/>
        <v>4498.6649309696522</v>
      </c>
      <c r="F81" s="12">
        <f t="shared" si="6"/>
        <v>7316.8737132643264</v>
      </c>
      <c r="G81" s="12">
        <f t="shared" si="7"/>
        <v>1051192.521809007</v>
      </c>
    </row>
    <row r="82" spans="3:7">
      <c r="C82" s="2">
        <v>69</v>
      </c>
      <c r="D82" s="12">
        <f t="shared" si="4"/>
        <v>11815.538644233979</v>
      </c>
      <c r="E82" s="12">
        <f t="shared" si="5"/>
        <v>4467.5682176882792</v>
      </c>
      <c r="F82" s="12">
        <f t="shared" si="6"/>
        <v>7347.9704265456994</v>
      </c>
      <c r="G82" s="12">
        <f t="shared" si="7"/>
        <v>1043844.5513824613</v>
      </c>
    </row>
    <row r="83" spans="3:7">
      <c r="C83" s="2">
        <v>70</v>
      </c>
      <c r="D83" s="12">
        <f t="shared" si="4"/>
        <v>11815.538644233979</v>
      </c>
      <c r="E83" s="12">
        <f t="shared" si="5"/>
        <v>4436.33934337546</v>
      </c>
      <c r="F83" s="12">
        <f t="shared" si="6"/>
        <v>7379.1993008585187</v>
      </c>
      <c r="G83" s="12">
        <f t="shared" si="7"/>
        <v>1036465.3520816028</v>
      </c>
    </row>
    <row r="84" spans="3:7">
      <c r="C84" s="2">
        <v>71</v>
      </c>
      <c r="D84" s="12">
        <f t="shared" si="4"/>
        <v>11815.538644233979</v>
      </c>
      <c r="E84" s="12">
        <f t="shared" si="5"/>
        <v>4404.9777463468117</v>
      </c>
      <c r="F84" s="12">
        <f t="shared" si="6"/>
        <v>7410.5608978871669</v>
      </c>
      <c r="G84" s="12">
        <f t="shared" si="7"/>
        <v>1029054.7911837156</v>
      </c>
    </row>
    <row r="85" spans="3:7">
      <c r="C85" s="2">
        <v>72</v>
      </c>
      <c r="D85" s="12">
        <f t="shared" si="4"/>
        <v>11815.538644233979</v>
      </c>
      <c r="E85" s="12">
        <f t="shared" si="5"/>
        <v>4373.482862530791</v>
      </c>
      <c r="F85" s="12">
        <f t="shared" si="6"/>
        <v>7442.0557817031877</v>
      </c>
      <c r="G85" s="12">
        <f t="shared" si="7"/>
        <v>1021612.7354020124</v>
      </c>
    </row>
    <row r="86" spans="3:7">
      <c r="C86" s="2">
        <v>73</v>
      </c>
      <c r="D86" s="12">
        <f t="shared" si="4"/>
        <v>11815.538644233979</v>
      </c>
      <c r="E86" s="12">
        <f t="shared" si="5"/>
        <v>4341.8541254585525</v>
      </c>
      <c r="F86" s="12">
        <f t="shared" si="6"/>
        <v>7473.6845187754261</v>
      </c>
      <c r="G86" s="12">
        <f t="shared" si="7"/>
        <v>1014139.0508832369</v>
      </c>
    </row>
    <row r="87" spans="3:7">
      <c r="C87" s="2">
        <v>74</v>
      </c>
      <c r="D87" s="12">
        <f t="shared" si="4"/>
        <v>11815.538644233979</v>
      </c>
      <c r="E87" s="12">
        <f t="shared" si="5"/>
        <v>4310.090966253757</v>
      </c>
      <c r="F87" s="12">
        <f t="shared" si="6"/>
        <v>7505.4476779802217</v>
      </c>
      <c r="G87" s="12">
        <f t="shared" si="7"/>
        <v>1006633.6032052567</v>
      </c>
    </row>
    <row r="88" spans="3:7">
      <c r="C88" s="2">
        <v>75</v>
      </c>
      <c r="D88" s="12">
        <f t="shared" si="4"/>
        <v>11815.538644233979</v>
      </c>
      <c r="E88" s="12">
        <f t="shared" si="5"/>
        <v>4278.1928136223405</v>
      </c>
      <c r="F88" s="12">
        <f t="shared" si="6"/>
        <v>7537.3458306116381</v>
      </c>
      <c r="G88" s="12">
        <f t="shared" si="7"/>
        <v>999096.25737464509</v>
      </c>
    </row>
    <row r="89" spans="3:7">
      <c r="C89" s="2">
        <v>76</v>
      </c>
      <c r="D89" s="12">
        <f t="shared" si="4"/>
        <v>11815.538644233979</v>
      </c>
      <c r="E89" s="12">
        <f t="shared" si="5"/>
        <v>4246.1590938422414</v>
      </c>
      <c r="F89" s="12">
        <f t="shared" si="6"/>
        <v>7569.3795503917372</v>
      </c>
      <c r="G89" s="12">
        <f t="shared" si="7"/>
        <v>991526.8778242534</v>
      </c>
    </row>
    <row r="90" spans="3:7">
      <c r="C90" s="2">
        <v>77</v>
      </c>
      <c r="D90" s="12">
        <f t="shared" si="4"/>
        <v>11815.538644233979</v>
      </c>
      <c r="E90" s="12">
        <f t="shared" si="5"/>
        <v>4213.9892307530763</v>
      </c>
      <c r="F90" s="12">
        <f t="shared" si="6"/>
        <v>7601.5494134809023</v>
      </c>
      <c r="G90" s="12">
        <f t="shared" si="7"/>
        <v>983925.32841077249</v>
      </c>
    </row>
    <row r="91" spans="3:7">
      <c r="C91" s="2">
        <v>78</v>
      </c>
      <c r="D91" s="12">
        <f t="shared" si="4"/>
        <v>11815.538644233979</v>
      </c>
      <c r="E91" s="12">
        <f t="shared" si="5"/>
        <v>4181.6826457457828</v>
      </c>
      <c r="F91" s="12">
        <f t="shared" si="6"/>
        <v>7633.8559984881958</v>
      </c>
      <c r="G91" s="12">
        <f t="shared" si="7"/>
        <v>976291.47241228435</v>
      </c>
    </row>
    <row r="92" spans="3:7">
      <c r="C92" s="2">
        <v>79</v>
      </c>
      <c r="D92" s="12">
        <f t="shared" si="4"/>
        <v>11815.538644233979</v>
      </c>
      <c r="E92" s="12">
        <f t="shared" si="5"/>
        <v>4149.2387577522086</v>
      </c>
      <c r="F92" s="12">
        <f t="shared" si="6"/>
        <v>7666.29988648177</v>
      </c>
      <c r="G92" s="12">
        <f t="shared" si="7"/>
        <v>968625.17252580263</v>
      </c>
    </row>
    <row r="93" spans="3:7">
      <c r="C93" s="2">
        <v>80</v>
      </c>
      <c r="D93" s="12">
        <f t="shared" si="4"/>
        <v>11815.538644233979</v>
      </c>
      <c r="E93" s="12">
        <f t="shared" si="5"/>
        <v>4116.6569832346604</v>
      </c>
      <c r="F93" s="12">
        <f t="shared" si="6"/>
        <v>7698.8816609993182</v>
      </c>
      <c r="G93" s="12">
        <f t="shared" si="7"/>
        <v>960926.29086480336</v>
      </c>
    </row>
    <row r="94" spans="3:7">
      <c r="C94" s="2">
        <v>81</v>
      </c>
      <c r="D94" s="12">
        <f t="shared" si="4"/>
        <v>11815.538644233979</v>
      </c>
      <c r="E94" s="12">
        <f t="shared" si="5"/>
        <v>4083.9367361754139</v>
      </c>
      <c r="F94" s="12">
        <f t="shared" si="6"/>
        <v>7731.6019080585647</v>
      </c>
      <c r="G94" s="12">
        <f t="shared" si="7"/>
        <v>953194.68895674485</v>
      </c>
    </row>
    <row r="95" spans="3:7">
      <c r="C95" s="2">
        <v>82</v>
      </c>
      <c r="D95" s="12">
        <f t="shared" si="4"/>
        <v>11815.538644233979</v>
      </c>
      <c r="E95" s="12">
        <f t="shared" si="5"/>
        <v>4051.0774280661658</v>
      </c>
      <c r="F95" s="12">
        <f t="shared" si="6"/>
        <v>7764.4612161678124</v>
      </c>
      <c r="G95" s="12">
        <f t="shared" si="7"/>
        <v>945430.22774057707</v>
      </c>
    </row>
    <row r="96" spans="3:7">
      <c r="C96" s="2">
        <v>83</v>
      </c>
      <c r="D96" s="12">
        <f t="shared" si="4"/>
        <v>11815.538644233979</v>
      </c>
      <c r="E96" s="12">
        <f t="shared" si="5"/>
        <v>4018.0784678974524</v>
      </c>
      <c r="F96" s="12">
        <f t="shared" si="6"/>
        <v>7797.4601763365263</v>
      </c>
      <c r="G96" s="12">
        <f t="shared" si="7"/>
        <v>937632.76756424049</v>
      </c>
    </row>
    <row r="97" spans="3:7">
      <c r="C97" s="2">
        <v>84</v>
      </c>
      <c r="D97" s="12">
        <f t="shared" si="4"/>
        <v>11815.538644233979</v>
      </c>
      <c r="E97" s="12">
        <f t="shared" si="5"/>
        <v>3984.939262148022</v>
      </c>
      <c r="F97" s="12">
        <f t="shared" si="6"/>
        <v>7830.5993820859567</v>
      </c>
      <c r="G97" s="12">
        <f t="shared" si="7"/>
        <v>929802.16818215454</v>
      </c>
    </row>
    <row r="98" spans="3:7">
      <c r="C98" s="2">
        <v>85</v>
      </c>
      <c r="D98" s="12">
        <f t="shared" si="4"/>
        <v>11815.538644233979</v>
      </c>
      <c r="E98" s="12">
        <f t="shared" si="5"/>
        <v>3951.6592147741562</v>
      </c>
      <c r="F98" s="12">
        <f t="shared" si="6"/>
        <v>7863.8794294598229</v>
      </c>
      <c r="G98" s="12">
        <f t="shared" si="7"/>
        <v>921938.28875269473</v>
      </c>
    </row>
    <row r="99" spans="3:7">
      <c r="C99" s="2">
        <v>86</v>
      </c>
      <c r="D99" s="12">
        <f t="shared" si="4"/>
        <v>11815.538644233979</v>
      </c>
      <c r="E99" s="12">
        <f t="shared" si="5"/>
        <v>3918.2377271989521</v>
      </c>
      <c r="F99" s="12">
        <f t="shared" si="6"/>
        <v>7897.3009170350269</v>
      </c>
      <c r="G99" s="12">
        <f t="shared" si="7"/>
        <v>914040.98783565965</v>
      </c>
    </row>
    <row r="100" spans="3:7">
      <c r="C100" s="2">
        <v>87</v>
      </c>
      <c r="D100" s="12">
        <f t="shared" si="4"/>
        <v>11815.538644233979</v>
      </c>
      <c r="E100" s="12">
        <f t="shared" si="5"/>
        <v>3884.6741983015531</v>
      </c>
      <c r="F100" s="12">
        <f t="shared" si="6"/>
        <v>7930.864445932426</v>
      </c>
      <c r="G100" s="12">
        <f t="shared" si="7"/>
        <v>906110.1233897272</v>
      </c>
    </row>
    <row r="101" spans="3:7">
      <c r="C101" s="2">
        <v>88</v>
      </c>
      <c r="D101" s="12">
        <f t="shared" si="4"/>
        <v>11815.538644233979</v>
      </c>
      <c r="E101" s="12">
        <f t="shared" si="5"/>
        <v>3850.9680244063402</v>
      </c>
      <c r="F101" s="12">
        <f t="shared" si="6"/>
        <v>7964.5706198276384</v>
      </c>
      <c r="G101" s="12">
        <f t="shared" si="7"/>
        <v>898145.5527698996</v>
      </c>
    </row>
    <row r="102" spans="3:7">
      <c r="C102" s="2">
        <v>89</v>
      </c>
      <c r="D102" s="12">
        <f t="shared" si="4"/>
        <v>11815.538644233979</v>
      </c>
      <c r="E102" s="12">
        <f t="shared" si="5"/>
        <v>3817.118599272073</v>
      </c>
      <c r="F102" s="12">
        <f t="shared" si="6"/>
        <v>7998.4200449619057</v>
      </c>
      <c r="G102" s="12">
        <f t="shared" si="7"/>
        <v>890147.13272493775</v>
      </c>
    </row>
    <row r="103" spans="3:7">
      <c r="C103" s="2">
        <v>90</v>
      </c>
      <c r="D103" s="12">
        <f t="shared" si="4"/>
        <v>11815.538644233979</v>
      </c>
      <c r="E103" s="12">
        <f t="shared" si="5"/>
        <v>3783.1253140809854</v>
      </c>
      <c r="F103" s="12">
        <f t="shared" si="6"/>
        <v>8032.4133301529928</v>
      </c>
      <c r="G103" s="12">
        <f t="shared" si="7"/>
        <v>882114.71939478477</v>
      </c>
    </row>
    <row r="104" spans="3:7">
      <c r="C104" s="2">
        <v>91</v>
      </c>
      <c r="D104" s="12">
        <f t="shared" si="4"/>
        <v>11815.538644233979</v>
      </c>
      <c r="E104" s="12">
        <f t="shared" si="5"/>
        <v>3748.9875574278353</v>
      </c>
      <c r="F104" s="12">
        <f t="shared" si="6"/>
        <v>8066.5510868061428</v>
      </c>
      <c r="G104" s="12">
        <f t="shared" si="7"/>
        <v>874048.16830797866</v>
      </c>
    </row>
    <row r="105" spans="3:7">
      <c r="C105" s="2">
        <v>92</v>
      </c>
      <c r="D105" s="12">
        <f t="shared" si="4"/>
        <v>11815.538644233979</v>
      </c>
      <c r="E105" s="12">
        <f t="shared" si="5"/>
        <v>3714.7047153089093</v>
      </c>
      <c r="F105" s="12">
        <f t="shared" si="6"/>
        <v>8100.8339289250689</v>
      </c>
      <c r="G105" s="12">
        <f t="shared" si="7"/>
        <v>865947.33437905356</v>
      </c>
    </row>
    <row r="106" spans="3:7">
      <c r="C106" s="2">
        <v>93</v>
      </c>
      <c r="D106" s="12">
        <f t="shared" si="4"/>
        <v>11815.538644233979</v>
      </c>
      <c r="E106" s="12">
        <f t="shared" si="5"/>
        <v>3680.2761711109774</v>
      </c>
      <c r="F106" s="12">
        <f t="shared" si="6"/>
        <v>8135.2624731230007</v>
      </c>
      <c r="G106" s="12">
        <f t="shared" si="7"/>
        <v>857812.07190593053</v>
      </c>
    </row>
    <row r="107" spans="3:7">
      <c r="C107" s="2">
        <v>94</v>
      </c>
      <c r="D107" s="12">
        <f t="shared" si="4"/>
        <v>11815.538644233979</v>
      </c>
      <c r="E107" s="12">
        <f t="shared" si="5"/>
        <v>3645.7013056002047</v>
      </c>
      <c r="F107" s="12">
        <f t="shared" si="6"/>
        <v>8169.8373386337735</v>
      </c>
      <c r="G107" s="12">
        <f t="shared" si="7"/>
        <v>849642.23456729681</v>
      </c>
    </row>
    <row r="108" spans="3:7">
      <c r="C108" s="2">
        <v>95</v>
      </c>
      <c r="D108" s="12">
        <f t="shared" si="4"/>
        <v>11815.538644233979</v>
      </c>
      <c r="E108" s="12">
        <f t="shared" si="5"/>
        <v>3610.9794969110112</v>
      </c>
      <c r="F108" s="12">
        <f t="shared" si="6"/>
        <v>8204.559147322967</v>
      </c>
      <c r="G108" s="12">
        <f t="shared" si="7"/>
        <v>841437.67541997379</v>
      </c>
    </row>
    <row r="109" spans="3:7">
      <c r="C109" s="2">
        <v>96</v>
      </c>
      <c r="D109" s="12">
        <f t="shared" si="4"/>
        <v>11815.538644233979</v>
      </c>
      <c r="E109" s="12">
        <f t="shared" si="5"/>
        <v>3576.1101205348882</v>
      </c>
      <c r="F109" s="12">
        <f t="shared" si="6"/>
        <v>8239.4285236990909</v>
      </c>
      <c r="G109" s="12">
        <f t="shared" si="7"/>
        <v>833198.24689627474</v>
      </c>
    </row>
    <row r="110" spans="3:7">
      <c r="C110" s="2">
        <v>97</v>
      </c>
      <c r="D110" s="12">
        <f t="shared" si="4"/>
        <v>11815.538644233979</v>
      </c>
      <c r="E110" s="12">
        <f t="shared" si="5"/>
        <v>3541.0925493091672</v>
      </c>
      <c r="F110" s="12">
        <f t="shared" si="6"/>
        <v>8274.4460949248114</v>
      </c>
      <c r="G110" s="12">
        <f t="shared" si="7"/>
        <v>824923.80080134992</v>
      </c>
    </row>
    <row r="111" spans="3:7">
      <c r="C111" s="2">
        <v>98</v>
      </c>
      <c r="D111" s="12">
        <f t="shared" si="4"/>
        <v>11815.538644233979</v>
      </c>
      <c r="E111" s="12">
        <f t="shared" si="5"/>
        <v>3505.9261534057368</v>
      </c>
      <c r="F111" s="12">
        <f t="shared" si="6"/>
        <v>8309.6124908282418</v>
      </c>
      <c r="G111" s="12">
        <f t="shared" si="7"/>
        <v>816614.18831052165</v>
      </c>
    </row>
    <row r="112" spans="3:7">
      <c r="C112" s="2">
        <v>99</v>
      </c>
      <c r="D112" s="12">
        <f t="shared" si="4"/>
        <v>11815.538644233979</v>
      </c>
      <c r="E112" s="12">
        <f t="shared" si="5"/>
        <v>3470.6103003197168</v>
      </c>
      <c r="F112" s="12">
        <f t="shared" si="6"/>
        <v>8344.9283439142619</v>
      </c>
      <c r="G112" s="12">
        <f t="shared" si="7"/>
        <v>808269.25996660744</v>
      </c>
    </row>
    <row r="113" spans="3:7">
      <c r="C113" s="2">
        <v>100</v>
      </c>
      <c r="D113" s="12">
        <f t="shared" si="4"/>
        <v>11815.538644233979</v>
      </c>
      <c r="E113" s="12">
        <f t="shared" si="5"/>
        <v>3435.1443548580814</v>
      </c>
      <c r="F113" s="12">
        <f t="shared" si="6"/>
        <v>8380.3942893758976</v>
      </c>
      <c r="G113" s="12">
        <f t="shared" si="7"/>
        <v>799888.86567723157</v>
      </c>
    </row>
    <row r="114" spans="3:7">
      <c r="C114" s="2">
        <v>101</v>
      </c>
      <c r="D114" s="12">
        <f t="shared" si="4"/>
        <v>11815.538644233979</v>
      </c>
      <c r="E114" s="12">
        <f t="shared" si="5"/>
        <v>3399.527679128234</v>
      </c>
      <c r="F114" s="12">
        <f t="shared" si="6"/>
        <v>8416.0109651057446</v>
      </c>
      <c r="G114" s="12">
        <f t="shared" si="7"/>
        <v>791472.85471212585</v>
      </c>
    </row>
    <row r="115" spans="3:7">
      <c r="C115" s="2">
        <v>102</v>
      </c>
      <c r="D115" s="12">
        <f t="shared" si="4"/>
        <v>11815.538644233979</v>
      </c>
      <c r="E115" s="12">
        <f t="shared" si="5"/>
        <v>3363.7596325265349</v>
      </c>
      <c r="F115" s="12">
        <f t="shared" si="6"/>
        <v>8451.7790117074437</v>
      </c>
      <c r="G115" s="12">
        <f t="shared" si="7"/>
        <v>783021.07570041844</v>
      </c>
    </row>
    <row r="116" spans="3:7">
      <c r="C116" s="2">
        <v>103</v>
      </c>
      <c r="D116" s="12">
        <f t="shared" si="4"/>
        <v>11815.538644233979</v>
      </c>
      <c r="E116" s="12">
        <f t="shared" si="5"/>
        <v>3327.8395717267781</v>
      </c>
      <c r="F116" s="12">
        <f t="shared" si="6"/>
        <v>8487.699072507201</v>
      </c>
      <c r="G116" s="12">
        <f t="shared" si="7"/>
        <v>774533.37662791123</v>
      </c>
    </row>
    <row r="117" spans="3:7">
      <c r="C117" s="2">
        <v>104</v>
      </c>
      <c r="D117" s="12">
        <f t="shared" si="4"/>
        <v>11815.538644233979</v>
      </c>
      <c r="E117" s="12">
        <f t="shared" si="5"/>
        <v>3291.7668506686223</v>
      </c>
      <c r="F117" s="12">
        <f t="shared" si="6"/>
        <v>8523.7717935653563</v>
      </c>
      <c r="G117" s="12">
        <f t="shared" si="7"/>
        <v>766009.60483434587</v>
      </c>
    </row>
    <row r="118" spans="3:7">
      <c r="C118" s="2">
        <v>105</v>
      </c>
      <c r="D118" s="12">
        <f t="shared" si="4"/>
        <v>11815.538644233979</v>
      </c>
      <c r="E118" s="12">
        <f t="shared" si="5"/>
        <v>3255.5408205459698</v>
      </c>
      <c r="F118" s="12">
        <f t="shared" si="6"/>
        <v>8559.9978236880088</v>
      </c>
      <c r="G118" s="12">
        <f t="shared" si="7"/>
        <v>757449.6070106579</v>
      </c>
    </row>
    <row r="119" spans="3:7">
      <c r="C119" s="2">
        <v>106</v>
      </c>
      <c r="D119" s="12">
        <f t="shared" si="4"/>
        <v>11815.538644233979</v>
      </c>
      <c r="E119" s="12">
        <f t="shared" si="5"/>
        <v>3219.1608297952957</v>
      </c>
      <c r="F119" s="12">
        <f t="shared" si="6"/>
        <v>8596.3778144386833</v>
      </c>
      <c r="G119" s="12">
        <f t="shared" si="7"/>
        <v>748853.22919621924</v>
      </c>
    </row>
    <row r="120" spans="3:7">
      <c r="C120" s="2">
        <v>107</v>
      </c>
      <c r="D120" s="12">
        <f t="shared" si="4"/>
        <v>11815.538644233979</v>
      </c>
      <c r="E120" s="12">
        <f t="shared" si="5"/>
        <v>3182.6262240839314</v>
      </c>
      <c r="F120" s="12">
        <f t="shared" si="6"/>
        <v>8632.9124201500472</v>
      </c>
      <c r="G120" s="12">
        <f t="shared" si="7"/>
        <v>740220.31677606923</v>
      </c>
    </row>
    <row r="121" spans="3:7">
      <c r="C121" s="2">
        <v>108</v>
      </c>
      <c r="D121" s="12">
        <f t="shared" si="4"/>
        <v>11815.538644233979</v>
      </c>
      <c r="E121" s="12">
        <f t="shared" si="5"/>
        <v>3145.9363462982942</v>
      </c>
      <c r="F121" s="12">
        <f t="shared" si="6"/>
        <v>8669.602297935684</v>
      </c>
      <c r="G121" s="12">
        <f t="shared" si="7"/>
        <v>731550.7144781336</v>
      </c>
    </row>
    <row r="122" spans="3:7">
      <c r="C122" s="2">
        <v>109</v>
      </c>
      <c r="D122" s="12">
        <f t="shared" si="4"/>
        <v>11815.538644233979</v>
      </c>
      <c r="E122" s="12">
        <f t="shared" si="5"/>
        <v>3109.0905365320673</v>
      </c>
      <c r="F122" s="12">
        <f t="shared" si="6"/>
        <v>8706.4481077019118</v>
      </c>
      <c r="G122" s="12">
        <f t="shared" si="7"/>
        <v>722844.26637043164</v>
      </c>
    </row>
    <row r="123" spans="3:7">
      <c r="C123" s="2">
        <v>110</v>
      </c>
      <c r="D123" s="12">
        <f t="shared" si="4"/>
        <v>11815.538644233979</v>
      </c>
      <c r="E123" s="12">
        <f t="shared" si="5"/>
        <v>3072.0881320743342</v>
      </c>
      <c r="F123" s="12">
        <f t="shared" si="6"/>
        <v>8743.4505121596449</v>
      </c>
      <c r="G123" s="12">
        <f t="shared" si="7"/>
        <v>714100.81585827202</v>
      </c>
    </row>
    <row r="124" spans="3:7">
      <c r="C124" s="2">
        <v>111</v>
      </c>
      <c r="D124" s="12">
        <f t="shared" si="4"/>
        <v>11815.538644233979</v>
      </c>
      <c r="E124" s="12">
        <f t="shared" si="5"/>
        <v>3034.9284673976558</v>
      </c>
      <c r="F124" s="12">
        <f t="shared" si="6"/>
        <v>8780.6101768363224</v>
      </c>
      <c r="G124" s="12">
        <f t="shared" si="7"/>
        <v>705320.20568143565</v>
      </c>
    </row>
    <row r="125" spans="3:7">
      <c r="C125" s="2">
        <v>112</v>
      </c>
      <c r="D125" s="12">
        <f t="shared" si="4"/>
        <v>11815.538644233979</v>
      </c>
      <c r="E125" s="12">
        <f t="shared" si="5"/>
        <v>2997.6108741461012</v>
      </c>
      <c r="F125" s="12">
        <f t="shared" si="6"/>
        <v>8817.9277700878774</v>
      </c>
      <c r="G125" s="12">
        <f t="shared" si="7"/>
        <v>696502.2779113478</v>
      </c>
    </row>
    <row r="126" spans="3:7">
      <c r="C126" s="2">
        <v>113</v>
      </c>
      <c r="D126" s="12">
        <f t="shared" si="4"/>
        <v>11815.538644233979</v>
      </c>
      <c r="E126" s="12">
        <f t="shared" si="5"/>
        <v>2960.1346811232283</v>
      </c>
      <c r="F126" s="12">
        <f t="shared" si="6"/>
        <v>8855.4039631107498</v>
      </c>
      <c r="G126" s="12">
        <f t="shared" si="7"/>
        <v>687646.87394823704</v>
      </c>
    </row>
    <row r="127" spans="3:7">
      <c r="C127" s="2">
        <v>114</v>
      </c>
      <c r="D127" s="12">
        <f t="shared" si="4"/>
        <v>11815.538644233979</v>
      </c>
      <c r="E127" s="12">
        <f t="shared" si="5"/>
        <v>2922.4992142800074</v>
      </c>
      <c r="F127" s="12">
        <f t="shared" si="6"/>
        <v>8893.0394299539712</v>
      </c>
      <c r="G127" s="12">
        <f t="shared" si="7"/>
        <v>678753.83451828302</v>
      </c>
    </row>
    <row r="128" spans="3:7">
      <c r="C128" s="2">
        <v>115</v>
      </c>
      <c r="D128" s="12">
        <f t="shared" si="4"/>
        <v>11815.538644233979</v>
      </c>
      <c r="E128" s="12">
        <f t="shared" si="5"/>
        <v>2884.7037967027027</v>
      </c>
      <c r="F128" s="12">
        <f t="shared" si="6"/>
        <v>8930.834847531276</v>
      </c>
      <c r="G128" s="12">
        <f t="shared" si="7"/>
        <v>669822.99967075174</v>
      </c>
    </row>
    <row r="129" spans="3:7">
      <c r="C129" s="2">
        <v>116</v>
      </c>
      <c r="D129" s="12">
        <f t="shared" si="4"/>
        <v>11815.538644233979</v>
      </c>
      <c r="E129" s="12">
        <f t="shared" si="5"/>
        <v>2846.7477486006951</v>
      </c>
      <c r="F129" s="12">
        <f t="shared" si="6"/>
        <v>8968.7908956332831</v>
      </c>
      <c r="G129" s="12">
        <f t="shared" si="7"/>
        <v>660854.20877511846</v>
      </c>
    </row>
    <row r="130" spans="3:7">
      <c r="C130" s="2">
        <v>117</v>
      </c>
      <c r="D130" s="12">
        <f t="shared" si="4"/>
        <v>11815.538644233979</v>
      </c>
      <c r="E130" s="12">
        <f t="shared" si="5"/>
        <v>2808.6303872942535</v>
      </c>
      <c r="F130" s="12">
        <f t="shared" si="6"/>
        <v>9006.9082569397251</v>
      </c>
      <c r="G130" s="12">
        <f t="shared" si="7"/>
        <v>651847.30051817873</v>
      </c>
    </row>
    <row r="131" spans="3:7">
      <c r="C131" s="2">
        <v>118</v>
      </c>
      <c r="D131" s="12">
        <f t="shared" si="4"/>
        <v>11815.538644233979</v>
      </c>
      <c r="E131" s="12">
        <f t="shared" si="5"/>
        <v>2770.3510272022595</v>
      </c>
      <c r="F131" s="12">
        <f t="shared" si="6"/>
        <v>9045.1876170317191</v>
      </c>
      <c r="G131" s="12">
        <f t="shared" si="7"/>
        <v>642802.11290114699</v>
      </c>
    </row>
    <row r="132" spans="3:7">
      <c r="C132" s="2">
        <v>119</v>
      </c>
      <c r="D132" s="12">
        <f t="shared" si="4"/>
        <v>11815.538644233979</v>
      </c>
      <c r="E132" s="12">
        <f t="shared" si="5"/>
        <v>2731.9089798298742</v>
      </c>
      <c r="F132" s="12">
        <f t="shared" si="6"/>
        <v>9083.6296644041049</v>
      </c>
      <c r="G132" s="12">
        <f t="shared" si="7"/>
        <v>633718.4832367429</v>
      </c>
    </row>
    <row r="133" spans="3:7">
      <c r="C133" s="2">
        <v>120</v>
      </c>
      <c r="D133" s="12">
        <f t="shared" si="4"/>
        <v>11815.538644233979</v>
      </c>
      <c r="E133" s="12">
        <f t="shared" si="5"/>
        <v>2693.3035537561573</v>
      </c>
      <c r="F133" s="12">
        <f t="shared" si="6"/>
        <v>9122.2350904778214</v>
      </c>
      <c r="G133" s="12">
        <f t="shared" si="7"/>
        <v>624596.24814626505</v>
      </c>
    </row>
    <row r="134" spans="3:7">
      <c r="C134" s="2">
        <v>121</v>
      </c>
      <c r="D134" s="12">
        <f t="shared" si="4"/>
        <v>11815.538644233979</v>
      </c>
      <c r="E134" s="12">
        <f t="shared" si="5"/>
        <v>2654.5340546216262</v>
      </c>
      <c r="F134" s="12">
        <f t="shared" si="6"/>
        <v>9161.004589612352</v>
      </c>
      <c r="G134" s="12">
        <f t="shared" si="7"/>
        <v>615435.24355665268</v>
      </c>
    </row>
    <row r="135" spans="3:7">
      <c r="C135" s="2">
        <v>122</v>
      </c>
      <c r="D135" s="12">
        <f t="shared" si="4"/>
        <v>11815.538644233979</v>
      </c>
      <c r="E135" s="12">
        <f t="shared" si="5"/>
        <v>2615.599785115774</v>
      </c>
      <c r="F135" s="12">
        <f t="shared" si="6"/>
        <v>9199.9388591182051</v>
      </c>
      <c r="G135" s="12">
        <f t="shared" si="7"/>
        <v>606235.30469753454</v>
      </c>
    </row>
    <row r="136" spans="3:7">
      <c r="C136" s="2">
        <v>123</v>
      </c>
      <c r="D136" s="12">
        <f t="shared" si="4"/>
        <v>11815.538644233979</v>
      </c>
      <c r="E136" s="12">
        <f t="shared" si="5"/>
        <v>2576.5000449645217</v>
      </c>
      <c r="F136" s="12">
        <f t="shared" si="6"/>
        <v>9239.0385992694573</v>
      </c>
      <c r="G136" s="12">
        <f t="shared" si="7"/>
        <v>596996.26609826507</v>
      </c>
    </row>
    <row r="137" spans="3:7">
      <c r="C137" s="2">
        <v>124</v>
      </c>
      <c r="D137" s="12">
        <f t="shared" si="4"/>
        <v>11815.538644233979</v>
      </c>
      <c r="E137" s="12">
        <f t="shared" si="5"/>
        <v>2537.2341309176263</v>
      </c>
      <c r="F137" s="12">
        <f t="shared" si="6"/>
        <v>9278.3045133163523</v>
      </c>
      <c r="G137" s="12">
        <f t="shared" si="7"/>
        <v>587717.9615849487</v>
      </c>
    </row>
    <row r="138" spans="3:7">
      <c r="C138" s="2">
        <v>125</v>
      </c>
      <c r="D138" s="12">
        <f t="shared" si="4"/>
        <v>11815.538644233979</v>
      </c>
      <c r="E138" s="12">
        <f t="shared" si="5"/>
        <v>2497.8013367360318</v>
      </c>
      <c r="F138" s="12">
        <f t="shared" si="6"/>
        <v>9317.7373074979478</v>
      </c>
      <c r="G138" s="12">
        <f t="shared" si="7"/>
        <v>578400.2242774507</v>
      </c>
    </row>
    <row r="139" spans="3:7">
      <c r="C139" s="2">
        <v>126</v>
      </c>
      <c r="D139" s="12">
        <f t="shared" si="4"/>
        <v>11815.538644233979</v>
      </c>
      <c r="E139" s="12">
        <f t="shared" si="5"/>
        <v>2458.2009531791655</v>
      </c>
      <c r="F139" s="12">
        <f t="shared" si="6"/>
        <v>9357.3376910548141</v>
      </c>
      <c r="G139" s="12">
        <f t="shared" si="7"/>
        <v>569042.88658639591</v>
      </c>
    </row>
    <row r="140" spans="3:7">
      <c r="C140" s="2">
        <v>127</v>
      </c>
      <c r="D140" s="12">
        <f t="shared" si="4"/>
        <v>11815.538644233979</v>
      </c>
      <c r="E140" s="12">
        <f t="shared" si="5"/>
        <v>2418.4322679921825</v>
      </c>
      <c r="F140" s="12">
        <f t="shared" si="6"/>
        <v>9397.1063762417962</v>
      </c>
      <c r="G140" s="12">
        <f t="shared" si="7"/>
        <v>559645.78021015413</v>
      </c>
    </row>
    <row r="141" spans="3:7">
      <c r="C141" s="2">
        <v>128</v>
      </c>
      <c r="D141" s="12">
        <f t="shared" si="4"/>
        <v>11815.538644233979</v>
      </c>
      <c r="E141" s="12">
        <f t="shared" si="5"/>
        <v>2378.4945658931551</v>
      </c>
      <c r="F141" s="12">
        <f t="shared" si="6"/>
        <v>9437.044078340823</v>
      </c>
      <c r="G141" s="12">
        <f t="shared" si="7"/>
        <v>550208.73613181326</v>
      </c>
    </row>
    <row r="142" spans="3:7">
      <c r="C142" s="2">
        <v>129</v>
      </c>
      <c r="D142" s="12">
        <f t="shared" si="4"/>
        <v>11815.538644233979</v>
      </c>
      <c r="E142" s="12">
        <f t="shared" si="5"/>
        <v>2338.3871285602063</v>
      </c>
      <c r="F142" s="12">
        <f t="shared" si="6"/>
        <v>9477.1515156737732</v>
      </c>
      <c r="G142" s="12">
        <f t="shared" si="7"/>
        <v>540731.58461613953</v>
      </c>
    </row>
    <row r="143" spans="3:7">
      <c r="C143" s="2">
        <v>130</v>
      </c>
      <c r="D143" s="12">
        <f t="shared" ref="D143:D206" si="8">IF(C143&lt;=$F$7*$F$8,$F$9,0)</f>
        <v>11815.538644233979</v>
      </c>
      <c r="E143" s="12">
        <f t="shared" ref="E143:E206" si="9">G142*$F$5/$F$8</f>
        <v>2298.1092346185928</v>
      </c>
      <c r="F143" s="12">
        <f t="shared" ref="F143:F206" si="10">D143-E143</f>
        <v>9517.4294096153862</v>
      </c>
      <c r="G143" s="12">
        <f t="shared" ref="G143:G206" si="11">G142-F143</f>
        <v>531214.15520652418</v>
      </c>
    </row>
    <row r="144" spans="3:7">
      <c r="C144" s="2">
        <v>131</v>
      </c>
      <c r="D144" s="12">
        <f t="shared" si="8"/>
        <v>11815.538644233979</v>
      </c>
      <c r="E144" s="12">
        <f t="shared" si="9"/>
        <v>2257.6601596277274</v>
      </c>
      <c r="F144" s="12">
        <f t="shared" si="10"/>
        <v>9557.8784846062517</v>
      </c>
      <c r="G144" s="12">
        <f t="shared" si="11"/>
        <v>521656.27672191791</v>
      </c>
    </row>
    <row r="145" spans="3:7">
      <c r="C145" s="2">
        <v>132</v>
      </c>
      <c r="D145" s="12">
        <f t="shared" si="8"/>
        <v>11815.538644233979</v>
      </c>
      <c r="E145" s="12">
        <f t="shared" si="9"/>
        <v>2217.0391760681509</v>
      </c>
      <c r="F145" s="12">
        <f t="shared" si="10"/>
        <v>9598.4994681658281</v>
      </c>
      <c r="G145" s="12">
        <f t="shared" si="11"/>
        <v>512057.77725375211</v>
      </c>
    </row>
    <row r="146" spans="3:7">
      <c r="C146" s="2">
        <v>133</v>
      </c>
      <c r="D146" s="12">
        <f t="shared" si="8"/>
        <v>11815.538644233979</v>
      </c>
      <c r="E146" s="12">
        <f t="shared" si="9"/>
        <v>2176.245553328446</v>
      </c>
      <c r="F146" s="12">
        <f t="shared" si="10"/>
        <v>9639.2930909055322</v>
      </c>
      <c r="G146" s="12">
        <f t="shared" si="11"/>
        <v>502418.48416284658</v>
      </c>
    </row>
    <row r="147" spans="3:7">
      <c r="C147" s="2">
        <v>134</v>
      </c>
      <c r="D147" s="12">
        <f t="shared" si="8"/>
        <v>11815.538644233979</v>
      </c>
      <c r="E147" s="12">
        <f t="shared" si="9"/>
        <v>2135.2785576920978</v>
      </c>
      <c r="F147" s="12">
        <f t="shared" si="10"/>
        <v>9680.2600865418808</v>
      </c>
      <c r="G147" s="12">
        <f t="shared" si="11"/>
        <v>492738.2240763047</v>
      </c>
    </row>
    <row r="148" spans="3:7">
      <c r="C148" s="2">
        <v>135</v>
      </c>
      <c r="D148" s="12">
        <f t="shared" si="8"/>
        <v>11815.538644233979</v>
      </c>
      <c r="E148" s="12">
        <f t="shared" si="9"/>
        <v>2094.1374523242948</v>
      </c>
      <c r="F148" s="12">
        <f t="shared" si="10"/>
        <v>9721.4011919096847</v>
      </c>
      <c r="G148" s="12">
        <f t="shared" si="11"/>
        <v>483016.82288439502</v>
      </c>
    </row>
    <row r="149" spans="3:7">
      <c r="C149" s="2">
        <v>136</v>
      </c>
      <c r="D149" s="12">
        <f t="shared" si="8"/>
        <v>11815.538644233979</v>
      </c>
      <c r="E149" s="12">
        <f t="shared" si="9"/>
        <v>2052.8214972586788</v>
      </c>
      <c r="F149" s="12">
        <f t="shared" si="10"/>
        <v>9762.7171469752993</v>
      </c>
      <c r="G149" s="12">
        <f t="shared" si="11"/>
        <v>473254.10573741974</v>
      </c>
    </row>
    <row r="150" spans="3:7">
      <c r="C150" s="2">
        <v>137</v>
      </c>
      <c r="D150" s="12">
        <f t="shared" si="8"/>
        <v>11815.538644233979</v>
      </c>
      <c r="E150" s="12">
        <f t="shared" si="9"/>
        <v>2011.3299493840339</v>
      </c>
      <c r="F150" s="12">
        <f t="shared" si="10"/>
        <v>9804.2086948499455</v>
      </c>
      <c r="G150" s="12">
        <f t="shared" si="11"/>
        <v>463449.89704256982</v>
      </c>
    </row>
    <row r="151" spans="3:7">
      <c r="C151" s="2">
        <v>138</v>
      </c>
      <c r="D151" s="12">
        <f t="shared" si="8"/>
        <v>11815.538644233979</v>
      </c>
      <c r="E151" s="12">
        <f t="shared" si="9"/>
        <v>1969.6620624309217</v>
      </c>
      <c r="F151" s="12">
        <f t="shared" si="10"/>
        <v>9845.876581803057</v>
      </c>
      <c r="G151" s="12">
        <f t="shared" si="11"/>
        <v>453604.02046076674</v>
      </c>
    </row>
    <row r="152" spans="3:7">
      <c r="C152" s="2">
        <v>139</v>
      </c>
      <c r="D152" s="12">
        <f t="shared" si="8"/>
        <v>11815.538644233979</v>
      </c>
      <c r="E152" s="12">
        <f t="shared" si="9"/>
        <v>1927.8170869582584</v>
      </c>
      <c r="F152" s="12">
        <f t="shared" si="10"/>
        <v>9887.7215572757195</v>
      </c>
      <c r="G152" s="12">
        <f t="shared" si="11"/>
        <v>443716.298903491</v>
      </c>
    </row>
    <row r="153" spans="3:7">
      <c r="C153" s="2">
        <v>140</v>
      </c>
      <c r="D153" s="12">
        <f t="shared" si="8"/>
        <v>11815.538644233979</v>
      </c>
      <c r="E153" s="12">
        <f t="shared" si="9"/>
        <v>1885.7942703398367</v>
      </c>
      <c r="F153" s="12">
        <f t="shared" si="10"/>
        <v>9929.744373894142</v>
      </c>
      <c r="G153" s="12">
        <f t="shared" si="11"/>
        <v>433786.55452959688</v>
      </c>
    </row>
    <row r="154" spans="3:7">
      <c r="C154" s="2">
        <v>141</v>
      </c>
      <c r="D154" s="12">
        <f t="shared" si="8"/>
        <v>11815.538644233979</v>
      </c>
      <c r="E154" s="12">
        <f t="shared" si="9"/>
        <v>1843.5928567507865</v>
      </c>
      <c r="F154" s="12">
        <f t="shared" si="10"/>
        <v>9971.9457874831915</v>
      </c>
      <c r="G154" s="12">
        <f t="shared" si="11"/>
        <v>423814.60874211369</v>
      </c>
    </row>
    <row r="155" spans="3:7">
      <c r="C155" s="2">
        <v>142</v>
      </c>
      <c r="D155" s="12">
        <f t="shared" si="8"/>
        <v>11815.538644233979</v>
      </c>
      <c r="E155" s="12">
        <f t="shared" si="9"/>
        <v>1801.212087153983</v>
      </c>
      <c r="F155" s="12">
        <f t="shared" si="10"/>
        <v>10014.326557079996</v>
      </c>
      <c r="G155" s="12">
        <f t="shared" si="11"/>
        <v>413800.28218503372</v>
      </c>
    </row>
    <row r="156" spans="3:7">
      <c r="C156" s="2">
        <v>143</v>
      </c>
      <c r="D156" s="12">
        <f t="shared" si="8"/>
        <v>11815.538644233979</v>
      </c>
      <c r="E156" s="12">
        <f t="shared" si="9"/>
        <v>1758.6511992863932</v>
      </c>
      <c r="F156" s="12">
        <f t="shared" si="10"/>
        <v>10056.887444947586</v>
      </c>
      <c r="G156" s="12">
        <f t="shared" si="11"/>
        <v>403743.39474008611</v>
      </c>
    </row>
    <row r="157" spans="3:7">
      <c r="C157" s="2">
        <v>144</v>
      </c>
      <c r="D157" s="12">
        <f t="shared" si="8"/>
        <v>11815.538644233979</v>
      </c>
      <c r="E157" s="12">
        <f t="shared" si="9"/>
        <v>1715.9094276453659</v>
      </c>
      <c r="F157" s="12">
        <f t="shared" si="10"/>
        <v>10099.629216588613</v>
      </c>
      <c r="G157" s="12">
        <f t="shared" si="11"/>
        <v>393643.76552349748</v>
      </c>
    </row>
    <row r="158" spans="3:7">
      <c r="C158" s="2">
        <v>145</v>
      </c>
      <c r="D158" s="12">
        <f t="shared" si="8"/>
        <v>11815.538644233979</v>
      </c>
      <c r="E158" s="12">
        <f t="shared" si="9"/>
        <v>1672.9860034748642</v>
      </c>
      <c r="F158" s="12">
        <f t="shared" si="10"/>
        <v>10142.552640759115</v>
      </c>
      <c r="G158" s="12">
        <f t="shared" si="11"/>
        <v>383501.21288273839</v>
      </c>
    </row>
    <row r="159" spans="3:7">
      <c r="C159" s="2">
        <v>146</v>
      </c>
      <c r="D159" s="12">
        <f t="shared" si="8"/>
        <v>11815.538644233979</v>
      </c>
      <c r="E159" s="12">
        <f t="shared" si="9"/>
        <v>1629.880154751638</v>
      </c>
      <c r="F159" s="12">
        <f t="shared" si="10"/>
        <v>10185.658489482341</v>
      </c>
      <c r="G159" s="12">
        <f t="shared" si="11"/>
        <v>373315.55439325602</v>
      </c>
    </row>
    <row r="160" spans="3:7">
      <c r="C160" s="2">
        <v>147</v>
      </c>
      <c r="D160" s="12">
        <f t="shared" si="8"/>
        <v>11815.538644233979</v>
      </c>
      <c r="E160" s="12">
        <f t="shared" si="9"/>
        <v>1586.591106171338</v>
      </c>
      <c r="F160" s="12">
        <f t="shared" si="10"/>
        <v>10228.947538062641</v>
      </c>
      <c r="G160" s="12">
        <f t="shared" si="11"/>
        <v>363086.60685519339</v>
      </c>
    </row>
    <row r="161" spans="3:7">
      <c r="C161" s="2">
        <v>148</v>
      </c>
      <c r="D161" s="12">
        <f t="shared" si="8"/>
        <v>11815.538644233979</v>
      </c>
      <c r="E161" s="12">
        <f t="shared" si="9"/>
        <v>1543.1180791345716</v>
      </c>
      <c r="F161" s="12">
        <f t="shared" si="10"/>
        <v>10272.420565099406</v>
      </c>
      <c r="G161" s="12">
        <f t="shared" si="11"/>
        <v>352814.18629009399</v>
      </c>
    </row>
    <row r="162" spans="3:7">
      <c r="C162" s="2">
        <v>149</v>
      </c>
      <c r="D162" s="12">
        <f t="shared" si="8"/>
        <v>11815.538644233979</v>
      </c>
      <c r="E162" s="12">
        <f t="shared" si="9"/>
        <v>1499.4602917328993</v>
      </c>
      <c r="F162" s="12">
        <f t="shared" si="10"/>
        <v>10316.078352501079</v>
      </c>
      <c r="G162" s="12">
        <f t="shared" si="11"/>
        <v>342498.1079375929</v>
      </c>
    </row>
    <row r="163" spans="3:7">
      <c r="C163" s="2">
        <v>150</v>
      </c>
      <c r="D163" s="12">
        <f t="shared" si="8"/>
        <v>11815.538644233979</v>
      </c>
      <c r="E163" s="12">
        <f t="shared" si="9"/>
        <v>1455.6169587347697</v>
      </c>
      <c r="F163" s="12">
        <f t="shared" si="10"/>
        <v>10359.921685499208</v>
      </c>
      <c r="G163" s="12">
        <f t="shared" si="11"/>
        <v>332138.1862520937</v>
      </c>
    </row>
    <row r="164" spans="3:7">
      <c r="C164" s="2">
        <v>151</v>
      </c>
      <c r="D164" s="12">
        <f t="shared" si="8"/>
        <v>11815.538644233979</v>
      </c>
      <c r="E164" s="12">
        <f t="shared" si="9"/>
        <v>1411.5872915713981</v>
      </c>
      <c r="F164" s="12">
        <f t="shared" si="10"/>
        <v>10403.951352662581</v>
      </c>
      <c r="G164" s="12">
        <f t="shared" si="11"/>
        <v>321734.23489943112</v>
      </c>
    </row>
    <row r="165" spans="3:7">
      <c r="C165" s="2">
        <v>152</v>
      </c>
      <c r="D165" s="12">
        <f t="shared" si="8"/>
        <v>11815.538644233979</v>
      </c>
      <c r="E165" s="12">
        <f t="shared" si="9"/>
        <v>1367.3704983225823</v>
      </c>
      <c r="F165" s="12">
        <f t="shared" si="10"/>
        <v>10448.168145911397</v>
      </c>
      <c r="G165" s="12">
        <f t="shared" si="11"/>
        <v>311286.0667535197</v>
      </c>
    </row>
    <row r="166" spans="3:7">
      <c r="C166" s="2">
        <v>153</v>
      </c>
      <c r="D166" s="12">
        <f t="shared" si="8"/>
        <v>11815.538644233979</v>
      </c>
      <c r="E166" s="12">
        <f t="shared" si="9"/>
        <v>1322.9657837024586</v>
      </c>
      <c r="F166" s="12">
        <f t="shared" si="10"/>
        <v>10492.57286053152</v>
      </c>
      <c r="G166" s="12">
        <f t="shared" si="11"/>
        <v>300793.49389298819</v>
      </c>
    </row>
    <row r="167" spans="3:7">
      <c r="C167" s="2">
        <v>154</v>
      </c>
      <c r="D167" s="12">
        <f t="shared" si="8"/>
        <v>11815.538644233979</v>
      </c>
      <c r="E167" s="12">
        <f t="shared" si="9"/>
        <v>1278.3723490451996</v>
      </c>
      <c r="F167" s="12">
        <f t="shared" si="10"/>
        <v>10537.166295188779</v>
      </c>
      <c r="G167" s="12">
        <f t="shared" si="11"/>
        <v>290256.32759779942</v>
      </c>
    </row>
    <row r="168" spans="3:7">
      <c r="C168" s="2">
        <v>155</v>
      </c>
      <c r="D168" s="12">
        <f t="shared" si="8"/>
        <v>11815.538644233979</v>
      </c>
      <c r="E168" s="12">
        <f t="shared" si="9"/>
        <v>1233.5893922906473</v>
      </c>
      <c r="F168" s="12">
        <f t="shared" si="10"/>
        <v>10581.949251943332</v>
      </c>
      <c r="G168" s="12">
        <f t="shared" si="11"/>
        <v>279674.37834585609</v>
      </c>
    </row>
    <row r="169" spans="3:7">
      <c r="C169" s="2">
        <v>156</v>
      </c>
      <c r="D169" s="12">
        <f t="shared" si="8"/>
        <v>11815.538644233979</v>
      </c>
      <c r="E169" s="12">
        <f t="shared" si="9"/>
        <v>1188.6161079698884</v>
      </c>
      <c r="F169" s="12">
        <f t="shared" si="10"/>
        <v>10626.92253626409</v>
      </c>
      <c r="G169" s="12">
        <f t="shared" si="11"/>
        <v>269047.45580959198</v>
      </c>
    </row>
    <row r="170" spans="3:7">
      <c r="C170" s="2">
        <v>157</v>
      </c>
      <c r="D170" s="12">
        <f t="shared" si="8"/>
        <v>11815.538644233979</v>
      </c>
      <c r="E170" s="12">
        <f t="shared" si="9"/>
        <v>1143.4516871907658</v>
      </c>
      <c r="F170" s="12">
        <f t="shared" si="10"/>
        <v>10672.086957043213</v>
      </c>
      <c r="G170" s="12">
        <f t="shared" si="11"/>
        <v>258375.36885254877</v>
      </c>
    </row>
    <row r="171" spans="3:7">
      <c r="C171" s="2">
        <v>158</v>
      </c>
      <c r="D171" s="12">
        <f t="shared" si="8"/>
        <v>11815.538644233979</v>
      </c>
      <c r="E171" s="12">
        <f t="shared" si="9"/>
        <v>1098.0953176233322</v>
      </c>
      <c r="F171" s="12">
        <f t="shared" si="10"/>
        <v>10717.443326610646</v>
      </c>
      <c r="G171" s="12">
        <f t="shared" si="11"/>
        <v>247657.92552593813</v>
      </c>
    </row>
    <row r="172" spans="3:7">
      <c r="C172" s="2">
        <v>159</v>
      </c>
      <c r="D172" s="12">
        <f t="shared" si="8"/>
        <v>11815.538644233979</v>
      </c>
      <c r="E172" s="12">
        <f t="shared" si="9"/>
        <v>1052.546183485237</v>
      </c>
      <c r="F172" s="12">
        <f t="shared" si="10"/>
        <v>10762.992460748741</v>
      </c>
      <c r="G172" s="12">
        <f t="shared" si="11"/>
        <v>236894.9330651894</v>
      </c>
    </row>
    <row r="173" spans="3:7">
      <c r="C173" s="2">
        <v>160</v>
      </c>
      <c r="D173" s="12">
        <f t="shared" si="8"/>
        <v>11815.538644233979</v>
      </c>
      <c r="E173" s="12">
        <f t="shared" si="9"/>
        <v>1006.8034655270549</v>
      </c>
      <c r="F173" s="12">
        <f t="shared" si="10"/>
        <v>10808.735178706924</v>
      </c>
      <c r="G173" s="12">
        <f t="shared" si="11"/>
        <v>226086.19788648246</v>
      </c>
    </row>
    <row r="174" spans="3:7">
      <c r="C174" s="2">
        <v>161</v>
      </c>
      <c r="D174" s="12">
        <f t="shared" si="8"/>
        <v>11815.538644233979</v>
      </c>
      <c r="E174" s="12">
        <f t="shared" si="9"/>
        <v>960.86634101755044</v>
      </c>
      <c r="F174" s="12">
        <f t="shared" si="10"/>
        <v>10854.672303216428</v>
      </c>
      <c r="G174" s="12">
        <f t="shared" si="11"/>
        <v>215231.52558326605</v>
      </c>
    </row>
    <row r="175" spans="3:7">
      <c r="C175" s="2">
        <v>162</v>
      </c>
      <c r="D175" s="12">
        <f t="shared" si="8"/>
        <v>11815.538644233979</v>
      </c>
      <c r="E175" s="12">
        <f t="shared" si="9"/>
        <v>914.73398372888062</v>
      </c>
      <c r="F175" s="12">
        <f t="shared" si="10"/>
        <v>10900.804660505099</v>
      </c>
      <c r="G175" s="12">
        <f t="shared" si="11"/>
        <v>204330.72092276096</v>
      </c>
    </row>
    <row r="176" spans="3:7">
      <c r="C176" s="2">
        <v>163</v>
      </c>
      <c r="D176" s="12">
        <f t="shared" si="8"/>
        <v>11815.538644233979</v>
      </c>
      <c r="E176" s="12">
        <f t="shared" si="9"/>
        <v>868.40556392173403</v>
      </c>
      <c r="F176" s="12">
        <f t="shared" si="10"/>
        <v>10947.133080312244</v>
      </c>
      <c r="G176" s="12">
        <f t="shared" si="11"/>
        <v>193383.5878424487</v>
      </c>
    </row>
    <row r="177" spans="3:7">
      <c r="C177" s="2">
        <v>164</v>
      </c>
      <c r="D177" s="12">
        <f t="shared" si="8"/>
        <v>11815.538644233979</v>
      </c>
      <c r="E177" s="12">
        <f t="shared" si="9"/>
        <v>821.88024833040697</v>
      </c>
      <c r="F177" s="12">
        <f t="shared" si="10"/>
        <v>10993.658395903572</v>
      </c>
      <c r="G177" s="12">
        <f t="shared" si="11"/>
        <v>182389.92944654514</v>
      </c>
    </row>
    <row r="178" spans="3:7">
      <c r="C178" s="2">
        <v>165</v>
      </c>
      <c r="D178" s="12">
        <f t="shared" si="8"/>
        <v>11815.538644233979</v>
      </c>
      <c r="E178" s="12">
        <f t="shared" si="9"/>
        <v>775.15720014781675</v>
      </c>
      <c r="F178" s="12">
        <f t="shared" si="10"/>
        <v>11040.381444086162</v>
      </c>
      <c r="G178" s="12">
        <f t="shared" si="11"/>
        <v>171349.54800245896</v>
      </c>
    </row>
    <row r="179" spans="3:7">
      <c r="C179" s="2">
        <v>166</v>
      </c>
      <c r="D179" s="12">
        <f t="shared" si="8"/>
        <v>11815.538644233979</v>
      </c>
      <c r="E179" s="12">
        <f t="shared" si="9"/>
        <v>728.23557901045058</v>
      </c>
      <c r="F179" s="12">
        <f t="shared" si="10"/>
        <v>11087.303065223528</v>
      </c>
      <c r="G179" s="12">
        <f t="shared" si="11"/>
        <v>160262.24493723543</v>
      </c>
    </row>
    <row r="180" spans="3:7">
      <c r="C180" s="2">
        <v>167</v>
      </c>
      <c r="D180" s="12">
        <f t="shared" si="8"/>
        <v>11815.538644233979</v>
      </c>
      <c r="E180" s="12">
        <f t="shared" si="9"/>
        <v>681.11454098325055</v>
      </c>
      <c r="F180" s="12">
        <f t="shared" si="10"/>
        <v>11134.424103250729</v>
      </c>
      <c r="G180" s="12">
        <f t="shared" si="11"/>
        <v>149127.8208339847</v>
      </c>
    </row>
    <row r="181" spans="3:7">
      <c r="C181" s="2">
        <v>168</v>
      </c>
      <c r="D181" s="12">
        <f t="shared" si="8"/>
        <v>11815.538644233979</v>
      </c>
      <c r="E181" s="12">
        <f t="shared" si="9"/>
        <v>633.79323854443498</v>
      </c>
      <c r="F181" s="12">
        <f t="shared" si="10"/>
        <v>11181.745405689544</v>
      </c>
      <c r="G181" s="12">
        <f t="shared" si="11"/>
        <v>137946.07542829515</v>
      </c>
    </row>
    <row r="182" spans="3:7">
      <c r="C182" s="2">
        <v>169</v>
      </c>
      <c r="D182" s="12">
        <f t="shared" si="8"/>
        <v>11815.538644233979</v>
      </c>
      <c r="E182" s="12">
        <f t="shared" si="9"/>
        <v>586.27082057025439</v>
      </c>
      <c r="F182" s="12">
        <f t="shared" si="10"/>
        <v>11229.267823663724</v>
      </c>
      <c r="G182" s="12">
        <f t="shared" si="11"/>
        <v>126716.80760463142</v>
      </c>
    </row>
    <row r="183" spans="3:7">
      <c r="C183" s="2">
        <v>170</v>
      </c>
      <c r="D183" s="12">
        <f t="shared" si="8"/>
        <v>11815.538644233979</v>
      </c>
      <c r="E183" s="12">
        <f t="shared" si="9"/>
        <v>538.5464323196835</v>
      </c>
      <c r="F183" s="12">
        <f t="shared" si="10"/>
        <v>11276.992211914296</v>
      </c>
      <c r="G183" s="12">
        <f t="shared" si="11"/>
        <v>115439.81539271712</v>
      </c>
    </row>
    <row r="184" spans="3:7">
      <c r="C184" s="2">
        <v>171</v>
      </c>
      <c r="D184" s="12">
        <f t="shared" si="8"/>
        <v>11815.538644233979</v>
      </c>
      <c r="E184" s="12">
        <f t="shared" si="9"/>
        <v>490.61921541904775</v>
      </c>
      <c r="F184" s="12">
        <f t="shared" si="10"/>
        <v>11324.91942881493</v>
      </c>
      <c r="G184" s="12">
        <f t="shared" si="11"/>
        <v>104114.89596390219</v>
      </c>
    </row>
    <row r="185" spans="3:7">
      <c r="C185" s="2">
        <v>172</v>
      </c>
      <c r="D185" s="12">
        <f t="shared" si="8"/>
        <v>11815.538644233979</v>
      </c>
      <c r="E185" s="12">
        <f t="shared" si="9"/>
        <v>442.48830784658429</v>
      </c>
      <c r="F185" s="12">
        <f t="shared" si="10"/>
        <v>11373.050336387394</v>
      </c>
      <c r="G185" s="12">
        <f t="shared" si="11"/>
        <v>92741.845627514791</v>
      </c>
    </row>
    <row r="186" spans="3:7">
      <c r="C186" s="2">
        <v>173</v>
      </c>
      <c r="D186" s="12">
        <f t="shared" si="8"/>
        <v>11815.538644233979</v>
      </c>
      <c r="E186" s="12">
        <f t="shared" si="9"/>
        <v>394.15284391693785</v>
      </c>
      <c r="F186" s="12">
        <f t="shared" si="10"/>
        <v>11421.385800317041</v>
      </c>
      <c r="G186" s="12">
        <f t="shared" si="11"/>
        <v>81320.459827197745</v>
      </c>
    </row>
    <row r="187" spans="3:7">
      <c r="C187" s="2">
        <v>174</v>
      </c>
      <c r="D187" s="12">
        <f t="shared" si="8"/>
        <v>11815.538644233979</v>
      </c>
      <c r="E187" s="12">
        <f t="shared" si="9"/>
        <v>345.61195426559038</v>
      </c>
      <c r="F187" s="12">
        <f t="shared" si="10"/>
        <v>11469.926689968388</v>
      </c>
      <c r="G187" s="12">
        <f t="shared" si="11"/>
        <v>69850.533137229359</v>
      </c>
    </row>
    <row r="188" spans="3:7">
      <c r="C188" s="2">
        <v>175</v>
      </c>
      <c r="D188" s="12">
        <f t="shared" si="8"/>
        <v>11815.538644233979</v>
      </c>
      <c r="E188" s="12">
        <f t="shared" si="9"/>
        <v>296.86476583322474</v>
      </c>
      <c r="F188" s="12">
        <f t="shared" si="10"/>
        <v>11518.673878400754</v>
      </c>
      <c r="G188" s="12">
        <f t="shared" si="11"/>
        <v>58331.859258828605</v>
      </c>
    </row>
    <row r="189" spans="3:7">
      <c r="C189" s="2">
        <v>176</v>
      </c>
      <c r="D189" s="12">
        <f t="shared" si="8"/>
        <v>11815.538644233979</v>
      </c>
      <c r="E189" s="12">
        <f t="shared" si="9"/>
        <v>247.91040185002157</v>
      </c>
      <c r="F189" s="12">
        <f t="shared" si="10"/>
        <v>11567.628242383957</v>
      </c>
      <c r="G189" s="12">
        <f t="shared" si="11"/>
        <v>46764.231016444646</v>
      </c>
    </row>
    <row r="190" spans="3:7">
      <c r="C190" s="2">
        <v>177</v>
      </c>
      <c r="D190" s="12">
        <f t="shared" si="8"/>
        <v>11815.538644233979</v>
      </c>
      <c r="E190" s="12">
        <f t="shared" si="9"/>
        <v>198.74798181988976</v>
      </c>
      <c r="F190" s="12">
        <f t="shared" si="10"/>
        <v>11616.790662414089</v>
      </c>
      <c r="G190" s="12">
        <f t="shared" si="11"/>
        <v>35147.440354030558</v>
      </c>
    </row>
    <row r="191" spans="3:7">
      <c r="C191" s="2">
        <v>178</v>
      </c>
      <c r="D191" s="12">
        <f t="shared" si="8"/>
        <v>11815.538644233979</v>
      </c>
      <c r="E191" s="12">
        <f t="shared" si="9"/>
        <v>149.37662150462987</v>
      </c>
      <c r="F191" s="12">
        <f t="shared" si="10"/>
        <v>11666.162022729348</v>
      </c>
      <c r="G191" s="12">
        <f t="shared" si="11"/>
        <v>23481.278331301211</v>
      </c>
    </row>
    <row r="192" spans="3:7">
      <c r="C192" s="2">
        <v>179</v>
      </c>
      <c r="D192" s="12">
        <f t="shared" si="8"/>
        <v>11815.538644233979</v>
      </c>
      <c r="E192" s="12">
        <f t="shared" si="9"/>
        <v>99.795432908030136</v>
      </c>
      <c r="F192" s="12">
        <f t="shared" si="10"/>
        <v>11715.743211325949</v>
      </c>
      <c r="G192" s="12">
        <f t="shared" si="11"/>
        <v>11765.535119975262</v>
      </c>
    </row>
    <row r="193" spans="3:7">
      <c r="C193" s="2">
        <v>180</v>
      </c>
      <c r="D193" s="12">
        <f t="shared" si="8"/>
        <v>11815.538644233979</v>
      </c>
      <c r="E193" s="12">
        <f t="shared" si="9"/>
        <v>50.003524259894867</v>
      </c>
      <c r="F193" s="12">
        <f t="shared" si="10"/>
        <v>11765.535119974083</v>
      </c>
      <c r="G193" s="12">
        <f t="shared" si="11"/>
        <v>1.178705133497715E-9</v>
      </c>
    </row>
    <row r="194" spans="3:7">
      <c r="C194" s="2">
        <v>181</v>
      </c>
      <c r="D194" s="12">
        <f t="shared" si="8"/>
        <v>0</v>
      </c>
      <c r="E194" s="12">
        <f t="shared" si="9"/>
        <v>5.0094968173652879E-12</v>
      </c>
      <c r="F194" s="12">
        <f t="shared" si="10"/>
        <v>-5.0094968173652879E-12</v>
      </c>
      <c r="G194" s="12">
        <f t="shared" si="11"/>
        <v>1.1837146303150803E-9</v>
      </c>
    </row>
    <row r="195" spans="3:7">
      <c r="C195" s="2">
        <v>182</v>
      </c>
      <c r="D195" s="12">
        <f t="shared" si="8"/>
        <v>0</v>
      </c>
      <c r="E195" s="12">
        <f t="shared" si="9"/>
        <v>5.0307871788390912E-12</v>
      </c>
      <c r="F195" s="12">
        <f t="shared" si="10"/>
        <v>-5.0307871788390912E-12</v>
      </c>
      <c r="G195" s="12">
        <f t="shared" si="11"/>
        <v>1.1887454174939194E-9</v>
      </c>
    </row>
    <row r="196" spans="3:7">
      <c r="C196" s="2">
        <v>183</v>
      </c>
      <c r="D196" s="12">
        <f t="shared" si="8"/>
        <v>0</v>
      </c>
      <c r="E196" s="12">
        <f t="shared" si="9"/>
        <v>5.0521680243491566E-12</v>
      </c>
      <c r="F196" s="12">
        <f t="shared" si="10"/>
        <v>-5.0521680243491566E-12</v>
      </c>
      <c r="G196" s="12">
        <f t="shared" si="11"/>
        <v>1.1937975855182686E-9</v>
      </c>
    </row>
    <row r="197" spans="3:7">
      <c r="C197" s="2">
        <v>184</v>
      </c>
      <c r="D197" s="12">
        <f t="shared" si="8"/>
        <v>0</v>
      </c>
      <c r="E197" s="12">
        <f t="shared" si="9"/>
        <v>5.0736397384526411E-12</v>
      </c>
      <c r="F197" s="12">
        <f t="shared" si="10"/>
        <v>-5.0736397384526411E-12</v>
      </c>
      <c r="G197" s="12">
        <f t="shared" si="11"/>
        <v>1.1988712252567213E-9</v>
      </c>
    </row>
    <row r="198" spans="3:7">
      <c r="C198" s="2">
        <v>185</v>
      </c>
      <c r="D198" s="12">
        <f t="shared" si="8"/>
        <v>0</v>
      </c>
      <c r="E198" s="12">
        <f t="shared" si="9"/>
        <v>5.0952027073410659E-12</v>
      </c>
      <c r="F198" s="12">
        <f t="shared" si="10"/>
        <v>-5.0952027073410659E-12</v>
      </c>
      <c r="G198" s="12">
        <f t="shared" si="11"/>
        <v>1.2039664279640624E-9</v>
      </c>
    </row>
    <row r="199" spans="3:7">
      <c r="C199" s="2">
        <v>186</v>
      </c>
      <c r="D199" s="12">
        <f t="shared" si="8"/>
        <v>0</v>
      </c>
      <c r="E199" s="12">
        <f t="shared" si="9"/>
        <v>5.1168573188472643E-12</v>
      </c>
      <c r="F199" s="12">
        <f t="shared" si="10"/>
        <v>-5.1168573188472643E-12</v>
      </c>
      <c r="G199" s="12">
        <f t="shared" si="11"/>
        <v>1.2090832852829096E-9</v>
      </c>
    </row>
    <row r="200" spans="3:7">
      <c r="C200" s="2">
        <v>187</v>
      </c>
      <c r="D200" s="12">
        <f t="shared" si="8"/>
        <v>0</v>
      </c>
      <c r="E200" s="12">
        <f t="shared" si="9"/>
        <v>5.1386039624523654E-12</v>
      </c>
      <c r="F200" s="12">
        <f t="shared" si="10"/>
        <v>-5.1386039624523654E-12</v>
      </c>
      <c r="G200" s="12">
        <f t="shared" si="11"/>
        <v>1.214221889245362E-9</v>
      </c>
    </row>
    <row r="201" spans="3:7">
      <c r="C201" s="2">
        <v>188</v>
      </c>
      <c r="D201" s="12">
        <f t="shared" si="8"/>
        <v>0</v>
      </c>
      <c r="E201" s="12">
        <f t="shared" si="9"/>
        <v>5.1604430292927882E-12</v>
      </c>
      <c r="F201" s="12">
        <f t="shared" si="10"/>
        <v>-5.1604430292927882E-12</v>
      </c>
      <c r="G201" s="12">
        <f t="shared" si="11"/>
        <v>1.2193823322746549E-9</v>
      </c>
    </row>
    <row r="202" spans="3:7">
      <c r="C202" s="2">
        <v>189</v>
      </c>
      <c r="D202" s="12">
        <f t="shared" si="8"/>
        <v>0</v>
      </c>
      <c r="E202" s="12">
        <f t="shared" si="9"/>
        <v>5.1823749121672834E-12</v>
      </c>
      <c r="F202" s="12">
        <f t="shared" si="10"/>
        <v>-5.1823749121672834E-12</v>
      </c>
      <c r="G202" s="12">
        <f t="shared" si="11"/>
        <v>1.2245647071868223E-9</v>
      </c>
    </row>
    <row r="203" spans="3:7">
      <c r="C203" s="2">
        <v>190</v>
      </c>
      <c r="D203" s="12">
        <f t="shared" si="8"/>
        <v>0</v>
      </c>
      <c r="E203" s="12">
        <f t="shared" si="9"/>
        <v>5.2044000055439938E-12</v>
      </c>
      <c r="F203" s="12">
        <f t="shared" si="10"/>
        <v>-5.2044000055439938E-12</v>
      </c>
      <c r="G203" s="12">
        <f t="shared" si="11"/>
        <v>1.2297691071923663E-9</v>
      </c>
    </row>
    <row r="204" spans="3:7">
      <c r="C204" s="2">
        <v>191</v>
      </c>
      <c r="D204" s="12">
        <f t="shared" si="8"/>
        <v>0</v>
      </c>
      <c r="E204" s="12">
        <f t="shared" si="9"/>
        <v>5.2265187055675567E-12</v>
      </c>
      <c r="F204" s="12">
        <f t="shared" si="10"/>
        <v>-5.2265187055675567E-12</v>
      </c>
      <c r="G204" s="12">
        <f t="shared" si="11"/>
        <v>1.2349956258979339E-9</v>
      </c>
    </row>
    <row r="205" spans="3:7">
      <c r="C205" s="2">
        <v>192</v>
      </c>
      <c r="D205" s="12">
        <f t="shared" si="8"/>
        <v>0</v>
      </c>
      <c r="E205" s="12">
        <f t="shared" si="9"/>
        <v>5.2487314100662186E-12</v>
      </c>
      <c r="F205" s="12">
        <f t="shared" si="10"/>
        <v>-5.2487314100662186E-12</v>
      </c>
      <c r="G205" s="12">
        <f t="shared" si="11"/>
        <v>1.2402443573080001E-9</v>
      </c>
    </row>
    <row r="206" spans="3:7">
      <c r="C206" s="2">
        <v>193</v>
      </c>
      <c r="D206" s="12">
        <f t="shared" si="8"/>
        <v>0</v>
      </c>
      <c r="E206" s="12">
        <f t="shared" si="9"/>
        <v>5.2710385185589999E-12</v>
      </c>
      <c r="F206" s="12">
        <f t="shared" si="10"/>
        <v>-5.2710385185589999E-12</v>
      </c>
      <c r="G206" s="12">
        <f t="shared" si="11"/>
        <v>1.2455153958265591E-9</v>
      </c>
    </row>
    <row r="207" spans="3:7">
      <c r="C207" s="2">
        <v>194</v>
      </c>
      <c r="D207" s="12">
        <f t="shared" ref="D207:D270" si="12">IF(C207&lt;=$F$7*$F$8,$F$9,0)</f>
        <v>0</v>
      </c>
      <c r="E207" s="12">
        <f t="shared" ref="E207:E270" si="13">G206*$F$5/$F$8</f>
        <v>5.293440432262876E-12</v>
      </c>
      <c r="F207" s="12">
        <f t="shared" ref="F207:F270" si="14">D207-E207</f>
        <v>-5.293440432262876E-12</v>
      </c>
      <c r="G207" s="12">
        <f t="shared" ref="G207:G270" si="15">G206-F207</f>
        <v>1.2508088362588219E-9</v>
      </c>
    </row>
    <row r="208" spans="3:7">
      <c r="C208" s="2">
        <v>195</v>
      </c>
      <c r="D208" s="12">
        <f t="shared" si="12"/>
        <v>0</v>
      </c>
      <c r="E208" s="12">
        <f t="shared" si="13"/>
        <v>5.3159375540999925E-12</v>
      </c>
      <c r="F208" s="12">
        <f t="shared" si="14"/>
        <v>-5.3159375540999925E-12</v>
      </c>
      <c r="G208" s="12">
        <f t="shared" si="15"/>
        <v>1.2561247738129219E-9</v>
      </c>
    </row>
    <row r="209" spans="3:7">
      <c r="C209" s="2">
        <v>196</v>
      </c>
      <c r="D209" s="12">
        <f t="shared" si="12"/>
        <v>0</v>
      </c>
      <c r="E209" s="12">
        <f t="shared" si="13"/>
        <v>5.3385302887049183E-12</v>
      </c>
      <c r="F209" s="12">
        <f t="shared" si="14"/>
        <v>-5.3385302887049183E-12</v>
      </c>
      <c r="G209" s="12">
        <f t="shared" si="15"/>
        <v>1.2614633041016267E-9</v>
      </c>
    </row>
    <row r="210" spans="3:7">
      <c r="C210" s="2">
        <v>197</v>
      </c>
      <c r="D210" s="12">
        <f t="shared" si="12"/>
        <v>0</v>
      </c>
      <c r="E210" s="12">
        <f t="shared" si="13"/>
        <v>5.3612190424319128E-12</v>
      </c>
      <c r="F210" s="12">
        <f t="shared" si="14"/>
        <v>-5.3612190424319128E-12</v>
      </c>
      <c r="G210" s="12">
        <f t="shared" si="15"/>
        <v>1.2668245231440586E-9</v>
      </c>
    </row>
    <row r="211" spans="3:7">
      <c r="C211" s="2">
        <v>198</v>
      </c>
      <c r="D211" s="12">
        <f t="shared" si="12"/>
        <v>0</v>
      </c>
      <c r="E211" s="12">
        <f t="shared" si="13"/>
        <v>5.3840042233622483E-12</v>
      </c>
      <c r="F211" s="12">
        <f t="shared" si="14"/>
        <v>-5.3840042233622483E-12</v>
      </c>
      <c r="G211" s="12">
        <f t="shared" si="15"/>
        <v>1.2722085273674207E-9</v>
      </c>
    </row>
    <row r="212" spans="3:7">
      <c r="C212" s="2">
        <v>199</v>
      </c>
      <c r="D212" s="12">
        <f t="shared" si="12"/>
        <v>0</v>
      </c>
      <c r="E212" s="12">
        <f t="shared" si="13"/>
        <v>5.4068862413115376E-12</v>
      </c>
      <c r="F212" s="12">
        <f t="shared" si="14"/>
        <v>-5.4068862413115376E-12</v>
      </c>
      <c r="G212" s="12">
        <f t="shared" si="15"/>
        <v>1.2776154136087322E-9</v>
      </c>
    </row>
    <row r="213" spans="3:7">
      <c r="C213" s="2">
        <v>200</v>
      </c>
      <c r="D213" s="12">
        <f t="shared" si="12"/>
        <v>0</v>
      </c>
      <c r="E213" s="12">
        <f t="shared" si="13"/>
        <v>5.4298655078371114E-12</v>
      </c>
      <c r="F213" s="12">
        <f t="shared" si="14"/>
        <v>-5.4298655078371114E-12</v>
      </c>
      <c r="G213" s="12">
        <f t="shared" si="15"/>
        <v>1.2830452791165693E-9</v>
      </c>
    </row>
    <row r="214" spans="3:7">
      <c r="C214" s="2">
        <v>201</v>
      </c>
      <c r="D214" s="12">
        <f t="shared" si="12"/>
        <v>0</v>
      </c>
      <c r="E214" s="12">
        <f t="shared" si="13"/>
        <v>5.4529424362454196E-12</v>
      </c>
      <c r="F214" s="12">
        <f t="shared" si="14"/>
        <v>-5.4529424362454196E-12</v>
      </c>
      <c r="G214" s="12">
        <f t="shared" si="15"/>
        <v>1.2884982215528149E-9</v>
      </c>
    </row>
    <row r="215" spans="3:7">
      <c r="C215" s="2">
        <v>202</v>
      </c>
      <c r="D215" s="12">
        <f t="shared" si="12"/>
        <v>0</v>
      </c>
      <c r="E215" s="12">
        <f t="shared" si="13"/>
        <v>5.4761174415994627E-12</v>
      </c>
      <c r="F215" s="12">
        <f t="shared" si="14"/>
        <v>-5.4761174415994627E-12</v>
      </c>
      <c r="G215" s="12">
        <f t="shared" si="15"/>
        <v>1.2939743389944142E-9</v>
      </c>
    </row>
    <row r="216" spans="3:7">
      <c r="C216" s="2">
        <v>203</v>
      </c>
      <c r="D216" s="12">
        <f t="shared" si="12"/>
        <v>0</v>
      </c>
      <c r="E216" s="12">
        <f t="shared" si="13"/>
        <v>5.4993909407262602E-12</v>
      </c>
      <c r="F216" s="12">
        <f t="shared" si="14"/>
        <v>-5.4993909407262602E-12</v>
      </c>
      <c r="G216" s="12">
        <f t="shared" si="15"/>
        <v>1.2994737299351405E-9</v>
      </c>
    </row>
    <row r="217" spans="3:7">
      <c r="C217" s="2">
        <v>204</v>
      </c>
      <c r="D217" s="12">
        <f t="shared" si="12"/>
        <v>0</v>
      </c>
      <c r="E217" s="12">
        <f t="shared" si="13"/>
        <v>5.5227633522243473E-12</v>
      </c>
      <c r="F217" s="12">
        <f t="shared" si="14"/>
        <v>-5.5227633522243473E-12</v>
      </c>
      <c r="G217" s="12">
        <f t="shared" si="15"/>
        <v>1.3049964932873649E-9</v>
      </c>
    </row>
    <row r="218" spans="3:7">
      <c r="C218" s="2">
        <v>205</v>
      </c>
      <c r="D218" s="12">
        <f t="shared" si="12"/>
        <v>0</v>
      </c>
      <c r="E218" s="12">
        <f t="shared" si="13"/>
        <v>5.5462350964713E-12</v>
      </c>
      <c r="F218" s="12">
        <f t="shared" si="14"/>
        <v>-5.5462350964713E-12</v>
      </c>
      <c r="G218" s="12">
        <f t="shared" si="15"/>
        <v>1.3105427283838362E-9</v>
      </c>
    </row>
    <row r="219" spans="3:7">
      <c r="C219" s="2">
        <v>206</v>
      </c>
      <c r="D219" s="12">
        <f t="shared" si="12"/>
        <v>0</v>
      </c>
      <c r="E219" s="12">
        <f t="shared" si="13"/>
        <v>5.5698065956313027E-12</v>
      </c>
      <c r="F219" s="12">
        <f t="shared" si="14"/>
        <v>-5.5698065956313027E-12</v>
      </c>
      <c r="G219" s="12">
        <f t="shared" si="15"/>
        <v>1.3161125349794675E-9</v>
      </c>
    </row>
    <row r="220" spans="3:7">
      <c r="C220" s="2">
        <v>207</v>
      </c>
      <c r="D220" s="12">
        <f t="shared" si="12"/>
        <v>0</v>
      </c>
      <c r="E220" s="12">
        <f t="shared" si="13"/>
        <v>5.5934782736627364E-12</v>
      </c>
      <c r="F220" s="12">
        <f t="shared" si="14"/>
        <v>-5.5934782736627364E-12</v>
      </c>
      <c r="G220" s="12">
        <f t="shared" si="15"/>
        <v>1.3217060132531301E-9</v>
      </c>
    </row>
    <row r="221" spans="3:7">
      <c r="C221" s="2">
        <v>208</v>
      </c>
      <c r="D221" s="12">
        <f t="shared" si="12"/>
        <v>0</v>
      </c>
      <c r="E221" s="12">
        <f t="shared" si="13"/>
        <v>5.6172505563258024E-12</v>
      </c>
      <c r="F221" s="12">
        <f t="shared" si="14"/>
        <v>-5.6172505563258024E-12</v>
      </c>
      <c r="G221" s="12">
        <f t="shared" si="15"/>
        <v>1.327323263809456E-9</v>
      </c>
    </row>
    <row r="222" spans="3:7">
      <c r="C222" s="2">
        <v>209</v>
      </c>
      <c r="D222" s="12">
        <f t="shared" si="12"/>
        <v>0</v>
      </c>
      <c r="E222" s="12">
        <f t="shared" si="13"/>
        <v>5.6411238711901874E-12</v>
      </c>
      <c r="F222" s="12">
        <f t="shared" si="14"/>
        <v>-5.6411238711901874E-12</v>
      </c>
      <c r="G222" s="12">
        <f t="shared" si="15"/>
        <v>1.3329643876806462E-9</v>
      </c>
    </row>
    <row r="223" spans="3:7">
      <c r="C223" s="2">
        <v>210</v>
      </c>
      <c r="D223" s="12">
        <f t="shared" si="12"/>
        <v>0</v>
      </c>
      <c r="E223" s="12">
        <f t="shared" si="13"/>
        <v>5.6650986476427463E-12</v>
      </c>
      <c r="F223" s="12">
        <f t="shared" si="14"/>
        <v>-5.6650986476427463E-12</v>
      </c>
      <c r="G223" s="12">
        <f t="shared" si="15"/>
        <v>1.3386294863282889E-9</v>
      </c>
    </row>
    <row r="224" spans="3:7">
      <c r="C224" s="2">
        <v>211</v>
      </c>
      <c r="D224" s="12">
        <f t="shared" si="12"/>
        <v>0</v>
      </c>
      <c r="E224" s="12">
        <f t="shared" si="13"/>
        <v>5.6891753168952269E-12</v>
      </c>
      <c r="F224" s="12">
        <f t="shared" si="14"/>
        <v>-5.6891753168952269E-12</v>
      </c>
      <c r="G224" s="12">
        <f t="shared" si="15"/>
        <v>1.3443186616451843E-9</v>
      </c>
    </row>
    <row r="225" spans="3:7">
      <c r="C225" s="2">
        <v>212</v>
      </c>
      <c r="D225" s="12">
        <f t="shared" si="12"/>
        <v>0</v>
      </c>
      <c r="E225" s="12">
        <f t="shared" si="13"/>
        <v>5.7133543119920321E-12</v>
      </c>
      <c r="F225" s="12">
        <f t="shared" si="14"/>
        <v>-5.7133543119920321E-12</v>
      </c>
      <c r="G225" s="12">
        <f t="shared" si="15"/>
        <v>1.3500320159571763E-9</v>
      </c>
    </row>
    <row r="226" spans="3:7">
      <c r="C226" s="2">
        <v>213</v>
      </c>
      <c r="D226" s="12">
        <f t="shared" si="12"/>
        <v>0</v>
      </c>
      <c r="E226" s="12">
        <f t="shared" si="13"/>
        <v>5.7376360678179986E-12</v>
      </c>
      <c r="F226" s="12">
        <f t="shared" si="14"/>
        <v>-5.7376360678179986E-12</v>
      </c>
      <c r="G226" s="12">
        <f t="shared" si="15"/>
        <v>1.3557696520249942E-9</v>
      </c>
    </row>
    <row r="227" spans="3:7">
      <c r="C227" s="2">
        <v>214</v>
      </c>
      <c r="D227" s="12">
        <f t="shared" si="12"/>
        <v>0</v>
      </c>
      <c r="E227" s="12">
        <f t="shared" si="13"/>
        <v>5.7620210211062249E-12</v>
      </c>
      <c r="F227" s="12">
        <f t="shared" si="14"/>
        <v>-5.7620210211062249E-12</v>
      </c>
      <c r="G227" s="12">
        <f t="shared" si="15"/>
        <v>1.3615316730461004E-9</v>
      </c>
    </row>
    <row r="228" spans="3:7">
      <c r="C228" s="2">
        <v>215</v>
      </c>
      <c r="D228" s="12">
        <f t="shared" si="12"/>
        <v>0</v>
      </c>
      <c r="E228" s="12">
        <f t="shared" si="13"/>
        <v>5.7865096104459259E-12</v>
      </c>
      <c r="F228" s="12">
        <f t="shared" si="14"/>
        <v>-5.7865096104459259E-12</v>
      </c>
      <c r="G228" s="12">
        <f t="shared" si="15"/>
        <v>1.3673181826565463E-9</v>
      </c>
    </row>
    <row r="229" spans="3:7">
      <c r="C229" s="2">
        <v>216</v>
      </c>
      <c r="D229" s="12">
        <f t="shared" si="12"/>
        <v>0</v>
      </c>
      <c r="E229" s="12">
        <f t="shared" si="13"/>
        <v>5.8111022762903212E-12</v>
      </c>
      <c r="F229" s="12">
        <f t="shared" si="14"/>
        <v>-5.8111022762903212E-12</v>
      </c>
      <c r="G229" s="12">
        <f t="shared" si="15"/>
        <v>1.3731292849328367E-9</v>
      </c>
    </row>
    <row r="230" spans="3:7">
      <c r="C230" s="2">
        <v>217</v>
      </c>
      <c r="D230" s="12">
        <f t="shared" si="12"/>
        <v>0</v>
      </c>
      <c r="E230" s="12">
        <f t="shared" si="13"/>
        <v>5.8357994609645556E-12</v>
      </c>
      <c r="F230" s="12">
        <f t="shared" si="14"/>
        <v>-5.8357994609645556E-12</v>
      </c>
      <c r="G230" s="12">
        <f t="shared" si="15"/>
        <v>1.3789650843938013E-9</v>
      </c>
    </row>
    <row r="231" spans="3:7">
      <c r="C231" s="2">
        <v>218</v>
      </c>
      <c r="D231" s="12">
        <f t="shared" si="12"/>
        <v>0</v>
      </c>
      <c r="E231" s="12">
        <f t="shared" si="13"/>
        <v>5.8606016086736556E-12</v>
      </c>
      <c r="F231" s="12">
        <f t="shared" si="14"/>
        <v>-5.8606016086736556E-12</v>
      </c>
      <c r="G231" s="12">
        <f t="shared" si="15"/>
        <v>1.3848256860024748E-9</v>
      </c>
    </row>
    <row r="232" spans="3:7">
      <c r="C232" s="2">
        <v>219</v>
      </c>
      <c r="D232" s="12">
        <f t="shared" si="12"/>
        <v>0</v>
      </c>
      <c r="E232" s="12">
        <f t="shared" si="13"/>
        <v>5.8855091655105177E-12</v>
      </c>
      <c r="F232" s="12">
        <f t="shared" si="14"/>
        <v>-5.8855091655105177E-12</v>
      </c>
      <c r="G232" s="12">
        <f t="shared" si="15"/>
        <v>1.3907111951679854E-9</v>
      </c>
    </row>
    <row r="233" spans="3:7">
      <c r="C233" s="2">
        <v>220</v>
      </c>
      <c r="D233" s="12">
        <f t="shared" si="12"/>
        <v>0</v>
      </c>
      <c r="E233" s="12">
        <f t="shared" si="13"/>
        <v>5.9105225794639367E-12</v>
      </c>
      <c r="F233" s="12">
        <f t="shared" si="14"/>
        <v>-5.9105225794639367E-12</v>
      </c>
      <c r="G233" s="12">
        <f t="shared" si="15"/>
        <v>1.3966217177474494E-9</v>
      </c>
    </row>
    <row r="234" spans="3:7">
      <c r="C234" s="2">
        <v>221</v>
      </c>
      <c r="D234" s="12">
        <f t="shared" si="12"/>
        <v>0</v>
      </c>
      <c r="E234" s="12">
        <f t="shared" si="13"/>
        <v>5.9356423004266597E-12</v>
      </c>
      <c r="F234" s="12">
        <f t="shared" si="14"/>
        <v>-5.9356423004266597E-12</v>
      </c>
      <c r="G234" s="12">
        <f t="shared" si="15"/>
        <v>1.402557360047876E-9</v>
      </c>
    </row>
    <row r="235" spans="3:7">
      <c r="C235" s="2">
        <v>222</v>
      </c>
      <c r="D235" s="12">
        <f t="shared" si="12"/>
        <v>0</v>
      </c>
      <c r="E235" s="12">
        <f t="shared" si="13"/>
        <v>5.9608687802034729E-12</v>
      </c>
      <c r="F235" s="12">
        <f t="shared" si="14"/>
        <v>-5.9608687802034729E-12</v>
      </c>
      <c r="G235" s="12">
        <f t="shared" si="15"/>
        <v>1.4085182288280794E-9</v>
      </c>
    </row>
    <row r="236" spans="3:7">
      <c r="C236" s="2">
        <v>223</v>
      </c>
      <c r="D236" s="12">
        <f t="shared" si="12"/>
        <v>0</v>
      </c>
      <c r="E236" s="12">
        <f t="shared" si="13"/>
        <v>5.9862024725193373E-12</v>
      </c>
      <c r="F236" s="12">
        <f t="shared" si="14"/>
        <v>-5.9862024725193373E-12</v>
      </c>
      <c r="G236" s="12">
        <f t="shared" si="15"/>
        <v>1.4145044313005987E-9</v>
      </c>
    </row>
    <row r="237" spans="3:7">
      <c r="C237" s="2">
        <v>224</v>
      </c>
      <c r="D237" s="12">
        <f t="shared" si="12"/>
        <v>0</v>
      </c>
      <c r="E237" s="12">
        <f t="shared" si="13"/>
        <v>6.0116438330275441E-12</v>
      </c>
      <c r="F237" s="12">
        <f t="shared" si="14"/>
        <v>-6.0116438330275441E-12</v>
      </c>
      <c r="G237" s="12">
        <f t="shared" si="15"/>
        <v>1.4205160751336262E-9</v>
      </c>
    </row>
    <row r="238" spans="3:7">
      <c r="C238" s="2">
        <v>225</v>
      </c>
      <c r="D238" s="12">
        <f t="shared" si="12"/>
        <v>0</v>
      </c>
      <c r="E238" s="12">
        <f t="shared" si="13"/>
        <v>6.0371933193179117E-12</v>
      </c>
      <c r="F238" s="12">
        <f t="shared" si="14"/>
        <v>-6.0371933193179117E-12</v>
      </c>
      <c r="G238" s="12">
        <f t="shared" si="15"/>
        <v>1.426553268452944E-9</v>
      </c>
    </row>
    <row r="239" spans="3:7">
      <c r="C239" s="2">
        <v>226</v>
      </c>
      <c r="D239" s="12">
        <f t="shared" si="12"/>
        <v>0</v>
      </c>
      <c r="E239" s="12">
        <f t="shared" si="13"/>
        <v>6.0628513909250122E-12</v>
      </c>
      <c r="F239" s="12">
        <f t="shared" si="14"/>
        <v>-6.0628513909250122E-12</v>
      </c>
      <c r="G239" s="12">
        <f t="shared" si="15"/>
        <v>1.4326161198438691E-9</v>
      </c>
    </row>
    <row r="240" spans="3:7">
      <c r="C240" s="2">
        <v>227</v>
      </c>
      <c r="D240" s="12">
        <f t="shared" si="12"/>
        <v>0</v>
      </c>
      <c r="E240" s="12">
        <f t="shared" si="13"/>
        <v>6.088618509336444E-12</v>
      </c>
      <c r="F240" s="12">
        <f t="shared" si="14"/>
        <v>-6.088618509336444E-12</v>
      </c>
      <c r="G240" s="12">
        <f t="shared" si="15"/>
        <v>1.4387047383532054E-9</v>
      </c>
    </row>
    <row r="241" spans="3:7">
      <c r="C241" s="2">
        <v>228</v>
      </c>
      <c r="D241" s="12">
        <f t="shared" si="12"/>
        <v>0</v>
      </c>
      <c r="E241" s="12">
        <f t="shared" si="13"/>
        <v>6.1144951380011223E-12</v>
      </c>
      <c r="F241" s="12">
        <f t="shared" si="14"/>
        <v>-6.1144951380011223E-12</v>
      </c>
      <c r="G241" s="12">
        <f t="shared" si="15"/>
        <v>1.4448192334912066E-9</v>
      </c>
    </row>
    <row r="242" spans="3:7">
      <c r="C242" s="2">
        <v>229</v>
      </c>
      <c r="D242" s="12">
        <f t="shared" si="12"/>
        <v>0</v>
      </c>
      <c r="E242" s="12">
        <f t="shared" si="13"/>
        <v>6.1404817423376276E-12</v>
      </c>
      <c r="F242" s="12">
        <f t="shared" si="14"/>
        <v>-6.1404817423376276E-12</v>
      </c>
      <c r="G242" s="12">
        <f t="shared" si="15"/>
        <v>1.4509597152335443E-9</v>
      </c>
    </row>
    <row r="243" spans="3:7">
      <c r="C243" s="2">
        <v>230</v>
      </c>
      <c r="D243" s="12">
        <f t="shared" si="12"/>
        <v>0</v>
      </c>
      <c r="E243" s="12">
        <f t="shared" si="13"/>
        <v>6.1665787897425628E-12</v>
      </c>
      <c r="F243" s="12">
        <f t="shared" si="14"/>
        <v>-6.1665787897425628E-12</v>
      </c>
      <c r="G243" s="12">
        <f t="shared" si="15"/>
        <v>1.4571262940232869E-9</v>
      </c>
    </row>
    <row r="244" spans="3:7">
      <c r="C244" s="2">
        <v>231</v>
      </c>
      <c r="D244" s="12">
        <f t="shared" si="12"/>
        <v>0</v>
      </c>
      <c r="E244" s="12">
        <f t="shared" si="13"/>
        <v>6.1927867495989697E-12</v>
      </c>
      <c r="F244" s="12">
        <f t="shared" si="14"/>
        <v>-6.1927867495989697E-12</v>
      </c>
      <c r="G244" s="12">
        <f t="shared" si="15"/>
        <v>1.4633190807728858E-9</v>
      </c>
    </row>
    <row r="245" spans="3:7">
      <c r="C245" s="2">
        <v>232</v>
      </c>
      <c r="D245" s="12">
        <f t="shared" si="12"/>
        <v>0</v>
      </c>
      <c r="E245" s="12">
        <f t="shared" si="13"/>
        <v>6.2191060932847643E-12</v>
      </c>
      <c r="F245" s="12">
        <f t="shared" si="14"/>
        <v>-6.2191060932847643E-12</v>
      </c>
      <c r="G245" s="12">
        <f t="shared" si="15"/>
        <v>1.4695381868661705E-9</v>
      </c>
    </row>
    <row r="246" spans="3:7">
      <c r="C246" s="2">
        <v>233</v>
      </c>
      <c r="D246" s="12">
        <f t="shared" si="12"/>
        <v>0</v>
      </c>
      <c r="E246" s="12">
        <f t="shared" si="13"/>
        <v>6.245537294181224E-12</v>
      </c>
      <c r="F246" s="12">
        <f t="shared" si="14"/>
        <v>-6.245537294181224E-12</v>
      </c>
      <c r="G246" s="12">
        <f t="shared" si="15"/>
        <v>1.4757837241603517E-9</v>
      </c>
    </row>
    <row r="247" spans="3:7">
      <c r="C247" s="2">
        <v>234</v>
      </c>
      <c r="D247" s="12">
        <f t="shared" si="12"/>
        <v>0</v>
      </c>
      <c r="E247" s="12">
        <f t="shared" si="13"/>
        <v>6.2720808276814939E-12</v>
      </c>
      <c r="F247" s="12">
        <f t="shared" si="14"/>
        <v>-6.2720808276814939E-12</v>
      </c>
      <c r="G247" s="12">
        <f t="shared" si="15"/>
        <v>1.4820558049880332E-9</v>
      </c>
    </row>
    <row r="248" spans="3:7">
      <c r="C248" s="2">
        <v>235</v>
      </c>
      <c r="D248" s="12">
        <f t="shared" si="12"/>
        <v>0</v>
      </c>
      <c r="E248" s="12">
        <f t="shared" si="13"/>
        <v>6.2987371711991405E-12</v>
      </c>
      <c r="F248" s="12">
        <f t="shared" si="14"/>
        <v>-6.2987371711991405E-12</v>
      </c>
      <c r="G248" s="12">
        <f t="shared" si="15"/>
        <v>1.4883545421592322E-9</v>
      </c>
    </row>
    <row r="249" spans="3:7">
      <c r="C249" s="2">
        <v>236</v>
      </c>
      <c r="D249" s="12">
        <f t="shared" si="12"/>
        <v>0</v>
      </c>
      <c r="E249" s="12">
        <f t="shared" si="13"/>
        <v>6.3255068041767362E-12</v>
      </c>
      <c r="F249" s="12">
        <f t="shared" si="14"/>
        <v>-6.3255068041767362E-12</v>
      </c>
      <c r="G249" s="12">
        <f t="shared" si="15"/>
        <v>1.494680048963409E-9</v>
      </c>
    </row>
    <row r="250" spans="3:7">
      <c r="C250" s="2">
        <v>237</v>
      </c>
      <c r="D250" s="12">
        <f t="shared" si="12"/>
        <v>0</v>
      </c>
      <c r="E250" s="12">
        <f t="shared" si="13"/>
        <v>6.3523902080944876E-12</v>
      </c>
      <c r="F250" s="12">
        <f t="shared" si="14"/>
        <v>-6.3523902080944876E-12</v>
      </c>
      <c r="G250" s="12">
        <f t="shared" si="15"/>
        <v>1.5010324391715034E-9</v>
      </c>
    </row>
    <row r="251" spans="3:7">
      <c r="C251" s="2">
        <v>238</v>
      </c>
      <c r="D251" s="12">
        <f t="shared" si="12"/>
        <v>0</v>
      </c>
      <c r="E251" s="12">
        <f t="shared" si="13"/>
        <v>6.3793878664788897E-12</v>
      </c>
      <c r="F251" s="12">
        <f t="shared" si="14"/>
        <v>-6.3793878664788897E-12</v>
      </c>
      <c r="G251" s="12">
        <f t="shared" si="15"/>
        <v>1.5074118270379822E-9</v>
      </c>
    </row>
    <row r="252" spans="3:7">
      <c r="C252" s="2">
        <v>239</v>
      </c>
      <c r="D252" s="12">
        <f t="shared" si="12"/>
        <v>0</v>
      </c>
      <c r="E252" s="12">
        <f t="shared" si="13"/>
        <v>6.4065002649114237E-12</v>
      </c>
      <c r="F252" s="12">
        <f t="shared" si="14"/>
        <v>-6.4065002649114237E-12</v>
      </c>
      <c r="G252" s="12">
        <f t="shared" si="15"/>
        <v>1.5138183273028937E-9</v>
      </c>
    </row>
    <row r="253" spans="3:7">
      <c r="C253" s="2">
        <v>240</v>
      </c>
      <c r="D253" s="12">
        <f t="shared" si="12"/>
        <v>0</v>
      </c>
      <c r="E253" s="12">
        <f t="shared" si="13"/>
        <v>6.4337278910372976E-12</v>
      </c>
      <c r="F253" s="12">
        <f t="shared" si="14"/>
        <v>-6.4337278910372976E-12</v>
      </c>
      <c r="G253" s="12">
        <f t="shared" si="15"/>
        <v>1.520252055193931E-9</v>
      </c>
    </row>
    <row r="254" spans="3:7">
      <c r="C254" s="2">
        <v>241</v>
      </c>
      <c r="D254" s="12">
        <f t="shared" si="12"/>
        <v>0</v>
      </c>
      <c r="E254" s="12">
        <f t="shared" si="13"/>
        <v>6.461071234574206E-12</v>
      </c>
      <c r="F254" s="12">
        <f t="shared" si="14"/>
        <v>-6.461071234574206E-12</v>
      </c>
      <c r="G254" s="12">
        <f t="shared" si="15"/>
        <v>1.5267131264285053E-9</v>
      </c>
    </row>
    <row r="255" spans="3:7">
      <c r="C255" s="2">
        <v>242</v>
      </c>
      <c r="D255" s="12">
        <f t="shared" si="12"/>
        <v>0</v>
      </c>
      <c r="E255" s="12">
        <f t="shared" si="13"/>
        <v>6.4885307873211469E-12</v>
      </c>
      <c r="F255" s="12">
        <f t="shared" si="14"/>
        <v>-6.4885307873211469E-12</v>
      </c>
      <c r="G255" s="12">
        <f t="shared" si="15"/>
        <v>1.5332016572158265E-9</v>
      </c>
    </row>
    <row r="256" spans="3:7">
      <c r="C256" s="2">
        <v>243</v>
      </c>
      <c r="D256" s="12">
        <f t="shared" si="12"/>
        <v>0</v>
      </c>
      <c r="E256" s="12">
        <f t="shared" si="13"/>
        <v>6.5161070431672625E-12</v>
      </c>
      <c r="F256" s="12">
        <f t="shared" si="14"/>
        <v>-6.5161070431672625E-12</v>
      </c>
      <c r="G256" s="12">
        <f t="shared" si="15"/>
        <v>1.5397177642589938E-9</v>
      </c>
    </row>
    <row r="257" spans="3:7">
      <c r="C257" s="2">
        <v>244</v>
      </c>
      <c r="D257" s="12">
        <f t="shared" si="12"/>
        <v>0</v>
      </c>
      <c r="E257" s="12">
        <f t="shared" si="13"/>
        <v>6.543800498100723E-12</v>
      </c>
      <c r="F257" s="12">
        <f t="shared" si="14"/>
        <v>-6.543800498100723E-12</v>
      </c>
      <c r="G257" s="12">
        <f t="shared" si="15"/>
        <v>1.5462615647570945E-9</v>
      </c>
    </row>
    <row r="258" spans="3:7">
      <c r="C258" s="2">
        <v>245</v>
      </c>
      <c r="D258" s="12">
        <f t="shared" si="12"/>
        <v>0</v>
      </c>
      <c r="E258" s="12">
        <f t="shared" si="13"/>
        <v>6.5716116502176505E-12</v>
      </c>
      <c r="F258" s="12">
        <f t="shared" si="14"/>
        <v>-6.5716116502176505E-12</v>
      </c>
      <c r="G258" s="12">
        <f t="shared" si="15"/>
        <v>1.5528331764073122E-9</v>
      </c>
    </row>
    <row r="259" spans="3:7">
      <c r="C259" s="2">
        <v>246</v>
      </c>
      <c r="D259" s="12">
        <f t="shared" si="12"/>
        <v>0</v>
      </c>
      <c r="E259" s="12">
        <f t="shared" si="13"/>
        <v>6.5995409997310768E-12</v>
      </c>
      <c r="F259" s="12">
        <f t="shared" si="14"/>
        <v>-6.5995409997310768E-12</v>
      </c>
      <c r="G259" s="12">
        <f t="shared" si="15"/>
        <v>1.5594327174070433E-9</v>
      </c>
    </row>
    <row r="260" spans="3:7">
      <c r="C260" s="2">
        <v>247</v>
      </c>
      <c r="D260" s="12">
        <f t="shared" si="12"/>
        <v>0</v>
      </c>
      <c r="E260" s="12">
        <f t="shared" si="13"/>
        <v>6.6275890489799335E-12</v>
      </c>
      <c r="F260" s="12">
        <f t="shared" si="14"/>
        <v>-6.6275890489799335E-12</v>
      </c>
      <c r="G260" s="12">
        <f t="shared" si="15"/>
        <v>1.5660603064560233E-9</v>
      </c>
    </row>
    <row r="261" spans="3:7">
      <c r="C261" s="2">
        <v>248</v>
      </c>
      <c r="D261" s="12">
        <f t="shared" si="12"/>
        <v>0</v>
      </c>
      <c r="E261" s="12">
        <f t="shared" si="13"/>
        <v>6.6557563024380985E-12</v>
      </c>
      <c r="F261" s="12">
        <f t="shared" si="14"/>
        <v>-6.6557563024380985E-12</v>
      </c>
      <c r="G261" s="12">
        <f t="shared" si="15"/>
        <v>1.5727160627584614E-9</v>
      </c>
    </row>
    <row r="262" spans="3:7">
      <c r="C262" s="2">
        <v>249</v>
      </c>
      <c r="D262" s="12">
        <f t="shared" si="12"/>
        <v>0</v>
      </c>
      <c r="E262" s="12">
        <f t="shared" si="13"/>
        <v>6.6840432667234611E-12</v>
      </c>
      <c r="F262" s="12">
        <f t="shared" si="14"/>
        <v>-6.6840432667234611E-12</v>
      </c>
      <c r="G262" s="12">
        <f t="shared" si="15"/>
        <v>1.5794001060251848E-9</v>
      </c>
    </row>
    <row r="263" spans="3:7">
      <c r="C263" s="2">
        <v>250</v>
      </c>
      <c r="D263" s="12">
        <f t="shared" si="12"/>
        <v>0</v>
      </c>
      <c r="E263" s="12">
        <f t="shared" si="13"/>
        <v>6.7124504506070346E-12</v>
      </c>
      <c r="F263" s="12">
        <f t="shared" si="14"/>
        <v>-6.7124504506070346E-12</v>
      </c>
      <c r="G263" s="12">
        <f t="shared" si="15"/>
        <v>1.5861125564757919E-9</v>
      </c>
    </row>
    <row r="264" spans="3:7">
      <c r="C264" s="2">
        <v>251</v>
      </c>
      <c r="D264" s="12">
        <f t="shared" si="12"/>
        <v>0</v>
      </c>
      <c r="E264" s="12">
        <f t="shared" si="13"/>
        <v>6.7409783650221154E-12</v>
      </c>
      <c r="F264" s="12">
        <f t="shared" si="14"/>
        <v>-6.7409783650221154E-12</v>
      </c>
      <c r="G264" s="12">
        <f t="shared" si="15"/>
        <v>1.5928535348408139E-9</v>
      </c>
    </row>
    <row r="265" spans="3:7">
      <c r="C265" s="2">
        <v>252</v>
      </c>
      <c r="D265" s="12">
        <f t="shared" si="12"/>
        <v>0</v>
      </c>
      <c r="E265" s="12">
        <f t="shared" si="13"/>
        <v>6.7696275230734587E-12</v>
      </c>
      <c r="F265" s="12">
        <f t="shared" si="14"/>
        <v>-6.7696275230734587E-12</v>
      </c>
      <c r="G265" s="12">
        <f t="shared" si="15"/>
        <v>1.5996231623638873E-9</v>
      </c>
    </row>
    <row r="266" spans="3:7">
      <c r="C266" s="2">
        <v>253</v>
      </c>
      <c r="D266" s="12">
        <f t="shared" si="12"/>
        <v>0</v>
      </c>
      <c r="E266" s="12">
        <f t="shared" si="13"/>
        <v>6.79839844004652E-12</v>
      </c>
      <c r="F266" s="12">
        <f t="shared" si="14"/>
        <v>-6.79839844004652E-12</v>
      </c>
      <c r="G266" s="12">
        <f t="shared" si="15"/>
        <v>1.6064215608039338E-9</v>
      </c>
    </row>
    <row r="267" spans="3:7">
      <c r="C267" s="2">
        <v>254</v>
      </c>
      <c r="D267" s="12">
        <f t="shared" si="12"/>
        <v>0</v>
      </c>
      <c r="E267" s="12">
        <f t="shared" si="13"/>
        <v>6.827291633416718E-12</v>
      </c>
      <c r="F267" s="12">
        <f t="shared" si="14"/>
        <v>-6.827291633416718E-12</v>
      </c>
      <c r="G267" s="12">
        <f t="shared" si="15"/>
        <v>1.6132488524373506E-9</v>
      </c>
    </row>
    <row r="268" spans="3:7">
      <c r="C268" s="2">
        <v>255</v>
      </c>
      <c r="D268" s="12">
        <f t="shared" si="12"/>
        <v>0</v>
      </c>
      <c r="E268" s="12">
        <f t="shared" si="13"/>
        <v>6.8563076228587393E-12</v>
      </c>
      <c r="F268" s="12">
        <f t="shared" si="14"/>
        <v>-6.8563076228587393E-12</v>
      </c>
      <c r="G268" s="12">
        <f t="shared" si="15"/>
        <v>1.6201051600602093E-9</v>
      </c>
    </row>
    <row r="269" spans="3:7">
      <c r="C269" s="2">
        <v>256</v>
      </c>
      <c r="D269" s="12">
        <f t="shared" si="12"/>
        <v>0</v>
      </c>
      <c r="E269" s="12">
        <f t="shared" si="13"/>
        <v>6.8854469302558888E-12</v>
      </c>
      <c r="F269" s="12">
        <f t="shared" si="14"/>
        <v>-6.8854469302558888E-12</v>
      </c>
      <c r="G269" s="12">
        <f t="shared" si="15"/>
        <v>1.6269906069904653E-9</v>
      </c>
    </row>
    <row r="270" spans="3:7">
      <c r="C270" s="2">
        <v>257</v>
      </c>
      <c r="D270" s="12">
        <f t="shared" si="12"/>
        <v>0</v>
      </c>
      <c r="E270" s="12">
        <f t="shared" si="13"/>
        <v>6.9147100797094771E-12</v>
      </c>
      <c r="F270" s="12">
        <f t="shared" si="14"/>
        <v>-6.9147100797094771E-12</v>
      </c>
      <c r="G270" s="12">
        <f t="shared" si="15"/>
        <v>1.6339053170701747E-9</v>
      </c>
    </row>
    <row r="271" spans="3:7">
      <c r="C271" s="2">
        <v>258</v>
      </c>
      <c r="D271" s="12">
        <f t="shared" ref="D271:D313" si="16">IF(C271&lt;=$F$7*$F$8,$F$9,0)</f>
        <v>0</v>
      </c>
      <c r="E271" s="12">
        <f t="shared" ref="E271:E313" si="17">G270*$F$5/$F$8</f>
        <v>6.9440975975482416E-12</v>
      </c>
      <c r="F271" s="12">
        <f t="shared" ref="F271:F313" si="18">D271-E271</f>
        <v>-6.9440975975482416E-12</v>
      </c>
      <c r="G271" s="12">
        <f t="shared" ref="G271:G313" si="19">G270-F271</f>
        <v>1.6408494146677229E-9</v>
      </c>
    </row>
    <row r="272" spans="3:7">
      <c r="C272" s="2">
        <v>259</v>
      </c>
      <c r="D272" s="12">
        <f t="shared" si="16"/>
        <v>0</v>
      </c>
      <c r="E272" s="12">
        <f t="shared" si="17"/>
        <v>6.9736100123378223E-12</v>
      </c>
      <c r="F272" s="12">
        <f t="shared" si="18"/>
        <v>-6.9736100123378223E-12</v>
      </c>
      <c r="G272" s="12">
        <f t="shared" si="19"/>
        <v>1.6478230246800607E-9</v>
      </c>
    </row>
    <row r="273" spans="3:7">
      <c r="C273" s="2">
        <v>260</v>
      </c>
      <c r="D273" s="12">
        <f t="shared" si="16"/>
        <v>0</v>
      </c>
      <c r="E273" s="12">
        <f t="shared" si="17"/>
        <v>7.0032478548902579E-12</v>
      </c>
      <c r="F273" s="12">
        <f t="shared" si="18"/>
        <v>-7.0032478548902579E-12</v>
      </c>
      <c r="G273" s="12">
        <f t="shared" si="19"/>
        <v>1.6548262725349509E-9</v>
      </c>
    </row>
    <row r="274" spans="3:7">
      <c r="C274" s="2">
        <v>261</v>
      </c>
      <c r="D274" s="12">
        <f t="shared" si="16"/>
        <v>0</v>
      </c>
      <c r="E274" s="12">
        <f t="shared" si="17"/>
        <v>7.0330116582735411E-12</v>
      </c>
      <c r="F274" s="12">
        <f t="shared" si="18"/>
        <v>-7.0330116582735411E-12</v>
      </c>
      <c r="G274" s="12">
        <f t="shared" si="19"/>
        <v>1.6618592841932244E-9</v>
      </c>
    </row>
    <row r="275" spans="3:7">
      <c r="C275" s="2">
        <v>262</v>
      </c>
      <c r="D275" s="12">
        <f t="shared" si="16"/>
        <v>0</v>
      </c>
      <c r="E275" s="12">
        <f t="shared" si="17"/>
        <v>7.0629019578212028E-12</v>
      </c>
      <c r="F275" s="12">
        <f t="shared" si="18"/>
        <v>-7.0629019578212028E-12</v>
      </c>
      <c r="G275" s="12">
        <f t="shared" si="19"/>
        <v>1.6689221861510456E-9</v>
      </c>
    </row>
    <row r="276" spans="3:7">
      <c r="C276" s="2">
        <v>263</v>
      </c>
      <c r="D276" s="12">
        <f t="shared" si="16"/>
        <v>0</v>
      </c>
      <c r="E276" s="12">
        <f t="shared" si="17"/>
        <v>7.0929192911419434E-12</v>
      </c>
      <c r="F276" s="12">
        <f t="shared" si="18"/>
        <v>-7.0929192911419434E-12</v>
      </c>
      <c r="G276" s="12">
        <f t="shared" si="19"/>
        <v>1.6760151054421876E-9</v>
      </c>
    </row>
    <row r="277" spans="3:7">
      <c r="C277" s="2">
        <v>264</v>
      </c>
      <c r="D277" s="12">
        <f t="shared" si="16"/>
        <v>0</v>
      </c>
      <c r="E277" s="12">
        <f t="shared" si="17"/>
        <v>7.1230641981292973E-12</v>
      </c>
      <c r="F277" s="12">
        <f t="shared" si="18"/>
        <v>-7.1230641981292973E-12</v>
      </c>
      <c r="G277" s="12">
        <f t="shared" si="19"/>
        <v>1.6831381696403168E-9</v>
      </c>
    </row>
    <row r="278" spans="3:7">
      <c r="C278" s="2">
        <v>265</v>
      </c>
      <c r="D278" s="12">
        <f t="shared" si="16"/>
        <v>0</v>
      </c>
      <c r="E278" s="12">
        <f t="shared" si="17"/>
        <v>7.153337220971346E-12</v>
      </c>
      <c r="F278" s="12">
        <f t="shared" si="18"/>
        <v>-7.153337220971346E-12</v>
      </c>
      <c r="G278" s="12">
        <f t="shared" si="19"/>
        <v>1.6902915068612881E-9</v>
      </c>
    </row>
    <row r="279" spans="3:7">
      <c r="C279" s="2">
        <v>266</v>
      </c>
      <c r="D279" s="12">
        <f t="shared" si="16"/>
        <v>0</v>
      </c>
      <c r="E279" s="12">
        <f t="shared" si="17"/>
        <v>7.1837389041604741E-12</v>
      </c>
      <c r="F279" s="12">
        <f t="shared" si="18"/>
        <v>-7.1837389041604741E-12</v>
      </c>
      <c r="G279" s="12">
        <f t="shared" si="19"/>
        <v>1.6974752457654486E-9</v>
      </c>
    </row>
    <row r="280" spans="3:7">
      <c r="C280" s="2">
        <v>267</v>
      </c>
      <c r="D280" s="12">
        <f t="shared" si="16"/>
        <v>0</v>
      </c>
      <c r="E280" s="12">
        <f t="shared" si="17"/>
        <v>7.2142697945031558E-12</v>
      </c>
      <c r="F280" s="12">
        <f t="shared" si="18"/>
        <v>-7.2142697945031558E-12</v>
      </c>
      <c r="G280" s="12">
        <f t="shared" si="19"/>
        <v>1.7046895155599517E-9</v>
      </c>
    </row>
    <row r="281" spans="3:7">
      <c r="C281" s="2">
        <v>268</v>
      </c>
      <c r="D281" s="12">
        <f t="shared" si="16"/>
        <v>0</v>
      </c>
      <c r="E281" s="12">
        <f t="shared" si="17"/>
        <v>7.2449304411297943E-12</v>
      </c>
      <c r="F281" s="12">
        <f t="shared" si="18"/>
        <v>-7.2449304411297943E-12</v>
      </c>
      <c r="G281" s="12">
        <f t="shared" si="19"/>
        <v>1.7119344460010814E-9</v>
      </c>
    </row>
    <row r="282" spans="3:7">
      <c r="C282" s="2">
        <v>269</v>
      </c>
      <c r="D282" s="12">
        <f t="shared" si="16"/>
        <v>0</v>
      </c>
      <c r="E282" s="12">
        <f t="shared" si="17"/>
        <v>7.2757213955045957E-12</v>
      </c>
      <c r="F282" s="12">
        <f t="shared" si="18"/>
        <v>-7.2757213955045957E-12</v>
      </c>
      <c r="G282" s="12">
        <f t="shared" si="19"/>
        <v>1.719210167396586E-9</v>
      </c>
    </row>
    <row r="283" spans="3:7">
      <c r="C283" s="2">
        <v>270</v>
      </c>
      <c r="D283" s="12">
        <f t="shared" si="16"/>
        <v>0</v>
      </c>
      <c r="E283" s="12">
        <f t="shared" si="17"/>
        <v>7.3066432114354903E-12</v>
      </c>
      <c r="F283" s="12">
        <f t="shared" si="18"/>
        <v>-7.3066432114354903E-12</v>
      </c>
      <c r="G283" s="12">
        <f t="shared" si="19"/>
        <v>1.7265168106080214E-9</v>
      </c>
    </row>
    <row r="284" spans="3:7">
      <c r="C284" s="2">
        <v>271</v>
      </c>
      <c r="D284" s="12">
        <f t="shared" si="16"/>
        <v>0</v>
      </c>
      <c r="E284" s="12">
        <f t="shared" si="17"/>
        <v>7.3376964450840904E-12</v>
      </c>
      <c r="F284" s="12">
        <f t="shared" si="18"/>
        <v>-7.3376964450840904E-12</v>
      </c>
      <c r="G284" s="12">
        <f t="shared" si="19"/>
        <v>1.7338545070531056E-9</v>
      </c>
    </row>
    <row r="285" spans="3:7">
      <c r="C285" s="2">
        <v>272</v>
      </c>
      <c r="D285" s="12">
        <f t="shared" si="16"/>
        <v>0</v>
      </c>
      <c r="E285" s="12">
        <f t="shared" si="17"/>
        <v>7.3688816549756983E-12</v>
      </c>
      <c r="F285" s="12">
        <f t="shared" si="18"/>
        <v>-7.3688816549756983E-12</v>
      </c>
      <c r="G285" s="12">
        <f t="shared" si="19"/>
        <v>1.7412233887080813E-9</v>
      </c>
    </row>
    <row r="286" spans="3:7">
      <c r="C286" s="2">
        <v>273</v>
      </c>
      <c r="D286" s="12">
        <f t="shared" si="16"/>
        <v>0</v>
      </c>
      <c r="E286" s="12">
        <f t="shared" si="17"/>
        <v>7.4001994020093449E-12</v>
      </c>
      <c r="F286" s="12">
        <f t="shared" si="18"/>
        <v>-7.4001994020093449E-12</v>
      </c>
      <c r="G286" s="12">
        <f t="shared" si="19"/>
        <v>1.7486235881100906E-9</v>
      </c>
    </row>
    <row r="287" spans="3:7">
      <c r="C287" s="2">
        <v>274</v>
      </c>
      <c r="D287" s="12">
        <f t="shared" si="16"/>
        <v>0</v>
      </c>
      <c r="E287" s="12">
        <f t="shared" si="17"/>
        <v>7.4316502494678836E-12</v>
      </c>
      <c r="F287" s="12">
        <f t="shared" si="18"/>
        <v>-7.4316502494678836E-12</v>
      </c>
      <c r="G287" s="12">
        <f t="shared" si="19"/>
        <v>1.7560552383595585E-9</v>
      </c>
    </row>
    <row r="288" spans="3:7">
      <c r="C288" s="2">
        <v>275</v>
      </c>
      <c r="D288" s="12">
        <f t="shared" si="16"/>
        <v>0</v>
      </c>
      <c r="E288" s="12">
        <f t="shared" si="17"/>
        <v>7.4632347630281227E-12</v>
      </c>
      <c r="F288" s="12">
        <f t="shared" si="18"/>
        <v>-7.4632347630281227E-12</v>
      </c>
      <c r="G288" s="12">
        <f t="shared" si="19"/>
        <v>1.7635184731225867E-9</v>
      </c>
    </row>
    <row r="289" spans="3:7">
      <c r="C289" s="2">
        <v>276</v>
      </c>
      <c r="D289" s="12">
        <f t="shared" si="16"/>
        <v>0</v>
      </c>
      <c r="E289" s="12">
        <f t="shared" si="17"/>
        <v>7.4949535107709931E-12</v>
      </c>
      <c r="F289" s="12">
        <f t="shared" si="18"/>
        <v>-7.4949535107709931E-12</v>
      </c>
      <c r="G289" s="12">
        <f t="shared" si="19"/>
        <v>1.7710134266333576E-9</v>
      </c>
    </row>
    <row r="290" spans="3:7">
      <c r="C290" s="2">
        <v>277</v>
      </c>
      <c r="D290" s="12">
        <f t="shared" si="16"/>
        <v>0</v>
      </c>
      <c r="E290" s="12">
        <f t="shared" si="17"/>
        <v>7.5268070631917688E-12</v>
      </c>
      <c r="F290" s="12">
        <f t="shared" si="18"/>
        <v>-7.5268070631917688E-12</v>
      </c>
      <c r="G290" s="12">
        <f t="shared" si="19"/>
        <v>1.7785402336965493E-9</v>
      </c>
    </row>
    <row r="291" spans="3:7">
      <c r="C291" s="2">
        <v>278</v>
      </c>
      <c r="D291" s="12">
        <f t="shared" si="16"/>
        <v>0</v>
      </c>
      <c r="E291" s="12">
        <f t="shared" si="17"/>
        <v>7.5587959932103341E-12</v>
      </c>
      <c r="F291" s="12">
        <f t="shared" si="18"/>
        <v>-7.5587959932103341E-12</v>
      </c>
      <c r="G291" s="12">
        <f t="shared" si="19"/>
        <v>1.7860990296897596E-9</v>
      </c>
    </row>
    <row r="292" spans="3:7">
      <c r="C292" s="2">
        <v>279</v>
      </c>
      <c r="D292" s="12">
        <f t="shared" si="16"/>
        <v>0</v>
      </c>
      <c r="E292" s="12">
        <f t="shared" si="17"/>
        <v>7.5909208761814779E-12</v>
      </c>
      <c r="F292" s="12">
        <f t="shared" si="18"/>
        <v>-7.5909208761814779E-12</v>
      </c>
      <c r="G292" s="12">
        <f t="shared" si="19"/>
        <v>1.7936899505659411E-9</v>
      </c>
    </row>
    <row r="293" spans="3:7">
      <c r="C293" s="2">
        <v>280</v>
      </c>
      <c r="D293" s="12">
        <f t="shared" si="16"/>
        <v>0</v>
      </c>
      <c r="E293" s="12">
        <f t="shared" si="17"/>
        <v>7.6231822899052481E-12</v>
      </c>
      <c r="F293" s="12">
        <f t="shared" si="18"/>
        <v>-7.6231822899052481E-12</v>
      </c>
      <c r="G293" s="12">
        <f t="shared" si="19"/>
        <v>1.8013131328558464E-9</v>
      </c>
    </row>
    <row r="294" spans="3:7">
      <c r="C294" s="2">
        <v>281</v>
      </c>
      <c r="D294" s="12">
        <f t="shared" si="16"/>
        <v>0</v>
      </c>
      <c r="E294" s="12">
        <f t="shared" si="17"/>
        <v>7.6555808146373463E-12</v>
      </c>
      <c r="F294" s="12">
        <f t="shared" si="18"/>
        <v>-7.6555808146373463E-12</v>
      </c>
      <c r="G294" s="12">
        <f t="shared" si="19"/>
        <v>1.8089687136704837E-9</v>
      </c>
    </row>
    <row r="295" spans="3:7">
      <c r="C295" s="2">
        <v>282</v>
      </c>
      <c r="D295" s="12">
        <f t="shared" si="16"/>
        <v>0</v>
      </c>
      <c r="E295" s="12">
        <f t="shared" si="17"/>
        <v>7.6881170330995563E-12</v>
      </c>
      <c r="F295" s="12">
        <f t="shared" si="18"/>
        <v>-7.6881170330995563E-12</v>
      </c>
      <c r="G295" s="12">
        <f t="shared" si="19"/>
        <v>1.8166568307035832E-9</v>
      </c>
    </row>
    <row r="296" spans="3:7">
      <c r="C296" s="2">
        <v>283</v>
      </c>
      <c r="D296" s="12">
        <f t="shared" si="16"/>
        <v>0</v>
      </c>
      <c r="E296" s="12">
        <f t="shared" si="17"/>
        <v>7.7207915304902279E-12</v>
      </c>
      <c r="F296" s="12">
        <f t="shared" si="18"/>
        <v>-7.7207915304902279E-12</v>
      </c>
      <c r="G296" s="12">
        <f t="shared" si="19"/>
        <v>1.8243776222340734E-9</v>
      </c>
    </row>
    <row r="297" spans="3:7">
      <c r="C297" s="2">
        <v>284</v>
      </c>
      <c r="D297" s="12">
        <f t="shared" si="16"/>
        <v>0</v>
      </c>
      <c r="E297" s="12">
        <f t="shared" si="17"/>
        <v>7.7536048944948117E-12</v>
      </c>
      <c r="F297" s="12">
        <f t="shared" si="18"/>
        <v>-7.7536048944948117E-12</v>
      </c>
      <c r="G297" s="12">
        <f t="shared" si="19"/>
        <v>1.8321312271285683E-9</v>
      </c>
    </row>
    <row r="298" spans="3:7">
      <c r="C298" s="2">
        <v>285</v>
      </c>
      <c r="D298" s="12">
        <f t="shared" si="16"/>
        <v>0</v>
      </c>
      <c r="E298" s="12">
        <f t="shared" si="17"/>
        <v>7.7865577152964143E-12</v>
      </c>
      <c r="F298" s="12">
        <f t="shared" si="18"/>
        <v>-7.7865577152964143E-12</v>
      </c>
      <c r="G298" s="12">
        <f t="shared" si="19"/>
        <v>1.8399177848438646E-9</v>
      </c>
    </row>
    <row r="299" spans="3:7">
      <c r="C299" s="2">
        <v>286</v>
      </c>
      <c r="D299" s="12">
        <f t="shared" si="16"/>
        <v>0</v>
      </c>
      <c r="E299" s="12">
        <f t="shared" si="17"/>
        <v>7.8196505855864251E-12</v>
      </c>
      <c r="F299" s="12">
        <f t="shared" si="18"/>
        <v>-7.8196505855864251E-12</v>
      </c>
      <c r="G299" s="12">
        <f t="shared" si="19"/>
        <v>1.847737435429451E-9</v>
      </c>
    </row>
    <row r="300" spans="3:7">
      <c r="C300" s="2">
        <v>287</v>
      </c>
      <c r="D300" s="12">
        <f t="shared" si="16"/>
        <v>0</v>
      </c>
      <c r="E300" s="12">
        <f t="shared" si="17"/>
        <v>7.8528841005751667E-12</v>
      </c>
      <c r="F300" s="12">
        <f t="shared" si="18"/>
        <v>-7.8528841005751667E-12</v>
      </c>
      <c r="G300" s="12">
        <f t="shared" si="19"/>
        <v>1.8555903195300261E-9</v>
      </c>
    </row>
    <row r="301" spans="3:7">
      <c r="C301" s="2">
        <v>288</v>
      </c>
      <c r="D301" s="12">
        <f t="shared" si="16"/>
        <v>0</v>
      </c>
      <c r="E301" s="12">
        <f t="shared" si="17"/>
        <v>7.8862588580026106E-12</v>
      </c>
      <c r="F301" s="12">
        <f t="shared" si="18"/>
        <v>-7.8862588580026106E-12</v>
      </c>
      <c r="G301" s="12">
        <f t="shared" si="19"/>
        <v>1.8634765783880288E-9</v>
      </c>
    </row>
    <row r="302" spans="3:7">
      <c r="C302" s="2">
        <v>289</v>
      </c>
      <c r="D302" s="12">
        <f t="shared" si="16"/>
        <v>0</v>
      </c>
      <c r="E302" s="12">
        <f t="shared" si="17"/>
        <v>7.9197754581491215E-12</v>
      </c>
      <c r="F302" s="12">
        <f t="shared" si="18"/>
        <v>-7.9197754581491215E-12</v>
      </c>
      <c r="G302" s="12">
        <f t="shared" si="19"/>
        <v>1.8713963538461781E-9</v>
      </c>
    </row>
    <row r="303" spans="3:7">
      <c r="C303" s="2">
        <v>290</v>
      </c>
      <c r="D303" s="12">
        <f t="shared" si="16"/>
        <v>0</v>
      </c>
      <c r="E303" s="12">
        <f t="shared" si="17"/>
        <v>7.9534345038462567E-12</v>
      </c>
      <c r="F303" s="12">
        <f t="shared" si="18"/>
        <v>-7.9534345038462567E-12</v>
      </c>
      <c r="G303" s="12">
        <f t="shared" si="19"/>
        <v>1.8793497883500243E-9</v>
      </c>
    </row>
    <row r="304" spans="3:7">
      <c r="C304" s="2">
        <v>291</v>
      </c>
      <c r="D304" s="12">
        <f t="shared" si="16"/>
        <v>0</v>
      </c>
      <c r="E304" s="12">
        <f t="shared" si="17"/>
        <v>7.9872366004876026E-12</v>
      </c>
      <c r="F304" s="12">
        <f t="shared" si="18"/>
        <v>-7.9872366004876026E-12</v>
      </c>
      <c r="G304" s="12">
        <f t="shared" si="19"/>
        <v>1.887337024950512E-9</v>
      </c>
    </row>
    <row r="305" spans="3:7">
      <c r="C305" s="2">
        <v>292</v>
      </c>
      <c r="D305" s="12">
        <f t="shared" si="16"/>
        <v>0</v>
      </c>
      <c r="E305" s="12">
        <f t="shared" si="17"/>
        <v>8.0211823560396747E-12</v>
      </c>
      <c r="F305" s="12">
        <f t="shared" si="18"/>
        <v>-8.0211823560396747E-12</v>
      </c>
      <c r="G305" s="12">
        <f t="shared" si="19"/>
        <v>1.8953582073065515E-9</v>
      </c>
    </row>
    <row r="306" spans="3:7">
      <c r="C306" s="2">
        <v>293</v>
      </c>
      <c r="D306" s="12">
        <f t="shared" si="16"/>
        <v>0</v>
      </c>
      <c r="E306" s="12">
        <f t="shared" si="17"/>
        <v>8.0552723810528437E-12</v>
      </c>
      <c r="F306" s="12">
        <f t="shared" si="18"/>
        <v>-8.0552723810528437E-12</v>
      </c>
      <c r="G306" s="12">
        <f t="shared" si="19"/>
        <v>1.9034134796876044E-9</v>
      </c>
    </row>
    <row r="307" spans="3:7">
      <c r="C307" s="2">
        <v>294</v>
      </c>
      <c r="D307" s="12">
        <f t="shared" si="16"/>
        <v>0</v>
      </c>
      <c r="E307" s="12">
        <f t="shared" si="17"/>
        <v>8.0895072886723185E-12</v>
      </c>
      <c r="F307" s="12">
        <f t="shared" si="18"/>
        <v>-8.0895072886723185E-12</v>
      </c>
      <c r="G307" s="12">
        <f t="shared" si="19"/>
        <v>1.9115029869762766E-9</v>
      </c>
    </row>
    <row r="308" spans="3:7">
      <c r="C308" s="2">
        <v>295</v>
      </c>
      <c r="D308" s="12">
        <f t="shared" si="16"/>
        <v>0</v>
      </c>
      <c r="E308" s="12">
        <f t="shared" si="17"/>
        <v>8.1238876946491757E-12</v>
      </c>
      <c r="F308" s="12">
        <f t="shared" si="18"/>
        <v>-8.1238876946491757E-12</v>
      </c>
      <c r="G308" s="12">
        <f t="shared" si="19"/>
        <v>1.9196268746709258E-9</v>
      </c>
    </row>
    <row r="309" spans="3:7">
      <c r="C309" s="2">
        <v>296</v>
      </c>
      <c r="D309" s="12">
        <f t="shared" si="16"/>
        <v>0</v>
      </c>
      <c r="E309" s="12">
        <f t="shared" si="17"/>
        <v>8.1584142173514331E-12</v>
      </c>
      <c r="F309" s="12">
        <f t="shared" si="18"/>
        <v>-8.1584142173514331E-12</v>
      </c>
      <c r="G309" s="12">
        <f t="shared" si="19"/>
        <v>1.927785288888277E-9</v>
      </c>
    </row>
    <row r="310" spans="3:7">
      <c r="C310" s="2">
        <v>297</v>
      </c>
      <c r="D310" s="12">
        <f t="shared" si="16"/>
        <v>0</v>
      </c>
      <c r="E310" s="12">
        <f t="shared" si="17"/>
        <v>8.1930874777751772E-12</v>
      </c>
      <c r="F310" s="12">
        <f t="shared" si="18"/>
        <v>-8.1930874777751772E-12</v>
      </c>
      <c r="G310" s="12">
        <f t="shared" si="19"/>
        <v>1.935978376366052E-9</v>
      </c>
    </row>
    <row r="311" spans="3:7">
      <c r="C311" s="2">
        <v>298</v>
      </c>
      <c r="D311" s="12">
        <f t="shared" si="16"/>
        <v>0</v>
      </c>
      <c r="E311" s="12">
        <f t="shared" si="17"/>
        <v>8.2279080995557212E-12</v>
      </c>
      <c r="F311" s="12">
        <f t="shared" si="18"/>
        <v>-8.2279080995557212E-12</v>
      </c>
      <c r="G311" s="12">
        <f t="shared" si="19"/>
        <v>1.9442062844656076E-9</v>
      </c>
    </row>
    <row r="312" spans="3:7">
      <c r="C312" s="2">
        <v>299</v>
      </c>
      <c r="D312" s="12">
        <f t="shared" si="16"/>
        <v>0</v>
      </c>
      <c r="E312" s="12">
        <f t="shared" si="17"/>
        <v>8.2628767089788312E-12</v>
      </c>
      <c r="F312" s="12">
        <f t="shared" si="18"/>
        <v>-8.2628767089788312E-12</v>
      </c>
      <c r="G312" s="12">
        <f t="shared" si="19"/>
        <v>1.9524691611745865E-9</v>
      </c>
    </row>
    <row r="313" spans="3:7">
      <c r="C313" s="2">
        <v>300</v>
      </c>
      <c r="D313" s="12">
        <f t="shared" si="16"/>
        <v>0</v>
      </c>
      <c r="E313" s="12">
        <f t="shared" si="17"/>
        <v>8.2979939349919921E-12</v>
      </c>
      <c r="F313" s="12">
        <f t="shared" si="18"/>
        <v>-8.2979939349919921E-12</v>
      </c>
      <c r="G313" s="12">
        <f t="shared" si="19"/>
        <v>1.9607671551095786E-9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BA114"/>
  <sheetViews>
    <sheetView showGridLines="0" tabSelected="1" topLeftCell="A8" zoomScale="143" zoomScaleNormal="70" workbookViewId="0">
      <selection activeCell="D82" sqref="D82"/>
    </sheetView>
  </sheetViews>
  <sheetFormatPr baseColWidth="10" defaultColWidth="9.1640625" defaultRowHeight="0" customHeight="1" zeroHeight="1"/>
  <cols>
    <col min="1" max="2" width="1.1640625" style="49" customWidth="1"/>
    <col min="3" max="3" width="5.1640625" style="1" customWidth="1"/>
    <col min="4" max="4" width="60.5" style="1" customWidth="1"/>
    <col min="5" max="5" width="18.5" style="1" hidden="1" customWidth="1"/>
    <col min="6" max="6" width="18" style="1" hidden="1" customWidth="1"/>
    <col min="7" max="7" width="8.33203125" style="1" customWidth="1"/>
    <col min="8" max="11" width="10.83203125" style="1" customWidth="1"/>
    <col min="12" max="17" width="9.1640625" style="1" customWidth="1"/>
    <col min="18" max="18" width="10" style="1" customWidth="1"/>
    <col min="19" max="47" width="9.1640625" style="1" customWidth="1"/>
    <col min="48" max="49" width="1.5" style="1" customWidth="1"/>
    <col min="50" max="50" width="9.83203125" style="1" customWidth="1"/>
    <col min="51" max="52" width="9.1640625" style="1" customWidth="1"/>
    <col min="53" max="53" width="4.33203125" style="50" customWidth="1"/>
    <col min="54" max="16384" width="9.1640625" style="1"/>
  </cols>
  <sheetData>
    <row r="1" spans="1:53" ht="13" customHeight="1">
      <c r="A1" s="1"/>
      <c r="B1" s="1"/>
      <c r="D1" s="2"/>
      <c r="G1"/>
      <c r="H1"/>
      <c r="I1"/>
      <c r="J1"/>
      <c r="K1"/>
      <c r="N1" s="58"/>
      <c r="O1" s="13"/>
      <c r="P1" s="13"/>
      <c r="R1" s="13"/>
    </row>
    <row r="2" spans="1:53" ht="13" customHeight="1">
      <c r="A2" s="1"/>
      <c r="B2" s="1"/>
      <c r="D2" s="120" t="s">
        <v>29</v>
      </c>
      <c r="G2"/>
      <c r="H2"/>
      <c r="I2"/>
      <c r="J2"/>
      <c r="K2"/>
      <c r="R2" s="13"/>
    </row>
    <row r="3" spans="1:53" ht="13" customHeight="1">
      <c r="A3" s="1"/>
      <c r="B3" s="1"/>
      <c r="D3" s="36" t="s">
        <v>318</v>
      </c>
      <c r="H3" s="13"/>
      <c r="I3" s="13"/>
      <c r="J3" s="13"/>
      <c r="O3" s="13"/>
      <c r="AA3" s="13"/>
    </row>
    <row r="4" spans="1:53" ht="13" customHeight="1">
      <c r="A4" s="1"/>
      <c r="B4" s="1"/>
      <c r="D4" s="2"/>
      <c r="H4" s="13"/>
      <c r="I4" s="13"/>
      <c r="J4" s="13"/>
      <c r="P4" s="13"/>
    </row>
    <row r="5" spans="1:53" ht="13" customHeight="1">
      <c r="AV5" s="53"/>
      <c r="AW5" s="54"/>
    </row>
    <row r="6" spans="1:53" ht="13" customHeight="1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56"/>
      <c r="AW6" s="57"/>
      <c r="AX6" s="31"/>
      <c r="AY6" s="31"/>
      <c r="AZ6" s="31"/>
    </row>
    <row r="7" spans="1:53" s="52" customFormat="1" ht="13" customHeight="1">
      <c r="A7" s="51"/>
      <c r="B7" s="51"/>
      <c r="C7" s="177" t="s">
        <v>0</v>
      </c>
      <c r="D7" s="178" t="s">
        <v>2</v>
      </c>
      <c r="E7" s="179" t="s">
        <v>423</v>
      </c>
      <c r="F7" s="176" t="s">
        <v>209</v>
      </c>
      <c r="G7" s="175" t="s">
        <v>1</v>
      </c>
      <c r="H7" s="176" t="s">
        <v>206</v>
      </c>
      <c r="I7" s="160"/>
      <c r="J7" s="160"/>
      <c r="K7" s="176" t="s">
        <v>207</v>
      </c>
      <c r="L7" s="174">
        <v>2018</v>
      </c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>
        <v>2019</v>
      </c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>
        <v>2020</v>
      </c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22"/>
      <c r="AW7" s="22"/>
      <c r="AX7" s="175">
        <v>2018</v>
      </c>
      <c r="AY7" s="175">
        <v>2019</v>
      </c>
      <c r="AZ7" s="175">
        <v>2020</v>
      </c>
      <c r="BA7" s="51"/>
    </row>
    <row r="8" spans="1:53" s="52" customFormat="1" ht="13" customHeight="1">
      <c r="A8" s="51"/>
      <c r="B8" s="51"/>
      <c r="C8" s="177"/>
      <c r="D8" s="178"/>
      <c r="E8" s="179"/>
      <c r="F8" s="176"/>
      <c r="G8" s="175"/>
      <c r="H8" s="176"/>
      <c r="I8" s="160"/>
      <c r="J8" s="160"/>
      <c r="K8" s="176"/>
      <c r="L8" s="40" t="s">
        <v>21</v>
      </c>
      <c r="M8" s="40" t="s">
        <v>23</v>
      </c>
      <c r="N8" s="40" t="s">
        <v>37</v>
      </c>
      <c r="O8" s="40" t="s">
        <v>38</v>
      </c>
      <c r="P8" s="40" t="s">
        <v>39</v>
      </c>
      <c r="Q8" s="40" t="s">
        <v>82</v>
      </c>
      <c r="R8" s="40" t="s">
        <v>83</v>
      </c>
      <c r="S8" s="40" t="s">
        <v>84</v>
      </c>
      <c r="T8" s="40" t="s">
        <v>85</v>
      </c>
      <c r="U8" s="40" t="s">
        <v>86</v>
      </c>
      <c r="V8" s="40" t="s">
        <v>87</v>
      </c>
      <c r="W8" s="40" t="s">
        <v>88</v>
      </c>
      <c r="X8" s="40" t="s">
        <v>21</v>
      </c>
      <c r="Y8" s="40" t="s">
        <v>23</v>
      </c>
      <c r="Z8" s="40" t="s">
        <v>37</v>
      </c>
      <c r="AA8" s="40" t="s">
        <v>38</v>
      </c>
      <c r="AB8" s="40" t="s">
        <v>39</v>
      </c>
      <c r="AC8" s="40" t="s">
        <v>82</v>
      </c>
      <c r="AD8" s="40" t="s">
        <v>83</v>
      </c>
      <c r="AE8" s="40" t="s">
        <v>84</v>
      </c>
      <c r="AF8" s="40" t="s">
        <v>85</v>
      </c>
      <c r="AG8" s="40" t="s">
        <v>86</v>
      </c>
      <c r="AH8" s="40" t="s">
        <v>87</v>
      </c>
      <c r="AI8" s="40" t="s">
        <v>88</v>
      </c>
      <c r="AJ8" s="40" t="s">
        <v>21</v>
      </c>
      <c r="AK8" s="40" t="s">
        <v>23</v>
      </c>
      <c r="AL8" s="40" t="s">
        <v>37</v>
      </c>
      <c r="AM8" s="40" t="s">
        <v>38</v>
      </c>
      <c r="AN8" s="40" t="s">
        <v>39</v>
      </c>
      <c r="AO8" s="40" t="s">
        <v>82</v>
      </c>
      <c r="AP8" s="40" t="s">
        <v>83</v>
      </c>
      <c r="AQ8" s="40" t="s">
        <v>84</v>
      </c>
      <c r="AR8" s="40" t="s">
        <v>85</v>
      </c>
      <c r="AS8" s="40" t="s">
        <v>86</v>
      </c>
      <c r="AT8" s="40" t="s">
        <v>87</v>
      </c>
      <c r="AU8" s="40" t="s">
        <v>88</v>
      </c>
      <c r="AV8" s="40"/>
      <c r="AW8" s="40"/>
      <c r="AX8" s="175"/>
      <c r="AY8" s="175"/>
      <c r="AZ8" s="175"/>
      <c r="BA8" s="51"/>
    </row>
    <row r="9" spans="1:53" ht="13" customHeight="1">
      <c r="AV9" s="53"/>
      <c r="AW9" s="54"/>
    </row>
    <row r="10" spans="1:53" ht="13" hidden="1" customHeight="1"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56"/>
      <c r="AW10" s="57"/>
      <c r="AX10" s="31"/>
      <c r="AY10" s="31"/>
      <c r="AZ10" s="31"/>
    </row>
    <row r="11" spans="1:53" s="55" customFormat="1" ht="13" hidden="1" customHeight="1">
      <c r="A11" s="51"/>
      <c r="B11" s="51"/>
      <c r="C11" s="75"/>
      <c r="D11" s="75" t="s">
        <v>322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6"/>
      <c r="AW11" s="77"/>
      <c r="AX11" s="75"/>
      <c r="AY11" s="75"/>
      <c r="AZ11" s="75"/>
      <c r="BA11" s="51"/>
    </row>
    <row r="12" spans="1:53" ht="13" hidden="1" customHeight="1">
      <c r="AV12" s="53"/>
      <c r="AW12" s="54"/>
    </row>
    <row r="13" spans="1:53" ht="13" hidden="1" customHeight="1"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56"/>
      <c r="AW13" s="57"/>
      <c r="AX13" s="31"/>
      <c r="AY13" s="31"/>
      <c r="AZ13" s="31"/>
    </row>
    <row r="14" spans="1:53" ht="13" hidden="1" customHeight="1" thickBot="1">
      <c r="C14" s="144" t="s">
        <v>411</v>
      </c>
      <c r="D14" s="113" t="s">
        <v>418</v>
      </c>
      <c r="E14" s="114" t="s">
        <v>94</v>
      </c>
      <c r="F14" s="114" t="s">
        <v>94</v>
      </c>
      <c r="G14" s="115" t="s">
        <v>15</v>
      </c>
      <c r="H14" s="116">
        <f>SUM(H15:H16)</f>
        <v>0</v>
      </c>
      <c r="I14" s="116"/>
      <c r="J14" s="116"/>
      <c r="K14" s="116">
        <f>H14*1.23</f>
        <v>0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61">
        <v>0</v>
      </c>
      <c r="AR14" s="61">
        <v>0</v>
      </c>
      <c r="AS14" s="61">
        <v>0</v>
      </c>
      <c r="AT14" s="61">
        <v>0</v>
      </c>
      <c r="AU14" s="61">
        <v>0</v>
      </c>
      <c r="AV14" s="62"/>
      <c r="AW14" s="63"/>
      <c r="AX14" s="37"/>
      <c r="AY14" s="13"/>
      <c r="AZ14" s="13"/>
    </row>
    <row r="15" spans="1:53" ht="13" hidden="1" customHeight="1">
      <c r="C15" s="143" t="s">
        <v>48</v>
      </c>
      <c r="D15" s="105" t="s">
        <v>326</v>
      </c>
      <c r="E15" s="14" t="s">
        <v>94</v>
      </c>
      <c r="F15" s="14" t="s">
        <v>94</v>
      </c>
      <c r="G15" s="3" t="s">
        <v>15</v>
      </c>
      <c r="H15" s="13">
        <f>AX15</f>
        <v>-5000</v>
      </c>
      <c r="I15" s="13"/>
      <c r="J15" s="13"/>
      <c r="K15" s="13">
        <f>H15*1.23</f>
        <v>-6150</v>
      </c>
      <c r="L15" s="61">
        <f>L58-L16</f>
        <v>-5000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2"/>
      <c r="AW15" s="63"/>
      <c r="AX15" s="13">
        <f>SUM(L15:W15)</f>
        <v>-5000</v>
      </c>
      <c r="AY15" s="13"/>
      <c r="AZ15" s="13"/>
    </row>
    <row r="16" spans="1:53" ht="13" hidden="1" customHeight="1">
      <c r="C16" s="143" t="s">
        <v>201</v>
      </c>
      <c r="D16" s="105" t="s">
        <v>327</v>
      </c>
      <c r="E16" s="14" t="s">
        <v>94</v>
      </c>
      <c r="F16" s="14" t="s">
        <v>94</v>
      </c>
      <c r="G16" s="3" t="s">
        <v>15</v>
      </c>
      <c r="H16" s="13">
        <f>AX16</f>
        <v>5000</v>
      </c>
      <c r="I16" s="13"/>
      <c r="J16" s="13"/>
      <c r="K16" s="13">
        <f t="shared" ref="K16:K45" si="0">H16*1.23</f>
        <v>6150</v>
      </c>
      <c r="L16" s="61">
        <v>5000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2"/>
      <c r="AW16" s="63"/>
      <c r="AX16" s="13">
        <f>SUM(L16:W16)</f>
        <v>5000</v>
      </c>
      <c r="AY16" s="13"/>
      <c r="AZ16" s="13"/>
    </row>
    <row r="17" spans="3:52" ht="13" hidden="1" customHeight="1" thickBot="1">
      <c r="C17" s="144" t="s">
        <v>412</v>
      </c>
      <c r="D17" s="113" t="s">
        <v>328</v>
      </c>
      <c r="E17" s="114" t="s">
        <v>94</v>
      </c>
      <c r="F17" s="114" t="s">
        <v>94</v>
      </c>
      <c r="G17" s="115" t="s">
        <v>15</v>
      </c>
      <c r="H17" s="116">
        <f>SUM(H18:H18)</f>
        <v>0</v>
      </c>
      <c r="I17" s="116"/>
      <c r="J17" s="116"/>
      <c r="K17" s="116">
        <f>H17*1.23</f>
        <v>0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0</v>
      </c>
      <c r="AT17" s="61">
        <v>0</v>
      </c>
      <c r="AU17" s="61">
        <v>0</v>
      </c>
      <c r="AV17" s="62"/>
      <c r="AW17" s="63"/>
      <c r="AX17" s="37"/>
      <c r="AY17" s="13"/>
      <c r="AZ17" s="13"/>
    </row>
    <row r="18" spans="3:52" ht="13" hidden="1" customHeight="1">
      <c r="C18" s="143" t="s">
        <v>258</v>
      </c>
      <c r="D18" s="105" t="s">
        <v>329</v>
      </c>
      <c r="E18" s="14" t="s">
        <v>94</v>
      </c>
      <c r="F18" s="14" t="s">
        <v>94</v>
      </c>
      <c r="G18" s="3" t="s">
        <v>15</v>
      </c>
      <c r="H18" s="13">
        <f>AX18</f>
        <v>0</v>
      </c>
      <c r="I18" s="13"/>
      <c r="J18" s="13"/>
      <c r="K18" s="13">
        <f t="shared" si="0"/>
        <v>0</v>
      </c>
      <c r="L18" s="37"/>
      <c r="M18" s="37"/>
      <c r="N18" s="37"/>
      <c r="O18" s="37"/>
      <c r="P18" s="61">
        <f>P67</f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1">
        <v>0</v>
      </c>
      <c r="AU18" s="61">
        <v>0</v>
      </c>
      <c r="AV18" s="62"/>
      <c r="AW18" s="63"/>
      <c r="AX18" s="13">
        <f>SUM(L18:W18)</f>
        <v>0</v>
      </c>
      <c r="AY18" s="13">
        <f>SUM(X18:AI18)</f>
        <v>0</v>
      </c>
      <c r="AZ18" s="13">
        <f>SUM(AJ18:AU18)</f>
        <v>0</v>
      </c>
    </row>
    <row r="19" spans="3:52" ht="13" hidden="1" customHeight="1" thickBot="1">
      <c r="C19" s="145">
        <v>3</v>
      </c>
      <c r="D19" s="113" t="s">
        <v>330</v>
      </c>
      <c r="E19" s="114" t="s">
        <v>94</v>
      </c>
      <c r="F19" s="114" t="s">
        <v>94</v>
      </c>
      <c r="G19" s="115" t="s">
        <v>15</v>
      </c>
      <c r="H19" s="116">
        <f>SUM(H20)</f>
        <v>0</v>
      </c>
      <c r="I19" s="116"/>
      <c r="J19" s="116"/>
      <c r="K19" s="116">
        <f t="shared" si="0"/>
        <v>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  <c r="AV19" s="62"/>
      <c r="AW19" s="63"/>
      <c r="AX19" s="37"/>
      <c r="AY19" s="13"/>
      <c r="AZ19" s="13"/>
    </row>
    <row r="20" spans="3:52" ht="13" hidden="1" customHeight="1">
      <c r="C20" s="143" t="s">
        <v>44</v>
      </c>
      <c r="D20" s="105" t="s">
        <v>331</v>
      </c>
      <c r="E20" s="14" t="s">
        <v>94</v>
      </c>
      <c r="F20" s="14" t="s">
        <v>94</v>
      </c>
      <c r="G20" s="3" t="s">
        <v>15</v>
      </c>
      <c r="H20" s="13">
        <f>SUM(H21:H22)</f>
        <v>0</v>
      </c>
      <c r="I20" s="13"/>
      <c r="J20" s="13"/>
      <c r="K20" s="13">
        <f t="shared" si="0"/>
        <v>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0</v>
      </c>
      <c r="AT20" s="61">
        <v>0</v>
      </c>
      <c r="AU20" s="61">
        <v>0</v>
      </c>
      <c r="AV20" s="62"/>
      <c r="AW20" s="63"/>
      <c r="AX20" s="37"/>
      <c r="AY20" s="13">
        <f>SUM(X20:AI20)</f>
        <v>0</v>
      </c>
      <c r="AZ20" s="13">
        <f>SUM(AJ20:AU20)</f>
        <v>0</v>
      </c>
    </row>
    <row r="21" spans="3:52" ht="13" hidden="1" customHeight="1">
      <c r="C21" s="143" t="s">
        <v>343</v>
      </c>
      <c r="D21" s="68" t="s">
        <v>351</v>
      </c>
      <c r="E21" s="14"/>
      <c r="F21" s="14"/>
      <c r="G21" s="3" t="s">
        <v>15</v>
      </c>
      <c r="H21" s="13">
        <f>AX21</f>
        <v>0</v>
      </c>
      <c r="I21" s="13"/>
      <c r="J21" s="13"/>
      <c r="K21" s="13">
        <f t="shared" si="0"/>
        <v>0</v>
      </c>
      <c r="L21" s="37"/>
      <c r="M21" s="37"/>
      <c r="N21" s="37"/>
      <c r="O21" s="37"/>
      <c r="P21" s="37"/>
      <c r="Q21" s="37"/>
      <c r="R21" s="37"/>
      <c r="S21" s="37"/>
      <c r="T21" s="146">
        <f>Q56</f>
        <v>0</v>
      </c>
      <c r="U21" s="61">
        <v>0</v>
      </c>
      <c r="V21" s="61">
        <v>0</v>
      </c>
      <c r="W21" s="61">
        <v>0</v>
      </c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2"/>
      <c r="AW21" s="63"/>
      <c r="AX21" s="13">
        <f t="shared" ref="AX21:AX39" si="1">SUM(L21:W21)</f>
        <v>0</v>
      </c>
      <c r="AY21" s="13"/>
      <c r="AZ21" s="13"/>
    </row>
    <row r="22" spans="3:52" ht="13" hidden="1" customHeight="1">
      <c r="C22" s="143" t="s">
        <v>344</v>
      </c>
      <c r="D22" s="68" t="s">
        <v>345</v>
      </c>
      <c r="E22" s="14"/>
      <c r="F22" s="14"/>
      <c r="G22" s="3" t="s">
        <v>15</v>
      </c>
      <c r="H22" s="13">
        <f>AX22</f>
        <v>0</v>
      </c>
      <c r="I22" s="13"/>
      <c r="J22" s="13"/>
      <c r="K22" s="13">
        <f t="shared" si="0"/>
        <v>0</v>
      </c>
      <c r="L22" s="37"/>
      <c r="M22" s="37"/>
      <c r="N22" s="37"/>
      <c r="O22" s="37"/>
      <c r="P22" s="37"/>
      <c r="Q22" s="37"/>
      <c r="R22" s="37"/>
      <c r="S22" s="37"/>
      <c r="T22" s="146">
        <f>Q59</f>
        <v>0</v>
      </c>
      <c r="U22" s="61">
        <v>0</v>
      </c>
      <c r="V22" s="61">
        <v>0</v>
      </c>
      <c r="W22" s="61">
        <v>0</v>
      </c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2"/>
      <c r="AW22" s="63"/>
      <c r="AX22" s="13">
        <f t="shared" si="1"/>
        <v>0</v>
      </c>
      <c r="AY22" s="13"/>
      <c r="AZ22" s="13"/>
    </row>
    <row r="23" spans="3:52" ht="13" hidden="1" customHeight="1" thickBot="1">
      <c r="C23" s="144" t="s">
        <v>414</v>
      </c>
      <c r="D23" s="113" t="s">
        <v>332</v>
      </c>
      <c r="E23" s="114" t="s">
        <v>94</v>
      </c>
      <c r="F23" s="114" t="s">
        <v>94</v>
      </c>
      <c r="G23" s="115" t="s">
        <v>15</v>
      </c>
      <c r="H23" s="116">
        <f>SUM(H24)</f>
        <v>44439.024000000005</v>
      </c>
      <c r="I23" s="116"/>
      <c r="J23" s="116"/>
      <c r="K23" s="116">
        <f t="shared" si="0"/>
        <v>54659.999520000005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0</v>
      </c>
      <c r="AR23" s="61">
        <v>0</v>
      </c>
      <c r="AS23" s="61">
        <v>0</v>
      </c>
      <c r="AT23" s="61">
        <v>0</v>
      </c>
      <c r="AU23" s="61">
        <v>0</v>
      </c>
      <c r="AV23" s="62"/>
      <c r="AW23" s="63"/>
      <c r="AX23" s="37"/>
      <c r="AY23" s="13"/>
      <c r="AZ23" s="13"/>
    </row>
    <row r="24" spans="3:52" ht="13" hidden="1" customHeight="1">
      <c r="C24" s="143" t="s">
        <v>13</v>
      </c>
      <c r="D24" s="105" t="s">
        <v>333</v>
      </c>
      <c r="E24" s="14" t="s">
        <v>94</v>
      </c>
      <c r="F24" s="14" t="s">
        <v>94</v>
      </c>
      <c r="G24" s="3" t="s">
        <v>15</v>
      </c>
      <c r="H24" s="13">
        <f>AX24</f>
        <v>44439.024000000005</v>
      </c>
      <c r="I24" s="13"/>
      <c r="J24" s="13"/>
      <c r="K24" s="13">
        <f t="shared" si="0"/>
        <v>54659.999520000005</v>
      </c>
      <c r="L24" s="37"/>
      <c r="M24" s="37"/>
      <c r="N24" s="37"/>
      <c r="O24" s="37"/>
      <c r="P24" s="37"/>
      <c r="Q24" s="37"/>
      <c r="R24" s="37"/>
      <c r="S24" s="37"/>
      <c r="T24" s="37"/>
      <c r="U24" s="61">
        <f>U66</f>
        <v>44439.024000000005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1">
        <v>0</v>
      </c>
      <c r="AU24" s="61">
        <v>0</v>
      </c>
      <c r="AV24" s="62"/>
      <c r="AW24" s="63"/>
      <c r="AX24" s="13">
        <f t="shared" si="1"/>
        <v>44439.024000000005</v>
      </c>
      <c r="AY24" s="13">
        <f>SUM(X24:AI24)</f>
        <v>0</v>
      </c>
      <c r="AZ24" s="13">
        <f>SUM(AJ24:AU24)</f>
        <v>0</v>
      </c>
    </row>
    <row r="25" spans="3:52" ht="13" hidden="1" customHeight="1" thickBot="1">
      <c r="C25" s="144" t="s">
        <v>415</v>
      </c>
      <c r="D25" s="113" t="s">
        <v>334</v>
      </c>
      <c r="E25" s="114" t="s">
        <v>94</v>
      </c>
      <c r="F25" s="114" t="s">
        <v>94</v>
      </c>
      <c r="G25" s="115" t="s">
        <v>15</v>
      </c>
      <c r="H25" s="116">
        <f>SUM(H26,H30,H33)</f>
        <v>0</v>
      </c>
      <c r="I25" s="116"/>
      <c r="J25" s="116"/>
      <c r="K25" s="116">
        <f t="shared" si="0"/>
        <v>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0</v>
      </c>
      <c r="AR25" s="61">
        <v>0</v>
      </c>
      <c r="AS25" s="61">
        <v>0</v>
      </c>
      <c r="AT25" s="61">
        <v>0</v>
      </c>
      <c r="AU25" s="61">
        <v>0</v>
      </c>
      <c r="AV25" s="62"/>
      <c r="AW25" s="63"/>
      <c r="AX25" s="37"/>
      <c r="AY25" s="13">
        <f>SUM(X25:AI25)</f>
        <v>0</v>
      </c>
      <c r="AZ25" s="13">
        <f>SUM(AJ25:AU25)</f>
        <v>0</v>
      </c>
    </row>
    <row r="26" spans="3:52" ht="13" hidden="1" customHeight="1">
      <c r="C26" s="143" t="s">
        <v>75</v>
      </c>
      <c r="D26" s="105" t="s">
        <v>335</v>
      </c>
      <c r="E26" s="14" t="s">
        <v>94</v>
      </c>
      <c r="F26" s="14" t="s">
        <v>94</v>
      </c>
      <c r="G26" s="3" t="s">
        <v>15</v>
      </c>
      <c r="H26" s="13">
        <f>SUM(H27:H29)</f>
        <v>-3080</v>
      </c>
      <c r="I26" s="13"/>
      <c r="J26" s="13"/>
      <c r="K26" s="13">
        <f t="shared" si="0"/>
        <v>-3788.4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0</v>
      </c>
      <c r="AS26" s="61">
        <v>0</v>
      </c>
      <c r="AT26" s="61">
        <v>0</v>
      </c>
      <c r="AU26" s="61">
        <v>0</v>
      </c>
      <c r="AV26" s="62"/>
      <c r="AW26" s="63"/>
      <c r="AX26" s="37"/>
      <c r="AY26" s="13">
        <f>SUM(X26:AI26)</f>
        <v>0</v>
      </c>
      <c r="AZ26" s="13">
        <f>SUM(AJ26:AU26)</f>
        <v>0</v>
      </c>
    </row>
    <row r="27" spans="3:52" ht="13" hidden="1" customHeight="1">
      <c r="C27" s="143" t="s">
        <v>346</v>
      </c>
      <c r="D27" s="68" t="s">
        <v>352</v>
      </c>
      <c r="E27" s="14"/>
      <c r="F27" s="14"/>
      <c r="G27" s="3" t="s">
        <v>15</v>
      </c>
      <c r="H27" s="13">
        <f>AX27</f>
        <v>-3080</v>
      </c>
      <c r="I27" s="13"/>
      <c r="J27" s="13"/>
      <c r="K27" s="13">
        <f t="shared" si="0"/>
        <v>-3788.4</v>
      </c>
      <c r="L27" s="37"/>
      <c r="M27" s="37"/>
      <c r="N27" s="37"/>
      <c r="O27" s="37"/>
      <c r="P27" s="37"/>
      <c r="Q27" s="37"/>
      <c r="R27" s="37"/>
      <c r="S27" s="37"/>
      <c r="T27" s="61">
        <f>R56-T31</f>
        <v>-3080</v>
      </c>
      <c r="U27" s="61">
        <v>0</v>
      </c>
      <c r="V27" s="61">
        <v>0</v>
      </c>
      <c r="W27" s="61">
        <v>0</v>
      </c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2"/>
      <c r="AW27" s="63"/>
      <c r="AX27" s="13">
        <f t="shared" si="1"/>
        <v>-3080</v>
      </c>
      <c r="AY27" s="13"/>
      <c r="AZ27" s="13"/>
    </row>
    <row r="28" spans="3:52" ht="13" hidden="1" customHeight="1">
      <c r="C28" s="143" t="s">
        <v>347</v>
      </c>
      <c r="D28" s="68" t="s">
        <v>350</v>
      </c>
      <c r="E28" s="14"/>
      <c r="F28" s="14"/>
      <c r="G28" s="3" t="s">
        <v>15</v>
      </c>
      <c r="H28" s="13">
        <f>AX28</f>
        <v>0</v>
      </c>
      <c r="I28" s="13"/>
      <c r="J28" s="13"/>
      <c r="K28" s="13">
        <f t="shared" si="0"/>
        <v>0</v>
      </c>
      <c r="L28" s="37"/>
      <c r="M28" s="37"/>
      <c r="N28" s="37"/>
      <c r="O28" s="37"/>
      <c r="P28" s="37"/>
      <c r="Q28" s="37"/>
      <c r="R28" s="37"/>
      <c r="S28" s="37"/>
      <c r="T28" s="61">
        <f>R61</f>
        <v>0</v>
      </c>
      <c r="U28" s="61">
        <v>0</v>
      </c>
      <c r="V28" s="61">
        <v>0</v>
      </c>
      <c r="W28" s="61">
        <v>0</v>
      </c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2"/>
      <c r="AW28" s="63"/>
      <c r="AX28" s="13">
        <f t="shared" si="1"/>
        <v>0</v>
      </c>
      <c r="AY28" s="13"/>
      <c r="AZ28" s="13"/>
    </row>
    <row r="29" spans="3:52" ht="13" hidden="1" customHeight="1">
      <c r="C29" s="143" t="s">
        <v>348</v>
      </c>
      <c r="D29" s="68" t="s">
        <v>349</v>
      </c>
      <c r="E29" s="14"/>
      <c r="F29" s="14"/>
      <c r="G29" s="3" t="s">
        <v>15</v>
      </c>
      <c r="H29" s="13">
        <f>AX29</f>
        <v>0</v>
      </c>
      <c r="I29" s="13"/>
      <c r="J29" s="13"/>
      <c r="K29" s="13">
        <f t="shared" si="0"/>
        <v>0</v>
      </c>
      <c r="L29" s="37"/>
      <c r="M29" s="37"/>
      <c r="N29" s="37"/>
      <c r="O29" s="37"/>
      <c r="P29" s="37"/>
      <c r="Q29" s="37"/>
      <c r="R29" s="37"/>
      <c r="S29" s="37"/>
      <c r="T29" s="61">
        <f>R62</f>
        <v>0</v>
      </c>
      <c r="U29" s="61">
        <v>0</v>
      </c>
      <c r="V29" s="61">
        <v>0</v>
      </c>
      <c r="W29" s="61">
        <v>0</v>
      </c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2"/>
      <c r="AW29" s="63"/>
      <c r="AX29" s="13">
        <f t="shared" si="1"/>
        <v>0</v>
      </c>
      <c r="AY29" s="13"/>
      <c r="AZ29" s="13"/>
    </row>
    <row r="30" spans="3:52" ht="13" hidden="1" customHeight="1">
      <c r="C30" s="143" t="s">
        <v>300</v>
      </c>
      <c r="D30" s="105" t="s">
        <v>336</v>
      </c>
      <c r="E30" s="14" t="s">
        <v>94</v>
      </c>
      <c r="F30" s="14" t="s">
        <v>94</v>
      </c>
      <c r="G30" s="3" t="s">
        <v>15</v>
      </c>
      <c r="H30" s="13">
        <f>SUM(H31:H32)</f>
        <v>3080</v>
      </c>
      <c r="I30" s="13"/>
      <c r="J30" s="13"/>
      <c r="K30" s="13">
        <f t="shared" si="0"/>
        <v>3788.4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0</v>
      </c>
      <c r="AR30" s="61">
        <v>0</v>
      </c>
      <c r="AS30" s="61">
        <v>0</v>
      </c>
      <c r="AT30" s="61">
        <v>0</v>
      </c>
      <c r="AU30" s="61">
        <v>0</v>
      </c>
      <c r="AV30" s="62"/>
      <c r="AW30" s="63"/>
      <c r="AX30" s="37"/>
      <c r="AY30" s="13"/>
      <c r="AZ30" s="13"/>
    </row>
    <row r="31" spans="3:52" ht="13" hidden="1" customHeight="1">
      <c r="C31" s="143" t="s">
        <v>353</v>
      </c>
      <c r="D31" s="68" t="s">
        <v>355</v>
      </c>
      <c r="E31" s="14"/>
      <c r="F31" s="14"/>
      <c r="G31" s="3" t="s">
        <v>15</v>
      </c>
      <c r="H31" s="13">
        <f>AX31</f>
        <v>3080</v>
      </c>
      <c r="I31" s="13"/>
      <c r="J31" s="13"/>
      <c r="K31" s="13">
        <f t="shared" si="0"/>
        <v>3788.4</v>
      </c>
      <c r="L31" s="37"/>
      <c r="M31" s="37"/>
      <c r="N31" s="37"/>
      <c r="O31" s="37"/>
      <c r="P31" s="37"/>
      <c r="Q31" s="37"/>
      <c r="R31" s="37"/>
      <c r="S31" s="37"/>
      <c r="T31" s="61">
        <v>3080</v>
      </c>
      <c r="U31" s="61">
        <v>0</v>
      </c>
      <c r="V31" s="61">
        <v>0</v>
      </c>
      <c r="W31" s="61">
        <v>0</v>
      </c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2"/>
      <c r="AW31" s="63"/>
      <c r="AX31" s="13">
        <f t="shared" si="1"/>
        <v>3080</v>
      </c>
      <c r="AY31" s="13"/>
      <c r="AZ31" s="13"/>
    </row>
    <row r="32" spans="3:52" ht="13" hidden="1" customHeight="1">
      <c r="C32" s="143" t="s">
        <v>354</v>
      </c>
      <c r="D32" s="68" t="s">
        <v>336</v>
      </c>
      <c r="E32" s="14"/>
      <c r="F32" s="14"/>
      <c r="G32" s="3" t="s">
        <v>15</v>
      </c>
      <c r="H32" s="13">
        <f>AX32</f>
        <v>0</v>
      </c>
      <c r="I32" s="13"/>
      <c r="J32" s="13"/>
      <c r="K32" s="13">
        <f t="shared" si="0"/>
        <v>0</v>
      </c>
      <c r="L32" s="37"/>
      <c r="M32" s="37"/>
      <c r="N32" s="37"/>
      <c r="O32" s="37"/>
      <c r="P32" s="37"/>
      <c r="Q32" s="37"/>
      <c r="R32" s="37"/>
      <c r="S32" s="37"/>
      <c r="T32" s="61">
        <f>R60</f>
        <v>0</v>
      </c>
      <c r="U32" s="61">
        <v>0</v>
      </c>
      <c r="V32" s="61">
        <v>0</v>
      </c>
      <c r="W32" s="61">
        <v>0</v>
      </c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2"/>
      <c r="AW32" s="63"/>
      <c r="AX32" s="13">
        <f t="shared" si="1"/>
        <v>0</v>
      </c>
      <c r="AY32" s="13"/>
      <c r="AZ32" s="13"/>
    </row>
    <row r="33" spans="1:53" ht="13" hidden="1" customHeight="1">
      <c r="C33" s="143" t="s">
        <v>313</v>
      </c>
      <c r="D33" s="105" t="s">
        <v>337</v>
      </c>
      <c r="E33" s="14" t="s">
        <v>94</v>
      </c>
      <c r="F33" s="14" t="s">
        <v>94</v>
      </c>
      <c r="G33" s="3" t="s">
        <v>15</v>
      </c>
      <c r="H33" s="13">
        <f>SUM(H34:H35)</f>
        <v>0</v>
      </c>
      <c r="I33" s="13"/>
      <c r="J33" s="13"/>
      <c r="K33" s="13">
        <f t="shared" si="0"/>
        <v>0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0</v>
      </c>
      <c r="AS33" s="61">
        <v>0</v>
      </c>
      <c r="AT33" s="61">
        <v>0</v>
      </c>
      <c r="AU33" s="61">
        <v>0</v>
      </c>
      <c r="AV33" s="62"/>
      <c r="AW33" s="63"/>
      <c r="AX33" s="37"/>
      <c r="AY33" s="13"/>
      <c r="AZ33" s="13"/>
    </row>
    <row r="34" spans="1:53" ht="13" hidden="1" customHeight="1">
      <c r="C34" s="143" t="s">
        <v>356</v>
      </c>
      <c r="D34" s="68" t="s">
        <v>358</v>
      </c>
      <c r="E34" s="14"/>
      <c r="F34" s="14"/>
      <c r="G34" s="3" t="s">
        <v>15</v>
      </c>
      <c r="H34" s="13">
        <f>AX34</f>
        <v>0</v>
      </c>
      <c r="I34" s="13"/>
      <c r="J34" s="13"/>
      <c r="K34" s="13">
        <f t="shared" si="0"/>
        <v>0</v>
      </c>
      <c r="L34" s="37"/>
      <c r="M34" s="37"/>
      <c r="N34" s="37"/>
      <c r="O34" s="37"/>
      <c r="P34" s="37"/>
      <c r="Q34" s="37"/>
      <c r="R34" s="37"/>
      <c r="S34" s="37"/>
      <c r="T34" s="61">
        <v>0</v>
      </c>
      <c r="U34" s="61">
        <f>S57</f>
        <v>0</v>
      </c>
      <c r="V34" s="61">
        <v>0</v>
      </c>
      <c r="W34" s="61">
        <v>0</v>
      </c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2"/>
      <c r="AW34" s="63"/>
      <c r="AX34" s="13">
        <f t="shared" si="1"/>
        <v>0</v>
      </c>
      <c r="AY34" s="13"/>
      <c r="AZ34" s="13"/>
    </row>
    <row r="35" spans="1:53" ht="13" hidden="1" customHeight="1">
      <c r="C35" s="143" t="s">
        <v>357</v>
      </c>
      <c r="D35" s="68" t="s">
        <v>359</v>
      </c>
      <c r="E35" s="14"/>
      <c r="F35" s="14"/>
      <c r="G35" s="3" t="s">
        <v>15</v>
      </c>
      <c r="H35" s="13">
        <f>AX35</f>
        <v>0</v>
      </c>
      <c r="I35" s="13"/>
      <c r="J35" s="13"/>
      <c r="K35" s="13">
        <f t="shared" si="0"/>
        <v>0</v>
      </c>
      <c r="L35" s="37"/>
      <c r="M35" s="37"/>
      <c r="N35" s="37"/>
      <c r="O35" s="37"/>
      <c r="P35" s="37"/>
      <c r="Q35" s="37"/>
      <c r="R35" s="37"/>
      <c r="S35" s="37"/>
      <c r="T35" s="61">
        <v>0</v>
      </c>
      <c r="U35" s="61">
        <f>S65</f>
        <v>0</v>
      </c>
      <c r="V35" s="61">
        <v>0</v>
      </c>
      <c r="W35" s="61">
        <v>0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2"/>
      <c r="AW35" s="63"/>
      <c r="AX35" s="13">
        <f t="shared" si="1"/>
        <v>0</v>
      </c>
      <c r="AY35" s="13"/>
      <c r="AZ35" s="13"/>
    </row>
    <row r="36" spans="1:53" ht="13" hidden="1" customHeight="1" thickBot="1">
      <c r="C36" s="144" t="s">
        <v>416</v>
      </c>
      <c r="D36" s="113" t="s">
        <v>338</v>
      </c>
      <c r="E36" s="114" t="s">
        <v>94</v>
      </c>
      <c r="F36" s="114" t="s">
        <v>94</v>
      </c>
      <c r="G36" s="115" t="s">
        <v>15</v>
      </c>
      <c r="H36" s="116">
        <f>SUM(H37)</f>
        <v>2574.1315975499156</v>
      </c>
      <c r="I36" s="116"/>
      <c r="J36" s="116"/>
      <c r="K36" s="116">
        <f t="shared" si="0"/>
        <v>3166.1818649863962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2"/>
      <c r="AW36" s="63"/>
      <c r="AX36" s="37"/>
      <c r="AY36" s="13"/>
      <c r="AZ36" s="13"/>
    </row>
    <row r="37" spans="1:53" ht="13" hidden="1" customHeight="1">
      <c r="C37" s="143" t="s">
        <v>301</v>
      </c>
      <c r="D37" s="105" t="s">
        <v>339</v>
      </c>
      <c r="E37" s="14" t="s">
        <v>94</v>
      </c>
      <c r="F37" s="14" t="s">
        <v>94</v>
      </c>
      <c r="G37" s="3" t="s">
        <v>15</v>
      </c>
      <c r="H37" s="13">
        <f>SUM(H38:H39)</f>
        <v>2574.1315975499156</v>
      </c>
      <c r="I37" s="13"/>
      <c r="J37" s="13"/>
      <c r="K37" s="13">
        <f t="shared" si="0"/>
        <v>3166.1818649863962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  <c r="AR37" s="61">
        <v>0</v>
      </c>
      <c r="AS37" s="61">
        <v>0</v>
      </c>
      <c r="AT37" s="61">
        <v>0</v>
      </c>
      <c r="AU37" s="61">
        <v>0</v>
      </c>
      <c r="AV37" s="62"/>
      <c r="AW37" s="63"/>
      <c r="AX37" s="13">
        <f t="shared" si="1"/>
        <v>0</v>
      </c>
      <c r="AY37" s="13">
        <f>SUM(X37:AI37)</f>
        <v>0</v>
      </c>
      <c r="AZ37" s="13">
        <f>SUM(AJ37:AU37)</f>
        <v>0</v>
      </c>
    </row>
    <row r="38" spans="1:53" ht="13" hidden="1" customHeight="1">
      <c r="C38" s="143" t="s">
        <v>403</v>
      </c>
      <c r="D38" s="68" t="s">
        <v>360</v>
      </c>
      <c r="E38" s="14"/>
      <c r="F38" s="14"/>
      <c r="G38" s="3" t="s">
        <v>15</v>
      </c>
      <c r="H38" s="13">
        <f>AX38</f>
        <v>0</v>
      </c>
      <c r="I38" s="13"/>
      <c r="J38" s="13"/>
      <c r="K38" s="13">
        <f t="shared" si="0"/>
        <v>0</v>
      </c>
      <c r="L38" s="37"/>
      <c r="M38" s="37"/>
      <c r="N38" s="37"/>
      <c r="O38" s="37"/>
      <c r="P38" s="37"/>
      <c r="Q38" s="37"/>
      <c r="R38" s="37"/>
      <c r="S38" s="37"/>
      <c r="T38" s="37"/>
      <c r="U38" s="61">
        <f>T63</f>
        <v>0</v>
      </c>
      <c r="V38" s="61">
        <v>0</v>
      </c>
      <c r="W38" s="61">
        <v>0</v>
      </c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2"/>
      <c r="AW38" s="63"/>
      <c r="AX38" s="13">
        <f t="shared" si="1"/>
        <v>0</v>
      </c>
      <c r="AY38" s="13"/>
      <c r="AZ38" s="13"/>
    </row>
    <row r="39" spans="1:53" ht="13" hidden="1" customHeight="1">
      <c r="C39" s="143" t="s">
        <v>404</v>
      </c>
      <c r="D39" s="68" t="s">
        <v>361</v>
      </c>
      <c r="E39" s="14"/>
      <c r="F39" s="14"/>
      <c r="G39" s="3" t="s">
        <v>15</v>
      </c>
      <c r="H39" s="13">
        <f>AX39</f>
        <v>2574.1315975499156</v>
      </c>
      <c r="I39" s="13"/>
      <c r="J39" s="13"/>
      <c r="K39" s="13">
        <f t="shared" si="0"/>
        <v>3166.1818649863962</v>
      </c>
      <c r="L39" s="37"/>
      <c r="M39" s="37"/>
      <c r="N39" s="37"/>
      <c r="O39" s="37"/>
      <c r="P39" s="37"/>
      <c r="Q39" s="37"/>
      <c r="R39" s="37"/>
      <c r="S39" s="37"/>
      <c r="T39" s="37"/>
      <c r="U39" s="61">
        <f>T64</f>
        <v>2574.1315975499156</v>
      </c>
      <c r="V39" s="61">
        <v>0</v>
      </c>
      <c r="W39" s="61">
        <v>0</v>
      </c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2"/>
      <c r="AW39" s="63"/>
      <c r="AX39" s="13">
        <f t="shared" si="1"/>
        <v>2574.1315975499156</v>
      </c>
      <c r="AY39" s="13"/>
      <c r="AZ39" s="13"/>
    </row>
    <row r="40" spans="1:53" ht="13" hidden="1" customHeight="1" thickBot="1">
      <c r="C40" s="144" t="s">
        <v>417</v>
      </c>
      <c r="D40" s="113" t="s">
        <v>340</v>
      </c>
      <c r="E40" s="114" t="s">
        <v>94</v>
      </c>
      <c r="F40" s="114" t="s">
        <v>94</v>
      </c>
      <c r="G40" s="115" t="s">
        <v>15</v>
      </c>
      <c r="H40" s="116">
        <f>SUM(H41)</f>
        <v>112269.57956732251</v>
      </c>
      <c r="I40" s="116"/>
      <c r="J40" s="116"/>
      <c r="K40" s="116">
        <f t="shared" si="0"/>
        <v>138091.58286780669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1">
        <v>0</v>
      </c>
      <c r="AU40" s="61">
        <v>0</v>
      </c>
      <c r="AV40" s="62"/>
      <c r="AW40" s="63"/>
      <c r="AX40" s="37"/>
      <c r="AY40" s="13">
        <f>SUM(X40:AI40)</f>
        <v>0</v>
      </c>
      <c r="AZ40" s="13">
        <f>SUM(AJ40:AU40)</f>
        <v>0</v>
      </c>
    </row>
    <row r="41" spans="1:53" ht="13" hidden="1" customHeight="1">
      <c r="C41" s="143" t="s">
        <v>81</v>
      </c>
      <c r="D41" s="105" t="s">
        <v>341</v>
      </c>
      <c r="E41" s="14" t="s">
        <v>94</v>
      </c>
      <c r="F41" s="14" t="s">
        <v>94</v>
      </c>
      <c r="G41" s="3" t="s">
        <v>15</v>
      </c>
      <c r="H41" s="13">
        <f>SUM(H42:H45)</f>
        <v>112269.57956732251</v>
      </c>
      <c r="I41" s="13"/>
      <c r="J41" s="13"/>
      <c r="K41" s="13">
        <f t="shared" si="0"/>
        <v>138091.58286780669</v>
      </c>
      <c r="L41" s="73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2"/>
      <c r="AW41" s="63"/>
      <c r="AX41" s="13">
        <f t="shared" ref="AX41:AX46" si="2">SUM(L41:W41)</f>
        <v>0</v>
      </c>
      <c r="AY41" s="13">
        <f>SUM(X41:AI41)</f>
        <v>0</v>
      </c>
      <c r="AZ41" s="13">
        <f>SUM(AJ41:AU41)</f>
        <v>0</v>
      </c>
    </row>
    <row r="42" spans="1:53" ht="13" hidden="1" customHeight="1">
      <c r="C42" s="143" t="s">
        <v>405</v>
      </c>
      <c r="D42" s="68" t="s">
        <v>362</v>
      </c>
      <c r="E42" s="14"/>
      <c r="F42" s="14"/>
      <c r="G42" s="3" t="s">
        <v>15</v>
      </c>
      <c r="H42" s="13">
        <f>AX42</f>
        <v>2433.7244195017388</v>
      </c>
      <c r="I42" s="13"/>
      <c r="J42" s="13"/>
      <c r="K42" s="13">
        <f t="shared" si="0"/>
        <v>2993.4810359871385</v>
      </c>
      <c r="L42" s="73"/>
      <c r="M42" s="37"/>
      <c r="N42" s="37"/>
      <c r="O42" s="37"/>
      <c r="P42" s="37"/>
      <c r="Q42" s="37"/>
      <c r="R42" s="37"/>
      <c r="S42" s="37"/>
      <c r="T42" s="37"/>
      <c r="U42" s="37"/>
      <c r="V42" s="13">
        <f>T56</f>
        <v>2433.7244195017388</v>
      </c>
      <c r="W42" s="61">
        <v>0</v>
      </c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2"/>
      <c r="AW42" s="63"/>
      <c r="AX42" s="13">
        <f t="shared" si="2"/>
        <v>2433.7244195017388</v>
      </c>
      <c r="AY42" s="13"/>
      <c r="AZ42" s="13"/>
    </row>
    <row r="43" spans="1:53" ht="13" hidden="1" customHeight="1">
      <c r="C43" s="143" t="s">
        <v>406</v>
      </c>
      <c r="D43" s="68" t="s">
        <v>365</v>
      </c>
      <c r="E43" s="14"/>
      <c r="F43" s="14"/>
      <c r="G43" s="3" t="s">
        <v>15</v>
      </c>
      <c r="H43" s="13">
        <f>AX43</f>
        <v>13759.903448721368</v>
      </c>
      <c r="I43" s="13"/>
      <c r="J43" s="13"/>
      <c r="K43" s="13">
        <f t="shared" si="0"/>
        <v>16924.681241927283</v>
      </c>
      <c r="L43" s="73"/>
      <c r="M43" s="37"/>
      <c r="N43" s="37"/>
      <c r="O43" s="37"/>
      <c r="P43" s="37"/>
      <c r="Q43" s="37"/>
      <c r="R43" s="37"/>
      <c r="S43" s="37"/>
      <c r="T43" s="37"/>
      <c r="U43" s="37"/>
      <c r="V43" s="13">
        <f>T61</f>
        <v>13759.903448721368</v>
      </c>
      <c r="W43" s="61">
        <v>0</v>
      </c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2"/>
      <c r="AW43" s="63"/>
      <c r="AX43" s="13">
        <f t="shared" si="2"/>
        <v>13759.903448721368</v>
      </c>
      <c r="AY43" s="13"/>
      <c r="AZ43" s="13"/>
    </row>
    <row r="44" spans="1:53" ht="13" hidden="1" customHeight="1">
      <c r="C44" s="143" t="s">
        <v>407</v>
      </c>
      <c r="D44" s="68" t="s">
        <v>364</v>
      </c>
      <c r="E44" s="14"/>
      <c r="F44" s="14"/>
      <c r="G44" s="3" t="s">
        <v>15</v>
      </c>
      <c r="H44" s="13">
        <f>AX44</f>
        <v>16380.837438954006</v>
      </c>
      <c r="I44" s="13"/>
      <c r="J44" s="13"/>
      <c r="K44" s="13">
        <f t="shared" si="0"/>
        <v>20148.430049913426</v>
      </c>
      <c r="L44" s="73"/>
      <c r="M44" s="37"/>
      <c r="N44" s="37"/>
      <c r="O44" s="37"/>
      <c r="P44" s="37"/>
      <c r="Q44" s="37"/>
      <c r="R44" s="37"/>
      <c r="S44" s="37"/>
      <c r="T44" s="37"/>
      <c r="U44" s="37"/>
      <c r="V44" s="13">
        <f>T62</f>
        <v>16380.837438954006</v>
      </c>
      <c r="W44" s="61">
        <v>0</v>
      </c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2"/>
      <c r="AW44" s="63"/>
      <c r="AX44" s="13">
        <f t="shared" si="2"/>
        <v>16380.837438954006</v>
      </c>
      <c r="AY44" s="13"/>
      <c r="AZ44" s="13"/>
    </row>
    <row r="45" spans="1:53" ht="13" hidden="1" customHeight="1">
      <c r="C45" s="143" t="s">
        <v>408</v>
      </c>
      <c r="D45" s="68" t="s">
        <v>363</v>
      </c>
      <c r="E45" s="14"/>
      <c r="F45" s="14"/>
      <c r="G45" s="3" t="s">
        <v>15</v>
      </c>
      <c r="H45" s="13">
        <f>AX45</f>
        <v>79695.11426014539</v>
      </c>
      <c r="I45" s="13"/>
      <c r="J45" s="13"/>
      <c r="K45" s="13">
        <f t="shared" si="0"/>
        <v>98024.990539978826</v>
      </c>
      <c r="L45" s="73"/>
      <c r="M45" s="37"/>
      <c r="N45" s="37"/>
      <c r="O45" s="37"/>
      <c r="P45" s="37"/>
      <c r="Q45" s="37"/>
      <c r="R45" s="37"/>
      <c r="S45" s="37"/>
      <c r="T45" s="37"/>
      <c r="U45" s="37"/>
      <c r="V45" s="13">
        <f>T60</f>
        <v>79695.11426014539</v>
      </c>
      <c r="W45" s="61">
        <v>0</v>
      </c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2"/>
      <c r="AW45" s="63"/>
      <c r="AX45" s="13">
        <f t="shared" si="2"/>
        <v>79695.11426014539</v>
      </c>
      <c r="AY45" s="13"/>
      <c r="AZ45" s="13"/>
    </row>
    <row r="46" spans="1:53" ht="13" hidden="1" customHeight="1">
      <c r="C46" s="2"/>
      <c r="E46" s="3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62"/>
      <c r="AW46" s="63"/>
      <c r="AX46" s="13">
        <f t="shared" si="2"/>
        <v>0</v>
      </c>
      <c r="AY46" s="13">
        <f>SUM(X46:AI46)</f>
        <v>0</v>
      </c>
      <c r="AZ46" s="13">
        <f>SUM(AJ46:AU46)</f>
        <v>0</v>
      </c>
    </row>
    <row r="47" spans="1:53" s="16" customFormat="1" ht="13" hidden="1" customHeight="1">
      <c r="A47" s="67"/>
      <c r="B47" s="67"/>
      <c r="C47" s="15"/>
      <c r="D47" s="16" t="s">
        <v>342</v>
      </c>
      <c r="E47" s="19" t="s">
        <v>94</v>
      </c>
      <c r="F47" s="19" t="s">
        <v>94</v>
      </c>
      <c r="G47" s="17" t="s">
        <v>15</v>
      </c>
      <c r="H47" s="152">
        <f>H69</f>
        <v>1855425.78</v>
      </c>
      <c r="I47" s="152"/>
      <c r="J47" s="152"/>
      <c r="K47" s="152">
        <f>K69</f>
        <v>2271289.812173828</v>
      </c>
      <c r="L47" s="20">
        <f t="shared" ref="L47:T47" si="3">SUM(L14:L45)</f>
        <v>0</v>
      </c>
      <c r="M47" s="20">
        <f t="shared" si="3"/>
        <v>0</v>
      </c>
      <c r="N47" s="20">
        <f t="shared" si="3"/>
        <v>0</v>
      </c>
      <c r="O47" s="20">
        <f t="shared" si="3"/>
        <v>0</v>
      </c>
      <c r="P47" s="20">
        <f t="shared" si="3"/>
        <v>0</v>
      </c>
      <c r="Q47" s="20">
        <f t="shared" si="3"/>
        <v>0</v>
      </c>
      <c r="R47" s="20">
        <f t="shared" si="3"/>
        <v>0</v>
      </c>
      <c r="S47" s="20">
        <f t="shared" si="3"/>
        <v>0</v>
      </c>
      <c r="T47" s="20">
        <f t="shared" si="3"/>
        <v>0</v>
      </c>
      <c r="U47" s="152">
        <f>U69</f>
        <v>738630.8332272612</v>
      </c>
      <c r="V47" s="20">
        <f>SUM(V14:V45)</f>
        <v>112269.57956732251</v>
      </c>
      <c r="W47" s="20">
        <f>SUM(W14:W45)</f>
        <v>0</v>
      </c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59"/>
      <c r="AW47" s="60"/>
      <c r="AX47" s="20">
        <f>SUM(AX14:AX45)</f>
        <v>159282.73516487243</v>
      </c>
      <c r="AY47" s="37"/>
      <c r="AZ47" s="37"/>
      <c r="BA47" s="51"/>
    </row>
    <row r="48" spans="1:53" ht="13" hidden="1" customHeight="1">
      <c r="E48" s="16"/>
      <c r="F48" s="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62"/>
      <c r="AW48" s="63"/>
      <c r="AY48" s="13"/>
      <c r="AZ48" s="13"/>
    </row>
    <row r="49" spans="1:53" ht="13" hidden="1" customHeight="1">
      <c r="C49" s="31"/>
      <c r="D49" s="31"/>
      <c r="E49" s="84"/>
      <c r="F49" s="84"/>
      <c r="G49" s="31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5"/>
      <c r="AW49" s="66"/>
      <c r="AX49" s="31"/>
      <c r="AY49" s="64"/>
      <c r="AZ49" s="64"/>
    </row>
    <row r="50" spans="1:53" s="16" customFormat="1" ht="13" hidden="1" customHeight="1">
      <c r="A50" s="67"/>
      <c r="B50" s="67"/>
      <c r="C50" s="15"/>
      <c r="D50" s="16" t="s">
        <v>212</v>
      </c>
      <c r="E50" s="19" t="s">
        <v>94</v>
      </c>
      <c r="F50" s="19" t="s">
        <v>94</v>
      </c>
      <c r="G50" s="17" t="s">
        <v>15</v>
      </c>
      <c r="H50" s="20">
        <f>H47/zalozenia!$F$12</f>
        <v>3711</v>
      </c>
      <c r="I50" s="20"/>
      <c r="J50" s="20"/>
      <c r="K50" s="20">
        <f>K47/zalozenia!$F$12</f>
        <v>4542.7613348010482</v>
      </c>
      <c r="L50" s="37"/>
      <c r="M50" s="37"/>
      <c r="N50" s="37"/>
      <c r="O50" s="37"/>
      <c r="P50" s="37"/>
      <c r="Q50" s="37"/>
      <c r="R50" s="73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59"/>
      <c r="AW50" s="60"/>
      <c r="AX50" s="20">
        <f>AX47/zalozenia!$F$12</f>
        <v>318.57821345828319</v>
      </c>
      <c r="AY50" s="37"/>
      <c r="AZ50" s="37"/>
      <c r="BA50" s="51"/>
    </row>
    <row r="51" spans="1:53" ht="13" hidden="1" customHeight="1">
      <c r="AV51" s="53"/>
      <c r="AW51" s="54"/>
    </row>
    <row r="52" spans="1:53" ht="13" hidden="1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56"/>
      <c r="AW52" s="57"/>
      <c r="AX52" s="31"/>
      <c r="AY52" s="31"/>
      <c r="AZ52" s="31"/>
    </row>
    <row r="53" spans="1:53" s="55" customFormat="1" ht="13" customHeight="1">
      <c r="A53" s="51"/>
      <c r="B53" s="51"/>
      <c r="C53" s="75" t="s">
        <v>21</v>
      </c>
      <c r="D53" s="75" t="s">
        <v>211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6"/>
      <c r="AW53" s="77"/>
      <c r="AX53" s="75"/>
      <c r="AY53" s="75"/>
      <c r="AZ53" s="75"/>
      <c r="BA53" s="51"/>
    </row>
    <row r="54" spans="1:53" ht="13" customHeight="1">
      <c r="AV54" s="53"/>
      <c r="AW54" s="54"/>
    </row>
    <row r="55" spans="1:53" ht="13" customHeight="1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56"/>
      <c r="AW55" s="57"/>
      <c r="AX55" s="31"/>
      <c r="AY55" s="31"/>
      <c r="AZ55" s="31"/>
    </row>
    <row r="56" spans="1:53" ht="13" customHeight="1">
      <c r="C56" s="155">
        <v>1</v>
      </c>
      <c r="D56" s="2" t="s">
        <v>325</v>
      </c>
      <c r="E56" s="154" t="s">
        <v>424</v>
      </c>
      <c r="F56" s="154" t="s">
        <v>94</v>
      </c>
      <c r="G56" s="3" t="s">
        <v>15</v>
      </c>
      <c r="H56" s="83">
        <f>J56*$H$69</f>
        <v>24337.244195017385</v>
      </c>
      <c r="I56" s="161"/>
      <c r="J56" s="162">
        <v>1.311679747977706E-2</v>
      </c>
      <c r="K56" s="13">
        <f t="shared" ref="K56:K67" si="4">H56*1.23</f>
        <v>29934.810359871382</v>
      </c>
      <c r="L56" s="37"/>
      <c r="M56" s="37"/>
      <c r="N56" s="37"/>
      <c r="O56" s="37"/>
      <c r="P56" s="37"/>
      <c r="Q56" s="37"/>
      <c r="R56" s="37"/>
      <c r="S56" s="37"/>
      <c r="T56" s="61">
        <f>0.1*H56</f>
        <v>2433.7244195017388</v>
      </c>
      <c r="U56" s="61">
        <f>0.4*H56</f>
        <v>9734.8976780069552</v>
      </c>
      <c r="V56" s="61">
        <f>0.4*H56</f>
        <v>9734.8976780069552</v>
      </c>
      <c r="W56" s="61">
        <f>0.1*H56</f>
        <v>2433.7244195017388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  <c r="AR56" s="61">
        <v>0</v>
      </c>
      <c r="AS56" s="61">
        <v>0</v>
      </c>
      <c r="AT56" s="61">
        <v>0</v>
      </c>
      <c r="AU56" s="61">
        <v>0</v>
      </c>
      <c r="AV56" s="62"/>
      <c r="AW56" s="63"/>
      <c r="AX56" s="13">
        <f>SUM(L56:W56)</f>
        <v>24337.244195017385</v>
      </c>
      <c r="AY56" s="13">
        <f>SUM(X56:AI56)</f>
        <v>0</v>
      </c>
      <c r="AZ56" s="13">
        <f>SUM(AJ56:AU56)</f>
        <v>0</v>
      </c>
    </row>
    <row r="57" spans="1:53" ht="13" customHeight="1">
      <c r="C57" s="155">
        <v>2</v>
      </c>
      <c r="D57" s="2" t="s">
        <v>324</v>
      </c>
      <c r="E57" s="154" t="s">
        <v>413</v>
      </c>
      <c r="F57" s="154" t="s">
        <v>94</v>
      </c>
      <c r="G57" s="3" t="s">
        <v>15</v>
      </c>
      <c r="H57" s="83">
        <f t="shared" ref="H57:H67" si="5">J57*$H$69</f>
        <v>39782.033780316873</v>
      </c>
      <c r="I57" s="161"/>
      <c r="J57" s="162">
        <v>2.1440918957327883E-2</v>
      </c>
      <c r="K57" s="13">
        <f t="shared" si="4"/>
        <v>48931.901549789756</v>
      </c>
      <c r="L57" s="37"/>
      <c r="M57" s="37"/>
      <c r="N57" s="37"/>
      <c r="O57" s="37"/>
      <c r="P57" s="37"/>
      <c r="Q57" s="37"/>
      <c r="R57" s="37"/>
      <c r="S57" s="37"/>
      <c r="T57" s="61">
        <f t="shared" ref="T57:T67" si="6">0.1*H57</f>
        <v>3978.2033780316874</v>
      </c>
      <c r="U57" s="61">
        <f t="shared" ref="U57:U67" si="7">0.4*H57</f>
        <v>15912.81351212675</v>
      </c>
      <c r="V57" s="61">
        <f t="shared" ref="V57:V67" si="8">0.4*H57</f>
        <v>15912.81351212675</v>
      </c>
      <c r="W57" s="61">
        <f t="shared" ref="W57:W67" si="9">0.1*H57</f>
        <v>3978.2033780316874</v>
      </c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2"/>
      <c r="AW57" s="63"/>
      <c r="AX57" s="13">
        <f>SUM(L57:W57)</f>
        <v>39782.033780316873</v>
      </c>
      <c r="AY57" s="13"/>
      <c r="AZ57" s="13"/>
    </row>
    <row r="58" spans="1:53" ht="13" customHeight="1">
      <c r="C58" s="155">
        <v>3</v>
      </c>
      <c r="D58" s="2" t="s">
        <v>208</v>
      </c>
      <c r="E58" s="154" t="s">
        <v>425</v>
      </c>
      <c r="F58" s="154" t="s">
        <v>94</v>
      </c>
      <c r="G58" s="3" t="s">
        <v>15</v>
      </c>
      <c r="H58" s="83">
        <f t="shared" si="5"/>
        <v>14040.717804817721</v>
      </c>
      <c r="I58" s="161"/>
      <c r="J58" s="162">
        <v>7.5673831614098417E-3</v>
      </c>
      <c r="K58" s="13">
        <f t="shared" si="4"/>
        <v>17270.082899925797</v>
      </c>
      <c r="L58" s="37"/>
      <c r="M58" s="37"/>
      <c r="N58" s="37"/>
      <c r="O58" s="37"/>
      <c r="P58" s="37"/>
      <c r="Q58" s="37"/>
      <c r="R58" s="37"/>
      <c r="S58" s="37"/>
      <c r="T58" s="61">
        <f t="shared" si="6"/>
        <v>1404.0717804817723</v>
      </c>
      <c r="U58" s="61">
        <f t="shared" si="7"/>
        <v>5616.2871219270892</v>
      </c>
      <c r="V58" s="61">
        <f t="shared" si="8"/>
        <v>5616.2871219270892</v>
      </c>
      <c r="W58" s="61">
        <f t="shared" si="9"/>
        <v>1404.0717804817723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2"/>
      <c r="AW58" s="63"/>
      <c r="AX58" s="13">
        <f>SUM(L58:W58)</f>
        <v>14040.717804817723</v>
      </c>
      <c r="AY58" s="13">
        <f>SUM(X58:AI58)</f>
        <v>0</v>
      </c>
      <c r="AZ58" s="13">
        <f>SUM(AJ58:AU58)</f>
        <v>0</v>
      </c>
    </row>
    <row r="59" spans="1:53" ht="13" customHeight="1">
      <c r="C59" s="155">
        <v>4</v>
      </c>
      <c r="D59" s="2" t="s">
        <v>320</v>
      </c>
      <c r="E59" s="154" t="s">
        <v>301</v>
      </c>
      <c r="F59" s="154" t="s">
        <v>94</v>
      </c>
      <c r="G59" s="3" t="s">
        <v>15</v>
      </c>
      <c r="H59" s="83">
        <f t="shared" si="5"/>
        <v>184869.45109676663</v>
      </c>
      <c r="I59" s="161"/>
      <c r="J59" s="162">
        <v>9.9637211625229566E-2</v>
      </c>
      <c r="K59" s="13">
        <f t="shared" si="4"/>
        <v>227389.42484902294</v>
      </c>
      <c r="L59" s="37"/>
      <c r="M59" s="37"/>
      <c r="N59" s="37"/>
      <c r="O59" s="37"/>
      <c r="P59" s="37"/>
      <c r="Q59" s="37"/>
      <c r="R59" s="37"/>
      <c r="S59" s="37"/>
      <c r="T59" s="61">
        <f t="shared" si="6"/>
        <v>18486.945109676664</v>
      </c>
      <c r="U59" s="61">
        <f t="shared" si="7"/>
        <v>73947.780438706657</v>
      </c>
      <c r="V59" s="61">
        <f t="shared" si="8"/>
        <v>73947.780438706657</v>
      </c>
      <c r="W59" s="61">
        <f t="shared" si="9"/>
        <v>18486.945109676664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  <c r="AR59" s="61">
        <v>0</v>
      </c>
      <c r="AS59" s="61">
        <v>0</v>
      </c>
      <c r="AT59" s="61">
        <v>0</v>
      </c>
      <c r="AU59" s="61">
        <v>0</v>
      </c>
      <c r="AV59" s="62"/>
      <c r="AW59" s="63"/>
      <c r="AX59" s="13">
        <f t="shared" ref="AX59:AX65" si="10">SUM(L59:W59)</f>
        <v>184869.45109676663</v>
      </c>
      <c r="AY59" s="13">
        <f t="shared" ref="AY59:AY65" si="11">SUM(X59:AI59)</f>
        <v>0</v>
      </c>
      <c r="AZ59" s="13">
        <f t="shared" ref="AZ59:AZ65" si="12">SUM(AJ59:AU59)</f>
        <v>0</v>
      </c>
    </row>
    <row r="60" spans="1:53" ht="13" customHeight="1">
      <c r="C60" s="155">
        <v>5</v>
      </c>
      <c r="D60" s="2" t="s">
        <v>393</v>
      </c>
      <c r="E60" s="154" t="s">
        <v>303</v>
      </c>
      <c r="F60" s="154" t="s">
        <v>94</v>
      </c>
      <c r="G60" s="3" t="s">
        <v>15</v>
      </c>
      <c r="H60" s="83">
        <f t="shared" si="5"/>
        <v>796951.14260145382</v>
      </c>
      <c r="I60" s="161"/>
      <c r="J60" s="162">
        <v>0.42952466824162261</v>
      </c>
      <c r="K60" s="13">
        <f t="shared" si="4"/>
        <v>980249.90539978817</v>
      </c>
      <c r="L60" s="37"/>
      <c r="M60" s="37"/>
      <c r="N60" s="37"/>
      <c r="O60" s="37"/>
      <c r="P60" s="37"/>
      <c r="Q60" s="37"/>
      <c r="R60" s="37"/>
      <c r="S60" s="37"/>
      <c r="T60" s="61">
        <f t="shared" si="6"/>
        <v>79695.11426014539</v>
      </c>
      <c r="U60" s="61">
        <f t="shared" si="7"/>
        <v>318780.45704058156</v>
      </c>
      <c r="V60" s="61">
        <f t="shared" si="8"/>
        <v>318780.45704058156</v>
      </c>
      <c r="W60" s="61">
        <f t="shared" si="9"/>
        <v>79695.11426014539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0</v>
      </c>
      <c r="AR60" s="61">
        <v>0</v>
      </c>
      <c r="AS60" s="61">
        <v>0</v>
      </c>
      <c r="AT60" s="61">
        <v>0</v>
      </c>
      <c r="AU60" s="61">
        <v>0</v>
      </c>
      <c r="AV60" s="62"/>
      <c r="AW60" s="63"/>
      <c r="AX60" s="13">
        <f t="shared" si="10"/>
        <v>796951.14260145382</v>
      </c>
      <c r="AY60" s="13">
        <f t="shared" si="11"/>
        <v>0</v>
      </c>
      <c r="AZ60" s="13">
        <f t="shared" si="12"/>
        <v>0</v>
      </c>
    </row>
    <row r="61" spans="1:53" ht="13" customHeight="1">
      <c r="C61" s="155">
        <v>6</v>
      </c>
      <c r="D61" s="2" t="s">
        <v>410</v>
      </c>
      <c r="E61" s="154" t="s">
        <v>302</v>
      </c>
      <c r="F61" s="154" t="s">
        <v>94</v>
      </c>
      <c r="G61" s="3" t="s">
        <v>15</v>
      </c>
      <c r="H61" s="83">
        <f t="shared" si="5"/>
        <v>137599.03448721368</v>
      </c>
      <c r="I61" s="161"/>
      <c r="J61" s="162">
        <v>7.4160354981816445E-2</v>
      </c>
      <c r="K61" s="13">
        <f t="shared" si="4"/>
        <v>169246.81241927281</v>
      </c>
      <c r="L61" s="37"/>
      <c r="M61" s="37"/>
      <c r="N61" s="37"/>
      <c r="O61" s="37"/>
      <c r="P61" s="37"/>
      <c r="Q61" s="37"/>
      <c r="R61" s="37"/>
      <c r="S61" s="37"/>
      <c r="T61" s="61">
        <f t="shared" si="6"/>
        <v>13759.903448721368</v>
      </c>
      <c r="U61" s="61">
        <f t="shared" si="7"/>
        <v>55039.613794885474</v>
      </c>
      <c r="V61" s="61">
        <f t="shared" si="8"/>
        <v>55039.613794885474</v>
      </c>
      <c r="W61" s="61">
        <f t="shared" si="9"/>
        <v>13759.903448721368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0</v>
      </c>
      <c r="AR61" s="61">
        <v>0</v>
      </c>
      <c r="AS61" s="61">
        <v>0</v>
      </c>
      <c r="AT61" s="61">
        <v>0</v>
      </c>
      <c r="AU61" s="61">
        <v>0</v>
      </c>
      <c r="AV61" s="62"/>
      <c r="AW61" s="63"/>
      <c r="AX61" s="13">
        <f t="shared" si="10"/>
        <v>137599.03448721368</v>
      </c>
      <c r="AY61" s="13">
        <f t="shared" si="11"/>
        <v>0</v>
      </c>
      <c r="AZ61" s="13">
        <f t="shared" si="12"/>
        <v>0</v>
      </c>
    </row>
    <row r="62" spans="1:53" ht="13" customHeight="1">
      <c r="C62" s="155">
        <v>7</v>
      </c>
      <c r="D62" s="2" t="s">
        <v>321</v>
      </c>
      <c r="E62" s="154" t="s">
        <v>426</v>
      </c>
      <c r="F62" s="154" t="s">
        <v>94</v>
      </c>
      <c r="G62" s="3" t="s">
        <v>15</v>
      </c>
      <c r="H62" s="83">
        <f t="shared" si="5"/>
        <v>163808.37438954005</v>
      </c>
      <c r="I62" s="161"/>
      <c r="J62" s="162">
        <v>8.8286136883114805E-2</v>
      </c>
      <c r="K62" s="13">
        <f>H62*1.23</f>
        <v>201484.30049913426</v>
      </c>
      <c r="L62" s="37"/>
      <c r="M62" s="37"/>
      <c r="N62" s="37"/>
      <c r="O62" s="37"/>
      <c r="P62" s="37"/>
      <c r="Q62" s="37"/>
      <c r="R62" s="37"/>
      <c r="S62" s="37"/>
      <c r="T62" s="61">
        <f t="shared" si="6"/>
        <v>16380.837438954006</v>
      </c>
      <c r="U62" s="61">
        <f t="shared" si="7"/>
        <v>65523.349755816023</v>
      </c>
      <c r="V62" s="61">
        <f t="shared" si="8"/>
        <v>65523.349755816023</v>
      </c>
      <c r="W62" s="61">
        <f t="shared" si="9"/>
        <v>16380.837438954006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  <c r="AR62" s="61">
        <v>0</v>
      </c>
      <c r="AS62" s="61">
        <v>0</v>
      </c>
      <c r="AT62" s="61">
        <v>0</v>
      </c>
      <c r="AU62" s="61">
        <v>0</v>
      </c>
      <c r="AV62" s="62"/>
      <c r="AW62" s="63"/>
      <c r="AX62" s="13">
        <f t="shared" si="10"/>
        <v>163808.37438954005</v>
      </c>
      <c r="AY62" s="13">
        <f t="shared" si="11"/>
        <v>0</v>
      </c>
      <c r="AZ62" s="13">
        <f t="shared" si="12"/>
        <v>0</v>
      </c>
    </row>
    <row r="63" spans="1:53" ht="13" hidden="1" customHeight="1">
      <c r="C63" s="155"/>
      <c r="D63" s="2" t="s">
        <v>360</v>
      </c>
      <c r="E63" s="154" t="s">
        <v>94</v>
      </c>
      <c r="F63" s="154" t="s">
        <v>94</v>
      </c>
      <c r="G63" s="3" t="s">
        <v>15</v>
      </c>
      <c r="H63" s="83">
        <f t="shared" si="5"/>
        <v>0</v>
      </c>
      <c r="I63" s="161"/>
      <c r="J63" s="162">
        <v>0</v>
      </c>
      <c r="K63" s="13">
        <f t="shared" si="4"/>
        <v>0</v>
      </c>
      <c r="L63" s="37"/>
      <c r="M63" s="37"/>
      <c r="N63" s="37"/>
      <c r="O63" s="37"/>
      <c r="P63" s="37"/>
      <c r="Q63" s="37"/>
      <c r="R63" s="37"/>
      <c r="S63" s="37"/>
      <c r="T63" s="61">
        <f t="shared" si="6"/>
        <v>0</v>
      </c>
      <c r="U63" s="61">
        <f t="shared" si="7"/>
        <v>0</v>
      </c>
      <c r="V63" s="61">
        <f t="shared" si="8"/>
        <v>0</v>
      </c>
      <c r="W63" s="61">
        <f t="shared" si="9"/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2"/>
      <c r="AW63" s="63"/>
      <c r="AX63" s="13">
        <f t="shared" si="10"/>
        <v>0</v>
      </c>
      <c r="AY63" s="13">
        <f t="shared" si="11"/>
        <v>0</v>
      </c>
      <c r="AZ63" s="13">
        <f t="shared" si="12"/>
        <v>0</v>
      </c>
    </row>
    <row r="64" spans="1:53" ht="13" customHeight="1">
      <c r="C64" s="155">
        <v>8</v>
      </c>
      <c r="D64" s="2" t="s">
        <v>361</v>
      </c>
      <c r="E64" s="154" t="s">
        <v>414</v>
      </c>
      <c r="F64" s="154" t="s">
        <v>94</v>
      </c>
      <c r="G64" s="3" t="s">
        <v>15</v>
      </c>
      <c r="H64" s="83">
        <f t="shared" si="5"/>
        <v>25741.315975499154</v>
      </c>
      <c r="I64" s="161"/>
      <c r="J64" s="162">
        <v>1.3873535795918043E-2</v>
      </c>
      <c r="K64" s="13">
        <f t="shared" si="4"/>
        <v>31661.818649863959</v>
      </c>
      <c r="L64" s="37"/>
      <c r="M64" s="37"/>
      <c r="N64" s="37"/>
      <c r="O64" s="37"/>
      <c r="P64" s="37"/>
      <c r="Q64" s="37"/>
      <c r="R64" s="37"/>
      <c r="S64" s="37"/>
      <c r="T64" s="61">
        <f t="shared" si="6"/>
        <v>2574.1315975499156</v>
      </c>
      <c r="U64" s="61">
        <f t="shared" si="7"/>
        <v>10296.526390199662</v>
      </c>
      <c r="V64" s="61">
        <f t="shared" si="8"/>
        <v>10296.526390199662</v>
      </c>
      <c r="W64" s="61">
        <f t="shared" si="9"/>
        <v>2574.1315975499156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0</v>
      </c>
      <c r="AR64" s="61">
        <v>0</v>
      </c>
      <c r="AS64" s="61">
        <v>0</v>
      </c>
      <c r="AT64" s="61">
        <v>0</v>
      </c>
      <c r="AU64" s="61">
        <v>0</v>
      </c>
      <c r="AV64" s="62"/>
      <c r="AW64" s="63"/>
      <c r="AX64" s="13">
        <f>SUM(L64:W64)</f>
        <v>25741.315975499158</v>
      </c>
      <c r="AY64" s="13">
        <f>SUM(X64:AI64)</f>
        <v>0</v>
      </c>
      <c r="AZ64" s="13">
        <f>SUM(AJ64:AU64)</f>
        <v>0</v>
      </c>
    </row>
    <row r="65" spans="1:53" ht="13" customHeight="1">
      <c r="C65" s="155">
        <v>9</v>
      </c>
      <c r="D65" s="2" t="s">
        <v>429</v>
      </c>
      <c r="E65" s="154" t="s">
        <v>427</v>
      </c>
      <c r="F65" s="154" t="s">
        <v>94</v>
      </c>
      <c r="G65" s="3" t="s">
        <v>15</v>
      </c>
      <c r="H65" s="83">
        <f t="shared" si="5"/>
        <v>342265.89768877329</v>
      </c>
      <c r="I65" s="161"/>
      <c r="J65" s="162">
        <v>0.18446757686463389</v>
      </c>
      <c r="K65" s="13">
        <f t="shared" si="4"/>
        <v>420987.05415719113</v>
      </c>
      <c r="L65" s="73"/>
      <c r="M65" s="73"/>
      <c r="N65" s="73"/>
      <c r="O65" s="73"/>
      <c r="P65" s="73"/>
      <c r="Q65" s="73"/>
      <c r="R65" s="73"/>
      <c r="S65" s="73"/>
      <c r="T65" s="61">
        <f t="shared" si="6"/>
        <v>34226.589768877333</v>
      </c>
      <c r="U65" s="61">
        <f t="shared" si="7"/>
        <v>136906.35907550933</v>
      </c>
      <c r="V65" s="61">
        <f t="shared" si="8"/>
        <v>136906.35907550933</v>
      </c>
      <c r="W65" s="61">
        <f t="shared" si="9"/>
        <v>34226.589768877333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2"/>
      <c r="AW65" s="63"/>
      <c r="AX65" s="13">
        <f t="shared" si="10"/>
        <v>342265.89768877329</v>
      </c>
      <c r="AY65" s="13">
        <f t="shared" si="11"/>
        <v>0</v>
      </c>
      <c r="AZ65" s="13">
        <f t="shared" si="12"/>
        <v>0</v>
      </c>
    </row>
    <row r="66" spans="1:53" ht="13" customHeight="1">
      <c r="C66" s="155">
        <v>10</v>
      </c>
      <c r="D66" s="2" t="s">
        <v>317</v>
      </c>
      <c r="E66" s="154" t="s">
        <v>94</v>
      </c>
      <c r="F66" s="154" t="s">
        <v>94</v>
      </c>
      <c r="G66" s="3" t="s">
        <v>15</v>
      </c>
      <c r="H66" s="83">
        <f>125000-13902.44</f>
        <v>111097.56</v>
      </c>
      <c r="I66" s="161"/>
      <c r="J66" s="162"/>
      <c r="K66" s="13">
        <f t="shared" si="4"/>
        <v>136649.9988</v>
      </c>
      <c r="L66" s="37"/>
      <c r="M66" s="37"/>
      <c r="N66" s="37"/>
      <c r="O66" s="37"/>
      <c r="P66" s="37"/>
      <c r="Q66" s="37"/>
      <c r="R66" s="37"/>
      <c r="S66" s="37"/>
      <c r="T66" s="61">
        <f t="shared" si="6"/>
        <v>11109.756000000001</v>
      </c>
      <c r="U66" s="61">
        <f t="shared" si="7"/>
        <v>44439.024000000005</v>
      </c>
      <c r="V66" s="61">
        <f t="shared" si="8"/>
        <v>44439.024000000005</v>
      </c>
      <c r="W66" s="61">
        <f t="shared" si="9"/>
        <v>11109.756000000001</v>
      </c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2"/>
      <c r="AW66" s="63"/>
      <c r="AX66" s="13">
        <f>SUM(L66:W66)</f>
        <v>111097.56</v>
      </c>
      <c r="AY66" s="13"/>
      <c r="AZ66" s="13"/>
    </row>
    <row r="67" spans="1:53" ht="13" customHeight="1">
      <c r="C67" s="155">
        <v>11</v>
      </c>
      <c r="D67" s="1" t="s">
        <v>430</v>
      </c>
      <c r="E67" s="154" t="s">
        <v>428</v>
      </c>
      <c r="F67" s="154" t="s">
        <v>94</v>
      </c>
      <c r="G67" s="3" t="s">
        <v>15</v>
      </c>
      <c r="H67" s="83">
        <f t="shared" si="5"/>
        <v>6084.3110487543463</v>
      </c>
      <c r="I67" s="161"/>
      <c r="J67" s="162">
        <v>3.2791993699442649E-3</v>
      </c>
      <c r="K67" s="13">
        <f t="shared" si="4"/>
        <v>7483.7025899678456</v>
      </c>
      <c r="L67" s="37"/>
      <c r="M67" s="37"/>
      <c r="N67" s="37"/>
      <c r="O67" s="37"/>
      <c r="P67" s="37"/>
      <c r="Q67" s="37"/>
      <c r="R67" s="37"/>
      <c r="S67" s="37"/>
      <c r="T67" s="61">
        <f t="shared" si="6"/>
        <v>608.4311048754347</v>
      </c>
      <c r="U67" s="61">
        <f t="shared" si="7"/>
        <v>2433.7244195017388</v>
      </c>
      <c r="V67" s="61">
        <f t="shared" si="8"/>
        <v>2433.7244195017388</v>
      </c>
      <c r="W67" s="61">
        <f t="shared" si="9"/>
        <v>608.4311048754347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2"/>
      <c r="AW67" s="63"/>
      <c r="AX67" s="13">
        <f>SUM(L67:W67)</f>
        <v>6084.3110487543463</v>
      </c>
      <c r="AY67" s="13">
        <f>SUM(X67:AI67)</f>
        <v>0</v>
      </c>
      <c r="AZ67" s="13">
        <f>SUM(AJ67:AU67)</f>
        <v>0</v>
      </c>
    </row>
    <row r="68" spans="1:53" ht="13" customHeight="1">
      <c r="C68" s="2"/>
      <c r="E68" s="3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62"/>
      <c r="AW68" s="63"/>
      <c r="AX68" s="13">
        <f>SUM(L68:W68)</f>
        <v>0</v>
      </c>
      <c r="AY68" s="13">
        <f>SUM(X68:AI68)</f>
        <v>0</v>
      </c>
      <c r="AZ68" s="13">
        <f>SUM(AJ68:AU68)</f>
        <v>0</v>
      </c>
    </row>
    <row r="69" spans="1:53" s="16" customFormat="1" ht="13" customHeight="1">
      <c r="A69" s="67"/>
      <c r="B69" s="67"/>
      <c r="C69" s="15"/>
      <c r="D69" s="16" t="s">
        <v>323</v>
      </c>
      <c r="E69" s="19" t="s">
        <v>94</v>
      </c>
      <c r="F69" s="19" t="s">
        <v>94</v>
      </c>
      <c r="G69" s="17" t="s">
        <v>15</v>
      </c>
      <c r="H69" s="172">
        <f>H72*zalozenia!F12</f>
        <v>1855425.78</v>
      </c>
      <c r="I69" s="20"/>
      <c r="J69" s="20"/>
      <c r="K69" s="20">
        <f t="shared" ref="K69:W69" si="13">SUM(K56:K67)</f>
        <v>2271289.812173828</v>
      </c>
      <c r="L69" s="20">
        <f t="shared" si="13"/>
        <v>0</v>
      </c>
      <c r="M69" s="20">
        <f t="shared" si="13"/>
        <v>0</v>
      </c>
      <c r="N69" s="20">
        <f t="shared" si="13"/>
        <v>0</v>
      </c>
      <c r="O69" s="20">
        <f t="shared" si="13"/>
        <v>0</v>
      </c>
      <c r="P69" s="20">
        <f t="shared" si="13"/>
        <v>0</v>
      </c>
      <c r="Q69" s="20">
        <f t="shared" si="13"/>
        <v>0</v>
      </c>
      <c r="R69" s="20">
        <f t="shared" si="13"/>
        <v>0</v>
      </c>
      <c r="S69" s="20">
        <f t="shared" si="13"/>
        <v>0</v>
      </c>
      <c r="T69" s="20">
        <f t="shared" si="13"/>
        <v>184657.7083068153</v>
      </c>
      <c r="U69" s="20">
        <f t="shared" si="13"/>
        <v>738630.8332272612</v>
      </c>
      <c r="V69" s="20">
        <f t="shared" si="13"/>
        <v>738630.8332272612</v>
      </c>
      <c r="W69" s="20">
        <f t="shared" si="13"/>
        <v>184657.7083068153</v>
      </c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59"/>
      <c r="AW69" s="60"/>
      <c r="AX69" s="20">
        <f>SUM(AX56:AX67)</f>
        <v>1846577.0830681527</v>
      </c>
      <c r="AY69" s="37"/>
      <c r="AZ69" s="37"/>
      <c r="BA69" s="51"/>
    </row>
    <row r="70" spans="1:53" ht="13" customHeight="1">
      <c r="E70" s="16"/>
      <c r="F70" s="16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62"/>
      <c r="AW70" s="63"/>
      <c r="AY70" s="13"/>
      <c r="AZ70" s="13"/>
    </row>
    <row r="71" spans="1:53" ht="13" customHeight="1">
      <c r="C71" s="31"/>
      <c r="D71" s="31"/>
      <c r="E71" s="84"/>
      <c r="F71" s="84"/>
      <c r="G71" s="31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5"/>
      <c r="AW71" s="66"/>
      <c r="AX71" s="31"/>
      <c r="AY71" s="64"/>
      <c r="AZ71" s="64"/>
    </row>
    <row r="72" spans="1:53" s="16" customFormat="1" ht="13" customHeight="1">
      <c r="A72" s="67"/>
      <c r="B72" s="67"/>
      <c r="C72" s="15"/>
      <c r="D72" s="16" t="s">
        <v>212</v>
      </c>
      <c r="E72" s="19" t="s">
        <v>94</v>
      </c>
      <c r="F72" s="19" t="s">
        <v>94</v>
      </c>
      <c r="G72" s="17" t="s">
        <v>15</v>
      </c>
      <c r="H72" s="164">
        <f>basic!H12</f>
        <v>3711</v>
      </c>
      <c r="I72" s="20"/>
      <c r="J72" s="20"/>
      <c r="K72" s="20">
        <f>K69/zalozenia!$F$12</f>
        <v>4542.7613348010482</v>
      </c>
      <c r="L72" s="37"/>
      <c r="M72" s="37"/>
      <c r="N72" s="37"/>
      <c r="O72" s="37"/>
      <c r="P72" s="37"/>
      <c r="Q72" s="37"/>
      <c r="R72" s="73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59"/>
      <c r="AW72" s="60"/>
      <c r="AX72" s="20">
        <f>AX69/zalozenia!$F$12</f>
        <v>3693.3018982122335</v>
      </c>
      <c r="AY72" s="37"/>
      <c r="AZ72" s="37"/>
      <c r="BA72" s="51"/>
    </row>
    <row r="73" spans="1:53" ht="13" customHeight="1">
      <c r="AV73" s="53"/>
      <c r="AW73" s="54"/>
    </row>
    <row r="74" spans="1:53" ht="13" customHeight="1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56"/>
      <c r="AW74" s="57"/>
      <c r="AX74" s="31"/>
      <c r="AY74" s="31"/>
      <c r="AZ74" s="31"/>
    </row>
    <row r="75" spans="1:53" ht="13" customHeight="1">
      <c r="K75" s="50">
        <v>1.069</v>
      </c>
      <c r="L75" s="156">
        <v>370810</v>
      </c>
    </row>
    <row r="76" spans="1:53" ht="13" customHeight="1">
      <c r="G76" s="157"/>
      <c r="H76" s="158"/>
      <c r="I76" s="158"/>
      <c r="J76" s="158"/>
      <c r="K76" s="159"/>
    </row>
    <row r="77" spans="1:53" ht="13" customHeight="1">
      <c r="G77" s="157"/>
      <c r="H77" s="157"/>
      <c r="I77" s="157"/>
      <c r="J77" s="157"/>
      <c r="K77" s="157"/>
    </row>
    <row r="78" spans="1:53" ht="13" customHeight="1">
      <c r="G78" s="157"/>
      <c r="H78" s="158"/>
      <c r="I78" s="158"/>
      <c r="J78" s="158"/>
      <c r="K78" s="157"/>
    </row>
    <row r="79" spans="1:53" ht="13" customHeight="1">
      <c r="G79" s="157"/>
      <c r="H79" s="157"/>
      <c r="I79" s="157"/>
      <c r="J79" s="157"/>
      <c r="K79" s="157"/>
    </row>
    <row r="80" spans="1:53" ht="13" customHeight="1">
      <c r="G80" s="157"/>
      <c r="H80" s="157"/>
      <c r="I80" s="157"/>
      <c r="J80" s="157"/>
      <c r="K80" s="157"/>
    </row>
    <row r="81" spans="7:11" ht="13" customHeight="1">
      <c r="G81"/>
      <c r="H81"/>
      <c r="I81"/>
      <c r="J81"/>
      <c r="K81"/>
    </row>
    <row r="82" spans="7:11" ht="13" customHeight="1">
      <c r="G82"/>
      <c r="H82"/>
      <c r="I82"/>
      <c r="J82"/>
      <c r="K82"/>
    </row>
    <row r="83" spans="7:11" ht="12.5" customHeight="1">
      <c r="G83"/>
      <c r="H83"/>
      <c r="I83"/>
      <c r="J83"/>
      <c r="K83"/>
    </row>
    <row r="84" spans="7:11" ht="12.5" customHeight="1">
      <c r="G84"/>
      <c r="H84"/>
      <c r="I84"/>
      <c r="J84"/>
      <c r="K84"/>
    </row>
    <row r="85" spans="7:11" ht="12.5" customHeight="1">
      <c r="G85"/>
      <c r="H85"/>
      <c r="I85"/>
      <c r="J85"/>
      <c r="K85"/>
    </row>
    <row r="86" spans="7:11" ht="12.5" customHeight="1">
      <c r="G86"/>
      <c r="H86"/>
      <c r="I86"/>
      <c r="J86"/>
      <c r="K86"/>
    </row>
    <row r="87" spans="7:11" ht="12.5" customHeight="1">
      <c r="G87"/>
      <c r="H87"/>
      <c r="I87"/>
      <c r="J87"/>
      <c r="K87"/>
    </row>
    <row r="88" spans="7:11" ht="12.5" customHeight="1">
      <c r="G88"/>
      <c r="H88"/>
      <c r="I88"/>
      <c r="J88"/>
      <c r="K88"/>
    </row>
    <row r="89" spans="7:11" ht="12.5" customHeight="1">
      <c r="G89"/>
      <c r="H89"/>
      <c r="I89"/>
      <c r="J89"/>
      <c r="K89"/>
    </row>
    <row r="90" spans="7:11" ht="12.5" customHeight="1">
      <c r="G90"/>
      <c r="H90"/>
      <c r="I90"/>
      <c r="J90"/>
      <c r="K90"/>
    </row>
    <row r="91" spans="7:11" ht="12.5" customHeight="1">
      <c r="G91"/>
      <c r="H91"/>
      <c r="I91"/>
      <c r="J91"/>
      <c r="K91"/>
    </row>
    <row r="92" spans="7:11" ht="12.5" customHeight="1">
      <c r="G92"/>
      <c r="H92"/>
      <c r="I92"/>
      <c r="J92"/>
      <c r="K92"/>
    </row>
    <row r="93" spans="7:11" ht="12.5" customHeight="1"/>
    <row r="94" spans="7:11" ht="12.5" customHeight="1"/>
    <row r="95" spans="7:11" ht="12.5" customHeight="1"/>
    <row r="96" spans="7:11" ht="12.5" customHeight="1"/>
    <row r="97" ht="12.5" customHeight="1"/>
    <row r="98" ht="12.5" customHeight="1"/>
    <row r="99" ht="12.5" customHeight="1"/>
    <row r="100" ht="12.5" customHeight="1"/>
    <row r="101" ht="12.5" customHeight="1"/>
    <row r="102" ht="12.5" customHeight="1"/>
    <row r="103" ht="12.5" customHeight="1"/>
    <row r="104" ht="12.5" customHeight="1"/>
    <row r="105" ht="12.5" customHeight="1"/>
    <row r="106" ht="12.5" customHeight="1"/>
    <row r="107" ht="12.5" customHeight="1"/>
    <row r="108" ht="12.5" customHeight="1"/>
    <row r="109" ht="12.5" customHeight="1"/>
    <row r="110" ht="12.5" customHeight="1"/>
    <row r="111" ht="12.5" customHeight="1"/>
    <row r="112" ht="12.5" customHeight="1"/>
    <row r="113" ht="12.5" customHeight="1"/>
    <row r="114" ht="12.5" customHeight="1"/>
  </sheetData>
  <mergeCells count="13">
    <mergeCell ref="C7:C8"/>
    <mergeCell ref="D7:D8"/>
    <mergeCell ref="G7:G8"/>
    <mergeCell ref="L7:W7"/>
    <mergeCell ref="E7:E8"/>
    <mergeCell ref="F7:F8"/>
    <mergeCell ref="AJ7:AU7"/>
    <mergeCell ref="AX7:AX8"/>
    <mergeCell ref="AY7:AY8"/>
    <mergeCell ref="AZ7:AZ8"/>
    <mergeCell ref="H7:H8"/>
    <mergeCell ref="K7:K8"/>
    <mergeCell ref="X7:AI7"/>
  </mergeCells>
  <pageMargins left="0.7" right="0.7" top="0.75" bottom="0.75" header="0.3" footer="0.3"/>
  <pageSetup paperSize="9" orientation="portrait" r:id="rId1"/>
  <ignoredErrors>
    <ignoredError sqref="C14 C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BB93"/>
  <sheetViews>
    <sheetView showGridLines="0" zoomScale="107" zoomScaleNormal="70" workbookViewId="0">
      <selection activeCell="U42" sqref="U42"/>
    </sheetView>
  </sheetViews>
  <sheetFormatPr baseColWidth="10" defaultColWidth="0" defaultRowHeight="13" customHeight="1"/>
  <cols>
    <col min="1" max="2" width="1.1640625" style="49" customWidth="1"/>
    <col min="3" max="3" width="5.1640625" style="1" customWidth="1"/>
    <col min="4" max="4" width="59" style="1" customWidth="1"/>
    <col min="5" max="5" width="10.6640625" style="1" customWidth="1"/>
    <col min="6" max="6" width="12.83203125" style="1" customWidth="1"/>
    <col min="7" max="7" width="8.33203125" style="1" customWidth="1"/>
    <col min="8" max="9" width="10.83203125" style="1" customWidth="1"/>
    <col min="10" max="45" width="9.1640625" style="1" customWidth="1"/>
    <col min="46" max="47" width="1.5" style="1" customWidth="1"/>
    <col min="48" max="48" width="9.83203125" style="1" customWidth="1"/>
    <col min="49" max="50" width="9.1640625" style="1" customWidth="1"/>
    <col min="51" max="51" width="4.33203125" style="50" customWidth="1"/>
    <col min="52" max="52" width="9.1640625" style="1" hidden="1" customWidth="1"/>
    <col min="53" max="54" width="0" style="1" hidden="1" customWidth="1"/>
    <col min="55" max="16384" width="9.1640625" style="1" hidden="1"/>
  </cols>
  <sheetData>
    <row r="1" spans="1:51" ht="13" customHeight="1">
      <c r="A1" s="1"/>
      <c r="B1" s="1"/>
      <c r="D1" s="2"/>
      <c r="G1"/>
      <c r="H1"/>
      <c r="I1"/>
      <c r="L1" s="58"/>
      <c r="M1" s="13"/>
      <c r="N1" s="13"/>
      <c r="P1" s="13"/>
    </row>
    <row r="2" spans="1:51" ht="13" customHeight="1">
      <c r="A2" s="1"/>
      <c r="B2" s="1"/>
      <c r="D2" s="120" t="s">
        <v>29</v>
      </c>
      <c r="G2"/>
      <c r="H2"/>
      <c r="I2"/>
      <c r="P2" s="13"/>
    </row>
    <row r="3" spans="1:51" ht="13" customHeight="1">
      <c r="A3" s="1"/>
      <c r="B3" s="1"/>
      <c r="D3" s="36" t="s">
        <v>366</v>
      </c>
      <c r="M3" s="13"/>
      <c r="Y3" s="13"/>
    </row>
    <row r="4" spans="1:51" ht="13" customHeight="1">
      <c r="A4" s="1"/>
      <c r="B4" s="1"/>
      <c r="D4" s="2"/>
      <c r="N4" s="13"/>
    </row>
    <row r="5" spans="1:51" ht="13" customHeight="1">
      <c r="AT5" s="53"/>
      <c r="AU5" s="54"/>
    </row>
    <row r="6" spans="1:51" ht="13" customHeight="1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56"/>
      <c r="AU6" s="57"/>
      <c r="AV6" s="31"/>
      <c r="AW6" s="31"/>
      <c r="AX6" s="31"/>
    </row>
    <row r="7" spans="1:51" s="52" customFormat="1" ht="13" customHeight="1">
      <c r="A7" s="51"/>
      <c r="B7" s="51"/>
      <c r="C7" s="177" t="s">
        <v>0</v>
      </c>
      <c r="D7" s="178" t="s">
        <v>2</v>
      </c>
      <c r="E7" s="175" t="s">
        <v>210</v>
      </c>
      <c r="F7" s="176" t="s">
        <v>209</v>
      </c>
      <c r="G7" s="175" t="s">
        <v>1</v>
      </c>
      <c r="H7" s="176" t="s">
        <v>206</v>
      </c>
      <c r="I7" s="176" t="s">
        <v>207</v>
      </c>
      <c r="J7" s="174">
        <v>2018</v>
      </c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>
        <v>2019</v>
      </c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>
        <v>2020</v>
      </c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18"/>
      <c r="AU7" s="118"/>
      <c r="AV7" s="175">
        <v>2018</v>
      </c>
      <c r="AW7" s="175">
        <v>2019</v>
      </c>
      <c r="AX7" s="175">
        <v>2020</v>
      </c>
      <c r="AY7" s="51"/>
    </row>
    <row r="8" spans="1:51" s="52" customFormat="1" ht="13" customHeight="1">
      <c r="A8" s="51"/>
      <c r="B8" s="51"/>
      <c r="C8" s="177"/>
      <c r="D8" s="178"/>
      <c r="E8" s="175"/>
      <c r="F8" s="176"/>
      <c r="G8" s="175"/>
      <c r="H8" s="176"/>
      <c r="I8" s="176"/>
      <c r="J8" s="119" t="s">
        <v>21</v>
      </c>
      <c r="K8" s="119" t="s">
        <v>23</v>
      </c>
      <c r="L8" s="119" t="s">
        <v>37</v>
      </c>
      <c r="M8" s="119" t="s">
        <v>38</v>
      </c>
      <c r="N8" s="119" t="s">
        <v>39</v>
      </c>
      <c r="O8" s="119" t="s">
        <v>82</v>
      </c>
      <c r="P8" s="119" t="s">
        <v>83</v>
      </c>
      <c r="Q8" s="119" t="s">
        <v>84</v>
      </c>
      <c r="R8" s="119" t="s">
        <v>85</v>
      </c>
      <c r="S8" s="119" t="s">
        <v>86</v>
      </c>
      <c r="T8" s="119" t="s">
        <v>87</v>
      </c>
      <c r="U8" s="119" t="s">
        <v>88</v>
      </c>
      <c r="V8" s="119" t="s">
        <v>21</v>
      </c>
      <c r="W8" s="119" t="s">
        <v>23</v>
      </c>
      <c r="X8" s="119" t="s">
        <v>37</v>
      </c>
      <c r="Y8" s="119" t="s">
        <v>38</v>
      </c>
      <c r="Z8" s="119" t="s">
        <v>39</v>
      </c>
      <c r="AA8" s="119" t="s">
        <v>82</v>
      </c>
      <c r="AB8" s="119" t="s">
        <v>83</v>
      </c>
      <c r="AC8" s="119" t="s">
        <v>84</v>
      </c>
      <c r="AD8" s="119" t="s">
        <v>85</v>
      </c>
      <c r="AE8" s="119" t="s">
        <v>86</v>
      </c>
      <c r="AF8" s="119" t="s">
        <v>87</v>
      </c>
      <c r="AG8" s="119" t="s">
        <v>88</v>
      </c>
      <c r="AH8" s="119" t="s">
        <v>21</v>
      </c>
      <c r="AI8" s="119" t="s">
        <v>23</v>
      </c>
      <c r="AJ8" s="119" t="s">
        <v>37</v>
      </c>
      <c r="AK8" s="119" t="s">
        <v>38</v>
      </c>
      <c r="AL8" s="119" t="s">
        <v>39</v>
      </c>
      <c r="AM8" s="119" t="s">
        <v>82</v>
      </c>
      <c r="AN8" s="119" t="s">
        <v>83</v>
      </c>
      <c r="AO8" s="119" t="s">
        <v>84</v>
      </c>
      <c r="AP8" s="119" t="s">
        <v>85</v>
      </c>
      <c r="AQ8" s="119" t="s">
        <v>86</v>
      </c>
      <c r="AR8" s="119" t="s">
        <v>87</v>
      </c>
      <c r="AS8" s="119" t="s">
        <v>88</v>
      </c>
      <c r="AT8" s="119"/>
      <c r="AU8" s="119"/>
      <c r="AV8" s="175"/>
      <c r="AW8" s="175"/>
      <c r="AX8" s="175"/>
      <c r="AY8" s="51"/>
    </row>
    <row r="9" spans="1:51" ht="13" customHeight="1">
      <c r="AT9" s="53"/>
      <c r="AU9" s="54"/>
    </row>
    <row r="10" spans="1:51" ht="13" customHeight="1"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56"/>
      <c r="AU10" s="57"/>
      <c r="AV10" s="31"/>
      <c r="AW10" s="31"/>
      <c r="AX10" s="31"/>
    </row>
    <row r="11" spans="1:51" s="55" customFormat="1" ht="13" customHeight="1">
      <c r="A11" s="51"/>
      <c r="B11" s="51"/>
      <c r="C11" s="75" t="s">
        <v>21</v>
      </c>
      <c r="D11" s="75" t="s">
        <v>367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6"/>
      <c r="AU11" s="77"/>
      <c r="AV11" s="75"/>
      <c r="AW11" s="75"/>
      <c r="AX11" s="75"/>
      <c r="AY11" s="51"/>
    </row>
    <row r="12" spans="1:51" ht="13" customHeight="1">
      <c r="AT12" s="53"/>
      <c r="AU12" s="54"/>
    </row>
    <row r="13" spans="1:51" ht="13" customHeight="1"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56"/>
      <c r="AU13" s="57"/>
      <c r="AV13" s="31"/>
      <c r="AW13" s="31"/>
      <c r="AX13" s="31"/>
    </row>
    <row r="14" spans="1:51" ht="13" customHeight="1" thickBot="1">
      <c r="C14" s="113">
        <v>1</v>
      </c>
      <c r="D14" s="113" t="s">
        <v>418</v>
      </c>
      <c r="E14" s="114" t="s">
        <v>94</v>
      </c>
      <c r="F14" s="114" t="s">
        <v>94</v>
      </c>
      <c r="G14" s="115" t="s">
        <v>15</v>
      </c>
      <c r="H14" s="116">
        <f>SUM(H15:H16)</f>
        <v>0</v>
      </c>
      <c r="I14" s="116">
        <f t="shared" ref="I14:I45" si="0">H14*1.23</f>
        <v>0</v>
      </c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61">
        <v>0</v>
      </c>
      <c r="AR14" s="61">
        <v>0</v>
      </c>
      <c r="AS14" s="61">
        <v>0</v>
      </c>
      <c r="AT14" s="62"/>
      <c r="AU14" s="63"/>
      <c r="AV14" s="37"/>
      <c r="AW14" s="13"/>
      <c r="AX14" s="13"/>
    </row>
    <row r="15" spans="1:51" ht="13" customHeight="1">
      <c r="C15" s="2" t="s">
        <v>48</v>
      </c>
      <c r="D15" s="105" t="s">
        <v>326</v>
      </c>
      <c r="E15" s="14" t="s">
        <v>94</v>
      </c>
      <c r="F15" s="14" t="s">
        <v>94</v>
      </c>
      <c r="G15" s="3" t="s">
        <v>15</v>
      </c>
      <c r="H15" s="13">
        <f>AV15</f>
        <v>-5000</v>
      </c>
      <c r="I15" s="13">
        <f t="shared" si="0"/>
        <v>-6150</v>
      </c>
      <c r="J15" s="73">
        <f>kosztorys!L15</f>
        <v>-5000</v>
      </c>
      <c r="K15" s="73">
        <f>kosztorys!M15</f>
        <v>0</v>
      </c>
      <c r="L15" s="73">
        <f>kosztorys!N15</f>
        <v>0</v>
      </c>
      <c r="M15" s="73">
        <f>kosztorys!O15</f>
        <v>0</v>
      </c>
      <c r="N15" s="73">
        <f>kosztorys!P15</f>
        <v>0</v>
      </c>
      <c r="O15" s="73">
        <f>kosztorys!Q15</f>
        <v>0</v>
      </c>
      <c r="P15" s="73">
        <f>kosztorys!R15</f>
        <v>0</v>
      </c>
      <c r="Q15" s="73">
        <f>kosztorys!S15</f>
        <v>0</v>
      </c>
      <c r="R15" s="73">
        <f>kosztorys!T15</f>
        <v>0</v>
      </c>
      <c r="S15" s="73">
        <f>kosztorys!U15</f>
        <v>0</v>
      </c>
      <c r="T15" s="73">
        <f>kosztorys!V15</f>
        <v>0</v>
      </c>
      <c r="U15" s="73">
        <f>kosztorys!W15</f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2"/>
      <c r="AU15" s="63"/>
      <c r="AV15" s="13">
        <f>SUM(J15:U15)</f>
        <v>-5000</v>
      </c>
      <c r="AW15" s="13"/>
      <c r="AX15" s="13"/>
    </row>
    <row r="16" spans="1:51" ht="13" customHeight="1">
      <c r="C16" s="2" t="s">
        <v>201</v>
      </c>
      <c r="D16" s="105" t="s">
        <v>327</v>
      </c>
      <c r="E16" s="14" t="s">
        <v>94</v>
      </c>
      <c r="F16" s="14" t="s">
        <v>94</v>
      </c>
      <c r="G16" s="3" t="s">
        <v>15</v>
      </c>
      <c r="H16" s="13">
        <f>AV16</f>
        <v>5000</v>
      </c>
      <c r="I16" s="13">
        <f t="shared" si="0"/>
        <v>6150</v>
      </c>
      <c r="J16" s="73">
        <f>kosztorys!L16</f>
        <v>5000</v>
      </c>
      <c r="K16" s="73">
        <f>kosztorys!M16</f>
        <v>0</v>
      </c>
      <c r="L16" s="73">
        <f>kosztorys!N16</f>
        <v>0</v>
      </c>
      <c r="M16" s="73">
        <f>kosztorys!O16</f>
        <v>0</v>
      </c>
      <c r="N16" s="73">
        <f>kosztorys!P16</f>
        <v>0</v>
      </c>
      <c r="O16" s="73">
        <f>kosztorys!Q16</f>
        <v>0</v>
      </c>
      <c r="P16" s="73">
        <f>kosztorys!R16</f>
        <v>0</v>
      </c>
      <c r="Q16" s="73">
        <f>kosztorys!S16</f>
        <v>0</v>
      </c>
      <c r="R16" s="73">
        <f>kosztorys!T16</f>
        <v>0</v>
      </c>
      <c r="S16" s="73">
        <f>kosztorys!U16</f>
        <v>0</v>
      </c>
      <c r="T16" s="73">
        <f>kosztorys!V16</f>
        <v>0</v>
      </c>
      <c r="U16" s="73">
        <f>kosztorys!W16</f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2"/>
      <c r="AU16" s="63"/>
      <c r="AV16" s="13">
        <f>SUM(J16:U16)</f>
        <v>5000</v>
      </c>
      <c r="AW16" s="13"/>
      <c r="AX16" s="13"/>
    </row>
    <row r="17" spans="1:50" s="50" customFormat="1" ht="13" customHeight="1" thickBot="1">
      <c r="A17" s="49"/>
      <c r="B17" s="49"/>
      <c r="C17" s="113">
        <v>2</v>
      </c>
      <c r="D17" s="113" t="s">
        <v>328</v>
      </c>
      <c r="E17" s="114" t="s">
        <v>94</v>
      </c>
      <c r="F17" s="114" t="s">
        <v>94</v>
      </c>
      <c r="G17" s="115" t="s">
        <v>15</v>
      </c>
      <c r="H17" s="116">
        <f>SUM(H18:H18)</f>
        <v>0</v>
      </c>
      <c r="I17" s="116">
        <f t="shared" si="0"/>
        <v>0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0</v>
      </c>
      <c r="AT17" s="62"/>
      <c r="AU17" s="63"/>
      <c r="AV17" s="37"/>
      <c r="AW17" s="13"/>
      <c r="AX17" s="13"/>
    </row>
    <row r="18" spans="1:50" s="50" customFormat="1" ht="13" customHeight="1">
      <c r="A18" s="49"/>
      <c r="B18" s="49"/>
      <c r="C18" s="2" t="s">
        <v>258</v>
      </c>
      <c r="D18" s="105" t="s">
        <v>329</v>
      </c>
      <c r="E18" s="14" t="s">
        <v>94</v>
      </c>
      <c r="F18" s="14" t="s">
        <v>94</v>
      </c>
      <c r="G18" s="3" t="s">
        <v>15</v>
      </c>
      <c r="H18" s="13">
        <f>AV18</f>
        <v>0</v>
      </c>
      <c r="I18" s="13">
        <f t="shared" si="0"/>
        <v>0</v>
      </c>
      <c r="J18" s="73">
        <f>kosztorys!L18</f>
        <v>0</v>
      </c>
      <c r="K18" s="73">
        <f>kosztorys!M18</f>
        <v>0</v>
      </c>
      <c r="L18" s="73">
        <f>kosztorys!N18</f>
        <v>0</v>
      </c>
      <c r="M18" s="73">
        <f>kosztorys!O18</f>
        <v>0</v>
      </c>
      <c r="N18" s="73">
        <f>kosztorys!P18</f>
        <v>0</v>
      </c>
      <c r="O18" s="73">
        <f>kosztorys!Q18</f>
        <v>0</v>
      </c>
      <c r="P18" s="73">
        <f>kosztorys!R18</f>
        <v>0</v>
      </c>
      <c r="Q18" s="73">
        <f>kosztorys!S18</f>
        <v>0</v>
      </c>
      <c r="R18" s="73">
        <f>kosztorys!T18</f>
        <v>0</v>
      </c>
      <c r="S18" s="73">
        <f>kosztorys!U18</f>
        <v>0</v>
      </c>
      <c r="T18" s="73">
        <f>kosztorys!V18</f>
        <v>0</v>
      </c>
      <c r="U18" s="73">
        <f>kosztorys!W18</f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2"/>
      <c r="AU18" s="63"/>
      <c r="AV18" s="13">
        <f>SUM(J18:U18)</f>
        <v>0</v>
      </c>
      <c r="AW18" s="13">
        <f>SUM(V18:AG18)</f>
        <v>0</v>
      </c>
      <c r="AX18" s="13">
        <f>SUM(AH18:AS18)</f>
        <v>0</v>
      </c>
    </row>
    <row r="19" spans="1:50" s="50" customFormat="1" ht="13" customHeight="1" thickBot="1">
      <c r="A19" s="49"/>
      <c r="B19" s="49"/>
      <c r="C19" s="113">
        <v>3</v>
      </c>
      <c r="D19" s="113" t="s">
        <v>330</v>
      </c>
      <c r="E19" s="114" t="s">
        <v>94</v>
      </c>
      <c r="F19" s="114" t="s">
        <v>94</v>
      </c>
      <c r="G19" s="115" t="s">
        <v>15</v>
      </c>
      <c r="H19" s="116">
        <f>SUM(H20)</f>
        <v>0</v>
      </c>
      <c r="I19" s="116">
        <f t="shared" si="0"/>
        <v>0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2"/>
      <c r="AU19" s="63"/>
      <c r="AV19" s="37"/>
      <c r="AW19" s="13"/>
      <c r="AX19" s="13"/>
    </row>
    <row r="20" spans="1:50" s="50" customFormat="1" ht="13" customHeight="1">
      <c r="A20" s="49"/>
      <c r="B20" s="49"/>
      <c r="C20" s="2" t="s">
        <v>44</v>
      </c>
      <c r="D20" s="105" t="s">
        <v>331</v>
      </c>
      <c r="E20" s="14" t="s">
        <v>94</v>
      </c>
      <c r="F20" s="14" t="s">
        <v>94</v>
      </c>
      <c r="G20" s="3" t="s">
        <v>15</v>
      </c>
      <c r="H20" s="13">
        <f>SUM(H21:H22)</f>
        <v>0</v>
      </c>
      <c r="I20" s="13">
        <f t="shared" si="0"/>
        <v>0</v>
      </c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0</v>
      </c>
      <c r="AT20" s="62"/>
      <c r="AU20" s="63"/>
      <c r="AV20" s="37"/>
      <c r="AW20" s="13">
        <f>SUM(V20:AG20)</f>
        <v>0</v>
      </c>
      <c r="AX20" s="13">
        <f>SUM(AH20:AS20)</f>
        <v>0</v>
      </c>
    </row>
    <row r="21" spans="1:50" s="50" customFormat="1" ht="13" customHeight="1">
      <c r="A21" s="49"/>
      <c r="B21" s="49"/>
      <c r="C21" s="2" t="s">
        <v>343</v>
      </c>
      <c r="D21" s="68" t="s">
        <v>351</v>
      </c>
      <c r="E21" s="14"/>
      <c r="F21" s="14"/>
      <c r="G21" s="3" t="s">
        <v>15</v>
      </c>
      <c r="H21" s="13">
        <f>AV21</f>
        <v>0</v>
      </c>
      <c r="I21" s="13">
        <f t="shared" si="0"/>
        <v>0</v>
      </c>
      <c r="J21" s="73">
        <f>kosztorys!L21</f>
        <v>0</v>
      </c>
      <c r="K21" s="73">
        <f>kosztorys!M21</f>
        <v>0</v>
      </c>
      <c r="L21" s="73">
        <f>kosztorys!N21</f>
        <v>0</v>
      </c>
      <c r="M21" s="73">
        <f>kosztorys!O21</f>
        <v>0</v>
      </c>
      <c r="N21" s="73">
        <f>kosztorys!P21</f>
        <v>0</v>
      </c>
      <c r="O21" s="73">
        <f>kosztorys!Q21</f>
        <v>0</v>
      </c>
      <c r="P21" s="73">
        <f>kosztorys!R21</f>
        <v>0</v>
      </c>
      <c r="Q21" s="73">
        <f>kosztorys!S21</f>
        <v>0</v>
      </c>
      <c r="R21" s="73">
        <f>kosztorys!T21</f>
        <v>0</v>
      </c>
      <c r="S21" s="73">
        <f>kosztorys!U21</f>
        <v>0</v>
      </c>
      <c r="T21" s="73">
        <f>kosztorys!V21</f>
        <v>0</v>
      </c>
      <c r="U21" s="73">
        <f>kosztorys!W21</f>
        <v>0</v>
      </c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2"/>
      <c r="AU21" s="63"/>
      <c r="AV21" s="13">
        <f t="shared" ref="AV21:AV39" si="1">SUM(J21:U21)</f>
        <v>0</v>
      </c>
      <c r="AW21" s="13"/>
      <c r="AX21" s="13"/>
    </row>
    <row r="22" spans="1:50" s="50" customFormat="1" ht="13" customHeight="1">
      <c r="A22" s="49"/>
      <c r="B22" s="49"/>
      <c r="C22" s="2" t="s">
        <v>344</v>
      </c>
      <c r="D22" s="68" t="s">
        <v>345</v>
      </c>
      <c r="E22" s="14"/>
      <c r="F22" s="14"/>
      <c r="G22" s="3" t="s">
        <v>15</v>
      </c>
      <c r="H22" s="13">
        <f>AV22</f>
        <v>0</v>
      </c>
      <c r="I22" s="13">
        <f t="shared" si="0"/>
        <v>0</v>
      </c>
      <c r="J22" s="73">
        <f>kosztorys!L22</f>
        <v>0</v>
      </c>
      <c r="K22" s="73">
        <f>kosztorys!M22</f>
        <v>0</v>
      </c>
      <c r="L22" s="73">
        <f>kosztorys!N22</f>
        <v>0</v>
      </c>
      <c r="M22" s="73">
        <f>kosztorys!O22</f>
        <v>0</v>
      </c>
      <c r="N22" s="73">
        <f>kosztorys!P22</f>
        <v>0</v>
      </c>
      <c r="O22" s="73">
        <f>kosztorys!Q22</f>
        <v>0</v>
      </c>
      <c r="P22" s="73">
        <f>kosztorys!R22</f>
        <v>0</v>
      </c>
      <c r="Q22" s="73">
        <f>kosztorys!S22</f>
        <v>0</v>
      </c>
      <c r="R22" s="73">
        <f>kosztorys!T22</f>
        <v>0</v>
      </c>
      <c r="S22" s="73">
        <f>kosztorys!U22</f>
        <v>0</v>
      </c>
      <c r="T22" s="73">
        <f>kosztorys!V22</f>
        <v>0</v>
      </c>
      <c r="U22" s="73">
        <f>kosztorys!W22</f>
        <v>0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2"/>
      <c r="AU22" s="63"/>
      <c r="AV22" s="13">
        <f t="shared" si="1"/>
        <v>0</v>
      </c>
      <c r="AW22" s="13"/>
      <c r="AX22" s="13"/>
    </row>
    <row r="23" spans="1:50" s="50" customFormat="1" ht="13" customHeight="1" thickBot="1">
      <c r="A23" s="49"/>
      <c r="B23" s="49"/>
      <c r="C23" s="113">
        <v>4</v>
      </c>
      <c r="D23" s="113" t="s">
        <v>332</v>
      </c>
      <c r="E23" s="114" t="s">
        <v>94</v>
      </c>
      <c r="F23" s="114" t="s">
        <v>94</v>
      </c>
      <c r="G23" s="115" t="s">
        <v>15</v>
      </c>
      <c r="H23" s="116">
        <f>SUM(H24)</f>
        <v>44439.024000000005</v>
      </c>
      <c r="I23" s="116">
        <f t="shared" si="0"/>
        <v>54659.999520000005</v>
      </c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0</v>
      </c>
      <c r="AR23" s="61">
        <v>0</v>
      </c>
      <c r="AS23" s="61">
        <v>0</v>
      </c>
      <c r="AT23" s="62"/>
      <c r="AU23" s="63"/>
      <c r="AV23" s="37"/>
      <c r="AW23" s="13"/>
      <c r="AX23" s="13"/>
    </row>
    <row r="24" spans="1:50" s="50" customFormat="1" ht="13" customHeight="1">
      <c r="A24" s="49"/>
      <c r="B24" s="49"/>
      <c r="C24" s="2" t="s">
        <v>13</v>
      </c>
      <c r="D24" s="105" t="s">
        <v>333</v>
      </c>
      <c r="E24" s="14" t="s">
        <v>94</v>
      </c>
      <c r="F24" s="14" t="s">
        <v>94</v>
      </c>
      <c r="G24" s="3" t="s">
        <v>15</v>
      </c>
      <c r="H24" s="13">
        <f>AV24</f>
        <v>44439.024000000005</v>
      </c>
      <c r="I24" s="13">
        <f t="shared" si="0"/>
        <v>54659.999520000005</v>
      </c>
      <c r="J24" s="73">
        <f>kosztorys!L24</f>
        <v>0</v>
      </c>
      <c r="K24" s="73">
        <f>kosztorys!M24</f>
        <v>0</v>
      </c>
      <c r="L24" s="73">
        <f>kosztorys!N24</f>
        <v>0</v>
      </c>
      <c r="M24" s="73">
        <f>kosztorys!O24</f>
        <v>0</v>
      </c>
      <c r="N24" s="73">
        <f>kosztorys!P24</f>
        <v>0</v>
      </c>
      <c r="O24" s="73">
        <f>kosztorys!Q24</f>
        <v>0</v>
      </c>
      <c r="P24" s="73">
        <f>kosztorys!R24</f>
        <v>0</v>
      </c>
      <c r="Q24" s="73">
        <f>kosztorys!S24</f>
        <v>0</v>
      </c>
      <c r="R24" s="73">
        <f>kosztorys!T24</f>
        <v>0</v>
      </c>
      <c r="S24" s="73">
        <f>kosztorys!U24</f>
        <v>44439.024000000005</v>
      </c>
      <c r="T24" s="73">
        <f>kosztorys!V24</f>
        <v>0</v>
      </c>
      <c r="U24" s="73">
        <f>kosztorys!W24</f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2"/>
      <c r="AU24" s="63"/>
      <c r="AV24" s="13">
        <f t="shared" si="1"/>
        <v>44439.024000000005</v>
      </c>
      <c r="AW24" s="13">
        <f>SUM(V24:AG24)</f>
        <v>0</v>
      </c>
      <c r="AX24" s="13">
        <f>SUM(AH24:AS24)</f>
        <v>0</v>
      </c>
    </row>
    <row r="25" spans="1:50" s="50" customFormat="1" ht="13" customHeight="1" thickBot="1">
      <c r="A25" s="49"/>
      <c r="B25" s="49"/>
      <c r="C25" s="113">
        <v>5</v>
      </c>
      <c r="D25" s="113" t="s">
        <v>334</v>
      </c>
      <c r="E25" s="114" t="s">
        <v>94</v>
      </c>
      <c r="F25" s="114" t="s">
        <v>94</v>
      </c>
      <c r="G25" s="115" t="s">
        <v>15</v>
      </c>
      <c r="H25" s="116">
        <f>SUM(H26,H30,H33)</f>
        <v>0</v>
      </c>
      <c r="I25" s="116">
        <f t="shared" si="0"/>
        <v>0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0</v>
      </c>
      <c r="AR25" s="61">
        <v>0</v>
      </c>
      <c r="AS25" s="61">
        <v>0</v>
      </c>
      <c r="AT25" s="62"/>
      <c r="AU25" s="63"/>
      <c r="AV25" s="37"/>
      <c r="AW25" s="13">
        <f>SUM(V25:AG25)</f>
        <v>0</v>
      </c>
      <c r="AX25" s="13">
        <f>SUM(AH25:AS25)</f>
        <v>0</v>
      </c>
    </row>
    <row r="26" spans="1:50" s="50" customFormat="1" ht="13" customHeight="1">
      <c r="A26" s="49"/>
      <c r="B26" s="49"/>
      <c r="C26" s="2" t="s">
        <v>75</v>
      </c>
      <c r="D26" s="105" t="s">
        <v>335</v>
      </c>
      <c r="E26" s="14" t="s">
        <v>94</v>
      </c>
      <c r="F26" s="14" t="s">
        <v>94</v>
      </c>
      <c r="G26" s="3" t="s">
        <v>15</v>
      </c>
      <c r="H26" s="13">
        <f>SUM(H27:H29)</f>
        <v>-3080</v>
      </c>
      <c r="I26" s="13">
        <f t="shared" si="0"/>
        <v>-3788.4</v>
      </c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0</v>
      </c>
      <c r="AS26" s="61">
        <v>0</v>
      </c>
      <c r="AT26" s="62"/>
      <c r="AU26" s="63"/>
      <c r="AV26" s="37"/>
      <c r="AW26" s="13">
        <f>SUM(V26:AG26)</f>
        <v>0</v>
      </c>
      <c r="AX26" s="13">
        <f>SUM(AH26:AS26)</f>
        <v>0</v>
      </c>
    </row>
    <row r="27" spans="1:50" s="50" customFormat="1" ht="13" customHeight="1">
      <c r="A27" s="49"/>
      <c r="B27" s="49"/>
      <c r="C27" s="2" t="s">
        <v>346</v>
      </c>
      <c r="D27" s="68" t="s">
        <v>352</v>
      </c>
      <c r="E27" s="14"/>
      <c r="F27" s="14"/>
      <c r="G27" s="3" t="s">
        <v>15</v>
      </c>
      <c r="H27" s="13">
        <f>AV27</f>
        <v>-3080</v>
      </c>
      <c r="I27" s="13">
        <f t="shared" si="0"/>
        <v>-3788.4</v>
      </c>
      <c r="J27" s="73">
        <f>kosztorys!L27</f>
        <v>0</v>
      </c>
      <c r="K27" s="73">
        <f>kosztorys!M27</f>
        <v>0</v>
      </c>
      <c r="L27" s="73">
        <f>kosztorys!N27</f>
        <v>0</v>
      </c>
      <c r="M27" s="73">
        <f>kosztorys!O27</f>
        <v>0</v>
      </c>
      <c r="N27" s="73">
        <f>kosztorys!P27</f>
        <v>0</v>
      </c>
      <c r="O27" s="73">
        <f>kosztorys!Q27</f>
        <v>0</v>
      </c>
      <c r="P27" s="73">
        <f>kosztorys!R27</f>
        <v>0</v>
      </c>
      <c r="Q27" s="73">
        <f>kosztorys!S27</f>
        <v>0</v>
      </c>
      <c r="R27" s="73">
        <f>kosztorys!T27</f>
        <v>-3080</v>
      </c>
      <c r="S27" s="73">
        <f>kosztorys!U27</f>
        <v>0</v>
      </c>
      <c r="T27" s="73">
        <f>kosztorys!V27</f>
        <v>0</v>
      </c>
      <c r="U27" s="73">
        <f>kosztorys!W27</f>
        <v>0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63"/>
      <c r="AV27" s="13">
        <f t="shared" si="1"/>
        <v>-3080</v>
      </c>
      <c r="AW27" s="13"/>
      <c r="AX27" s="13"/>
    </row>
    <row r="28" spans="1:50" s="50" customFormat="1" ht="13" customHeight="1">
      <c r="A28" s="49"/>
      <c r="B28" s="49"/>
      <c r="C28" s="2" t="s">
        <v>347</v>
      </c>
      <c r="D28" s="68" t="s">
        <v>350</v>
      </c>
      <c r="E28" s="14"/>
      <c r="F28" s="14"/>
      <c r="G28" s="3" t="s">
        <v>15</v>
      </c>
      <c r="H28" s="13">
        <f>AV28</f>
        <v>0</v>
      </c>
      <c r="I28" s="13">
        <f t="shared" si="0"/>
        <v>0</v>
      </c>
      <c r="J28" s="73">
        <f>kosztorys!L28</f>
        <v>0</v>
      </c>
      <c r="K28" s="73">
        <f>kosztorys!M28</f>
        <v>0</v>
      </c>
      <c r="L28" s="73">
        <f>kosztorys!N28</f>
        <v>0</v>
      </c>
      <c r="M28" s="73">
        <f>kosztorys!O28</f>
        <v>0</v>
      </c>
      <c r="N28" s="73">
        <f>kosztorys!P28</f>
        <v>0</v>
      </c>
      <c r="O28" s="73">
        <f>kosztorys!Q28</f>
        <v>0</v>
      </c>
      <c r="P28" s="73">
        <f>kosztorys!R28</f>
        <v>0</v>
      </c>
      <c r="Q28" s="73">
        <f>kosztorys!S28</f>
        <v>0</v>
      </c>
      <c r="R28" s="73">
        <f>kosztorys!T28</f>
        <v>0</v>
      </c>
      <c r="S28" s="73">
        <f>kosztorys!U28</f>
        <v>0</v>
      </c>
      <c r="T28" s="73">
        <f>kosztorys!V28</f>
        <v>0</v>
      </c>
      <c r="U28" s="73">
        <f>kosztorys!W28</f>
        <v>0</v>
      </c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63"/>
      <c r="AV28" s="13">
        <f t="shared" si="1"/>
        <v>0</v>
      </c>
      <c r="AW28" s="13"/>
      <c r="AX28" s="13"/>
    </row>
    <row r="29" spans="1:50" s="50" customFormat="1" ht="13" customHeight="1">
      <c r="A29" s="49"/>
      <c r="B29" s="49"/>
      <c r="C29" s="2" t="s">
        <v>348</v>
      </c>
      <c r="D29" s="68" t="s">
        <v>349</v>
      </c>
      <c r="E29" s="14"/>
      <c r="F29" s="14"/>
      <c r="G29" s="3" t="s">
        <v>15</v>
      </c>
      <c r="H29" s="13">
        <f>AV29</f>
        <v>0</v>
      </c>
      <c r="I29" s="13">
        <f t="shared" si="0"/>
        <v>0</v>
      </c>
      <c r="J29" s="73">
        <f>kosztorys!L29</f>
        <v>0</v>
      </c>
      <c r="K29" s="73">
        <f>kosztorys!M29</f>
        <v>0</v>
      </c>
      <c r="L29" s="73">
        <f>kosztorys!N29</f>
        <v>0</v>
      </c>
      <c r="M29" s="73">
        <f>kosztorys!O29</f>
        <v>0</v>
      </c>
      <c r="N29" s="73">
        <f>kosztorys!P29</f>
        <v>0</v>
      </c>
      <c r="O29" s="73">
        <f>kosztorys!Q29</f>
        <v>0</v>
      </c>
      <c r="P29" s="73">
        <f>kosztorys!R29</f>
        <v>0</v>
      </c>
      <c r="Q29" s="73">
        <f>kosztorys!S29</f>
        <v>0</v>
      </c>
      <c r="R29" s="73">
        <f>kosztorys!T29</f>
        <v>0</v>
      </c>
      <c r="S29" s="73">
        <f>kosztorys!U29</f>
        <v>0</v>
      </c>
      <c r="T29" s="73">
        <f>kosztorys!V29</f>
        <v>0</v>
      </c>
      <c r="U29" s="73">
        <f>kosztorys!W29</f>
        <v>0</v>
      </c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63"/>
      <c r="AV29" s="13">
        <f t="shared" si="1"/>
        <v>0</v>
      </c>
      <c r="AW29" s="13"/>
      <c r="AX29" s="13"/>
    </row>
    <row r="30" spans="1:50" s="50" customFormat="1" ht="13" customHeight="1">
      <c r="A30" s="49"/>
      <c r="B30" s="49"/>
      <c r="C30" s="2" t="s">
        <v>300</v>
      </c>
      <c r="D30" s="105" t="s">
        <v>336</v>
      </c>
      <c r="E30" s="14" t="s">
        <v>94</v>
      </c>
      <c r="F30" s="14" t="s">
        <v>94</v>
      </c>
      <c r="G30" s="3" t="s">
        <v>15</v>
      </c>
      <c r="H30" s="13">
        <f>SUM(H31:H32)</f>
        <v>3080</v>
      </c>
      <c r="I30" s="13">
        <f t="shared" si="0"/>
        <v>3788.4</v>
      </c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0</v>
      </c>
      <c r="AR30" s="61">
        <v>0</v>
      </c>
      <c r="AS30" s="61">
        <v>0</v>
      </c>
      <c r="AT30" s="62"/>
      <c r="AU30" s="63"/>
      <c r="AV30" s="37"/>
      <c r="AW30" s="13"/>
      <c r="AX30" s="13"/>
    </row>
    <row r="31" spans="1:50" s="50" customFormat="1" ht="13" customHeight="1">
      <c r="A31" s="49"/>
      <c r="B31" s="49"/>
      <c r="C31" s="2" t="s">
        <v>353</v>
      </c>
      <c r="D31" s="68" t="s">
        <v>355</v>
      </c>
      <c r="E31" s="14"/>
      <c r="F31" s="14"/>
      <c r="G31" s="3" t="s">
        <v>15</v>
      </c>
      <c r="H31" s="13">
        <f>AV31</f>
        <v>3080</v>
      </c>
      <c r="I31" s="13">
        <f t="shared" si="0"/>
        <v>3788.4</v>
      </c>
      <c r="J31" s="73">
        <f>kosztorys!L31</f>
        <v>0</v>
      </c>
      <c r="K31" s="73">
        <f>kosztorys!M31</f>
        <v>0</v>
      </c>
      <c r="L31" s="73">
        <f>kosztorys!N31</f>
        <v>0</v>
      </c>
      <c r="M31" s="73">
        <f>kosztorys!O31</f>
        <v>0</v>
      </c>
      <c r="N31" s="73">
        <f>kosztorys!P31</f>
        <v>0</v>
      </c>
      <c r="O31" s="73">
        <f>kosztorys!Q31</f>
        <v>0</v>
      </c>
      <c r="P31" s="73">
        <f>kosztorys!R31</f>
        <v>0</v>
      </c>
      <c r="Q31" s="73">
        <f>kosztorys!S31</f>
        <v>0</v>
      </c>
      <c r="R31" s="73">
        <f>kosztorys!T31</f>
        <v>3080</v>
      </c>
      <c r="S31" s="73">
        <f>kosztorys!U31</f>
        <v>0</v>
      </c>
      <c r="T31" s="73">
        <f>kosztorys!V31</f>
        <v>0</v>
      </c>
      <c r="U31" s="73">
        <f>kosztorys!W31</f>
        <v>0</v>
      </c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63"/>
      <c r="AV31" s="13">
        <f t="shared" si="1"/>
        <v>3080</v>
      </c>
      <c r="AW31" s="13"/>
      <c r="AX31" s="13"/>
    </row>
    <row r="32" spans="1:50" ht="13" customHeight="1">
      <c r="C32" s="2" t="s">
        <v>354</v>
      </c>
      <c r="D32" s="68" t="s">
        <v>336</v>
      </c>
      <c r="E32" s="14"/>
      <c r="F32" s="14"/>
      <c r="G32" s="3" t="s">
        <v>15</v>
      </c>
      <c r="H32" s="13">
        <f>AV32</f>
        <v>0</v>
      </c>
      <c r="I32" s="13">
        <f t="shared" si="0"/>
        <v>0</v>
      </c>
      <c r="J32" s="73">
        <f>kosztorys!L32</f>
        <v>0</v>
      </c>
      <c r="K32" s="73">
        <f>kosztorys!M32</f>
        <v>0</v>
      </c>
      <c r="L32" s="73">
        <f>kosztorys!N32</f>
        <v>0</v>
      </c>
      <c r="M32" s="73">
        <f>kosztorys!O32</f>
        <v>0</v>
      </c>
      <c r="N32" s="73">
        <f>kosztorys!P32</f>
        <v>0</v>
      </c>
      <c r="O32" s="73">
        <f>kosztorys!Q32</f>
        <v>0</v>
      </c>
      <c r="P32" s="73">
        <f>kosztorys!R32</f>
        <v>0</v>
      </c>
      <c r="Q32" s="73">
        <f>kosztorys!S32</f>
        <v>0</v>
      </c>
      <c r="R32" s="73">
        <f>kosztorys!T32</f>
        <v>0</v>
      </c>
      <c r="S32" s="73">
        <f>kosztorys!U32</f>
        <v>0</v>
      </c>
      <c r="T32" s="73">
        <f>kosztorys!V32</f>
        <v>0</v>
      </c>
      <c r="U32" s="73">
        <f>kosztorys!W32</f>
        <v>0</v>
      </c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63"/>
      <c r="AV32" s="13">
        <f t="shared" si="1"/>
        <v>0</v>
      </c>
      <c r="AW32" s="13"/>
      <c r="AX32" s="13"/>
    </row>
    <row r="33" spans="1:51" ht="13" customHeight="1">
      <c r="C33" s="2" t="s">
        <v>313</v>
      </c>
      <c r="D33" s="105" t="s">
        <v>337</v>
      </c>
      <c r="E33" s="14" t="s">
        <v>94</v>
      </c>
      <c r="F33" s="14" t="s">
        <v>94</v>
      </c>
      <c r="G33" s="3" t="s">
        <v>15</v>
      </c>
      <c r="H33" s="13">
        <f>SUM(H34:H35)</f>
        <v>0</v>
      </c>
      <c r="I33" s="13">
        <f t="shared" si="0"/>
        <v>0</v>
      </c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0</v>
      </c>
      <c r="AS33" s="61">
        <v>0</v>
      </c>
      <c r="AT33" s="62"/>
      <c r="AU33" s="63"/>
      <c r="AV33" s="37"/>
      <c r="AW33" s="13"/>
      <c r="AX33" s="13"/>
    </row>
    <row r="34" spans="1:51" ht="13" customHeight="1">
      <c r="C34" s="2" t="s">
        <v>356</v>
      </c>
      <c r="D34" s="68" t="s">
        <v>358</v>
      </c>
      <c r="E34" s="14"/>
      <c r="F34" s="14"/>
      <c r="G34" s="3" t="s">
        <v>15</v>
      </c>
      <c r="H34" s="13">
        <f>AV34</f>
        <v>0</v>
      </c>
      <c r="I34" s="13">
        <f t="shared" si="0"/>
        <v>0</v>
      </c>
      <c r="J34" s="73">
        <f>kosztorys!L34</f>
        <v>0</v>
      </c>
      <c r="K34" s="73">
        <f>kosztorys!M34</f>
        <v>0</v>
      </c>
      <c r="L34" s="73">
        <f>kosztorys!N34</f>
        <v>0</v>
      </c>
      <c r="M34" s="73">
        <f>kosztorys!O34</f>
        <v>0</v>
      </c>
      <c r="N34" s="73">
        <f>kosztorys!P34</f>
        <v>0</v>
      </c>
      <c r="O34" s="73">
        <f>kosztorys!Q34</f>
        <v>0</v>
      </c>
      <c r="P34" s="73">
        <f>kosztorys!R34</f>
        <v>0</v>
      </c>
      <c r="Q34" s="73">
        <f>kosztorys!S34</f>
        <v>0</v>
      </c>
      <c r="R34" s="73">
        <f>kosztorys!T34</f>
        <v>0</v>
      </c>
      <c r="S34" s="73">
        <f>kosztorys!U34</f>
        <v>0</v>
      </c>
      <c r="T34" s="73">
        <f>kosztorys!V34</f>
        <v>0</v>
      </c>
      <c r="U34" s="73">
        <f>kosztorys!W34</f>
        <v>0</v>
      </c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63"/>
      <c r="AV34" s="13">
        <f t="shared" si="1"/>
        <v>0</v>
      </c>
      <c r="AW34" s="13"/>
      <c r="AX34" s="13"/>
    </row>
    <row r="35" spans="1:51" ht="13" customHeight="1">
      <c r="C35" s="2" t="s">
        <v>357</v>
      </c>
      <c r="D35" s="68" t="s">
        <v>359</v>
      </c>
      <c r="E35" s="14"/>
      <c r="F35" s="14"/>
      <c r="G35" s="3" t="s">
        <v>15</v>
      </c>
      <c r="H35" s="13">
        <f>AV35</f>
        <v>0</v>
      </c>
      <c r="I35" s="13">
        <f t="shared" si="0"/>
        <v>0</v>
      </c>
      <c r="J35" s="73">
        <f>kosztorys!L35</f>
        <v>0</v>
      </c>
      <c r="K35" s="73">
        <f>kosztorys!M35</f>
        <v>0</v>
      </c>
      <c r="L35" s="73">
        <f>kosztorys!N35</f>
        <v>0</v>
      </c>
      <c r="M35" s="73">
        <f>kosztorys!O35</f>
        <v>0</v>
      </c>
      <c r="N35" s="73">
        <f>kosztorys!P35</f>
        <v>0</v>
      </c>
      <c r="O35" s="73">
        <f>kosztorys!Q35</f>
        <v>0</v>
      </c>
      <c r="P35" s="73">
        <f>kosztorys!R35</f>
        <v>0</v>
      </c>
      <c r="Q35" s="73">
        <f>kosztorys!S35</f>
        <v>0</v>
      </c>
      <c r="R35" s="73">
        <f>kosztorys!T35</f>
        <v>0</v>
      </c>
      <c r="S35" s="73">
        <f>kosztorys!U35</f>
        <v>0</v>
      </c>
      <c r="T35" s="73">
        <f>kosztorys!V35</f>
        <v>0</v>
      </c>
      <c r="U35" s="73">
        <f>kosztorys!W35</f>
        <v>0</v>
      </c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63"/>
      <c r="AV35" s="13">
        <f t="shared" si="1"/>
        <v>0</v>
      </c>
      <c r="AW35" s="13"/>
      <c r="AX35" s="13"/>
    </row>
    <row r="36" spans="1:51" ht="13" customHeight="1" thickBot="1">
      <c r="C36" s="113">
        <v>6</v>
      </c>
      <c r="D36" s="113" t="s">
        <v>338</v>
      </c>
      <c r="E36" s="114" t="s">
        <v>94</v>
      </c>
      <c r="F36" s="114" t="s">
        <v>94</v>
      </c>
      <c r="G36" s="115" t="s">
        <v>15</v>
      </c>
      <c r="H36" s="116">
        <f>SUM(H37)</f>
        <v>2574.1315975499156</v>
      </c>
      <c r="I36" s="116">
        <f t="shared" si="0"/>
        <v>3166.1818649863962</v>
      </c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2"/>
      <c r="AU36" s="63"/>
      <c r="AV36" s="37"/>
      <c r="AW36" s="13"/>
      <c r="AX36" s="13"/>
    </row>
    <row r="37" spans="1:51" ht="13" customHeight="1">
      <c r="C37" s="2" t="s">
        <v>301</v>
      </c>
      <c r="D37" s="105" t="s">
        <v>339</v>
      </c>
      <c r="E37" s="14" t="s">
        <v>94</v>
      </c>
      <c r="F37" s="14" t="s">
        <v>94</v>
      </c>
      <c r="G37" s="3" t="s">
        <v>15</v>
      </c>
      <c r="H37" s="13">
        <f>SUM(H38:H39)</f>
        <v>2574.1315975499156</v>
      </c>
      <c r="I37" s="13">
        <f t="shared" si="0"/>
        <v>3166.1818649863962</v>
      </c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  <c r="AR37" s="61">
        <v>0</v>
      </c>
      <c r="AS37" s="61">
        <v>0</v>
      </c>
      <c r="AT37" s="62"/>
      <c r="AU37" s="63"/>
      <c r="AV37" s="13">
        <f t="shared" si="1"/>
        <v>0</v>
      </c>
      <c r="AW37" s="13">
        <f>SUM(V37:AG37)</f>
        <v>0</v>
      </c>
      <c r="AX37" s="13">
        <f>SUM(AH37:AS37)</f>
        <v>0</v>
      </c>
    </row>
    <row r="38" spans="1:51" ht="13" customHeight="1">
      <c r="C38" s="2" t="s">
        <v>403</v>
      </c>
      <c r="D38" s="68" t="s">
        <v>360</v>
      </c>
      <c r="E38" s="14"/>
      <c r="F38" s="14"/>
      <c r="G38" s="3" t="s">
        <v>15</v>
      </c>
      <c r="H38" s="13">
        <f>AV38</f>
        <v>0</v>
      </c>
      <c r="I38" s="13">
        <f t="shared" si="0"/>
        <v>0</v>
      </c>
      <c r="J38" s="73">
        <f>kosztorys!L38</f>
        <v>0</v>
      </c>
      <c r="K38" s="73">
        <f>kosztorys!M38</f>
        <v>0</v>
      </c>
      <c r="L38" s="73">
        <f>kosztorys!N38</f>
        <v>0</v>
      </c>
      <c r="M38" s="73">
        <f>kosztorys!O38</f>
        <v>0</v>
      </c>
      <c r="N38" s="73">
        <f>kosztorys!P38</f>
        <v>0</v>
      </c>
      <c r="O38" s="73">
        <f>kosztorys!Q38</f>
        <v>0</v>
      </c>
      <c r="P38" s="73">
        <f>kosztorys!R38</f>
        <v>0</v>
      </c>
      <c r="Q38" s="73">
        <f>kosztorys!S38</f>
        <v>0</v>
      </c>
      <c r="R38" s="73">
        <f>kosztorys!T38</f>
        <v>0</v>
      </c>
      <c r="S38" s="73">
        <f>kosztorys!U38</f>
        <v>0</v>
      </c>
      <c r="T38" s="73">
        <f>kosztorys!V38</f>
        <v>0</v>
      </c>
      <c r="U38" s="73">
        <f>kosztorys!W38</f>
        <v>0</v>
      </c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2"/>
      <c r="AU38" s="63"/>
      <c r="AV38" s="13">
        <f t="shared" si="1"/>
        <v>0</v>
      </c>
      <c r="AW38" s="13"/>
      <c r="AX38" s="13"/>
    </row>
    <row r="39" spans="1:51" ht="13" customHeight="1">
      <c r="C39" s="2" t="s">
        <v>404</v>
      </c>
      <c r="D39" s="68" t="s">
        <v>361</v>
      </c>
      <c r="E39" s="14"/>
      <c r="F39" s="14"/>
      <c r="G39" s="3" t="s">
        <v>15</v>
      </c>
      <c r="H39" s="13">
        <f>AV39</f>
        <v>2574.1315975499156</v>
      </c>
      <c r="I39" s="13">
        <f t="shared" si="0"/>
        <v>3166.1818649863962</v>
      </c>
      <c r="J39" s="73">
        <f>kosztorys!L39</f>
        <v>0</v>
      </c>
      <c r="K39" s="73">
        <f>kosztorys!M39</f>
        <v>0</v>
      </c>
      <c r="L39" s="73">
        <f>kosztorys!N39</f>
        <v>0</v>
      </c>
      <c r="M39" s="73">
        <f>kosztorys!O39</f>
        <v>0</v>
      </c>
      <c r="N39" s="73">
        <f>kosztorys!P39</f>
        <v>0</v>
      </c>
      <c r="O39" s="73">
        <f>kosztorys!Q39</f>
        <v>0</v>
      </c>
      <c r="P39" s="73">
        <f>kosztorys!R39</f>
        <v>0</v>
      </c>
      <c r="Q39" s="73">
        <f>kosztorys!S39</f>
        <v>0</v>
      </c>
      <c r="R39" s="73">
        <f>kosztorys!T39</f>
        <v>0</v>
      </c>
      <c r="S39" s="73">
        <f>kosztorys!U39</f>
        <v>2574.1315975499156</v>
      </c>
      <c r="T39" s="73">
        <f>kosztorys!V39</f>
        <v>0</v>
      </c>
      <c r="U39" s="73">
        <f>kosztorys!W39</f>
        <v>0</v>
      </c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2"/>
      <c r="AU39" s="63"/>
      <c r="AV39" s="13">
        <f t="shared" si="1"/>
        <v>2574.1315975499156</v>
      </c>
      <c r="AW39" s="13"/>
      <c r="AX39" s="13"/>
    </row>
    <row r="40" spans="1:51" ht="13" customHeight="1" thickBot="1">
      <c r="C40" s="113">
        <v>7</v>
      </c>
      <c r="D40" s="113" t="s">
        <v>340</v>
      </c>
      <c r="E40" s="114" t="s">
        <v>94</v>
      </c>
      <c r="F40" s="114" t="s">
        <v>94</v>
      </c>
      <c r="G40" s="115" t="s">
        <v>15</v>
      </c>
      <c r="H40" s="116">
        <f>SUM(H41)</f>
        <v>112269.57956732251</v>
      </c>
      <c r="I40" s="116">
        <f t="shared" si="0"/>
        <v>138091.58286780669</v>
      </c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2"/>
      <c r="AU40" s="63"/>
      <c r="AV40" s="37"/>
      <c r="AW40" s="13">
        <f>SUM(V40:AG40)</f>
        <v>0</v>
      </c>
      <c r="AX40" s="13">
        <f>SUM(AH40:AS40)</f>
        <v>0</v>
      </c>
    </row>
    <row r="41" spans="1:51" ht="13" customHeight="1">
      <c r="C41" s="2" t="s">
        <v>81</v>
      </c>
      <c r="D41" s="105" t="s">
        <v>341</v>
      </c>
      <c r="E41" s="14" t="s">
        <v>94</v>
      </c>
      <c r="F41" s="14" t="s">
        <v>94</v>
      </c>
      <c r="G41" s="3" t="s">
        <v>15</v>
      </c>
      <c r="H41" s="13">
        <f>SUM(H42:H45)</f>
        <v>112269.57956732251</v>
      </c>
      <c r="I41" s="13">
        <f t="shared" si="0"/>
        <v>138091.58286780669</v>
      </c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2"/>
      <c r="AU41" s="63"/>
      <c r="AV41" s="13">
        <f t="shared" ref="AV41:AV46" si="2">SUM(J41:U41)</f>
        <v>0</v>
      </c>
      <c r="AW41" s="13">
        <f>SUM(V41:AG41)</f>
        <v>0</v>
      </c>
      <c r="AX41" s="13">
        <f>SUM(AH41:AS41)</f>
        <v>0</v>
      </c>
    </row>
    <row r="42" spans="1:51" ht="13" customHeight="1">
      <c r="C42" s="2" t="s">
        <v>405</v>
      </c>
      <c r="D42" s="68" t="s">
        <v>362</v>
      </c>
      <c r="E42" s="14"/>
      <c r="F42" s="14"/>
      <c r="G42" s="3" t="s">
        <v>15</v>
      </c>
      <c r="H42" s="13">
        <f>AV42</f>
        <v>2433.7244195017388</v>
      </c>
      <c r="I42" s="13">
        <f t="shared" si="0"/>
        <v>2993.4810359871385</v>
      </c>
      <c r="J42" s="73">
        <f>kosztorys!L42</f>
        <v>0</v>
      </c>
      <c r="K42" s="73">
        <f>kosztorys!M42</f>
        <v>0</v>
      </c>
      <c r="L42" s="73">
        <f>kosztorys!N42</f>
        <v>0</v>
      </c>
      <c r="M42" s="73">
        <f>kosztorys!O42</f>
        <v>0</v>
      </c>
      <c r="N42" s="73">
        <f>kosztorys!P42</f>
        <v>0</v>
      </c>
      <c r="O42" s="73">
        <f>kosztorys!Q42</f>
        <v>0</v>
      </c>
      <c r="P42" s="73">
        <f>kosztorys!R42</f>
        <v>0</v>
      </c>
      <c r="Q42" s="73">
        <f>kosztorys!S42</f>
        <v>0</v>
      </c>
      <c r="R42" s="73">
        <f>kosztorys!T42</f>
        <v>0</v>
      </c>
      <c r="S42" s="73">
        <f>kosztorys!U42</f>
        <v>0</v>
      </c>
      <c r="T42" s="73">
        <f>kosztorys!V42</f>
        <v>2433.7244195017388</v>
      </c>
      <c r="U42" s="73">
        <f>kosztorys!W42</f>
        <v>0</v>
      </c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2"/>
      <c r="AU42" s="63"/>
      <c r="AV42" s="13">
        <f t="shared" si="2"/>
        <v>2433.7244195017388</v>
      </c>
      <c r="AW42" s="13"/>
      <c r="AX42" s="13"/>
    </row>
    <row r="43" spans="1:51" ht="13" customHeight="1">
      <c r="C43" s="2" t="s">
        <v>406</v>
      </c>
      <c r="D43" s="68" t="s">
        <v>365</v>
      </c>
      <c r="E43" s="14"/>
      <c r="F43" s="14"/>
      <c r="G43" s="3" t="s">
        <v>15</v>
      </c>
      <c r="H43" s="13">
        <f>AV43</f>
        <v>13759.903448721368</v>
      </c>
      <c r="I43" s="13">
        <f t="shared" si="0"/>
        <v>16924.681241927283</v>
      </c>
      <c r="J43" s="73">
        <f>kosztorys!L43</f>
        <v>0</v>
      </c>
      <c r="K43" s="73">
        <f>kosztorys!M43</f>
        <v>0</v>
      </c>
      <c r="L43" s="73">
        <f>kosztorys!N43</f>
        <v>0</v>
      </c>
      <c r="M43" s="73">
        <f>kosztorys!O43</f>
        <v>0</v>
      </c>
      <c r="N43" s="73">
        <f>kosztorys!P43</f>
        <v>0</v>
      </c>
      <c r="O43" s="73">
        <f>kosztorys!Q43</f>
        <v>0</v>
      </c>
      <c r="P43" s="73">
        <f>kosztorys!R43</f>
        <v>0</v>
      </c>
      <c r="Q43" s="73">
        <f>kosztorys!S43</f>
        <v>0</v>
      </c>
      <c r="R43" s="73">
        <f>kosztorys!T43</f>
        <v>0</v>
      </c>
      <c r="S43" s="73">
        <f>kosztorys!U43</f>
        <v>0</v>
      </c>
      <c r="T43" s="73">
        <f>kosztorys!V43</f>
        <v>13759.903448721368</v>
      </c>
      <c r="U43" s="73">
        <f>kosztorys!W43</f>
        <v>0</v>
      </c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2"/>
      <c r="AU43" s="63"/>
      <c r="AV43" s="13">
        <f t="shared" si="2"/>
        <v>13759.903448721368</v>
      </c>
      <c r="AW43" s="13"/>
      <c r="AX43" s="13"/>
    </row>
    <row r="44" spans="1:51" ht="13" customHeight="1">
      <c r="C44" s="2" t="s">
        <v>407</v>
      </c>
      <c r="D44" s="68" t="s">
        <v>364</v>
      </c>
      <c r="E44" s="14"/>
      <c r="F44" s="14"/>
      <c r="G44" s="3" t="s">
        <v>15</v>
      </c>
      <c r="H44" s="13">
        <f>AV44</f>
        <v>16380.837438954006</v>
      </c>
      <c r="I44" s="13">
        <f t="shared" si="0"/>
        <v>20148.430049913426</v>
      </c>
      <c r="J44" s="73">
        <f>kosztorys!L44</f>
        <v>0</v>
      </c>
      <c r="K44" s="73">
        <f>kosztorys!M44</f>
        <v>0</v>
      </c>
      <c r="L44" s="73">
        <f>kosztorys!N44</f>
        <v>0</v>
      </c>
      <c r="M44" s="73">
        <f>kosztorys!O44</f>
        <v>0</v>
      </c>
      <c r="N44" s="73">
        <f>kosztorys!P44</f>
        <v>0</v>
      </c>
      <c r="O44" s="73">
        <f>kosztorys!Q44</f>
        <v>0</v>
      </c>
      <c r="P44" s="73">
        <f>kosztorys!R44</f>
        <v>0</v>
      </c>
      <c r="Q44" s="73">
        <f>kosztorys!S44</f>
        <v>0</v>
      </c>
      <c r="R44" s="73">
        <f>kosztorys!T44</f>
        <v>0</v>
      </c>
      <c r="S44" s="73">
        <f>kosztorys!U44</f>
        <v>0</v>
      </c>
      <c r="T44" s="73">
        <f>kosztorys!V44</f>
        <v>16380.837438954006</v>
      </c>
      <c r="U44" s="73">
        <f>kosztorys!W44</f>
        <v>0</v>
      </c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2"/>
      <c r="AU44" s="63"/>
      <c r="AV44" s="13">
        <f t="shared" si="2"/>
        <v>16380.837438954006</v>
      </c>
      <c r="AW44" s="13"/>
      <c r="AX44" s="13"/>
    </row>
    <row r="45" spans="1:51" ht="13" customHeight="1">
      <c r="C45" s="2" t="s">
        <v>408</v>
      </c>
      <c r="D45" s="68" t="s">
        <v>363</v>
      </c>
      <c r="E45" s="14"/>
      <c r="F45" s="14"/>
      <c r="G45" s="3" t="s">
        <v>15</v>
      </c>
      <c r="H45" s="13">
        <f>AV45</f>
        <v>79695.11426014539</v>
      </c>
      <c r="I45" s="13">
        <f t="shared" si="0"/>
        <v>98024.990539978826</v>
      </c>
      <c r="J45" s="73">
        <f>kosztorys!L45</f>
        <v>0</v>
      </c>
      <c r="K45" s="73">
        <f>kosztorys!M45</f>
        <v>0</v>
      </c>
      <c r="L45" s="73">
        <f>kosztorys!N45</f>
        <v>0</v>
      </c>
      <c r="M45" s="73">
        <f>kosztorys!O45</f>
        <v>0</v>
      </c>
      <c r="N45" s="73">
        <f>kosztorys!P45</f>
        <v>0</v>
      </c>
      <c r="O45" s="73">
        <f>kosztorys!Q45</f>
        <v>0</v>
      </c>
      <c r="P45" s="73">
        <f>kosztorys!R45</f>
        <v>0</v>
      </c>
      <c r="Q45" s="73">
        <f>kosztorys!S45</f>
        <v>0</v>
      </c>
      <c r="R45" s="73">
        <f>kosztorys!T45</f>
        <v>0</v>
      </c>
      <c r="S45" s="73">
        <f>kosztorys!U45</f>
        <v>0</v>
      </c>
      <c r="T45" s="73">
        <f>kosztorys!V45</f>
        <v>79695.11426014539</v>
      </c>
      <c r="U45" s="73">
        <f>kosztorys!W45</f>
        <v>0</v>
      </c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2"/>
      <c r="AU45" s="63"/>
      <c r="AV45" s="13">
        <f t="shared" si="2"/>
        <v>79695.11426014539</v>
      </c>
      <c r="AW45" s="13"/>
      <c r="AX45" s="13"/>
    </row>
    <row r="46" spans="1:51" ht="13" customHeight="1">
      <c r="C46" s="2"/>
      <c r="E46" s="3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62"/>
      <c r="AU46" s="63"/>
      <c r="AV46" s="13">
        <f t="shared" si="2"/>
        <v>0</v>
      </c>
      <c r="AW46" s="13">
        <f>SUM(V46:AG46)</f>
        <v>0</v>
      </c>
      <c r="AX46" s="13">
        <f>SUM(AH46:AS46)</f>
        <v>0</v>
      </c>
    </row>
    <row r="47" spans="1:51" s="16" customFormat="1" ht="13" customHeight="1">
      <c r="A47" s="67"/>
      <c r="B47" s="67"/>
      <c r="C47" s="15"/>
      <c r="D47" s="16" t="s">
        <v>342</v>
      </c>
      <c r="E47" s="19" t="s">
        <v>94</v>
      </c>
      <c r="F47" s="19" t="s">
        <v>94</v>
      </c>
      <c r="G47" s="117" t="s">
        <v>15</v>
      </c>
      <c r="H47" s="20">
        <f>SUM(H14,H17,H19,H23,H25,H36,H40)</f>
        <v>159282.73516487243</v>
      </c>
      <c r="I47" s="20">
        <f>SUM(I14,I17,I19,I23,I25,I36,I40)</f>
        <v>195917.7642527931</v>
      </c>
      <c r="J47" s="20">
        <f t="shared" ref="J47:U47" si="3">SUM(J14:J45)</f>
        <v>0</v>
      </c>
      <c r="K47" s="20">
        <f t="shared" si="3"/>
        <v>0</v>
      </c>
      <c r="L47" s="20">
        <f t="shared" si="3"/>
        <v>0</v>
      </c>
      <c r="M47" s="20">
        <f t="shared" si="3"/>
        <v>0</v>
      </c>
      <c r="N47" s="20">
        <f t="shared" si="3"/>
        <v>0</v>
      </c>
      <c r="O47" s="20">
        <f t="shared" si="3"/>
        <v>0</v>
      </c>
      <c r="P47" s="20">
        <f t="shared" si="3"/>
        <v>0</v>
      </c>
      <c r="Q47" s="20">
        <f t="shared" si="3"/>
        <v>0</v>
      </c>
      <c r="R47" s="20">
        <f t="shared" si="3"/>
        <v>0</v>
      </c>
      <c r="S47" s="20">
        <f t="shared" si="3"/>
        <v>47013.155597549921</v>
      </c>
      <c r="T47" s="20">
        <f t="shared" si="3"/>
        <v>112269.57956732251</v>
      </c>
      <c r="U47" s="20">
        <f t="shared" si="3"/>
        <v>0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59"/>
      <c r="AU47" s="60"/>
      <c r="AV47" s="20">
        <f>SUM(AV14:AX45)</f>
        <v>159282.73516487243</v>
      </c>
      <c r="AW47" s="37"/>
      <c r="AX47" s="37"/>
      <c r="AY47" s="51"/>
    </row>
    <row r="48" spans="1:51" ht="13" customHeight="1">
      <c r="E48" s="16"/>
      <c r="F48" s="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62"/>
      <c r="AU48" s="63"/>
      <c r="AW48" s="13"/>
      <c r="AX48" s="13"/>
    </row>
    <row r="49" spans="1:51" ht="13" customHeight="1">
      <c r="C49" s="31"/>
      <c r="D49" s="31"/>
      <c r="E49" s="84"/>
      <c r="F49" s="84"/>
      <c r="G49" s="31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5"/>
      <c r="AU49" s="66"/>
      <c r="AV49" s="31"/>
      <c r="AW49" s="64"/>
      <c r="AX49" s="64"/>
    </row>
    <row r="50" spans="1:51" s="16" customFormat="1" ht="13" customHeight="1">
      <c r="A50" s="67"/>
      <c r="B50" s="67"/>
      <c r="C50" s="15"/>
      <c r="D50" s="16" t="s">
        <v>212</v>
      </c>
      <c r="E50" s="19" t="s">
        <v>94</v>
      </c>
      <c r="F50" s="19" t="s">
        <v>94</v>
      </c>
      <c r="G50" s="117" t="s">
        <v>15</v>
      </c>
      <c r="H50" s="20">
        <f>H47/zalozenia!$F$12</f>
        <v>318.57821345828319</v>
      </c>
      <c r="I50" s="20">
        <f>I47/zalozenia!$F$12</f>
        <v>391.85120255368832</v>
      </c>
      <c r="J50" s="37"/>
      <c r="K50" s="37"/>
      <c r="L50" s="37"/>
      <c r="M50" s="37"/>
      <c r="N50" s="37"/>
      <c r="O50" s="37"/>
      <c r="P50" s="73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59"/>
      <c r="AU50" s="60"/>
      <c r="AV50" s="20">
        <f>AV47/zalozenia!$F$12</f>
        <v>318.57821345828319</v>
      </c>
      <c r="AW50" s="37"/>
      <c r="AX50" s="37"/>
      <c r="AY50" s="51"/>
    </row>
    <row r="51" spans="1:51" ht="13" customHeight="1">
      <c r="AT51" s="53"/>
      <c r="AU51" s="54"/>
    </row>
    <row r="52" spans="1:51" ht="13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56"/>
      <c r="AU52" s="57"/>
      <c r="AV52" s="31"/>
      <c r="AW52" s="31"/>
      <c r="AX52" s="31"/>
    </row>
    <row r="60" spans="1:51" s="49" customFormat="1" ht="13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50"/>
    </row>
    <row r="61" spans="1:51" s="49" customFormat="1" ht="13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50"/>
    </row>
    <row r="62" spans="1:51" s="49" customFormat="1" ht="13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50"/>
    </row>
    <row r="63" spans="1:51" s="49" customFormat="1" ht="13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50"/>
    </row>
    <row r="64" spans="1:51" s="49" customFormat="1" ht="13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50"/>
    </row>
    <row r="65" spans="3:51" s="49" customFormat="1" ht="13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50"/>
    </row>
    <row r="66" spans="3:51" s="49" customFormat="1" ht="13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50"/>
    </row>
    <row r="67" spans="3:51" s="49" customFormat="1" ht="13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50"/>
    </row>
    <row r="68" spans="3:51" s="49" customFormat="1" ht="13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50"/>
    </row>
    <row r="69" spans="3:51" s="49" customFormat="1" ht="13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50"/>
    </row>
    <row r="70" spans="3:51" s="49" customFormat="1" ht="13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50"/>
    </row>
    <row r="71" spans="3:51" s="49" customFormat="1" ht="13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50"/>
    </row>
    <row r="72" spans="3:51" s="49" customFormat="1" ht="13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50"/>
    </row>
    <row r="73" spans="3:51" s="49" customFormat="1" ht="13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50"/>
    </row>
    <row r="74" spans="3:51" s="49" customFormat="1" ht="13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50"/>
    </row>
    <row r="75" spans="3:51" s="49" customFormat="1" ht="13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50"/>
    </row>
    <row r="76" spans="3:51" s="49" customFormat="1" ht="13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50"/>
    </row>
    <row r="77" spans="3:51" s="49" customFormat="1" ht="13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50"/>
    </row>
    <row r="78" spans="3:51" s="49" customFormat="1" ht="13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50"/>
    </row>
    <row r="79" spans="3:51" s="49" customFormat="1" ht="13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50"/>
    </row>
    <row r="80" spans="3:51" s="49" customFormat="1" ht="13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50"/>
    </row>
    <row r="81" spans="3:51" s="49" customFormat="1" ht="13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50"/>
    </row>
    <row r="82" spans="3:51" s="49" customFormat="1" ht="13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50"/>
    </row>
    <row r="83" spans="3:51" s="49" customFormat="1" ht="13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50"/>
    </row>
    <row r="84" spans="3:51" s="49" customFormat="1" ht="13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50"/>
    </row>
    <row r="85" spans="3:51" s="49" customFormat="1" ht="13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50"/>
    </row>
    <row r="86" spans="3:51" s="49" customFormat="1" ht="13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50"/>
    </row>
    <row r="87" spans="3:51" s="49" customFormat="1" ht="13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50"/>
    </row>
    <row r="88" spans="3:51" s="49" customFormat="1" ht="13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50"/>
    </row>
    <row r="89" spans="3:51" s="49" customFormat="1" ht="13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50"/>
    </row>
    <row r="90" spans="3:51" s="49" customFormat="1" ht="13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50"/>
    </row>
    <row r="91" spans="3:51" s="49" customFormat="1" ht="13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50"/>
    </row>
    <row r="92" spans="3:51" s="49" customFormat="1" ht="13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50"/>
    </row>
    <row r="93" spans="3:51" s="49" customFormat="1" ht="13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50"/>
    </row>
  </sheetData>
  <mergeCells count="13">
    <mergeCell ref="H7:H8"/>
    <mergeCell ref="I7:I8"/>
    <mergeCell ref="C7:C8"/>
    <mergeCell ref="D7:D8"/>
    <mergeCell ref="E7:E8"/>
    <mergeCell ref="F7:F8"/>
    <mergeCell ref="G7:G8"/>
    <mergeCell ref="AX7:AX8"/>
    <mergeCell ref="J7:U7"/>
    <mergeCell ref="V7:AG7"/>
    <mergeCell ref="AH7:AS7"/>
    <mergeCell ref="AV7:AV8"/>
    <mergeCell ref="AW7:AW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BA161"/>
  <sheetViews>
    <sheetView showGridLines="0" zoomScale="85" zoomScaleNormal="85" workbookViewId="0"/>
  </sheetViews>
  <sheetFormatPr baseColWidth="10" defaultColWidth="0" defaultRowHeight="13" zeroHeight="1"/>
  <cols>
    <col min="1" max="2" width="1.1640625" style="49" customWidth="1"/>
    <col min="3" max="3" width="4.33203125" style="1" customWidth="1"/>
    <col min="4" max="4" width="73.5" style="1" customWidth="1"/>
    <col min="5" max="5" width="10.6640625" style="1" customWidth="1"/>
    <col min="6" max="6" width="14" style="1" customWidth="1"/>
    <col min="7" max="8" width="1" style="1" customWidth="1"/>
    <col min="9" max="9" width="4.33203125" style="50" customWidth="1"/>
    <col min="10" max="53" width="0" style="1" hidden="1" customWidth="1"/>
    <col min="54" max="16384" width="9.1640625" style="1" hidden="1"/>
  </cols>
  <sheetData>
    <row r="1" spans="1:9">
      <c r="A1" s="1"/>
      <c r="B1" s="1"/>
      <c r="D1" s="2"/>
    </row>
    <row r="2" spans="1:9">
      <c r="A2" s="1"/>
      <c r="B2" s="1"/>
      <c r="D2" s="120" t="s">
        <v>29</v>
      </c>
    </row>
    <row r="3" spans="1:9">
      <c r="A3" s="1"/>
      <c r="B3" s="1"/>
      <c r="D3" s="36" t="s">
        <v>279</v>
      </c>
      <c r="F3" s="13"/>
    </row>
    <row r="4" spans="1:9">
      <c r="A4" s="1"/>
      <c r="B4" s="1"/>
      <c r="D4" s="2"/>
    </row>
    <row r="5" spans="1:9" ht="2" customHeight="1"/>
    <row r="6" spans="1:9" ht="2" customHeight="1">
      <c r="C6" s="31"/>
      <c r="D6" s="31"/>
      <c r="E6" s="31"/>
      <c r="F6" s="31"/>
      <c r="G6" s="31"/>
      <c r="H6" s="31"/>
    </row>
    <row r="7" spans="1:9" s="52" customFormat="1">
      <c r="A7" s="51"/>
      <c r="B7" s="51"/>
      <c r="C7" s="177" t="s">
        <v>0</v>
      </c>
      <c r="D7" s="178" t="s">
        <v>2</v>
      </c>
      <c r="E7" s="175" t="s">
        <v>1</v>
      </c>
      <c r="F7" s="176"/>
      <c r="G7" s="21"/>
      <c r="H7" s="21"/>
      <c r="I7" s="51"/>
    </row>
    <row r="8" spans="1:9" s="52" customFormat="1">
      <c r="A8" s="51"/>
      <c r="B8" s="51"/>
      <c r="C8" s="177"/>
      <c r="D8" s="178"/>
      <c r="E8" s="175"/>
      <c r="F8" s="176"/>
      <c r="G8" s="21"/>
      <c r="H8" s="21"/>
      <c r="I8" s="51"/>
    </row>
    <row r="9" spans="1:9" ht="2" customHeight="1"/>
    <row r="10" spans="1:9" ht="2" customHeight="1">
      <c r="C10" s="31"/>
      <c r="D10" s="31"/>
      <c r="E10" s="31"/>
      <c r="F10" s="31"/>
      <c r="G10" s="31"/>
      <c r="H10" s="31"/>
    </row>
    <row r="11" spans="1:9" s="55" customFormat="1">
      <c r="A11" s="51"/>
      <c r="B11" s="51"/>
      <c r="C11" s="75" t="s">
        <v>21</v>
      </c>
      <c r="D11" s="75" t="s">
        <v>281</v>
      </c>
      <c r="E11" s="75"/>
      <c r="F11" s="75"/>
      <c r="G11" s="75"/>
      <c r="H11" s="75"/>
      <c r="I11" s="51"/>
    </row>
    <row r="12" spans="1:9" ht="2" customHeight="1"/>
    <row r="13" spans="1:9" ht="2" customHeight="1">
      <c r="C13" s="31"/>
      <c r="D13" s="31"/>
      <c r="E13" s="31"/>
      <c r="F13" s="31"/>
      <c r="G13" s="31"/>
      <c r="H13" s="31"/>
    </row>
    <row r="14" spans="1:9">
      <c r="C14" s="2">
        <v>1</v>
      </c>
      <c r="D14" s="1" t="s">
        <v>280</v>
      </c>
      <c r="E14" s="3" t="s">
        <v>5</v>
      </c>
      <c r="F14" s="61">
        <f>zalozenia!M1</f>
        <v>499.98</v>
      </c>
    </row>
    <row r="15" spans="1:9">
      <c r="C15" s="2">
        <v>2</v>
      </c>
      <c r="D15" s="2" t="s">
        <v>283</v>
      </c>
      <c r="E15" s="3" t="s">
        <v>34</v>
      </c>
      <c r="F15" s="61" t="e">
        <f>F16/F14</f>
        <v>#REF!</v>
      </c>
    </row>
    <row r="16" spans="1:9">
      <c r="C16" s="15">
        <v>3</v>
      </c>
      <c r="D16" s="15" t="s">
        <v>310</v>
      </c>
      <c r="E16" s="17" t="s">
        <v>15</v>
      </c>
      <c r="F16" s="58" t="e">
        <f>kosztorys!#REF!</f>
        <v>#REF!</v>
      </c>
    </row>
    <row r="17" spans="1:50">
      <c r="C17" s="2">
        <v>4</v>
      </c>
      <c r="D17" s="2" t="s">
        <v>284</v>
      </c>
      <c r="E17" s="14" t="s">
        <v>285</v>
      </c>
      <c r="F17" s="61">
        <f>zalozenia!F26</f>
        <v>1048.905</v>
      </c>
    </row>
    <row r="18" spans="1:50" ht="2" customHeight="1"/>
    <row r="19" spans="1:50" ht="2" customHeight="1">
      <c r="C19" s="31"/>
      <c r="D19" s="31"/>
      <c r="E19" s="31"/>
      <c r="F19" s="31"/>
      <c r="G19" s="31"/>
      <c r="H19" s="31"/>
    </row>
    <row r="20" spans="1:50" s="55" customFormat="1">
      <c r="A20" s="51"/>
      <c r="B20" s="51"/>
      <c r="C20" s="75" t="s">
        <v>23</v>
      </c>
      <c r="D20" s="75" t="s">
        <v>282</v>
      </c>
      <c r="E20" s="75"/>
      <c r="F20" s="75"/>
      <c r="G20" s="75"/>
      <c r="H20" s="75"/>
      <c r="I20" s="51"/>
    </row>
    <row r="21" spans="1:50" ht="2" customHeight="1"/>
    <row r="22" spans="1:50" ht="2" customHeight="1">
      <c r="C22" s="31"/>
      <c r="D22" s="31"/>
      <c r="E22" s="31"/>
      <c r="F22" s="31"/>
      <c r="G22" s="31"/>
      <c r="H22" s="31"/>
    </row>
    <row r="23" spans="1:50" s="50" customFormat="1">
      <c r="A23" s="49"/>
      <c r="B23" s="49"/>
      <c r="C23" s="2">
        <v>1</v>
      </c>
      <c r="D23" s="1" t="s">
        <v>280</v>
      </c>
      <c r="E23" s="3" t="s">
        <v>5</v>
      </c>
      <c r="F23" s="61">
        <f>F14</f>
        <v>499.98</v>
      </c>
      <c r="G23" s="1"/>
      <c r="H23" s="1"/>
    </row>
    <row r="24" spans="1:50" s="51" customFormat="1">
      <c r="A24" s="67"/>
      <c r="B24" s="67"/>
      <c r="C24" s="2">
        <v>2</v>
      </c>
      <c r="D24" s="2" t="s">
        <v>287</v>
      </c>
      <c r="E24" s="3" t="s">
        <v>34</v>
      </c>
      <c r="F24" s="109">
        <v>6639.349568168429</v>
      </c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s="50" customFormat="1">
      <c r="A25" s="49"/>
      <c r="B25" s="49"/>
      <c r="C25" s="2">
        <v>3</v>
      </c>
      <c r="D25" s="2" t="s">
        <v>286</v>
      </c>
      <c r="E25" s="3" t="s">
        <v>15</v>
      </c>
      <c r="F25" s="61">
        <f>F23*F24</f>
        <v>3319541.9970928514</v>
      </c>
      <c r="G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s="50" customFormat="1" hidden="1">
      <c r="A26" s="49"/>
      <c r="B26" s="49"/>
      <c r="C26" s="2">
        <v>4</v>
      </c>
      <c r="D26" s="2" t="s">
        <v>315</v>
      </c>
      <c r="E26" s="3" t="s">
        <v>15</v>
      </c>
      <c r="F26" s="61">
        <f>F28*F29</f>
        <v>0</v>
      </c>
      <c r="G26" s="1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s="50" customFormat="1" hidden="1">
      <c r="A27" s="49"/>
      <c r="B27" s="49"/>
      <c r="C27" s="2" t="s">
        <v>13</v>
      </c>
      <c r="D27" s="33" t="s">
        <v>306</v>
      </c>
      <c r="E27" s="3" t="s">
        <v>12</v>
      </c>
      <c r="F27" s="61">
        <f>F23*F31/1000</f>
        <v>3284.8686000000002</v>
      </c>
      <c r="G27" s="1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50" customFormat="1" hidden="1">
      <c r="A28" s="49"/>
      <c r="B28" s="49"/>
      <c r="C28" s="2" t="s">
        <v>290</v>
      </c>
      <c r="D28" s="33" t="s">
        <v>305</v>
      </c>
      <c r="E28" s="3" t="s">
        <v>12</v>
      </c>
      <c r="F28" s="61">
        <f>F27*15</f>
        <v>49273.029000000002</v>
      </c>
      <c r="G28" s="1"/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s="50" customFormat="1" hidden="1">
      <c r="A29" s="49"/>
      <c r="B29" s="49"/>
      <c r="C29" s="2" t="s">
        <v>304</v>
      </c>
      <c r="D29" s="33" t="s">
        <v>316</v>
      </c>
      <c r="E29" s="3" t="s">
        <v>10</v>
      </c>
      <c r="F29" s="109"/>
      <c r="G29" s="1"/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s="50" customFormat="1">
      <c r="A30" s="49"/>
      <c r="B30" s="49"/>
      <c r="C30" s="15">
        <v>5</v>
      </c>
      <c r="D30" s="15" t="s">
        <v>307</v>
      </c>
      <c r="E30" s="17" t="s">
        <v>15</v>
      </c>
      <c r="F30" s="58">
        <f>SUM(F25,F26)</f>
        <v>3319541.9970928514</v>
      </c>
      <c r="G30" s="1"/>
      <c r="H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s="50" customFormat="1">
      <c r="A31" s="49"/>
      <c r="B31" s="49"/>
      <c r="C31" s="2">
        <v>6</v>
      </c>
      <c r="D31" s="2" t="s">
        <v>288</v>
      </c>
      <c r="E31" s="14" t="s">
        <v>285</v>
      </c>
      <c r="F31" s="61">
        <f>F33*F32</f>
        <v>6570</v>
      </c>
      <c r="G31" s="1"/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s="49" customFormat="1" ht="12.5" customHeight="1">
      <c r="C32" s="1" t="s">
        <v>301</v>
      </c>
      <c r="D32" s="33" t="s">
        <v>289</v>
      </c>
      <c r="E32" s="3" t="s">
        <v>9</v>
      </c>
      <c r="F32" s="106">
        <v>0.75</v>
      </c>
      <c r="G32" s="1"/>
      <c r="H32" s="1"/>
      <c r="I32" s="5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49" customFormat="1" ht="12.5" customHeight="1">
      <c r="C33" s="1" t="s">
        <v>302</v>
      </c>
      <c r="D33" s="33" t="s">
        <v>291</v>
      </c>
      <c r="E33" s="14" t="s">
        <v>285</v>
      </c>
      <c r="F33" s="109">
        <f>365*24</f>
        <v>8760</v>
      </c>
      <c r="G33" s="1"/>
      <c r="H33" s="1"/>
      <c r="I33" s="5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2" customHeight="1"/>
    <row r="35" spans="1:50" ht="2" customHeight="1">
      <c r="C35" s="31"/>
      <c r="D35" s="31"/>
      <c r="E35" s="31"/>
      <c r="F35" s="31"/>
      <c r="G35" s="31"/>
      <c r="H35" s="31"/>
    </row>
    <row r="36" spans="1:50" s="55" customFormat="1">
      <c r="A36" s="51"/>
      <c r="B36" s="51"/>
      <c r="C36" s="75" t="s">
        <v>37</v>
      </c>
      <c r="D36" s="75" t="s">
        <v>292</v>
      </c>
      <c r="E36" s="75"/>
      <c r="F36" s="75"/>
      <c r="G36" s="75"/>
      <c r="H36" s="75"/>
      <c r="I36" s="51"/>
    </row>
    <row r="37" spans="1:50" ht="2" customHeight="1"/>
    <row r="38" spans="1:50" ht="2" customHeight="1">
      <c r="C38" s="31"/>
      <c r="D38" s="31"/>
      <c r="E38" s="31"/>
      <c r="F38" s="31"/>
      <c r="G38" s="31"/>
      <c r="H38" s="31"/>
    </row>
    <row r="39" spans="1:50" s="50" customFormat="1">
      <c r="A39" s="49"/>
      <c r="B39" s="49"/>
      <c r="C39" s="2">
        <v>1</v>
      </c>
      <c r="D39" s="1" t="s">
        <v>293</v>
      </c>
      <c r="E39" s="3" t="s">
        <v>9</v>
      </c>
      <c r="F39" s="5">
        <f>F17/F31</f>
        <v>0.15965068493150686</v>
      </c>
      <c r="G39" s="1"/>
      <c r="H39" s="1"/>
    </row>
    <row r="40" spans="1:50" s="50" customFormat="1">
      <c r="A40" s="49"/>
      <c r="B40" s="49"/>
      <c r="C40" s="2">
        <v>2</v>
      </c>
      <c r="D40" s="2" t="s">
        <v>294</v>
      </c>
      <c r="E40" s="3" t="s">
        <v>15</v>
      </c>
      <c r="F40" s="61">
        <f>F30*F39</f>
        <v>529967.15349477588</v>
      </c>
      <c r="G40" s="1"/>
      <c r="H40" s="1"/>
    </row>
    <row r="41" spans="1:50" ht="2" customHeight="1">
      <c r="E41" s="16"/>
      <c r="F41" s="16"/>
    </row>
    <row r="42" spans="1:50" ht="2" customHeight="1" thickBot="1">
      <c r="C42" s="31"/>
      <c r="D42" s="31"/>
      <c r="E42" s="84"/>
      <c r="F42" s="84"/>
      <c r="G42" s="31"/>
      <c r="H42" s="31"/>
    </row>
    <row r="43" spans="1:50" s="16" customFormat="1" ht="15" thickTop="1" thickBot="1">
      <c r="A43" s="67"/>
      <c r="B43" s="67"/>
      <c r="C43" s="108">
        <v>3</v>
      </c>
      <c r="D43" s="107" t="s">
        <v>295</v>
      </c>
      <c r="E43" s="89" t="s">
        <v>15</v>
      </c>
      <c r="F43" s="104" t="e">
        <f>F16-F40</f>
        <v>#REF!</v>
      </c>
      <c r="I43" s="51"/>
    </row>
    <row r="44" spans="1:50" ht="2" customHeight="1" thickTop="1">
      <c r="E44" s="16"/>
      <c r="F44" s="16"/>
    </row>
    <row r="45" spans="1:50" ht="2" customHeight="1">
      <c r="C45" s="31"/>
      <c r="D45" s="31"/>
      <c r="E45" s="84"/>
      <c r="F45" s="84"/>
      <c r="G45" s="31"/>
      <c r="H45" s="31"/>
    </row>
    <row r="46" spans="1:50" s="49" customFormat="1" ht="12.5" customHeight="1">
      <c r="C46" s="15">
        <v>4</v>
      </c>
      <c r="D46" s="16" t="s">
        <v>296</v>
      </c>
      <c r="E46" s="17" t="s">
        <v>15</v>
      </c>
      <c r="F46" s="20" t="e">
        <f>F43*F47</f>
        <v>#REF!</v>
      </c>
      <c r="G46" s="1"/>
      <c r="H46" s="1"/>
      <c r="I46" s="5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49" customFormat="1" ht="12.5" customHeight="1">
      <c r="C47" s="105"/>
      <c r="D47" s="105" t="s">
        <v>297</v>
      </c>
      <c r="E47" s="3" t="s">
        <v>9</v>
      </c>
      <c r="F47" s="106">
        <v>0.8</v>
      </c>
      <c r="G47" s="1"/>
      <c r="H47" s="1"/>
      <c r="I47" s="5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49" customFormat="1" ht="2" customHeight="1">
      <c r="C48" s="2"/>
      <c r="D48" s="1"/>
      <c r="E48" s="3"/>
      <c r="F48" s="1"/>
      <c r="G48" s="1"/>
      <c r="H48" s="1"/>
      <c r="I48" s="5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3:50" s="49" customFormat="1" ht="12.5" customHeight="1">
      <c r="C49" s="15">
        <v>5</v>
      </c>
      <c r="D49" s="16" t="s">
        <v>298</v>
      </c>
      <c r="E49" s="17" t="s">
        <v>15</v>
      </c>
      <c r="F49" s="20" t="e">
        <f>F43*F50</f>
        <v>#REF!</v>
      </c>
      <c r="G49" s="1"/>
      <c r="H49" s="1"/>
      <c r="I49" s="5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3:50" s="49" customFormat="1" ht="12.5" customHeight="1">
      <c r="C50" s="105"/>
      <c r="D50" s="105" t="s">
        <v>299</v>
      </c>
      <c r="E50" s="3" t="s">
        <v>9</v>
      </c>
      <c r="F50" s="106">
        <v>0.6</v>
      </c>
      <c r="G50" s="1"/>
      <c r="H50" s="1"/>
      <c r="I50" s="5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3:50" s="49" customFormat="1" ht="12.5" customHeight="1">
      <c r="C51" s="1"/>
      <c r="D51" s="1"/>
      <c r="E51" s="1"/>
      <c r="F51" s="1"/>
      <c r="G51" s="1"/>
      <c r="H51" s="1"/>
      <c r="I51" s="5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3:50" s="49" customFormat="1" ht="12.5" customHeight="1">
      <c r="C52" s="1"/>
      <c r="D52" s="1"/>
      <c r="E52" s="1"/>
      <c r="F52" s="1"/>
      <c r="G52" s="1"/>
      <c r="H52" s="1"/>
      <c r="I52" s="5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3:50" s="49" customFormat="1" ht="12.5" hidden="1" customHeight="1">
      <c r="C53" s="1"/>
      <c r="D53" s="1"/>
      <c r="E53" s="1"/>
      <c r="F53" s="1"/>
      <c r="G53" s="1"/>
      <c r="H53" s="1"/>
      <c r="I53" s="5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3:50" s="49" customFormat="1" ht="12.5" hidden="1" customHeight="1">
      <c r="C54" s="1"/>
      <c r="D54" s="1"/>
      <c r="E54" s="1"/>
      <c r="F54" s="1"/>
      <c r="G54" s="1"/>
      <c r="H54" s="1"/>
      <c r="I54" s="5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3:50" s="49" customFormat="1" ht="12.5" hidden="1" customHeight="1">
      <c r="C55" s="1"/>
      <c r="D55" s="1"/>
      <c r="E55" s="1"/>
      <c r="F55" s="1"/>
      <c r="G55" s="1"/>
      <c r="H55" s="1"/>
      <c r="I55" s="5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3:50" s="49" customFormat="1" ht="12.5" hidden="1" customHeight="1">
      <c r="C56" s="1"/>
      <c r="D56" s="1"/>
      <c r="E56" s="1"/>
      <c r="F56" s="1"/>
      <c r="G56" s="1"/>
      <c r="H56" s="1"/>
      <c r="I56" s="5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3:50" s="49" customFormat="1" ht="12.5" hidden="1" customHeight="1">
      <c r="C57" s="1"/>
      <c r="D57" s="1"/>
      <c r="E57" s="1"/>
      <c r="F57" s="1"/>
      <c r="G57" s="1"/>
      <c r="H57" s="1"/>
      <c r="I57" s="5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3:50" s="49" customFormat="1" ht="12.5" hidden="1" customHeight="1">
      <c r="C58" s="1"/>
      <c r="D58" s="1"/>
      <c r="E58" s="1"/>
      <c r="F58" s="1"/>
      <c r="G58" s="1"/>
      <c r="H58" s="1"/>
      <c r="I58" s="5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3:50" s="49" customFormat="1" ht="12.5" hidden="1" customHeight="1">
      <c r="C59" s="1"/>
      <c r="D59" s="1"/>
      <c r="E59" s="1"/>
      <c r="F59" s="1"/>
      <c r="G59" s="1"/>
      <c r="H59" s="1"/>
      <c r="I59" s="5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3:50" s="49" customFormat="1" ht="12.5" hidden="1" customHeight="1">
      <c r="C60" s="1"/>
      <c r="D60" s="1"/>
      <c r="E60" s="1"/>
      <c r="F60" s="1"/>
      <c r="G60" s="1"/>
      <c r="H60" s="1"/>
      <c r="I60" s="5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3:50" s="49" customFormat="1" ht="12.5" hidden="1" customHeight="1">
      <c r="C61" s="1"/>
      <c r="D61" s="1"/>
      <c r="E61" s="1"/>
      <c r="F61" s="1"/>
      <c r="G61" s="1"/>
      <c r="H61" s="1"/>
      <c r="I61" s="5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3:50" s="49" customFormat="1" ht="12.5" hidden="1" customHeight="1">
      <c r="C62" s="1"/>
      <c r="D62" s="1"/>
      <c r="E62" s="1"/>
      <c r="F62" s="1"/>
      <c r="G62" s="1"/>
      <c r="H62" s="1"/>
      <c r="I62" s="5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3:50" s="49" customFormat="1" ht="12.5" hidden="1" customHeight="1">
      <c r="C63" s="1"/>
      <c r="D63" s="1"/>
      <c r="E63" s="1"/>
      <c r="F63" s="1"/>
      <c r="G63" s="1"/>
      <c r="H63" s="1"/>
      <c r="I63" s="5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3:50" s="49" customFormat="1" ht="12.5" hidden="1" customHeight="1">
      <c r="C64" s="1"/>
      <c r="D64" s="1"/>
      <c r="E64" s="1"/>
      <c r="F64" s="1"/>
      <c r="G64" s="1"/>
      <c r="H64" s="1"/>
      <c r="I64" s="5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3:50" s="49" customFormat="1" ht="12.5" hidden="1" customHeight="1">
      <c r="C65" s="1"/>
      <c r="D65" s="1"/>
      <c r="E65" s="1"/>
      <c r="F65" s="1"/>
      <c r="G65" s="1"/>
      <c r="H65" s="1"/>
      <c r="I65" s="5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3:50" s="49" customFormat="1" ht="12.5" hidden="1" customHeight="1">
      <c r="C66" s="1"/>
      <c r="D66" s="1"/>
      <c r="E66" s="1"/>
      <c r="F66" s="1"/>
      <c r="G66" s="1"/>
      <c r="H66" s="1"/>
      <c r="I66" s="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3:50" s="49" customFormat="1" ht="12.5" hidden="1" customHeight="1">
      <c r="C67" s="1"/>
      <c r="D67" s="1"/>
      <c r="E67" s="1"/>
      <c r="F67" s="1"/>
      <c r="G67" s="1"/>
      <c r="H67" s="1"/>
      <c r="I67" s="5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3:50" s="49" customFormat="1" ht="12.5" hidden="1" customHeight="1">
      <c r="C68" s="1"/>
      <c r="D68" s="1"/>
      <c r="E68" s="1"/>
      <c r="F68" s="1"/>
      <c r="G68" s="1"/>
      <c r="H68" s="1"/>
      <c r="I68" s="5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3:50" s="49" customFormat="1" ht="12.5" hidden="1" customHeight="1">
      <c r="C69" s="1"/>
      <c r="D69" s="1"/>
      <c r="E69" s="1"/>
      <c r="F69" s="1"/>
      <c r="G69" s="1"/>
      <c r="H69" s="1"/>
      <c r="I69" s="5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3:50" s="49" customFormat="1" ht="12.5" hidden="1" customHeight="1">
      <c r="C70" s="1"/>
      <c r="D70" s="1"/>
      <c r="E70" s="1"/>
      <c r="F70" s="1"/>
      <c r="G70" s="1"/>
      <c r="H70" s="1"/>
      <c r="I70" s="5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3:50" s="49" customFormat="1" ht="12.5" hidden="1" customHeight="1">
      <c r="C71" s="1"/>
      <c r="D71" s="1"/>
      <c r="E71" s="1"/>
      <c r="F71" s="1"/>
      <c r="G71" s="1"/>
      <c r="H71" s="1"/>
      <c r="I71" s="5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3:50" s="49" customFormat="1" ht="12.5" hidden="1" customHeight="1">
      <c r="C72" s="1"/>
      <c r="D72" s="1"/>
      <c r="E72" s="1"/>
      <c r="F72" s="1"/>
      <c r="G72" s="1"/>
      <c r="H72" s="1"/>
      <c r="I72" s="5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3:50" s="49" customFormat="1" ht="12.5" hidden="1" customHeight="1">
      <c r="C73" s="1"/>
      <c r="D73" s="1"/>
      <c r="E73" s="1"/>
      <c r="F73" s="1"/>
      <c r="G73" s="1"/>
      <c r="H73" s="1"/>
      <c r="I73" s="5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3:50" s="49" customFormat="1" ht="12.5" hidden="1" customHeight="1">
      <c r="C74" s="1"/>
      <c r="D74" s="1"/>
      <c r="E74" s="1"/>
      <c r="F74" s="1"/>
      <c r="G74" s="1"/>
      <c r="H74" s="1"/>
      <c r="I74" s="5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3:50" s="49" customFormat="1" ht="12.5" hidden="1" customHeight="1">
      <c r="C75" s="1"/>
      <c r="D75" s="1"/>
      <c r="E75" s="1"/>
      <c r="F75" s="1"/>
      <c r="G75" s="1"/>
      <c r="H75" s="1"/>
      <c r="I75" s="5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3:50" hidden="1"/>
    <row r="77" spans="3:50" hidden="1"/>
    <row r="78" spans="3:50" hidden="1"/>
    <row r="79" spans="3:50" hidden="1"/>
    <row r="80" spans="3:5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1"/>
  </sheetData>
  <mergeCells count="4">
    <mergeCell ref="C7:C8"/>
    <mergeCell ref="D7:D8"/>
    <mergeCell ref="E7:E8"/>
    <mergeCell ref="F7:F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AI159"/>
  <sheetViews>
    <sheetView showGridLines="0" topLeftCell="A2" zoomScale="86" zoomScaleNormal="100" workbookViewId="0">
      <selection activeCell="F55" sqref="F55"/>
    </sheetView>
  </sheetViews>
  <sheetFormatPr baseColWidth="10" defaultColWidth="0" defaultRowHeight="13" zeroHeight="1"/>
  <cols>
    <col min="1" max="2" width="1" style="1" customWidth="1"/>
    <col min="3" max="3" width="5" style="2" customWidth="1"/>
    <col min="4" max="4" width="42" style="1" customWidth="1"/>
    <col min="5" max="5" width="9.5" style="3" customWidth="1"/>
    <col min="6" max="6" width="10.1640625" style="3" customWidth="1"/>
    <col min="7" max="7" width="8.83203125" style="1" hidden="1" customWidth="1"/>
    <col min="8" max="14" width="9.6640625" style="1" customWidth="1"/>
    <col min="15" max="15" width="10.33203125" style="1" customWidth="1"/>
    <col min="16" max="33" width="8.83203125" style="1" customWidth="1"/>
    <col min="34" max="35" width="1.5" style="1" customWidth="1"/>
    <col min="36" max="16384" width="8.83203125" style="1" hidden="1"/>
  </cols>
  <sheetData>
    <row r="1" spans="3:33" ht="16">
      <c r="H1" s="16">
        <v>1</v>
      </c>
      <c r="I1" s="1" t="s">
        <v>3</v>
      </c>
      <c r="M1" s="169">
        <f>basic!H11</f>
        <v>499.98</v>
      </c>
      <c r="N1" s="102">
        <v>499.98</v>
      </c>
      <c r="O1" s="102">
        <v>570</v>
      </c>
      <c r="P1" s="102">
        <v>617</v>
      </c>
    </row>
    <row r="2" spans="3:33" ht="15">
      <c r="C2"/>
      <c r="D2" s="120" t="s">
        <v>29</v>
      </c>
      <c r="H2" s="16">
        <v>2</v>
      </c>
      <c r="I2" s="1" t="s">
        <v>20</v>
      </c>
      <c r="M2" s="27">
        <v>2</v>
      </c>
      <c r="N2" s="102">
        <v>1</v>
      </c>
      <c r="O2" s="102">
        <v>2</v>
      </c>
    </row>
    <row r="3" spans="3:33">
      <c r="D3" s="36" t="s">
        <v>30</v>
      </c>
      <c r="H3" s="16">
        <v>3</v>
      </c>
      <c r="I3" s="1" t="s">
        <v>278</v>
      </c>
      <c r="M3" s="27">
        <v>1</v>
      </c>
      <c r="N3" s="102">
        <v>1</v>
      </c>
      <c r="O3" s="102">
        <v>2</v>
      </c>
    </row>
    <row r="4" spans="3:33"/>
    <row r="5" spans="3:33" ht="2" customHeight="1"/>
    <row r="6" spans="3:33" ht="2" customHeight="1">
      <c r="C6" s="30"/>
      <c r="D6" s="31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3:33" ht="15" customHeight="1">
      <c r="C7" s="38" t="s">
        <v>0</v>
      </c>
      <c r="D7" s="39" t="s">
        <v>7</v>
      </c>
      <c r="E7" s="40" t="s">
        <v>1</v>
      </c>
      <c r="F7" s="40" t="s">
        <v>4</v>
      </c>
      <c r="G7" s="39"/>
      <c r="H7" s="39">
        <v>2018</v>
      </c>
      <c r="I7" s="39">
        <v>2019</v>
      </c>
      <c r="J7" s="39">
        <v>2020</v>
      </c>
      <c r="K7" s="39">
        <v>2021</v>
      </c>
      <c r="L7" s="39">
        <v>2022</v>
      </c>
      <c r="M7" s="39">
        <v>2023</v>
      </c>
      <c r="N7" s="39">
        <v>2024</v>
      </c>
      <c r="O7" s="39">
        <v>2025</v>
      </c>
      <c r="P7" s="39">
        <v>2026</v>
      </c>
      <c r="Q7" s="39">
        <v>2027</v>
      </c>
      <c r="R7" s="39">
        <v>2028</v>
      </c>
      <c r="S7" s="39">
        <v>2029</v>
      </c>
      <c r="T7" s="39">
        <v>2030</v>
      </c>
      <c r="U7" s="39">
        <v>2031</v>
      </c>
      <c r="V7" s="39">
        <v>2032</v>
      </c>
      <c r="W7" s="39">
        <v>2033</v>
      </c>
      <c r="X7" s="39">
        <v>2034</v>
      </c>
      <c r="Y7" s="39">
        <v>2035</v>
      </c>
      <c r="Z7" s="39">
        <v>2036</v>
      </c>
      <c r="AA7" s="39">
        <v>2037</v>
      </c>
      <c r="AB7" s="39">
        <v>2038</v>
      </c>
      <c r="AC7" s="39">
        <v>2039</v>
      </c>
      <c r="AD7" s="39">
        <v>2040</v>
      </c>
      <c r="AE7" s="39">
        <v>2041</v>
      </c>
      <c r="AF7" s="39">
        <v>2042</v>
      </c>
      <c r="AG7" s="39">
        <v>2043</v>
      </c>
    </row>
    <row r="8" spans="3:33" ht="2" customHeight="1"/>
    <row r="9" spans="3:33" ht="2" customHeight="1">
      <c r="C9" s="30"/>
      <c r="D9" s="31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</row>
    <row r="10" spans="3:33" s="16" customFormat="1">
      <c r="C10" s="23" t="s">
        <v>21</v>
      </c>
      <c r="D10" s="24" t="s">
        <v>22</v>
      </c>
      <c r="E10" s="25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3:33" ht="2" customHeight="1"/>
    <row r="12" spans="3:33">
      <c r="C12" s="2">
        <v>1</v>
      </c>
      <c r="D12" s="1" t="s">
        <v>3</v>
      </c>
      <c r="E12" s="3" t="s">
        <v>5</v>
      </c>
      <c r="F12" s="27">
        <f>M1</f>
        <v>499.98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3:33" ht="2" customHeight="1"/>
    <row r="14" spans="3:33">
      <c r="C14" s="2">
        <v>2</v>
      </c>
      <c r="D14" s="1" t="s">
        <v>272</v>
      </c>
      <c r="E14" s="3" t="s">
        <v>273</v>
      </c>
      <c r="F14" s="112">
        <v>1059.5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3:33" ht="2" customHeight="1"/>
    <row r="16" spans="3:33">
      <c r="C16" s="2">
        <v>3</v>
      </c>
      <c r="D16" s="1" t="s">
        <v>8</v>
      </c>
      <c r="E16" s="3" t="s">
        <v>9</v>
      </c>
      <c r="F16" s="28">
        <v>-0.01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3:33" ht="2" customHeight="1"/>
    <row r="18" spans="3:33">
      <c r="C18" s="2">
        <v>4</v>
      </c>
      <c r="D18" s="1" t="s">
        <v>42</v>
      </c>
      <c r="E18" s="3" t="s">
        <v>9</v>
      </c>
      <c r="F18" s="18">
        <f>AVERAGE(I18:AG18)</f>
        <v>6.9999999999999993E-3</v>
      </c>
      <c r="H18" s="5">
        <v>0</v>
      </c>
      <c r="I18" s="5">
        <f>F19</f>
        <v>0.01</v>
      </c>
      <c r="J18" s="5">
        <f>I18-0.025%</f>
        <v>9.75E-3</v>
      </c>
      <c r="K18" s="5">
        <f t="shared" ref="K18:V18" si="0">J18-0.025%</f>
        <v>9.4999999999999998E-3</v>
      </c>
      <c r="L18" s="5">
        <f t="shared" si="0"/>
        <v>9.2499999999999995E-3</v>
      </c>
      <c r="M18" s="5">
        <f t="shared" si="0"/>
        <v>8.9999999999999993E-3</v>
      </c>
      <c r="N18" s="5">
        <f t="shared" si="0"/>
        <v>8.7499999999999991E-3</v>
      </c>
      <c r="O18" s="5">
        <f t="shared" si="0"/>
        <v>8.4999999999999989E-3</v>
      </c>
      <c r="P18" s="5">
        <f t="shared" si="0"/>
        <v>8.2499999999999987E-3</v>
      </c>
      <c r="Q18" s="5">
        <f t="shared" si="0"/>
        <v>7.9999999999999984E-3</v>
      </c>
      <c r="R18" s="5">
        <f t="shared" si="0"/>
        <v>7.7499999999999982E-3</v>
      </c>
      <c r="S18" s="5">
        <f t="shared" si="0"/>
        <v>7.499999999999998E-3</v>
      </c>
      <c r="T18" s="5">
        <f t="shared" si="0"/>
        <v>7.2499999999999978E-3</v>
      </c>
      <c r="U18" s="5">
        <f t="shared" si="0"/>
        <v>6.9999999999999975E-3</v>
      </c>
      <c r="V18" s="5">
        <f t="shared" si="0"/>
        <v>6.7499999999999973E-3</v>
      </c>
      <c r="W18" s="5">
        <f>V18-0.025%</f>
        <v>6.4999999999999971E-3</v>
      </c>
      <c r="X18" s="5">
        <f>W18-0.025%</f>
        <v>6.2499999999999969E-3</v>
      </c>
      <c r="Y18" s="5">
        <f t="shared" ref="Y18:AG18" si="1">X18-0.025%</f>
        <v>5.9999999999999967E-3</v>
      </c>
      <c r="Z18" s="5">
        <f t="shared" si="1"/>
        <v>5.7499999999999964E-3</v>
      </c>
      <c r="AA18" s="5">
        <f t="shared" si="1"/>
        <v>5.4999999999999962E-3</v>
      </c>
      <c r="AB18" s="5">
        <f t="shared" si="1"/>
        <v>5.249999999999996E-3</v>
      </c>
      <c r="AC18" s="5">
        <f t="shared" si="1"/>
        <v>4.9999999999999958E-3</v>
      </c>
      <c r="AD18" s="5">
        <f t="shared" si="1"/>
        <v>4.7499999999999955E-3</v>
      </c>
      <c r="AE18" s="5">
        <f t="shared" si="1"/>
        <v>4.4999999999999953E-3</v>
      </c>
      <c r="AF18" s="5">
        <f t="shared" si="1"/>
        <v>4.2499999999999951E-3</v>
      </c>
      <c r="AG18" s="5">
        <f t="shared" si="1"/>
        <v>3.9999999999999949E-3</v>
      </c>
    </row>
    <row r="19" spans="3:33">
      <c r="C19" s="2" t="s">
        <v>13</v>
      </c>
      <c r="D19" s="33" t="s">
        <v>43</v>
      </c>
      <c r="E19" s="3" t="s">
        <v>9</v>
      </c>
      <c r="F19" s="29">
        <v>0.01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3:33" ht="2" customHeight="1"/>
    <row r="21" spans="3:33">
      <c r="C21" s="2">
        <v>5</v>
      </c>
      <c r="D21" s="1" t="s">
        <v>41</v>
      </c>
      <c r="E21" s="3" t="s">
        <v>9</v>
      </c>
      <c r="F21" s="28">
        <v>1</v>
      </c>
      <c r="H21" s="37"/>
      <c r="I21" s="6">
        <f>F21</f>
        <v>1</v>
      </c>
      <c r="J21" s="8">
        <f>I21*(1-I18)</f>
        <v>0.99</v>
      </c>
      <c r="K21" s="8">
        <f>J21*(1-J18)</f>
        <v>0.98034749999999993</v>
      </c>
      <c r="L21" s="8">
        <f>K21*(1-K18)</f>
        <v>0.97103419874999997</v>
      </c>
      <c r="M21" s="8">
        <f t="shared" ref="M21:AG21" si="2">L21*(1-L18)</f>
        <v>0.96205213241156251</v>
      </c>
      <c r="N21" s="8">
        <f t="shared" si="2"/>
        <v>0.95339366321985841</v>
      </c>
      <c r="O21" s="8">
        <f t="shared" si="2"/>
        <v>0.94505146866668466</v>
      </c>
      <c r="P21" s="8">
        <f t="shared" si="2"/>
        <v>0.93701853118301792</v>
      </c>
      <c r="Q21" s="8">
        <f t="shared" si="2"/>
        <v>0.92928812830075802</v>
      </c>
      <c r="R21" s="8">
        <f t="shared" si="2"/>
        <v>0.92185382327435195</v>
      </c>
      <c r="S21" s="8">
        <f t="shared" si="2"/>
        <v>0.9147094561439757</v>
      </c>
      <c r="T21" s="8">
        <f t="shared" si="2"/>
        <v>0.9078491352228959</v>
      </c>
      <c r="U21" s="8">
        <f t="shared" si="2"/>
        <v>0.90126722899252987</v>
      </c>
      <c r="V21" s="8">
        <f t="shared" si="2"/>
        <v>0.89495835838958215</v>
      </c>
      <c r="W21" s="8">
        <f t="shared" si="2"/>
        <v>0.8889173894704524</v>
      </c>
      <c r="X21" s="8">
        <f t="shared" si="2"/>
        <v>0.88313942643889454</v>
      </c>
      <c r="Y21" s="8">
        <f t="shared" si="2"/>
        <v>0.87761980502365144</v>
      </c>
      <c r="Z21" s="8">
        <f t="shared" si="2"/>
        <v>0.87235408619350951</v>
      </c>
      <c r="AA21" s="8">
        <f t="shared" si="2"/>
        <v>0.86733805019789678</v>
      </c>
      <c r="AB21" s="8">
        <f t="shared" si="2"/>
        <v>0.86256769092180841</v>
      </c>
      <c r="AC21" s="8">
        <f t="shared" si="2"/>
        <v>0.85803921054446897</v>
      </c>
      <c r="AD21" s="8">
        <f t="shared" si="2"/>
        <v>0.85374901449174667</v>
      </c>
      <c r="AE21" s="8">
        <f t="shared" si="2"/>
        <v>0.84969370667291089</v>
      </c>
      <c r="AF21" s="8">
        <f t="shared" si="2"/>
        <v>0.84587008499288285</v>
      </c>
      <c r="AG21" s="8">
        <f t="shared" si="2"/>
        <v>0.84227513713166313</v>
      </c>
    </row>
    <row r="22" spans="3:33" ht="2" customHeight="1"/>
    <row r="23" spans="3:33">
      <c r="C23" s="2">
        <v>6</v>
      </c>
      <c r="D23" s="1" t="s">
        <v>40</v>
      </c>
      <c r="E23" s="3" t="s">
        <v>12</v>
      </c>
      <c r="F23" s="41">
        <v>3</v>
      </c>
      <c r="G23" s="10"/>
      <c r="H23" s="37"/>
      <c r="I23" s="10">
        <f>F23</f>
        <v>3</v>
      </c>
      <c r="J23" s="10">
        <f>I23</f>
        <v>3</v>
      </c>
      <c r="K23" s="10">
        <f t="shared" ref="K23:AG23" si="3">J23</f>
        <v>3</v>
      </c>
      <c r="L23" s="10">
        <f t="shared" si="3"/>
        <v>3</v>
      </c>
      <c r="M23" s="10">
        <f t="shared" si="3"/>
        <v>3</v>
      </c>
      <c r="N23" s="10">
        <f t="shared" si="3"/>
        <v>3</v>
      </c>
      <c r="O23" s="10">
        <f t="shared" si="3"/>
        <v>3</v>
      </c>
      <c r="P23" s="10">
        <f t="shared" si="3"/>
        <v>3</v>
      </c>
      <c r="Q23" s="10">
        <f t="shared" si="3"/>
        <v>3</v>
      </c>
      <c r="R23" s="10">
        <f t="shared" si="3"/>
        <v>3</v>
      </c>
      <c r="S23" s="10">
        <f t="shared" si="3"/>
        <v>3</v>
      </c>
      <c r="T23" s="10">
        <f t="shared" si="3"/>
        <v>3</v>
      </c>
      <c r="U23" s="10">
        <f t="shared" si="3"/>
        <v>3</v>
      </c>
      <c r="V23" s="10">
        <f t="shared" si="3"/>
        <v>3</v>
      </c>
      <c r="W23" s="10">
        <f t="shared" si="3"/>
        <v>3</v>
      </c>
      <c r="X23" s="10">
        <f t="shared" si="3"/>
        <v>3</v>
      </c>
      <c r="Y23" s="10">
        <f t="shared" si="3"/>
        <v>3</v>
      </c>
      <c r="Z23" s="10">
        <f t="shared" si="3"/>
        <v>3</v>
      </c>
      <c r="AA23" s="10">
        <f t="shared" si="3"/>
        <v>3</v>
      </c>
      <c r="AB23" s="10">
        <f t="shared" si="3"/>
        <v>3</v>
      </c>
      <c r="AC23" s="10">
        <f t="shared" si="3"/>
        <v>3</v>
      </c>
      <c r="AD23" s="10">
        <f t="shared" si="3"/>
        <v>3</v>
      </c>
      <c r="AE23" s="10">
        <f t="shared" si="3"/>
        <v>3</v>
      </c>
      <c r="AF23" s="10">
        <f t="shared" si="3"/>
        <v>3</v>
      </c>
      <c r="AG23" s="10">
        <f t="shared" si="3"/>
        <v>3</v>
      </c>
    </row>
    <row r="24" spans="3:33" ht="2" customHeight="1"/>
    <row r="25" spans="3:33">
      <c r="C25" s="2">
        <v>7</v>
      </c>
      <c r="D25" s="1" t="s">
        <v>11</v>
      </c>
      <c r="E25" s="3" t="s">
        <v>12</v>
      </c>
      <c r="F25" s="14">
        <f>F12*(1+F16)*F14/1000</f>
        <v>524.43152190000001</v>
      </c>
      <c r="H25" s="11">
        <v>29</v>
      </c>
      <c r="I25" s="11">
        <f t="shared" ref="I25:AG25" si="4">$F$25*I21-I23</f>
        <v>521.43152190000001</v>
      </c>
      <c r="J25" s="11">
        <f t="shared" si="4"/>
        <v>516.18720668100002</v>
      </c>
      <c r="K25" s="11">
        <f t="shared" si="4"/>
        <v>511.12513141586021</v>
      </c>
      <c r="L25" s="11">
        <f t="shared" si="4"/>
        <v>506.24094266740957</v>
      </c>
      <c r="M25" s="11">
        <f t="shared" si="4"/>
        <v>501.53046394773605</v>
      </c>
      <c r="N25" s="11">
        <f t="shared" si="4"/>
        <v>496.98968977220642</v>
      </c>
      <c r="O25" s="11">
        <f t="shared" si="4"/>
        <v>492.6147799866996</v>
      </c>
      <c r="P25" s="11">
        <f t="shared" si="4"/>
        <v>488.4020543568127</v>
      </c>
      <c r="Q25" s="11">
        <f t="shared" si="4"/>
        <v>484.34798740836902</v>
      </c>
      <c r="R25" s="11">
        <f t="shared" si="4"/>
        <v>480.44920350910206</v>
      </c>
      <c r="S25" s="11">
        <f t="shared" si="4"/>
        <v>476.7024721819065</v>
      </c>
      <c r="T25" s="11">
        <f t="shared" si="4"/>
        <v>473.1047036405422</v>
      </c>
      <c r="U25" s="11">
        <f t="shared" si="4"/>
        <v>469.65294453914822</v>
      </c>
      <c r="V25" s="11">
        <f t="shared" si="4"/>
        <v>466.34437392737419</v>
      </c>
      <c r="W25" s="11">
        <f t="shared" si="4"/>
        <v>463.1762994033644</v>
      </c>
      <c r="X25" s="11">
        <f t="shared" si="4"/>
        <v>460.14615345724258</v>
      </c>
      <c r="Y25" s="11">
        <f t="shared" si="4"/>
        <v>457.25148999813479</v>
      </c>
      <c r="Z25" s="11">
        <f t="shared" si="4"/>
        <v>454.48998105814599</v>
      </c>
      <c r="AA25" s="11">
        <f t="shared" si="4"/>
        <v>451.85941366706163</v>
      </c>
      <c r="AB25" s="11">
        <f t="shared" si="4"/>
        <v>449.3576868918928</v>
      </c>
      <c r="AC25" s="11">
        <f t="shared" si="4"/>
        <v>446.98280903571037</v>
      </c>
      <c r="AD25" s="11">
        <f t="shared" si="4"/>
        <v>444.73289499053186</v>
      </c>
      <c r="AE25" s="11">
        <f t="shared" si="4"/>
        <v>442.60616373932686</v>
      </c>
      <c r="AF25" s="11">
        <f t="shared" si="4"/>
        <v>440.60093600249991</v>
      </c>
      <c r="AG25" s="11">
        <f t="shared" si="4"/>
        <v>438.71563202448931</v>
      </c>
    </row>
    <row r="26" spans="3:33">
      <c r="C26" s="2" t="s">
        <v>81</v>
      </c>
      <c r="D26" s="33" t="s">
        <v>309</v>
      </c>
      <c r="E26" s="3" t="s">
        <v>285</v>
      </c>
      <c r="F26" s="14">
        <f>I26/F12</f>
        <v>1048.905</v>
      </c>
      <c r="H26" s="37"/>
      <c r="I26" s="103">
        <f>(I25+I23)*1000</f>
        <v>524431.52190000005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3:33" ht="2" customHeight="1"/>
    <row r="28" spans="3:33" ht="15">
      <c r="C28" s="2">
        <v>8</v>
      </c>
      <c r="D28" s="1" t="s">
        <v>308</v>
      </c>
      <c r="E28" s="3" t="s">
        <v>58</v>
      </c>
      <c r="F28" s="44">
        <v>16400</v>
      </c>
      <c r="H28" s="37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3:33" ht="2" customHeight="1"/>
    <row r="30" spans="3:33" ht="2" customHeight="1"/>
    <row r="31" spans="3:33" s="16" customFormat="1">
      <c r="C31" s="23" t="s">
        <v>23</v>
      </c>
      <c r="D31" s="24" t="s">
        <v>24</v>
      </c>
      <c r="E31" s="25"/>
      <c r="F31" s="2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3:33" ht="2" customHeight="1"/>
    <row r="33" spans="3:33">
      <c r="C33" s="2">
        <v>1</v>
      </c>
      <c r="D33" s="1" t="s">
        <v>6</v>
      </c>
      <c r="E33" s="3" t="s">
        <v>9</v>
      </c>
      <c r="F33" s="28">
        <v>0.02</v>
      </c>
      <c r="H33" s="42">
        <v>1.7000000000000001E-2</v>
      </c>
      <c r="I33" s="26">
        <f>F33</f>
        <v>0.02</v>
      </c>
      <c r="J33" s="26">
        <v>0.02</v>
      </c>
      <c r="K33" s="26">
        <v>0.02</v>
      </c>
      <c r="L33" s="26">
        <v>0.02</v>
      </c>
      <c r="M33" s="26">
        <v>0.02</v>
      </c>
      <c r="N33" s="26">
        <v>0.02</v>
      </c>
      <c r="O33" s="26">
        <v>0.02</v>
      </c>
      <c r="P33" s="26">
        <v>0.02</v>
      </c>
      <c r="Q33" s="26">
        <v>0.02</v>
      </c>
      <c r="R33" s="26">
        <v>0.02</v>
      </c>
      <c r="S33" s="26">
        <v>0.02</v>
      </c>
      <c r="T33" s="26">
        <v>0.02</v>
      </c>
      <c r="U33" s="26">
        <v>0.02</v>
      </c>
      <c r="V33" s="26">
        <v>0.02</v>
      </c>
      <c r="W33" s="26">
        <v>0.02</v>
      </c>
      <c r="X33" s="26">
        <v>0.02</v>
      </c>
      <c r="Y33" s="26">
        <v>0.02</v>
      </c>
      <c r="Z33" s="26">
        <v>0.02</v>
      </c>
      <c r="AA33" s="26">
        <v>0.02</v>
      </c>
      <c r="AB33" s="26">
        <v>0.02</v>
      </c>
      <c r="AC33" s="26">
        <v>0.02</v>
      </c>
      <c r="AD33" s="26">
        <v>0.02</v>
      </c>
      <c r="AE33" s="26">
        <v>0.02</v>
      </c>
      <c r="AF33" s="26">
        <v>0.02</v>
      </c>
      <c r="AG33" s="26">
        <v>0.02</v>
      </c>
    </row>
    <row r="34" spans="3:33" ht="2" customHeight="1"/>
    <row r="35" spans="3:33" ht="13" customHeight="1">
      <c r="C35" s="2">
        <v>2</v>
      </c>
      <c r="D35" s="1" t="s">
        <v>54</v>
      </c>
      <c r="E35" s="3" t="s">
        <v>25</v>
      </c>
      <c r="F35" s="43">
        <v>3.67</v>
      </c>
      <c r="H35" s="9">
        <f>F35</f>
        <v>3.67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  <row r="36" spans="3:33" ht="13" customHeight="1">
      <c r="C36" s="2">
        <v>3</v>
      </c>
      <c r="D36" s="1" t="s">
        <v>422</v>
      </c>
      <c r="E36" s="3" t="s">
        <v>421</v>
      </c>
      <c r="F36" s="43">
        <v>4.4000000000000004</v>
      </c>
      <c r="H36" s="9">
        <f>F36</f>
        <v>4.4000000000000004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</row>
    <row r="37" spans="3:33" ht="13" hidden="1" customHeight="1"/>
    <row r="38" spans="3:33" s="16" customFormat="1" ht="13" customHeight="1">
      <c r="C38" s="23" t="s">
        <v>37</v>
      </c>
      <c r="D38" s="24" t="s">
        <v>194</v>
      </c>
      <c r="E38" s="25"/>
      <c r="F38" s="25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3:33" ht="2" customHeight="1"/>
    <row r="40" spans="3:33">
      <c r="C40" s="2">
        <v>1</v>
      </c>
      <c r="D40" s="1" t="s">
        <v>198</v>
      </c>
      <c r="E40" s="3" t="s">
        <v>15</v>
      </c>
      <c r="F40" s="44">
        <v>0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spans="3:33" ht="2" customHeight="1"/>
    <row r="42" spans="3:33">
      <c r="C42" s="2">
        <v>2</v>
      </c>
      <c r="D42" s="1" t="s">
        <v>314</v>
      </c>
      <c r="E42" s="3" t="s">
        <v>15</v>
      </c>
      <c r="F42" s="44">
        <v>75000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</row>
    <row r="43" spans="3:33" ht="2" customHeight="1">
      <c r="F43" s="44"/>
    </row>
    <row r="44" spans="3:33">
      <c r="C44" s="2">
        <v>3</v>
      </c>
      <c r="D44" s="1" t="s">
        <v>142</v>
      </c>
      <c r="E44" s="3" t="s">
        <v>9</v>
      </c>
      <c r="F44" s="28">
        <v>0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</row>
    <row r="45" spans="3:33" ht="2" customHeight="1"/>
    <row r="46" spans="3:33">
      <c r="C46" s="2">
        <v>4</v>
      </c>
      <c r="D46" s="1" t="s">
        <v>192</v>
      </c>
      <c r="E46" s="3" t="s">
        <v>184</v>
      </c>
      <c r="F46" s="41">
        <v>0.25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</row>
    <row r="47" spans="3:33" ht="2" customHeight="1"/>
    <row r="48" spans="3:33">
      <c r="C48" s="2">
        <v>5</v>
      </c>
      <c r="D48" s="1" t="s">
        <v>196</v>
      </c>
      <c r="E48" s="3" t="s">
        <v>197</v>
      </c>
      <c r="F48" s="44">
        <v>30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3:33" ht="2" customHeight="1">
      <c r="F49" s="44"/>
    </row>
    <row r="50" spans="3:33">
      <c r="C50" s="2">
        <v>6</v>
      </c>
      <c r="D50" s="1" t="s">
        <v>195</v>
      </c>
      <c r="E50" s="3" t="s">
        <v>197</v>
      </c>
      <c r="F50" s="44">
        <v>30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3:33" ht="2" customHeight="1"/>
    <row r="52" spans="3:33" ht="2" customHeight="1"/>
    <row r="53" spans="3:33" s="16" customFormat="1">
      <c r="C53" s="23" t="s">
        <v>38</v>
      </c>
      <c r="D53" s="24" t="s">
        <v>27</v>
      </c>
      <c r="E53" s="25"/>
      <c r="F53" s="25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3:33" ht="2" customHeight="1"/>
    <row r="55" spans="3:33">
      <c r="C55" s="2">
        <v>1</v>
      </c>
      <c r="D55" s="1" t="s">
        <v>31</v>
      </c>
      <c r="E55" s="3" t="s">
        <v>15</v>
      </c>
      <c r="F55" s="14">
        <f>F56*F12</f>
        <v>1855425.78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3:33" ht="16">
      <c r="C56" s="2">
        <v>2</v>
      </c>
      <c r="D56" s="1" t="s">
        <v>33</v>
      </c>
      <c r="E56" s="3" t="s">
        <v>34</v>
      </c>
      <c r="F56" s="163">
        <f>kosztorys!H72</f>
        <v>3711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3:33">
      <c r="C57" s="2">
        <v>3</v>
      </c>
      <c r="D57" s="1" t="s">
        <v>193</v>
      </c>
      <c r="E57" s="3" t="s">
        <v>15</v>
      </c>
      <c r="F57" s="14">
        <f>SUM(kosztorys!H56,kosztorys!H57,kosztorys!H58,kosztorys!H59,kosztorys!H60,kosztorys!H61,kosztorys!H62,kosztorys!H63,kosztorys!H64,kosztorys!H65)</f>
        <v>1729395.2120193983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3:33" ht="13" customHeight="1">
      <c r="C58" s="149">
        <v>4</v>
      </c>
      <c r="D58" s="1" t="s">
        <v>32</v>
      </c>
      <c r="E58" s="3" t="s">
        <v>15</v>
      </c>
      <c r="F58" s="163">
        <f>basic!H13*F55</f>
        <v>371085.15600000002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3:33" ht="13" customHeight="1">
      <c r="C59" s="149">
        <v>5</v>
      </c>
      <c r="D59" s="1" t="s">
        <v>182</v>
      </c>
      <c r="E59" s="3" t="s">
        <v>15</v>
      </c>
      <c r="F59" s="171">
        <f>F55-F58</f>
        <v>1484340.6240000001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</row>
    <row r="60" spans="3:33" ht="13" customHeight="1">
      <c r="C60" s="150" t="s">
        <v>75</v>
      </c>
      <c r="D60" s="33" t="s">
        <v>35</v>
      </c>
      <c r="E60" s="3" t="s">
        <v>9</v>
      </c>
      <c r="F60" s="166">
        <f>basic!H14</f>
        <v>5.0999999999999997E-2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</row>
    <row r="61" spans="3:33" ht="16">
      <c r="C61" s="150" t="s">
        <v>300</v>
      </c>
      <c r="D61" s="33" t="s">
        <v>36</v>
      </c>
      <c r="E61" s="3" t="s">
        <v>9</v>
      </c>
      <c r="F61" s="166">
        <f>basic!H15</f>
        <v>1.4999999999999999E-2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</row>
    <row r="62" spans="3:33">
      <c r="C62" s="150" t="s">
        <v>313</v>
      </c>
      <c r="D62" s="33" t="s">
        <v>55</v>
      </c>
      <c r="E62" s="3" t="s">
        <v>57</v>
      </c>
      <c r="F62" s="27">
        <v>15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</row>
    <row r="63" spans="3:33" ht="2" customHeight="1">
      <c r="C63" s="150"/>
    </row>
    <row r="64" spans="3:33">
      <c r="C64" s="150" t="s">
        <v>416</v>
      </c>
      <c r="D64" s="15" t="s">
        <v>180</v>
      </c>
      <c r="E64" s="17" t="s">
        <v>15</v>
      </c>
      <c r="F64" s="45"/>
      <c r="G64" s="45"/>
      <c r="H64" s="20">
        <f>SUM(H65:H67)</f>
        <v>104973.87986963785</v>
      </c>
      <c r="I64" s="20">
        <f t="shared" ref="I64:AG64" si="5">SUM(I65:I67)</f>
        <v>141786.46373080777</v>
      </c>
      <c r="J64" s="20">
        <f t="shared" si="5"/>
        <v>141786.46373080777</v>
      </c>
      <c r="K64" s="20">
        <f t="shared" si="5"/>
        <v>141786.46373080774</v>
      </c>
      <c r="L64" s="20">
        <f t="shared" si="5"/>
        <v>141786.46373080777</v>
      </c>
      <c r="M64" s="20">
        <f t="shared" si="5"/>
        <v>141786.46373080774</v>
      </c>
      <c r="N64" s="20">
        <f t="shared" si="5"/>
        <v>141786.46373080774</v>
      </c>
      <c r="O64" s="20">
        <f t="shared" si="5"/>
        <v>141786.46373080774</v>
      </c>
      <c r="P64" s="20">
        <f t="shared" si="5"/>
        <v>141786.46373080774</v>
      </c>
      <c r="Q64" s="20">
        <f t="shared" si="5"/>
        <v>141786.46373080777</v>
      </c>
      <c r="R64" s="20">
        <f t="shared" si="5"/>
        <v>141786.46373080777</v>
      </c>
      <c r="S64" s="20">
        <f t="shared" si="5"/>
        <v>141786.46373080774</v>
      </c>
      <c r="T64" s="20">
        <f t="shared" si="5"/>
        <v>141786.46373080777</v>
      </c>
      <c r="U64" s="20">
        <f t="shared" si="5"/>
        <v>141786.46373080774</v>
      </c>
      <c r="V64" s="20">
        <f t="shared" si="5"/>
        <v>141786.46373080777</v>
      </c>
      <c r="W64" s="20">
        <f t="shared" si="5"/>
        <v>59077.693221169873</v>
      </c>
      <c r="X64" s="20">
        <f t="shared" si="5"/>
        <v>0</v>
      </c>
      <c r="Y64" s="20">
        <f t="shared" si="5"/>
        <v>0</v>
      </c>
      <c r="Z64" s="20">
        <f t="shared" si="5"/>
        <v>0</v>
      </c>
      <c r="AA64" s="20">
        <f t="shared" si="5"/>
        <v>0</v>
      </c>
      <c r="AB64" s="20">
        <f t="shared" si="5"/>
        <v>0</v>
      </c>
      <c r="AC64" s="20">
        <f t="shared" si="5"/>
        <v>0</v>
      </c>
      <c r="AD64" s="20">
        <f t="shared" si="5"/>
        <v>0</v>
      </c>
      <c r="AE64" s="20">
        <f t="shared" si="5"/>
        <v>0</v>
      </c>
      <c r="AF64" s="20">
        <f t="shared" si="5"/>
        <v>0</v>
      </c>
      <c r="AG64" s="20">
        <f t="shared" si="5"/>
        <v>0</v>
      </c>
    </row>
    <row r="65" spans="2:33">
      <c r="C65" s="150" t="s">
        <v>301</v>
      </c>
      <c r="D65" s="33" t="s">
        <v>178</v>
      </c>
      <c r="E65" s="3" t="s">
        <v>15</v>
      </c>
      <c r="F65" s="37"/>
      <c r="H65" s="13">
        <f>SUM(kalkulator!F$14:F$20)</f>
        <v>39044.641165000648</v>
      </c>
      <c r="I65" s="13">
        <f>SUM(kalkulator!F$21:F$32)</f>
        <v>69690.413970778027</v>
      </c>
      <c r="J65" s="13">
        <f>SUM(kalkulator!F$33:F$44)</f>
        <v>73328.893061857176</v>
      </c>
      <c r="K65" s="13">
        <f>SUM(kalkulator!F$45:F$56)</f>
        <v>77157.334148308728</v>
      </c>
      <c r="L65" s="13">
        <f>SUM(kalkulator!F$57:F$68)</f>
        <v>81185.654989389484</v>
      </c>
      <c r="M65" s="13">
        <f>SUM(kalkulator!F$69:F$80)</f>
        <v>85424.291142394984</v>
      </c>
      <c r="N65" s="13">
        <f>SUM(kalkulator!F$81:F$92)</f>
        <v>89884.222996468787</v>
      </c>
      <c r="O65" s="13">
        <f>SUM(kalkulator!F$93:F$104)</f>
        <v>94577.004217824127</v>
      </c>
      <c r="P65" s="13">
        <f>SUM(kalkulator!F$105:F$116)</f>
        <v>99514.791680067501</v>
      </c>
      <c r="Q65" s="13">
        <f>SUM(kalkulator!F$117:F$128)</f>
        <v>104710.37695715955</v>
      </c>
      <c r="R65" s="13">
        <f>SUM(kalkulator!F$129:F$140)</f>
        <v>110177.21946059758</v>
      </c>
      <c r="S65" s="13">
        <f>SUM(kalkulator!F$141:F$152)</f>
        <v>115929.48130666316</v>
      </c>
      <c r="T65" s="13">
        <f>SUM(kalkulator!F$153:F$164)</f>
        <v>121982.06400405991</v>
      </c>
      <c r="U65" s="13">
        <f>SUM(kalkulator!F$165:F$176)</f>
        <v>128350.6470569824</v>
      </c>
      <c r="V65" s="13">
        <f>SUM(kalkulator!F$177:F$188)</f>
        <v>135051.72858362008</v>
      </c>
      <c r="W65" s="13">
        <f>SUM(kalkulator!F$189:F$200)</f>
        <v>58331.859258827375</v>
      </c>
      <c r="X65" s="13">
        <f>SUM(kalkulator!F$201:F$212)</f>
        <v>-6.3393524363370328E-11</v>
      </c>
      <c r="Y65" s="13">
        <f>SUM(kalkulator!F$213:F$224)</f>
        <v>-6.6703248036451899E-11</v>
      </c>
      <c r="Z65" s="13">
        <f>SUM(kalkulator!F$225:F$236)</f>
        <v>-7.0185769655414632E-11</v>
      </c>
      <c r="AA65" s="13">
        <f>SUM(kalkulator!F$237:F$248)</f>
        <v>-7.3850110858633801E-11</v>
      </c>
      <c r="AB65" s="13">
        <f>SUM(kalkulator!F$249:F$260)</f>
        <v>-7.770576429679082E-11</v>
      </c>
      <c r="AC65" s="13">
        <f>SUM(kalkulator!F$261:F$272)</f>
        <v>-8.1762718224037567E-11</v>
      </c>
      <c r="AD65" s="13">
        <f>SUM(kalkulator!F$273:F$284)</f>
        <v>-8.6031482373045197E-11</v>
      </c>
      <c r="AE65" s="13">
        <f>SUM(kalkulator!F$285:F$296)</f>
        <v>-9.0523115180967999E-11</v>
      </c>
      <c r="AF65" s="13">
        <f>SUM(kalkulator!F$297:F$308)</f>
        <v>-9.5249252436852423E-11</v>
      </c>
      <c r="AG65" s="13">
        <f>SUM(kalkulator!F$309:F$320)</f>
        <v>-4.1140280438653155E-11</v>
      </c>
    </row>
    <row r="66" spans="2:33">
      <c r="C66" s="150" t="s">
        <v>302</v>
      </c>
      <c r="D66" s="33" t="s">
        <v>179</v>
      </c>
      <c r="E66" s="3" t="s">
        <v>15</v>
      </c>
      <c r="F66" s="37"/>
      <c r="H66" s="13">
        <f>SUM(kalkulator!E$14:E$20)</f>
        <v>43664.1293446372</v>
      </c>
      <c r="I66" s="13">
        <f>SUM(kalkulator!E$21:E$32)</f>
        <v>72096.049760029724</v>
      </c>
      <c r="J66" s="13">
        <f>SUM(kalkulator!E$33:E$44)</f>
        <v>68457.570668950575</v>
      </c>
      <c r="K66" s="13">
        <f>SUM(kalkulator!E$45:E$56)</f>
        <v>64629.129582499016</v>
      </c>
      <c r="L66" s="13">
        <f>SUM(kalkulator!E$57:E$68)</f>
        <v>60600.808741418274</v>
      </c>
      <c r="M66" s="13">
        <f>SUM(kalkulator!E$69:E$80)</f>
        <v>56362.172588412752</v>
      </c>
      <c r="N66" s="13">
        <f>SUM(kalkulator!E$81:E$92)</f>
        <v>51902.240734338957</v>
      </c>
      <c r="O66" s="13">
        <f>SUM(kalkulator!E$93:E$104)</f>
        <v>47209.459512983609</v>
      </c>
      <c r="P66" s="13">
        <f>SUM(kalkulator!E$105:E$116)</f>
        <v>42271.672050740242</v>
      </c>
      <c r="Q66" s="13">
        <f>SUM(kalkulator!E$117:E$128)</f>
        <v>37076.086773648203</v>
      </c>
      <c r="R66" s="13">
        <f>SUM(kalkulator!E$129:E$140)</f>
        <v>31609.244270210169</v>
      </c>
      <c r="S66" s="13">
        <f>SUM(kalkulator!E$141:E$152)</f>
        <v>25856.982424144564</v>
      </c>
      <c r="T66" s="13">
        <f>SUM(kalkulator!E$153:E$164)</f>
        <v>19804.399726747841</v>
      </c>
      <c r="U66" s="13">
        <f>SUM(kalkulator!E$165:E$176)</f>
        <v>13435.816673825331</v>
      </c>
      <c r="V66" s="13">
        <f>SUM(kalkulator!E$177:E$188)</f>
        <v>6734.7351471876837</v>
      </c>
      <c r="W66" s="13">
        <f>SUM(kalkulator!E$189:E$200)</f>
        <v>745.83396234250176</v>
      </c>
      <c r="X66" s="13">
        <f>SUM(kalkulator!E$201:E$212)</f>
        <v>6.3393524363370328E-11</v>
      </c>
      <c r="Y66" s="13">
        <f>SUM(kalkulator!E$213:E$224)</f>
        <v>6.6703248036451899E-11</v>
      </c>
      <c r="Z66" s="13">
        <f>SUM(kalkulator!E$225:E$236)</f>
        <v>7.0185769655414632E-11</v>
      </c>
      <c r="AA66" s="13">
        <f>SUM(kalkulator!E$237:E$248)</f>
        <v>7.3850110858633801E-11</v>
      </c>
      <c r="AB66" s="13">
        <f>SUM(kalkulator!E$249:E$260)</f>
        <v>7.770576429679082E-11</v>
      </c>
      <c r="AC66" s="13">
        <f>SUM(kalkulator!E$261:E$272)</f>
        <v>8.1762718224037567E-11</v>
      </c>
      <c r="AD66" s="13">
        <f>SUM(kalkulator!E$273:E$284)</f>
        <v>8.6031482373045197E-11</v>
      </c>
      <c r="AE66" s="13">
        <f>SUM(kalkulator!E$285:E$296)</f>
        <v>9.0523115180967999E-11</v>
      </c>
      <c r="AF66" s="13">
        <f>SUM(kalkulator!E$297:E$308)</f>
        <v>9.5249252436852423E-11</v>
      </c>
      <c r="AG66" s="13">
        <f>SUM(kalkulator!E$309:E$320)</f>
        <v>4.1140280438653155E-11</v>
      </c>
    </row>
    <row r="67" spans="2:33">
      <c r="C67" s="150" t="s">
        <v>303</v>
      </c>
      <c r="D67" s="33" t="s">
        <v>190</v>
      </c>
      <c r="E67" s="3" t="s">
        <v>15</v>
      </c>
      <c r="F67" s="37"/>
      <c r="H67" s="13">
        <f>kalkulator!D13</f>
        <v>22265.109359999999</v>
      </c>
      <c r="I67" s="73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 spans="2:33">
      <c r="C68" s="150" t="s">
        <v>419</v>
      </c>
      <c r="D68" s="33" t="s">
        <v>191</v>
      </c>
      <c r="E68" s="3" t="s">
        <v>15</v>
      </c>
      <c r="F68" s="37"/>
      <c r="H68" s="13">
        <f>kalkulator!$G20</f>
        <v>1445295.9828349994</v>
      </c>
      <c r="I68" s="13">
        <f>H68-I65</f>
        <v>1375605.5688642215</v>
      </c>
      <c r="J68" s="13">
        <f t="shared" ref="J68:AG68" si="6">I68-J65</f>
        <v>1302276.6758023642</v>
      </c>
      <c r="K68" s="13">
        <f t="shared" si="6"/>
        <v>1225119.3416540555</v>
      </c>
      <c r="L68" s="13">
        <f t="shared" si="6"/>
        <v>1143933.686664666</v>
      </c>
      <c r="M68" s="13">
        <f t="shared" si="6"/>
        <v>1058509.3955222711</v>
      </c>
      <c r="N68" s="13">
        <f t="shared" si="6"/>
        <v>968625.17252580228</v>
      </c>
      <c r="O68" s="13">
        <f t="shared" si="6"/>
        <v>874048.16830797819</v>
      </c>
      <c r="P68" s="13">
        <f t="shared" si="6"/>
        <v>774533.37662791065</v>
      </c>
      <c r="Q68" s="13">
        <f t="shared" si="6"/>
        <v>669822.99967075116</v>
      </c>
      <c r="R68" s="13">
        <f t="shared" si="6"/>
        <v>559645.78021015355</v>
      </c>
      <c r="S68" s="13">
        <f t="shared" si="6"/>
        <v>443716.29890349042</v>
      </c>
      <c r="T68" s="13">
        <f t="shared" si="6"/>
        <v>321734.23489943054</v>
      </c>
      <c r="U68" s="13">
        <f t="shared" si="6"/>
        <v>193383.58784244815</v>
      </c>
      <c r="V68" s="13">
        <f t="shared" si="6"/>
        <v>58331.859258828074</v>
      </c>
      <c r="W68" s="13">
        <f t="shared" si="6"/>
        <v>6.9849193096160889E-10</v>
      </c>
      <c r="X68" s="13">
        <f t="shared" si="6"/>
        <v>7.6188545532497927E-10</v>
      </c>
      <c r="Y68" s="13">
        <f t="shared" si="6"/>
        <v>8.2858870336143115E-10</v>
      </c>
      <c r="Z68" s="13">
        <f t="shared" si="6"/>
        <v>8.9877447301684582E-10</v>
      </c>
      <c r="AA68" s="13">
        <f t="shared" si="6"/>
        <v>9.7262458387547955E-10</v>
      </c>
      <c r="AB68" s="13">
        <f t="shared" si="6"/>
        <v>1.0503303481722703E-9</v>
      </c>
      <c r="AC68" s="13">
        <f t="shared" si="6"/>
        <v>1.1320930663963078E-9</v>
      </c>
      <c r="AD68" s="13">
        <f t="shared" si="6"/>
        <v>1.2181245487693531E-9</v>
      </c>
      <c r="AE68" s="13">
        <f t="shared" si="6"/>
        <v>1.3086476639503211E-9</v>
      </c>
      <c r="AF68" s="13">
        <f t="shared" si="6"/>
        <v>1.4038969163871735E-9</v>
      </c>
      <c r="AG68" s="13">
        <f t="shared" si="6"/>
        <v>1.4450371968258267E-9</v>
      </c>
    </row>
    <row r="69" spans="2:33" ht="2" customHeight="1"/>
    <row r="70" spans="2:33" s="16" customFormat="1">
      <c r="C70" s="23" t="s">
        <v>39</v>
      </c>
      <c r="D70" s="24" t="s">
        <v>26</v>
      </c>
      <c r="E70" s="25"/>
      <c r="F70" s="25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2:33" ht="2" customHeight="1"/>
    <row r="72" spans="2:33">
      <c r="C72" s="2">
        <v>1</v>
      </c>
      <c r="D72" s="1" t="s">
        <v>266</v>
      </c>
      <c r="E72" s="3" t="s">
        <v>10</v>
      </c>
      <c r="F72" s="27">
        <v>2</v>
      </c>
      <c r="H72" s="9">
        <f t="shared" ref="H72:AG72" si="7">IF($M$3=1,H81,CHOOSE($F$72,H73,H74,H75))</f>
        <v>174.95</v>
      </c>
      <c r="I72" s="9">
        <f t="shared" si="7"/>
        <v>174.95</v>
      </c>
      <c r="J72" s="9">
        <f t="shared" si="7"/>
        <v>174.95</v>
      </c>
      <c r="K72" s="9">
        <f t="shared" si="7"/>
        <v>174.95</v>
      </c>
      <c r="L72" s="9">
        <f t="shared" si="7"/>
        <v>174.95</v>
      </c>
      <c r="M72" s="9">
        <f t="shared" si="7"/>
        <v>174.95</v>
      </c>
      <c r="N72" s="9">
        <f t="shared" si="7"/>
        <v>174.95</v>
      </c>
      <c r="O72" s="9">
        <f t="shared" si="7"/>
        <v>174.95</v>
      </c>
      <c r="P72" s="9">
        <f t="shared" si="7"/>
        <v>174.95</v>
      </c>
      <c r="Q72" s="9">
        <f t="shared" si="7"/>
        <v>174.95</v>
      </c>
      <c r="R72" s="9">
        <f t="shared" si="7"/>
        <v>174.95</v>
      </c>
      <c r="S72" s="9">
        <f t="shared" si="7"/>
        <v>174.95</v>
      </c>
      <c r="T72" s="9">
        <f t="shared" si="7"/>
        <v>174.95</v>
      </c>
      <c r="U72" s="9">
        <f t="shared" si="7"/>
        <v>174.95</v>
      </c>
      <c r="V72" s="9">
        <f t="shared" si="7"/>
        <v>174.95</v>
      </c>
      <c r="W72" s="9">
        <f t="shared" si="7"/>
        <v>174.95</v>
      </c>
      <c r="X72" s="9">
        <f t="shared" si="7"/>
        <v>174.95</v>
      </c>
      <c r="Y72" s="9">
        <f t="shared" si="7"/>
        <v>174.95</v>
      </c>
      <c r="Z72" s="9">
        <f t="shared" si="7"/>
        <v>174.95</v>
      </c>
      <c r="AA72" s="9">
        <f t="shared" si="7"/>
        <v>174.95</v>
      </c>
      <c r="AB72" s="9">
        <f t="shared" si="7"/>
        <v>174.95</v>
      </c>
      <c r="AC72" s="9">
        <f t="shared" si="7"/>
        <v>174.95</v>
      </c>
      <c r="AD72" s="9">
        <f t="shared" si="7"/>
        <v>174.95</v>
      </c>
      <c r="AE72" s="9">
        <f t="shared" si="7"/>
        <v>174.95</v>
      </c>
      <c r="AF72" s="9">
        <f t="shared" si="7"/>
        <v>174.95</v>
      </c>
      <c r="AG72" s="9">
        <f t="shared" si="7"/>
        <v>174.95</v>
      </c>
    </row>
    <row r="73" spans="2:33">
      <c r="B73" s="99">
        <v>1</v>
      </c>
      <c r="C73" s="2" t="s">
        <v>48</v>
      </c>
      <c r="D73" s="33" t="s">
        <v>391</v>
      </c>
      <c r="E73" s="3" t="s">
        <v>10</v>
      </c>
      <c r="F73" s="28">
        <v>5.0000000000000001E-3</v>
      </c>
      <c r="H73" s="9">
        <f>H81</f>
        <v>174.95</v>
      </c>
      <c r="I73" s="9">
        <f>H73*(1+$F$73)</f>
        <v>175.82474999999997</v>
      </c>
      <c r="J73" s="9">
        <f t="shared" ref="J73:AE73" si="8">I73*(1+$F$73)</f>
        <v>176.70387374999996</v>
      </c>
      <c r="K73" s="9">
        <f t="shared" si="8"/>
        <v>177.58739311874993</v>
      </c>
      <c r="L73" s="9">
        <f t="shared" si="8"/>
        <v>178.47533008434365</v>
      </c>
      <c r="M73" s="9">
        <f t="shared" si="8"/>
        <v>179.36770673476536</v>
      </c>
      <c r="N73" s="9">
        <f t="shared" si="8"/>
        <v>180.26454526843918</v>
      </c>
      <c r="O73" s="9">
        <f t="shared" si="8"/>
        <v>181.16586799478137</v>
      </c>
      <c r="P73" s="9">
        <f t="shared" si="8"/>
        <v>182.07169733475524</v>
      </c>
      <c r="Q73" s="9">
        <f t="shared" si="8"/>
        <v>182.98205582142899</v>
      </c>
      <c r="R73" s="9">
        <f t="shared" si="8"/>
        <v>183.8969661005361</v>
      </c>
      <c r="S73" s="9">
        <f t="shared" si="8"/>
        <v>184.81645093103876</v>
      </c>
      <c r="T73" s="9">
        <f t="shared" si="8"/>
        <v>185.74053318569392</v>
      </c>
      <c r="U73" s="9">
        <f t="shared" si="8"/>
        <v>186.66923585162237</v>
      </c>
      <c r="V73" s="9">
        <f t="shared" si="8"/>
        <v>187.60258203088046</v>
      </c>
      <c r="W73" s="9">
        <f t="shared" si="8"/>
        <v>188.54059494103484</v>
      </c>
      <c r="X73" s="9">
        <f t="shared" si="8"/>
        <v>189.48329791574</v>
      </c>
      <c r="Y73" s="9">
        <f t="shared" si="8"/>
        <v>190.43071440531867</v>
      </c>
      <c r="Z73" s="9">
        <f t="shared" si="8"/>
        <v>191.38286797734523</v>
      </c>
      <c r="AA73" s="9">
        <f t="shared" si="8"/>
        <v>192.33978231723194</v>
      </c>
      <c r="AB73" s="9">
        <f t="shared" si="8"/>
        <v>193.30148122881806</v>
      </c>
      <c r="AC73" s="9">
        <f t="shared" si="8"/>
        <v>194.26798863496214</v>
      </c>
      <c r="AD73" s="9">
        <f t="shared" si="8"/>
        <v>195.23932857813693</v>
      </c>
      <c r="AE73" s="9">
        <f t="shared" si="8"/>
        <v>196.2155252210276</v>
      </c>
      <c r="AF73" s="9">
        <f>AE73*(1-$F$73)</f>
        <v>195.23444759492247</v>
      </c>
      <c r="AG73" s="9">
        <f>AF73*(1-$F$73)</f>
        <v>194.25827535694785</v>
      </c>
    </row>
    <row r="74" spans="2:33">
      <c r="B74" s="99">
        <v>2</v>
      </c>
      <c r="C74" s="2" t="s">
        <v>201</v>
      </c>
      <c r="D74" s="33" t="s">
        <v>392</v>
      </c>
      <c r="E74" s="3" t="s">
        <v>10</v>
      </c>
      <c r="F74" s="28">
        <v>0.02</v>
      </c>
      <c r="H74" s="9">
        <f>H81</f>
        <v>174.95</v>
      </c>
      <c r="I74" s="9">
        <f>H74*(1+$F$74)</f>
        <v>178.44899999999998</v>
      </c>
      <c r="J74" s="9">
        <f t="shared" ref="J74:AG74" si="9">I74*(1+$F$74)</f>
        <v>182.01797999999999</v>
      </c>
      <c r="K74" s="9">
        <f t="shared" si="9"/>
        <v>185.65833960000001</v>
      </c>
      <c r="L74" s="9">
        <f t="shared" si="9"/>
        <v>189.37150639200001</v>
      </c>
      <c r="M74" s="9">
        <f t="shared" si="9"/>
        <v>193.15893651984001</v>
      </c>
      <c r="N74" s="9">
        <f t="shared" si="9"/>
        <v>197.02211525023682</v>
      </c>
      <c r="O74" s="9">
        <f t="shared" si="9"/>
        <v>200.96255755524157</v>
      </c>
      <c r="P74" s="9">
        <f t="shared" si="9"/>
        <v>204.98180870634641</v>
      </c>
      <c r="Q74" s="9">
        <f t="shared" si="9"/>
        <v>209.08144488047336</v>
      </c>
      <c r="R74" s="9">
        <f t="shared" si="9"/>
        <v>213.26307377808283</v>
      </c>
      <c r="S74" s="9">
        <f t="shared" si="9"/>
        <v>217.52833525364449</v>
      </c>
      <c r="T74" s="9">
        <f t="shared" si="9"/>
        <v>221.87890195871739</v>
      </c>
      <c r="U74" s="9">
        <f t="shared" si="9"/>
        <v>226.31647999789175</v>
      </c>
      <c r="V74" s="9">
        <f t="shared" si="9"/>
        <v>230.84280959784959</v>
      </c>
      <c r="W74" s="9">
        <f t="shared" si="9"/>
        <v>235.45966578980659</v>
      </c>
      <c r="X74" s="9">
        <f t="shared" si="9"/>
        <v>240.16885910560273</v>
      </c>
      <c r="Y74" s="9">
        <f t="shared" si="9"/>
        <v>244.97223628771479</v>
      </c>
      <c r="Z74" s="9">
        <f t="shared" si="9"/>
        <v>249.8716810134691</v>
      </c>
      <c r="AA74" s="9">
        <f t="shared" si="9"/>
        <v>254.86911463373849</v>
      </c>
      <c r="AB74" s="9">
        <f t="shared" si="9"/>
        <v>259.96649692641324</v>
      </c>
      <c r="AC74" s="9">
        <f t="shared" si="9"/>
        <v>265.16582686494149</v>
      </c>
      <c r="AD74" s="9">
        <f t="shared" si="9"/>
        <v>270.46914340224032</v>
      </c>
      <c r="AE74" s="9">
        <f t="shared" si="9"/>
        <v>275.87852627028514</v>
      </c>
      <c r="AF74" s="9">
        <f t="shared" si="9"/>
        <v>281.39609679569082</v>
      </c>
      <c r="AG74" s="9">
        <f t="shared" si="9"/>
        <v>287.02401873160466</v>
      </c>
    </row>
    <row r="75" spans="2:33">
      <c r="B75" s="99">
        <v>3</v>
      </c>
      <c r="C75" s="2" t="s">
        <v>202</v>
      </c>
      <c r="D75" s="33" t="s">
        <v>267</v>
      </c>
      <c r="E75" s="3" t="s">
        <v>10</v>
      </c>
      <c r="F75" s="28">
        <v>0.04</v>
      </c>
      <c r="H75" s="9">
        <f>H81</f>
        <v>174.95</v>
      </c>
      <c r="I75" s="9">
        <f>H75*(1+$F$75)</f>
        <v>181.94800000000001</v>
      </c>
      <c r="J75" s="9">
        <f t="shared" ref="J75:AG75" si="10">I75*(1+$F$75)</f>
        <v>189.22592</v>
      </c>
      <c r="K75" s="9">
        <f t="shared" si="10"/>
        <v>196.79495680000002</v>
      </c>
      <c r="L75" s="9">
        <f t="shared" si="10"/>
        <v>204.66675507200003</v>
      </c>
      <c r="M75" s="9">
        <f t="shared" si="10"/>
        <v>212.85342527488004</v>
      </c>
      <c r="N75" s="9">
        <f t="shared" si="10"/>
        <v>221.36756228587524</v>
      </c>
      <c r="O75" s="9">
        <f t="shared" si="10"/>
        <v>230.22226477731024</v>
      </c>
      <c r="P75" s="9">
        <f t="shared" si="10"/>
        <v>239.43115536840267</v>
      </c>
      <c r="Q75" s="9">
        <f t="shared" si="10"/>
        <v>249.00840158313878</v>
      </c>
      <c r="R75" s="9">
        <f t="shared" si="10"/>
        <v>258.96873764646432</v>
      </c>
      <c r="S75" s="9">
        <f t="shared" si="10"/>
        <v>269.32748715232287</v>
      </c>
      <c r="T75" s="9">
        <f t="shared" si="10"/>
        <v>280.10058663841579</v>
      </c>
      <c r="U75" s="9">
        <f t="shared" si="10"/>
        <v>291.30461010395243</v>
      </c>
      <c r="V75" s="9">
        <f t="shared" si="10"/>
        <v>302.95679450811053</v>
      </c>
      <c r="W75" s="9">
        <f t="shared" si="10"/>
        <v>315.07506628843498</v>
      </c>
      <c r="X75" s="9">
        <f t="shared" si="10"/>
        <v>327.67806893997238</v>
      </c>
      <c r="Y75" s="9">
        <f t="shared" si="10"/>
        <v>340.78519169757129</v>
      </c>
      <c r="Z75" s="9">
        <f t="shared" si="10"/>
        <v>354.41659936547416</v>
      </c>
      <c r="AA75" s="9">
        <f t="shared" si="10"/>
        <v>368.59326334009313</v>
      </c>
      <c r="AB75" s="9">
        <f t="shared" si="10"/>
        <v>383.33699387369688</v>
      </c>
      <c r="AC75" s="9">
        <f t="shared" si="10"/>
        <v>398.6704736286448</v>
      </c>
      <c r="AD75" s="9">
        <f t="shared" si="10"/>
        <v>414.61729257379062</v>
      </c>
      <c r="AE75" s="9">
        <f t="shared" si="10"/>
        <v>431.20198427674228</v>
      </c>
      <c r="AF75" s="9">
        <f t="shared" si="10"/>
        <v>448.45006364781199</v>
      </c>
      <c r="AG75" s="9">
        <f t="shared" si="10"/>
        <v>466.38806619372446</v>
      </c>
    </row>
    <row r="76" spans="2:33" ht="2" customHeight="1"/>
    <row r="77" spans="2:33">
      <c r="C77" s="2">
        <v>2</v>
      </c>
      <c r="D77" s="1" t="s">
        <v>265</v>
      </c>
      <c r="E77" s="3" t="s">
        <v>10</v>
      </c>
      <c r="F77" s="37"/>
      <c r="H77" s="9">
        <f>IF($M$3=1,H78-H81,0)</f>
        <v>172.25</v>
      </c>
      <c r="I77" s="9">
        <f t="shared" ref="I77:AG77" si="11">IF($M$3=1,I78-I81,0)</f>
        <v>178.15239999999994</v>
      </c>
      <c r="J77" s="9">
        <f t="shared" si="11"/>
        <v>185.21444799999995</v>
      </c>
      <c r="K77" s="9">
        <f t="shared" si="11"/>
        <v>192.41773695999996</v>
      </c>
      <c r="L77" s="9">
        <f t="shared" si="11"/>
        <v>199.76509169919996</v>
      </c>
      <c r="M77" s="9">
        <f t="shared" si="11"/>
        <v>207.25939353318398</v>
      </c>
      <c r="N77" s="9">
        <f t="shared" si="11"/>
        <v>214.90358140384768</v>
      </c>
      <c r="O77" s="9">
        <f t="shared" si="11"/>
        <v>222.70065303192462</v>
      </c>
      <c r="P77" s="9">
        <f t="shared" si="11"/>
        <v>230.65366609256313</v>
      </c>
      <c r="Q77" s="9">
        <f t="shared" si="11"/>
        <v>238.76573941441438</v>
      </c>
      <c r="R77" s="9">
        <f t="shared" si="11"/>
        <v>247.04005420270266</v>
      </c>
      <c r="S77" s="9">
        <f t="shared" si="11"/>
        <v>255.47985528675673</v>
      </c>
      <c r="T77" s="9">
        <f t="shared" si="11"/>
        <v>264.08845239249189</v>
      </c>
      <c r="U77" s="9">
        <f t="shared" si="11"/>
        <v>272.86922144034173</v>
      </c>
      <c r="V77" s="9">
        <f t="shared" si="11"/>
        <v>281.82560586914855</v>
      </c>
      <c r="W77" s="9">
        <f>IF($M$3=1,W78-W81,0)</f>
        <v>278.47802870953871</v>
      </c>
      <c r="X77" s="9">
        <f t="shared" si="11"/>
        <v>65.218859105602746</v>
      </c>
      <c r="Y77" s="9">
        <f t="shared" si="11"/>
        <v>70.022236287714804</v>
      </c>
      <c r="Z77" s="9">
        <f t="shared" si="11"/>
        <v>74.921681013469112</v>
      </c>
      <c r="AA77" s="9">
        <f t="shared" si="11"/>
        <v>79.919114633738502</v>
      </c>
      <c r="AB77" s="9">
        <f t="shared" si="11"/>
        <v>85.016496926413254</v>
      </c>
      <c r="AC77" s="9">
        <f t="shared" si="11"/>
        <v>90.215826864941505</v>
      </c>
      <c r="AD77" s="9">
        <f t="shared" si="11"/>
        <v>95.519143402240331</v>
      </c>
      <c r="AE77" s="9">
        <f t="shared" si="11"/>
        <v>100.92852627028515</v>
      </c>
      <c r="AF77" s="9">
        <f t="shared" si="11"/>
        <v>106.44609679569083</v>
      </c>
      <c r="AG77" s="9">
        <f t="shared" si="11"/>
        <v>112.07401873160467</v>
      </c>
    </row>
    <row r="78" spans="2:33" ht="16">
      <c r="C78" s="2" t="s">
        <v>258</v>
      </c>
      <c r="D78" s="33" t="s">
        <v>264</v>
      </c>
      <c r="E78" s="3" t="s">
        <v>10</v>
      </c>
      <c r="F78" s="168">
        <f>basic!H16</f>
        <v>347.2</v>
      </c>
      <c r="H78" s="9">
        <f>F78</f>
        <v>347.2</v>
      </c>
      <c r="I78" s="9">
        <f>H78*(1+H33)</f>
        <v>353.10239999999993</v>
      </c>
      <c r="J78" s="9">
        <f t="shared" ref="J78:V78" si="12">I78*(1+I33)</f>
        <v>360.16444799999994</v>
      </c>
      <c r="K78" s="9">
        <f t="shared" si="12"/>
        <v>367.36773695999995</v>
      </c>
      <c r="L78" s="9">
        <f t="shared" si="12"/>
        <v>374.71509169919995</v>
      </c>
      <c r="M78" s="9">
        <f t="shared" si="12"/>
        <v>382.20939353318397</v>
      </c>
      <c r="N78" s="9">
        <f t="shared" si="12"/>
        <v>389.85358140384767</v>
      </c>
      <c r="O78" s="9">
        <f t="shared" si="12"/>
        <v>397.65065303192461</v>
      </c>
      <c r="P78" s="9">
        <f t="shared" si="12"/>
        <v>405.60366609256312</v>
      </c>
      <c r="Q78" s="9">
        <f t="shared" si="12"/>
        <v>413.71573941441437</v>
      </c>
      <c r="R78" s="9">
        <f t="shared" si="12"/>
        <v>421.99005420270265</v>
      </c>
      <c r="S78" s="9">
        <f t="shared" si="12"/>
        <v>430.42985528675672</v>
      </c>
      <c r="T78" s="9">
        <f t="shared" si="12"/>
        <v>439.03845239249188</v>
      </c>
      <c r="U78" s="9">
        <f t="shared" si="12"/>
        <v>447.81922144034172</v>
      </c>
      <c r="V78" s="9">
        <f t="shared" si="12"/>
        <v>456.77560586914854</v>
      </c>
      <c r="W78" s="147">
        <f>(V78*(1+V33)*(1-(H25/F25)))+(X78*(1-((F25-H25)/F25)))</f>
        <v>453.42802870953869</v>
      </c>
      <c r="X78" s="147">
        <f>F79</f>
        <v>240.16885910560273</v>
      </c>
      <c r="Y78" s="9">
        <f t="shared" ref="Y78:AG78" si="13">X78*(1+Y33)</f>
        <v>244.97223628771479</v>
      </c>
      <c r="Z78" s="9">
        <f t="shared" si="13"/>
        <v>249.8716810134691</v>
      </c>
      <c r="AA78" s="9">
        <f t="shared" si="13"/>
        <v>254.86911463373849</v>
      </c>
      <c r="AB78" s="9">
        <f t="shared" si="13"/>
        <v>259.96649692641324</v>
      </c>
      <c r="AC78" s="9">
        <f t="shared" si="13"/>
        <v>265.16582686494149</v>
      </c>
      <c r="AD78" s="9">
        <f t="shared" si="13"/>
        <v>270.46914340224032</v>
      </c>
      <c r="AE78" s="9">
        <f t="shared" si="13"/>
        <v>275.87852627028514</v>
      </c>
      <c r="AF78" s="9">
        <f t="shared" si="13"/>
        <v>281.39609679569082</v>
      </c>
      <c r="AG78" s="9">
        <f t="shared" si="13"/>
        <v>287.02401873160466</v>
      </c>
    </row>
    <row r="79" spans="2:33">
      <c r="C79" s="2" t="s">
        <v>259</v>
      </c>
      <c r="D79" s="33" t="s">
        <v>205</v>
      </c>
      <c r="E79" s="3" t="s">
        <v>10</v>
      </c>
      <c r="F79" s="100">
        <f>CHOOSE(F72,X73,X74,X75)</f>
        <v>240.16885910560273</v>
      </c>
      <c r="H79" s="73"/>
      <c r="I79" s="73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</row>
    <row r="80" spans="2:33">
      <c r="B80" s="33"/>
      <c r="C80" s="2" t="s">
        <v>260</v>
      </c>
      <c r="D80" s="33" t="s">
        <v>200</v>
      </c>
      <c r="E80" s="3" t="s">
        <v>10</v>
      </c>
      <c r="F80" s="43">
        <v>465</v>
      </c>
      <c r="H80" s="73"/>
      <c r="I80" s="73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</row>
    <row r="81" spans="3:35">
      <c r="C81" s="2" t="s">
        <v>261</v>
      </c>
      <c r="D81" s="33" t="s">
        <v>199</v>
      </c>
      <c r="E81" s="3" t="s">
        <v>10</v>
      </c>
      <c r="F81" s="43">
        <v>174.95</v>
      </c>
      <c r="H81" s="9">
        <f>F81</f>
        <v>174.95</v>
      </c>
      <c r="I81" s="9">
        <f>H81</f>
        <v>174.95</v>
      </c>
      <c r="J81" s="9">
        <f t="shared" ref="J81:AG81" si="14">I81</f>
        <v>174.95</v>
      </c>
      <c r="K81" s="9">
        <f t="shared" si="14"/>
        <v>174.95</v>
      </c>
      <c r="L81" s="9">
        <f t="shared" si="14"/>
        <v>174.95</v>
      </c>
      <c r="M81" s="9">
        <f t="shared" si="14"/>
        <v>174.95</v>
      </c>
      <c r="N81" s="9">
        <f t="shared" si="14"/>
        <v>174.95</v>
      </c>
      <c r="O81" s="9">
        <f t="shared" si="14"/>
        <v>174.95</v>
      </c>
      <c r="P81" s="9">
        <f t="shared" si="14"/>
        <v>174.95</v>
      </c>
      <c r="Q81" s="9">
        <f t="shared" si="14"/>
        <v>174.95</v>
      </c>
      <c r="R81" s="9">
        <f t="shared" si="14"/>
        <v>174.95</v>
      </c>
      <c r="S81" s="9">
        <f t="shared" si="14"/>
        <v>174.95</v>
      </c>
      <c r="T81" s="9">
        <f t="shared" si="14"/>
        <v>174.95</v>
      </c>
      <c r="U81" s="9">
        <f t="shared" si="14"/>
        <v>174.95</v>
      </c>
      <c r="V81" s="9">
        <f t="shared" si="14"/>
        <v>174.95</v>
      </c>
      <c r="W81" s="9">
        <f t="shared" si="14"/>
        <v>174.95</v>
      </c>
      <c r="X81" s="9">
        <f t="shared" si="14"/>
        <v>174.95</v>
      </c>
      <c r="Y81" s="9">
        <f t="shared" si="14"/>
        <v>174.95</v>
      </c>
      <c r="Z81" s="9">
        <f t="shared" si="14"/>
        <v>174.95</v>
      </c>
      <c r="AA81" s="9">
        <f t="shared" si="14"/>
        <v>174.95</v>
      </c>
      <c r="AB81" s="9">
        <f t="shared" si="14"/>
        <v>174.95</v>
      </c>
      <c r="AC81" s="9">
        <f t="shared" si="14"/>
        <v>174.95</v>
      </c>
      <c r="AD81" s="9">
        <f t="shared" si="14"/>
        <v>174.95</v>
      </c>
      <c r="AE81" s="9">
        <f t="shared" si="14"/>
        <v>174.95</v>
      </c>
      <c r="AF81" s="9">
        <f t="shared" si="14"/>
        <v>174.95</v>
      </c>
      <c r="AG81" s="9">
        <f t="shared" si="14"/>
        <v>174.95</v>
      </c>
    </row>
    <row r="82" spans="3:35">
      <c r="C82" s="2" t="s">
        <v>262</v>
      </c>
      <c r="D82" s="33" t="s">
        <v>204</v>
      </c>
      <c r="E82" s="3" t="s">
        <v>12</v>
      </c>
      <c r="F82" s="14">
        <f>SUM(I25:W25)</f>
        <v>7348.2997753375312</v>
      </c>
      <c r="H82" s="73"/>
      <c r="I82" s="73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</row>
    <row r="83" spans="3:35">
      <c r="C83" s="2" t="s">
        <v>263</v>
      </c>
      <c r="D83" s="33" t="s">
        <v>203</v>
      </c>
      <c r="E83" s="3" t="s">
        <v>15</v>
      </c>
      <c r="F83" s="14">
        <f>(F80-F81)*F82</f>
        <v>2131374.3498366508</v>
      </c>
      <c r="H83" s="73"/>
      <c r="I83" s="73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</row>
    <row r="84" spans="3:35">
      <c r="C84" s="2" t="s">
        <v>311</v>
      </c>
      <c r="D84" s="33" t="s">
        <v>312</v>
      </c>
      <c r="E84" s="3" t="s">
        <v>10</v>
      </c>
      <c r="F84" s="43">
        <v>-117.80000000000001</v>
      </c>
      <c r="H84" s="73"/>
      <c r="I84" s="73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</row>
    <row r="85" spans="3:35" ht="2" customHeight="1"/>
    <row r="86" spans="3:35">
      <c r="C86" s="2">
        <v>3</v>
      </c>
      <c r="D86" s="1" t="s">
        <v>14</v>
      </c>
      <c r="E86" s="3" t="s">
        <v>15</v>
      </c>
      <c r="F86" s="73">
        <f>(F80-F78)*F82</f>
        <v>865629.71353476122</v>
      </c>
      <c r="H86" s="13">
        <f>H25*SUM(H77+H72)</f>
        <v>10068.799999999999</v>
      </c>
      <c r="I86" s="13">
        <f>I25*SUM(I77+I72)</f>
        <v>184118.72181854252</v>
      </c>
      <c r="J86" s="13">
        <f t="shared" ref="J86:AG86" si="15">J25*SUM(J77+J72)</f>
        <v>185912.28035892424</v>
      </c>
      <c r="K86" s="13">
        <f t="shared" si="15"/>
        <v>187770.88283162712</v>
      </c>
      <c r="L86" s="13">
        <f t="shared" si="15"/>
        <v>189696.12125350779</v>
      </c>
      <c r="M86" s="13">
        <f t="shared" si="15"/>
        <v>191689.65446388058</v>
      </c>
      <c r="N86" s="13">
        <f t="shared" si="15"/>
        <v>193753.21047848187</v>
      </c>
      <c r="O86" s="13">
        <f t="shared" si="15"/>
        <v>195888.58895488895</v>
      </c>
      <c r="P86" s="13">
        <f t="shared" si="15"/>
        <v>198097.66377426253</v>
      </c>
      <c r="Q86" s="13">
        <f t="shared" si="15"/>
        <v>200382.38574453685</v>
      </c>
      <c r="R86" s="13">
        <f t="shared" si="15"/>
        <v>202744.7854304513</v>
      </c>
      <c r="S86" s="13">
        <f t="shared" si="15"/>
        <v>205186.97611609718</v>
      </c>
      <c r="T86" s="13">
        <f t="shared" si="15"/>
        <v>207711.15690595217</v>
      </c>
      <c r="U86" s="13">
        <f t="shared" si="15"/>
        <v>210319.61597068535</v>
      </c>
      <c r="V86" s="13">
        <f t="shared" si="15"/>
        <v>213014.73394434509</v>
      </c>
      <c r="W86" s="13">
        <f t="shared" si="15"/>
        <v>210017.11638344661</v>
      </c>
      <c r="X86" s="13">
        <f t="shared" si="15"/>
        <v>110512.77669765755</v>
      </c>
      <c r="Y86" s="13">
        <f t="shared" si="15"/>
        <v>112013.92005073273</v>
      </c>
      <c r="Z86" s="13">
        <f t="shared" si="15"/>
        <v>113564.17557077867</v>
      </c>
      <c r="AA86" s="13">
        <f t="shared" si="15"/>
        <v>115165.00870024419</v>
      </c>
      <c r="AB86" s="13">
        <f t="shared" si="15"/>
        <v>116817.94372824141</v>
      </c>
      <c r="AC86" s="13">
        <f t="shared" si="15"/>
        <v>118524.56615236838</v>
      </c>
      <c r="AD86" s="13">
        <f t="shared" si="15"/>
        <v>120286.52515088765</v>
      </c>
      <c r="AE86" s="13">
        <f t="shared" si="15"/>
        <v>122105.53617055001</v>
      </c>
      <c r="AF86" s="13">
        <f t="shared" si="15"/>
        <v>123983.38363563144</v>
      </c>
      <c r="AG86" s="13">
        <f t="shared" si="15"/>
        <v>125921.92378404479</v>
      </c>
    </row>
    <row r="87" spans="3:35" ht="2" customHeight="1"/>
    <row r="88" spans="3:35" ht="2" customHeight="1"/>
    <row r="89" spans="3:35" s="16" customFormat="1">
      <c r="C89" s="23" t="s">
        <v>82</v>
      </c>
      <c r="D89" s="24" t="s">
        <v>28</v>
      </c>
      <c r="E89" s="25"/>
      <c r="F89" s="142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3:35" ht="2" customHeight="1"/>
    <row r="91" spans="3:35">
      <c r="C91" s="15">
        <v>1</v>
      </c>
      <c r="D91" s="16" t="s">
        <v>45</v>
      </c>
      <c r="E91" s="17"/>
      <c r="F91" s="45"/>
      <c r="G91" s="16"/>
      <c r="H91" s="20">
        <f>H92</f>
        <v>34587.904240387965</v>
      </c>
      <c r="I91" s="20">
        <f t="shared" ref="I91:Y91" si="16">I92</f>
        <v>121057.6648413579</v>
      </c>
      <c r="J91" s="20">
        <f t="shared" si="16"/>
        <v>121057.6648413579</v>
      </c>
      <c r="K91" s="20">
        <f t="shared" si="16"/>
        <v>121057.6648413579</v>
      </c>
      <c r="L91" s="20">
        <f t="shared" si="16"/>
        <v>121057.6648413579</v>
      </c>
      <c r="M91" s="20">
        <f t="shared" si="16"/>
        <v>121057.6648413579</v>
      </c>
      <c r="N91" s="20">
        <f t="shared" si="16"/>
        <v>121057.6648413579</v>
      </c>
      <c r="O91" s="20">
        <f t="shared" si="16"/>
        <v>121057.6648413579</v>
      </c>
      <c r="P91" s="20">
        <f t="shared" si="16"/>
        <v>121057.6648413579</v>
      </c>
      <c r="Q91" s="20">
        <f t="shared" si="16"/>
        <v>121057.6648413579</v>
      </c>
      <c r="R91" s="20">
        <f t="shared" si="16"/>
        <v>121057.6648413579</v>
      </c>
      <c r="S91" s="20">
        <f t="shared" si="16"/>
        <v>121057.6648413579</v>
      </c>
      <c r="T91" s="20">
        <f t="shared" si="16"/>
        <v>121057.6648413579</v>
      </c>
      <c r="U91" s="20">
        <f t="shared" si="16"/>
        <v>121057.6648413579</v>
      </c>
      <c r="V91" s="20">
        <f t="shared" si="16"/>
        <v>121057.6648413579</v>
      </c>
      <c r="W91" s="20">
        <f t="shared" si="16"/>
        <v>0</v>
      </c>
      <c r="X91" s="20">
        <f t="shared" si="16"/>
        <v>0</v>
      </c>
      <c r="Y91" s="20">
        <f t="shared" si="16"/>
        <v>0</v>
      </c>
      <c r="Z91" s="20">
        <f t="shared" ref="Z91:AG91" si="17">Z92</f>
        <v>0</v>
      </c>
      <c r="AA91" s="20">
        <f t="shared" si="17"/>
        <v>0</v>
      </c>
      <c r="AB91" s="20">
        <f t="shared" si="17"/>
        <v>0</v>
      </c>
      <c r="AC91" s="20">
        <f t="shared" si="17"/>
        <v>0</v>
      </c>
      <c r="AD91" s="20">
        <f t="shared" si="17"/>
        <v>0</v>
      </c>
      <c r="AE91" s="20">
        <f t="shared" si="17"/>
        <v>0</v>
      </c>
      <c r="AF91" s="20">
        <f t="shared" si="17"/>
        <v>0</v>
      </c>
      <c r="AG91" s="20">
        <f t="shared" si="17"/>
        <v>0</v>
      </c>
    </row>
    <row r="92" spans="3:35">
      <c r="C92" s="2" t="s">
        <v>48</v>
      </c>
      <c r="D92" s="33" t="s">
        <v>420</v>
      </c>
      <c r="E92" s="3" t="s">
        <v>15</v>
      </c>
      <c r="F92" s="37"/>
      <c r="G92" s="37"/>
      <c r="H92" s="13">
        <f>$F$57*H93</f>
        <v>34587.904240387965</v>
      </c>
      <c r="I92" s="13">
        <f>$F$57*I93</f>
        <v>121057.6648413579</v>
      </c>
      <c r="J92" s="13">
        <f t="shared" ref="J92:T92" si="18">$F$57*J93</f>
        <v>121057.6648413579</v>
      </c>
      <c r="K92" s="13">
        <f t="shared" si="18"/>
        <v>121057.6648413579</v>
      </c>
      <c r="L92" s="13">
        <f t="shared" si="18"/>
        <v>121057.6648413579</v>
      </c>
      <c r="M92" s="13">
        <f t="shared" si="18"/>
        <v>121057.6648413579</v>
      </c>
      <c r="N92" s="13">
        <f t="shared" si="18"/>
        <v>121057.6648413579</v>
      </c>
      <c r="O92" s="13">
        <f t="shared" si="18"/>
        <v>121057.6648413579</v>
      </c>
      <c r="P92" s="13">
        <f t="shared" si="18"/>
        <v>121057.6648413579</v>
      </c>
      <c r="Q92" s="13">
        <f t="shared" si="18"/>
        <v>121057.6648413579</v>
      </c>
      <c r="R92" s="13">
        <f t="shared" si="18"/>
        <v>121057.6648413579</v>
      </c>
      <c r="S92" s="13">
        <f t="shared" si="18"/>
        <v>121057.6648413579</v>
      </c>
      <c r="T92" s="13">
        <f t="shared" si="18"/>
        <v>121057.6648413579</v>
      </c>
      <c r="U92" s="13">
        <f>$F$57*U93</f>
        <v>121057.6648413579</v>
      </c>
      <c r="V92" s="13">
        <f>$F$57*V93</f>
        <v>121057.6648413579</v>
      </c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13"/>
      <c r="AI92" s="13"/>
    </row>
    <row r="93" spans="3:35">
      <c r="C93" s="1"/>
      <c r="D93" s="34" t="s">
        <v>49</v>
      </c>
      <c r="E93" s="3" t="s">
        <v>9</v>
      </c>
      <c r="F93" s="28">
        <v>7.0000000000000007E-2</v>
      </c>
      <c r="H93" s="6">
        <v>0.02</v>
      </c>
      <c r="I93" s="6">
        <f>F93</f>
        <v>7.0000000000000007E-2</v>
      </c>
      <c r="J93" s="6">
        <f>I93</f>
        <v>7.0000000000000007E-2</v>
      </c>
      <c r="K93" s="6">
        <f t="shared" ref="K93:U93" si="19">J93</f>
        <v>7.0000000000000007E-2</v>
      </c>
      <c r="L93" s="6">
        <f t="shared" si="19"/>
        <v>7.0000000000000007E-2</v>
      </c>
      <c r="M93" s="6">
        <f t="shared" si="19"/>
        <v>7.0000000000000007E-2</v>
      </c>
      <c r="N93" s="6">
        <f t="shared" si="19"/>
        <v>7.0000000000000007E-2</v>
      </c>
      <c r="O93" s="6">
        <f t="shared" si="19"/>
        <v>7.0000000000000007E-2</v>
      </c>
      <c r="P93" s="6">
        <f t="shared" si="19"/>
        <v>7.0000000000000007E-2</v>
      </c>
      <c r="Q93" s="6">
        <f t="shared" si="19"/>
        <v>7.0000000000000007E-2</v>
      </c>
      <c r="R93" s="6">
        <f t="shared" si="19"/>
        <v>7.0000000000000007E-2</v>
      </c>
      <c r="S93" s="6">
        <f t="shared" si="19"/>
        <v>7.0000000000000007E-2</v>
      </c>
      <c r="T93" s="6">
        <f t="shared" si="19"/>
        <v>7.0000000000000007E-2</v>
      </c>
      <c r="U93" s="6">
        <f t="shared" si="19"/>
        <v>7.0000000000000007E-2</v>
      </c>
      <c r="V93" s="6">
        <v>7.0000000000000007E-2</v>
      </c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</row>
    <row r="94" spans="3:35" ht="2" customHeight="1"/>
    <row r="95" spans="3:35">
      <c r="C95" s="15">
        <v>2</v>
      </c>
      <c r="D95" s="16" t="s">
        <v>46</v>
      </c>
      <c r="E95" s="17" t="s">
        <v>15</v>
      </c>
      <c r="F95" s="27">
        <v>0</v>
      </c>
      <c r="G95" s="16"/>
      <c r="H95" s="16">
        <f>F95</f>
        <v>0</v>
      </c>
      <c r="I95" s="16">
        <f t="shared" ref="I95:AG95" si="20">G95</f>
        <v>0</v>
      </c>
      <c r="J95" s="16">
        <f t="shared" si="20"/>
        <v>0</v>
      </c>
      <c r="K95" s="16">
        <f t="shared" si="20"/>
        <v>0</v>
      </c>
      <c r="L95" s="16">
        <f t="shared" si="20"/>
        <v>0</v>
      </c>
      <c r="M95" s="16">
        <f t="shared" si="20"/>
        <v>0</v>
      </c>
      <c r="N95" s="16">
        <f t="shared" si="20"/>
        <v>0</v>
      </c>
      <c r="O95" s="16">
        <f t="shared" si="20"/>
        <v>0</v>
      </c>
      <c r="P95" s="16">
        <f t="shared" si="20"/>
        <v>0</v>
      </c>
      <c r="Q95" s="16">
        <f t="shared" si="20"/>
        <v>0</v>
      </c>
      <c r="R95" s="16">
        <f t="shared" si="20"/>
        <v>0</v>
      </c>
      <c r="S95" s="16">
        <f t="shared" si="20"/>
        <v>0</v>
      </c>
      <c r="T95" s="16">
        <f t="shared" si="20"/>
        <v>0</v>
      </c>
      <c r="U95" s="16">
        <f t="shared" si="20"/>
        <v>0</v>
      </c>
      <c r="V95" s="16">
        <f t="shared" si="20"/>
        <v>0</v>
      </c>
      <c r="W95" s="16">
        <f t="shared" si="20"/>
        <v>0</v>
      </c>
      <c r="X95" s="16">
        <f t="shared" si="20"/>
        <v>0</v>
      </c>
      <c r="Y95" s="16">
        <f t="shared" si="20"/>
        <v>0</v>
      </c>
      <c r="Z95" s="16">
        <f t="shared" si="20"/>
        <v>0</v>
      </c>
      <c r="AA95" s="16">
        <f t="shared" si="20"/>
        <v>0</v>
      </c>
      <c r="AB95" s="16">
        <f t="shared" si="20"/>
        <v>0</v>
      </c>
      <c r="AC95" s="16">
        <f t="shared" si="20"/>
        <v>0</v>
      </c>
      <c r="AD95" s="16">
        <f t="shared" si="20"/>
        <v>0</v>
      </c>
      <c r="AE95" s="16">
        <f t="shared" si="20"/>
        <v>0</v>
      </c>
      <c r="AF95" s="16">
        <f t="shared" si="20"/>
        <v>0</v>
      </c>
      <c r="AG95" s="16">
        <f t="shared" si="20"/>
        <v>0</v>
      </c>
    </row>
    <row r="96" spans="3:35" ht="2" customHeight="1"/>
    <row r="97" spans="3:33">
      <c r="C97" s="15">
        <v>3</v>
      </c>
      <c r="D97" s="16" t="s">
        <v>47</v>
      </c>
      <c r="E97" s="17" t="s">
        <v>15</v>
      </c>
      <c r="F97" s="45"/>
      <c r="G97" s="16"/>
      <c r="H97" s="20">
        <f>SUM(H98:H103,H106)</f>
        <v>2525</v>
      </c>
      <c r="I97" s="20">
        <f t="shared" ref="I97:AG97" si="21">SUM(I98:I103,I106)</f>
        <v>12962.468045463564</v>
      </c>
      <c r="J97" s="20">
        <f t="shared" si="21"/>
        <v>13174.497008973107</v>
      </c>
      <c r="K97" s="20">
        <f t="shared" si="21"/>
        <v>13391.495870790679</v>
      </c>
      <c r="L97" s="20">
        <f t="shared" si="21"/>
        <v>13613.571307337694</v>
      </c>
      <c r="M97" s="20">
        <f t="shared" si="21"/>
        <v>13840.833003117015</v>
      </c>
      <c r="N97" s="20">
        <f t="shared" si="21"/>
        <v>14073.393736312446</v>
      </c>
      <c r="O97" s="20">
        <f t="shared" si="21"/>
        <v>14311.369467709632</v>
      </c>
      <c r="P97" s="20">
        <f t="shared" si="21"/>
        <v>14554.879433070721</v>
      </c>
      <c r="Q97" s="20">
        <f t="shared" si="21"/>
        <v>14804.046239101863</v>
      </c>
      <c r="R97" s="20">
        <f t="shared" si="21"/>
        <v>15058.99596315949</v>
      </c>
      <c r="S97" s="20">
        <f t="shared" si="21"/>
        <v>15319.858256848604</v>
      </c>
      <c r="T97" s="20">
        <f t="shared" si="21"/>
        <v>15586.766453673901</v>
      </c>
      <c r="U97" s="20">
        <f t="shared" si="21"/>
        <v>15859.857680912733</v>
      </c>
      <c r="V97" s="20">
        <f t="shared" si="21"/>
        <v>16139.272975887141</v>
      </c>
      <c r="W97" s="20">
        <f t="shared" si="21"/>
        <v>16280.610629410248</v>
      </c>
      <c r="X97" s="20">
        <f t="shared" si="21"/>
        <v>17250.786374220566</v>
      </c>
      <c r="Y97" s="20">
        <f t="shared" si="21"/>
        <v>17475.802101704976</v>
      </c>
      <c r="Z97" s="20">
        <f t="shared" si="21"/>
        <v>17705.318143739074</v>
      </c>
      <c r="AA97" s="20">
        <f t="shared" si="21"/>
        <v>17939.424506613857</v>
      </c>
      <c r="AB97" s="20">
        <f t="shared" si="21"/>
        <v>18178.212996746133</v>
      </c>
      <c r="AC97" s="20">
        <f t="shared" si="21"/>
        <v>18421.777256681056</v>
      </c>
      <c r="AD97" s="20">
        <f t="shared" si="21"/>
        <v>18670.212801814676</v>
      </c>
      <c r="AE97" s="20">
        <f t="shared" si="21"/>
        <v>18923.61705785097</v>
      </c>
      <c r="AF97" s="20">
        <f t="shared" si="21"/>
        <v>19182.089399007993</v>
      </c>
      <c r="AG97" s="20">
        <f t="shared" si="21"/>
        <v>19445.731186988152</v>
      </c>
    </row>
    <row r="98" spans="3:33">
      <c r="C98" s="2" t="s">
        <v>44</v>
      </c>
      <c r="D98" s="33" t="s">
        <v>16</v>
      </c>
      <c r="E98" s="3" t="s">
        <v>15</v>
      </c>
      <c r="F98" s="44">
        <f>basic!H17</f>
        <v>150</v>
      </c>
      <c r="H98" s="13">
        <f>F98*12*0.5</f>
        <v>900</v>
      </c>
      <c r="I98" s="13">
        <f>F98*12</f>
        <v>1800</v>
      </c>
      <c r="J98" s="13">
        <f t="shared" ref="J98:AG98" si="22">I98*(1+I33)</f>
        <v>1836</v>
      </c>
      <c r="K98" s="13">
        <f t="shared" si="22"/>
        <v>1872.72</v>
      </c>
      <c r="L98" s="13">
        <f t="shared" si="22"/>
        <v>1910.1744000000001</v>
      </c>
      <c r="M98" s="13">
        <f t="shared" si="22"/>
        <v>1948.3778880000002</v>
      </c>
      <c r="N98" s="13">
        <f t="shared" si="22"/>
        <v>1987.3454457600003</v>
      </c>
      <c r="O98" s="13">
        <f t="shared" si="22"/>
        <v>2027.0923546752003</v>
      </c>
      <c r="P98" s="13">
        <f t="shared" si="22"/>
        <v>2067.6342017687043</v>
      </c>
      <c r="Q98" s="13">
        <f t="shared" si="22"/>
        <v>2108.9868858040786</v>
      </c>
      <c r="R98" s="13">
        <f t="shared" si="22"/>
        <v>2151.1666235201601</v>
      </c>
      <c r="S98" s="13">
        <f t="shared" si="22"/>
        <v>2194.1899559905632</v>
      </c>
      <c r="T98" s="13">
        <f t="shared" si="22"/>
        <v>2238.0737551103743</v>
      </c>
      <c r="U98" s="13">
        <f t="shared" si="22"/>
        <v>2282.8352302125818</v>
      </c>
      <c r="V98" s="13">
        <f t="shared" si="22"/>
        <v>2328.4919348168337</v>
      </c>
      <c r="W98" s="13">
        <f t="shared" si="22"/>
        <v>2375.0617735131705</v>
      </c>
      <c r="X98" s="13">
        <f t="shared" si="22"/>
        <v>2422.563008983434</v>
      </c>
      <c r="Y98" s="13">
        <f t="shared" si="22"/>
        <v>2471.0142691631027</v>
      </c>
      <c r="Z98" s="13">
        <f t="shared" si="22"/>
        <v>2520.4345545463648</v>
      </c>
      <c r="AA98" s="13">
        <f t="shared" si="22"/>
        <v>2570.8432456372921</v>
      </c>
      <c r="AB98" s="13">
        <f t="shared" si="22"/>
        <v>2622.260110550038</v>
      </c>
      <c r="AC98" s="13">
        <f t="shared" si="22"/>
        <v>2674.7053127610388</v>
      </c>
      <c r="AD98" s="13">
        <f t="shared" si="22"/>
        <v>2728.1994190162595</v>
      </c>
      <c r="AE98" s="13">
        <f t="shared" si="22"/>
        <v>2782.7634073965846</v>
      </c>
      <c r="AF98" s="13">
        <f t="shared" si="22"/>
        <v>2838.4186755445162</v>
      </c>
      <c r="AG98" s="13">
        <f t="shared" si="22"/>
        <v>2895.1870490554065</v>
      </c>
    </row>
    <row r="99" spans="3:33">
      <c r="C99" s="2" t="s">
        <v>59</v>
      </c>
      <c r="D99" s="33" t="s">
        <v>56</v>
      </c>
      <c r="E99" s="3" t="s">
        <v>15</v>
      </c>
      <c r="F99" s="44">
        <v>2000</v>
      </c>
      <c r="H99" s="13">
        <f>F99*F46</f>
        <v>500</v>
      </c>
      <c r="I99" s="13">
        <f>F99*(1+H33)</f>
        <v>2033.9999999999998</v>
      </c>
      <c r="J99" s="13">
        <f t="shared" ref="J99:AG99" si="23">I99*(1+I33)</f>
        <v>2074.6799999999998</v>
      </c>
      <c r="K99" s="13">
        <f t="shared" si="23"/>
        <v>2116.1736000000001</v>
      </c>
      <c r="L99" s="13">
        <f t="shared" si="23"/>
        <v>2158.4970720000001</v>
      </c>
      <c r="M99" s="13">
        <f t="shared" si="23"/>
        <v>2201.6670134400001</v>
      </c>
      <c r="N99" s="13">
        <f t="shared" si="23"/>
        <v>2245.7003537088003</v>
      </c>
      <c r="O99" s="13">
        <f t="shared" si="23"/>
        <v>2290.6143607829763</v>
      </c>
      <c r="P99" s="13">
        <f t="shared" si="23"/>
        <v>2336.4266479986359</v>
      </c>
      <c r="Q99" s="13">
        <f t="shared" si="23"/>
        <v>2383.1551809586085</v>
      </c>
      <c r="R99" s="13">
        <f t="shared" si="23"/>
        <v>2430.8182845777806</v>
      </c>
      <c r="S99" s="13">
        <f t="shared" si="23"/>
        <v>2479.4346502693361</v>
      </c>
      <c r="T99" s="13">
        <f t="shared" si="23"/>
        <v>2529.0233432747227</v>
      </c>
      <c r="U99" s="13">
        <f t="shared" si="23"/>
        <v>2579.6038101402173</v>
      </c>
      <c r="V99" s="13">
        <f t="shared" si="23"/>
        <v>2631.1958863430218</v>
      </c>
      <c r="W99" s="13">
        <f t="shared" si="23"/>
        <v>2683.8198040698821</v>
      </c>
      <c r="X99" s="13">
        <f t="shared" si="23"/>
        <v>2737.4962001512799</v>
      </c>
      <c r="Y99" s="13">
        <f t="shared" si="23"/>
        <v>2792.2461241543056</v>
      </c>
      <c r="Z99" s="13">
        <f t="shared" si="23"/>
        <v>2848.0910466373916</v>
      </c>
      <c r="AA99" s="13">
        <f t="shared" si="23"/>
        <v>2905.0528675701394</v>
      </c>
      <c r="AB99" s="13">
        <f t="shared" si="23"/>
        <v>2963.1539249215421</v>
      </c>
      <c r="AC99" s="13">
        <f t="shared" si="23"/>
        <v>3022.4170034199728</v>
      </c>
      <c r="AD99" s="13">
        <f t="shared" si="23"/>
        <v>3082.8653434883722</v>
      </c>
      <c r="AE99" s="13">
        <f t="shared" si="23"/>
        <v>3144.5226503581398</v>
      </c>
      <c r="AF99" s="13">
        <f t="shared" si="23"/>
        <v>3207.4131033653025</v>
      </c>
      <c r="AG99" s="13">
        <f t="shared" si="23"/>
        <v>3271.5613654326085</v>
      </c>
    </row>
    <row r="100" spans="3:33">
      <c r="C100" s="2" t="s">
        <v>60</v>
      </c>
      <c r="D100" s="33" t="s">
        <v>18</v>
      </c>
      <c r="E100" s="3" t="s">
        <v>15</v>
      </c>
      <c r="F100" s="44">
        <v>1500</v>
      </c>
      <c r="H100" s="13">
        <f>F100*F46</f>
        <v>375</v>
      </c>
      <c r="I100" s="13">
        <f>F100*(1+H33)</f>
        <v>1525.4999999999998</v>
      </c>
      <c r="J100" s="13">
        <f t="shared" ref="J100:AG100" si="24">I100*(1+I33)</f>
        <v>1556.0099999999998</v>
      </c>
      <c r="K100" s="13">
        <f t="shared" si="24"/>
        <v>1587.1301999999998</v>
      </c>
      <c r="L100" s="13">
        <f t="shared" si="24"/>
        <v>1618.8728039999999</v>
      </c>
      <c r="M100" s="13">
        <f t="shared" si="24"/>
        <v>1651.2502600799999</v>
      </c>
      <c r="N100" s="13">
        <f t="shared" si="24"/>
        <v>1684.2752652815998</v>
      </c>
      <c r="O100" s="13">
        <f t="shared" si="24"/>
        <v>1717.9607705872318</v>
      </c>
      <c r="P100" s="13">
        <f t="shared" si="24"/>
        <v>1752.3199859989763</v>
      </c>
      <c r="Q100" s="13">
        <f t="shared" si="24"/>
        <v>1787.3663857189558</v>
      </c>
      <c r="R100" s="13">
        <f t="shared" si="24"/>
        <v>1823.1137134333351</v>
      </c>
      <c r="S100" s="13">
        <f t="shared" si="24"/>
        <v>1859.5759877020018</v>
      </c>
      <c r="T100" s="13">
        <f t="shared" si="24"/>
        <v>1896.7675074560418</v>
      </c>
      <c r="U100" s="13">
        <f t="shared" si="24"/>
        <v>1934.7028576051628</v>
      </c>
      <c r="V100" s="13">
        <f t="shared" si="24"/>
        <v>1973.3969147572661</v>
      </c>
      <c r="W100" s="13">
        <f t="shared" si="24"/>
        <v>2012.8648530524115</v>
      </c>
      <c r="X100" s="13">
        <f t="shared" si="24"/>
        <v>2053.1221501134596</v>
      </c>
      <c r="Y100" s="13">
        <f t="shared" si="24"/>
        <v>2094.1845931157291</v>
      </c>
      <c r="Z100" s="13">
        <f t="shared" si="24"/>
        <v>2136.0682849780437</v>
      </c>
      <c r="AA100" s="13">
        <f t="shared" si="24"/>
        <v>2178.7896506776046</v>
      </c>
      <c r="AB100" s="13">
        <f t="shared" si="24"/>
        <v>2222.365443691157</v>
      </c>
      <c r="AC100" s="13">
        <f t="shared" si="24"/>
        <v>2266.8127525649802</v>
      </c>
      <c r="AD100" s="13">
        <f t="shared" si="24"/>
        <v>2312.14900761628</v>
      </c>
      <c r="AE100" s="13">
        <f t="shared" si="24"/>
        <v>2358.3919877686058</v>
      </c>
      <c r="AF100" s="13">
        <f t="shared" si="24"/>
        <v>2405.5598275239781</v>
      </c>
      <c r="AG100" s="13">
        <f t="shared" si="24"/>
        <v>2453.6710240744578</v>
      </c>
    </row>
    <row r="101" spans="3:33">
      <c r="C101" s="2" t="s">
        <v>61</v>
      </c>
      <c r="D101" s="33" t="s">
        <v>17</v>
      </c>
      <c r="E101" s="3" t="s">
        <v>15</v>
      </c>
      <c r="F101" s="28">
        <v>2.5000000000000001E-2</v>
      </c>
      <c r="H101" s="37"/>
      <c r="I101" s="13">
        <f t="shared" ref="I101:W101" si="25">I86*$F$101</f>
        <v>4602.9680454635627</v>
      </c>
      <c r="J101" s="13">
        <f t="shared" si="25"/>
        <v>4647.8070089731063</v>
      </c>
      <c r="K101" s="13">
        <f t="shared" si="25"/>
        <v>4694.2720707906783</v>
      </c>
      <c r="L101" s="13">
        <f t="shared" si="25"/>
        <v>4742.4030313376952</v>
      </c>
      <c r="M101" s="13">
        <f t="shared" si="25"/>
        <v>4792.2413615970145</v>
      </c>
      <c r="N101" s="13">
        <f t="shared" si="25"/>
        <v>4843.8302619620472</v>
      </c>
      <c r="O101" s="13">
        <f t="shared" si="25"/>
        <v>4897.2147238722237</v>
      </c>
      <c r="P101" s="13">
        <f t="shared" si="25"/>
        <v>4952.4415943565637</v>
      </c>
      <c r="Q101" s="13">
        <f t="shared" si="25"/>
        <v>5009.5596436134219</v>
      </c>
      <c r="R101" s="13">
        <f t="shared" si="25"/>
        <v>5068.6196357612826</v>
      </c>
      <c r="S101" s="13">
        <f t="shared" si="25"/>
        <v>5129.6744029024303</v>
      </c>
      <c r="T101" s="13">
        <f t="shared" si="25"/>
        <v>5192.7789226488048</v>
      </c>
      <c r="U101" s="13">
        <f t="shared" si="25"/>
        <v>5257.9903992671343</v>
      </c>
      <c r="V101" s="13">
        <f t="shared" si="25"/>
        <v>5325.3683486086275</v>
      </c>
      <c r="W101" s="13">
        <f t="shared" si="25"/>
        <v>5250.4279095861657</v>
      </c>
      <c r="X101" s="148">
        <v>6000</v>
      </c>
      <c r="Y101" s="13">
        <v>6000</v>
      </c>
      <c r="Z101" s="13">
        <v>6000</v>
      </c>
      <c r="AA101" s="13">
        <v>6000</v>
      </c>
      <c r="AB101" s="13">
        <v>6000</v>
      </c>
      <c r="AC101" s="13">
        <v>6000</v>
      </c>
      <c r="AD101" s="13">
        <v>6000</v>
      </c>
      <c r="AE101" s="13">
        <v>6000</v>
      </c>
      <c r="AF101" s="13">
        <v>6000</v>
      </c>
      <c r="AG101" s="13">
        <v>6000</v>
      </c>
    </row>
    <row r="102" spans="3:33">
      <c r="C102" s="2" t="s">
        <v>62</v>
      </c>
      <c r="D102" s="33" t="s">
        <v>319</v>
      </c>
      <c r="E102" s="3" t="s">
        <v>15</v>
      </c>
      <c r="F102" s="44">
        <v>3000</v>
      </c>
      <c r="H102" s="13">
        <f>F102*0.25</f>
        <v>750</v>
      </c>
      <c r="I102" s="13">
        <f>F102</f>
        <v>3000</v>
      </c>
      <c r="J102" s="13">
        <f t="shared" ref="J102:AG102" si="26">I102*(1+I33)</f>
        <v>3060</v>
      </c>
      <c r="K102" s="13">
        <f t="shared" si="26"/>
        <v>3121.2000000000003</v>
      </c>
      <c r="L102" s="13">
        <f t="shared" si="26"/>
        <v>3183.6240000000003</v>
      </c>
      <c r="M102" s="13">
        <f t="shared" si="26"/>
        <v>3247.2964800000004</v>
      </c>
      <c r="N102" s="13">
        <f t="shared" si="26"/>
        <v>3312.2424096000004</v>
      </c>
      <c r="O102" s="13">
        <f t="shared" si="26"/>
        <v>3378.4872577920005</v>
      </c>
      <c r="P102" s="13">
        <f t="shared" si="26"/>
        <v>3446.0570029478404</v>
      </c>
      <c r="Q102" s="13">
        <f t="shared" si="26"/>
        <v>3514.9781430067974</v>
      </c>
      <c r="R102" s="13">
        <f t="shared" si="26"/>
        <v>3585.2777058669335</v>
      </c>
      <c r="S102" s="13">
        <f t="shared" si="26"/>
        <v>3656.9832599842721</v>
      </c>
      <c r="T102" s="13">
        <f t="shared" si="26"/>
        <v>3730.1229251839577</v>
      </c>
      <c r="U102" s="13">
        <f t="shared" si="26"/>
        <v>3804.7253836876371</v>
      </c>
      <c r="V102" s="13">
        <f t="shared" si="26"/>
        <v>3880.8198913613901</v>
      </c>
      <c r="W102" s="13">
        <f t="shared" si="26"/>
        <v>3958.436289188618</v>
      </c>
      <c r="X102" s="13">
        <f t="shared" si="26"/>
        <v>4037.6050149723906</v>
      </c>
      <c r="Y102" s="13">
        <f t="shared" si="26"/>
        <v>4118.3571152718387</v>
      </c>
      <c r="Z102" s="13">
        <f t="shared" si="26"/>
        <v>4200.7242575772752</v>
      </c>
      <c r="AA102" s="13">
        <f t="shared" si="26"/>
        <v>4284.7387427288204</v>
      </c>
      <c r="AB102" s="13">
        <f t="shared" si="26"/>
        <v>4370.4335175833967</v>
      </c>
      <c r="AC102" s="13">
        <f t="shared" si="26"/>
        <v>4457.8421879350644</v>
      </c>
      <c r="AD102" s="13">
        <f t="shared" si="26"/>
        <v>4546.9990316937656</v>
      </c>
      <c r="AE102" s="13">
        <f t="shared" si="26"/>
        <v>4637.9390123276407</v>
      </c>
      <c r="AF102" s="13">
        <f t="shared" si="26"/>
        <v>4730.697792574194</v>
      </c>
      <c r="AG102" s="13">
        <f t="shared" si="26"/>
        <v>4825.3117484256782</v>
      </c>
    </row>
    <row r="103" spans="3:33">
      <c r="C103" s="2" t="s">
        <v>63</v>
      </c>
      <c r="D103" s="33" t="s">
        <v>20</v>
      </c>
      <c r="E103" s="3" t="s">
        <v>15</v>
      </c>
      <c r="F103" s="37"/>
      <c r="H103" s="13">
        <f t="shared" ref="H103:AG103" si="27">IF($F$12&gt;500,CHOOSE($M$2,H86*$F$104,H105*H25),0)</f>
        <v>0</v>
      </c>
      <c r="I103" s="13">
        <f t="shared" si="27"/>
        <v>0</v>
      </c>
      <c r="J103" s="13">
        <f t="shared" si="27"/>
        <v>0</v>
      </c>
      <c r="K103" s="13">
        <f t="shared" si="27"/>
        <v>0</v>
      </c>
      <c r="L103" s="13">
        <f t="shared" si="27"/>
        <v>0</v>
      </c>
      <c r="M103" s="13">
        <f t="shared" si="27"/>
        <v>0</v>
      </c>
      <c r="N103" s="13">
        <f t="shared" si="27"/>
        <v>0</v>
      </c>
      <c r="O103" s="13">
        <f t="shared" si="27"/>
        <v>0</v>
      </c>
      <c r="P103" s="13">
        <f t="shared" si="27"/>
        <v>0</v>
      </c>
      <c r="Q103" s="13">
        <f t="shared" si="27"/>
        <v>0</v>
      </c>
      <c r="R103" s="13">
        <f t="shared" si="27"/>
        <v>0</v>
      </c>
      <c r="S103" s="13">
        <f t="shared" si="27"/>
        <v>0</v>
      </c>
      <c r="T103" s="13">
        <f t="shared" si="27"/>
        <v>0</v>
      </c>
      <c r="U103" s="13">
        <f t="shared" si="27"/>
        <v>0</v>
      </c>
      <c r="V103" s="13">
        <f t="shared" si="27"/>
        <v>0</v>
      </c>
      <c r="W103" s="13">
        <f t="shared" si="27"/>
        <v>0</v>
      </c>
      <c r="X103" s="13">
        <f t="shared" si="27"/>
        <v>0</v>
      </c>
      <c r="Y103" s="13">
        <f t="shared" si="27"/>
        <v>0</v>
      </c>
      <c r="Z103" s="13">
        <f t="shared" si="27"/>
        <v>0</v>
      </c>
      <c r="AA103" s="13">
        <f t="shared" si="27"/>
        <v>0</v>
      </c>
      <c r="AB103" s="13">
        <f t="shared" si="27"/>
        <v>0</v>
      </c>
      <c r="AC103" s="13">
        <f t="shared" si="27"/>
        <v>0</v>
      </c>
      <c r="AD103" s="13">
        <f t="shared" si="27"/>
        <v>0</v>
      </c>
      <c r="AE103" s="13">
        <f t="shared" si="27"/>
        <v>0</v>
      </c>
      <c r="AF103" s="13">
        <f t="shared" si="27"/>
        <v>0</v>
      </c>
      <c r="AG103" s="13">
        <f t="shared" si="27"/>
        <v>0</v>
      </c>
    </row>
    <row r="104" spans="3:33">
      <c r="D104" s="34" t="s">
        <v>277</v>
      </c>
      <c r="E104" s="3" t="s">
        <v>9</v>
      </c>
      <c r="F104" s="28">
        <v>0.05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3:33">
      <c r="D105" s="34" t="s">
        <v>276</v>
      </c>
      <c r="E105" s="3" t="s">
        <v>10</v>
      </c>
      <c r="F105" s="44">
        <v>16</v>
      </c>
      <c r="H105" s="13">
        <f>F105</f>
        <v>16</v>
      </c>
      <c r="I105" s="13">
        <f t="shared" ref="I105:AG105" si="28">H105*(1+H33)</f>
        <v>16.271999999999998</v>
      </c>
      <c r="J105" s="13">
        <f t="shared" si="28"/>
        <v>16.597439999999999</v>
      </c>
      <c r="K105" s="13">
        <f t="shared" si="28"/>
        <v>16.929388799999998</v>
      </c>
      <c r="L105" s="13">
        <f t="shared" si="28"/>
        <v>17.267976575999999</v>
      </c>
      <c r="M105" s="13">
        <f t="shared" si="28"/>
        <v>17.613336107519999</v>
      </c>
      <c r="N105" s="13">
        <f t="shared" si="28"/>
        <v>17.965602829670399</v>
      </c>
      <c r="O105" s="13">
        <f t="shared" si="28"/>
        <v>18.324914886263809</v>
      </c>
      <c r="P105" s="13">
        <f t="shared" si="28"/>
        <v>18.691413183989084</v>
      </c>
      <c r="Q105" s="13">
        <f t="shared" si="28"/>
        <v>19.065241447668868</v>
      </c>
      <c r="R105" s="13">
        <f t="shared" si="28"/>
        <v>19.446546276622247</v>
      </c>
      <c r="S105" s="13">
        <f t="shared" si="28"/>
        <v>19.835477202154692</v>
      </c>
      <c r="T105" s="13">
        <f t="shared" si="28"/>
        <v>20.232186746197787</v>
      </c>
      <c r="U105" s="13">
        <f t="shared" si="28"/>
        <v>20.636830481121741</v>
      </c>
      <c r="V105" s="13">
        <f t="shared" si="28"/>
        <v>21.049567090744176</v>
      </c>
      <c r="W105" s="13">
        <f t="shared" si="28"/>
        <v>21.470558432559059</v>
      </c>
      <c r="X105" s="13">
        <f t="shared" si="28"/>
        <v>21.899969601210241</v>
      </c>
      <c r="Y105" s="13">
        <f t="shared" si="28"/>
        <v>22.337968993234448</v>
      </c>
      <c r="Z105" s="13">
        <f t="shared" si="28"/>
        <v>22.784728373099139</v>
      </c>
      <c r="AA105" s="13">
        <f t="shared" si="28"/>
        <v>23.240422940561121</v>
      </c>
      <c r="AB105" s="13">
        <f t="shared" si="28"/>
        <v>23.705231399372344</v>
      </c>
      <c r="AC105" s="13">
        <f t="shared" si="28"/>
        <v>24.179336027359792</v>
      </c>
      <c r="AD105" s="13">
        <f t="shared" si="28"/>
        <v>24.66292274790699</v>
      </c>
      <c r="AE105" s="13">
        <f t="shared" si="28"/>
        <v>25.156181202865131</v>
      </c>
      <c r="AF105" s="13">
        <f t="shared" si="28"/>
        <v>25.659304826922433</v>
      </c>
      <c r="AG105" s="13">
        <f t="shared" si="28"/>
        <v>26.172490923460881</v>
      </c>
    </row>
    <row r="106" spans="3:33">
      <c r="C106" s="2" t="s">
        <v>274</v>
      </c>
      <c r="D106" s="33" t="s">
        <v>275</v>
      </c>
      <c r="E106" s="3" t="s">
        <v>15</v>
      </c>
      <c r="F106" s="44">
        <v>2400</v>
      </c>
      <c r="H106" s="13">
        <f>IF($F$12&gt;500,F106*F46,0)</f>
        <v>0</v>
      </c>
      <c r="I106" s="13">
        <f>IF($F$12&gt;500,F106,0)</f>
        <v>0</v>
      </c>
      <c r="J106" s="13">
        <f t="shared" ref="J106:AG106" si="29">I106*(1+I33)</f>
        <v>0</v>
      </c>
      <c r="K106" s="13">
        <f t="shared" si="29"/>
        <v>0</v>
      </c>
      <c r="L106" s="13">
        <f t="shared" si="29"/>
        <v>0</v>
      </c>
      <c r="M106" s="13">
        <f t="shared" si="29"/>
        <v>0</v>
      </c>
      <c r="N106" s="13">
        <f t="shared" si="29"/>
        <v>0</v>
      </c>
      <c r="O106" s="13">
        <f t="shared" si="29"/>
        <v>0</v>
      </c>
      <c r="P106" s="13">
        <f t="shared" si="29"/>
        <v>0</v>
      </c>
      <c r="Q106" s="13">
        <f t="shared" si="29"/>
        <v>0</v>
      </c>
      <c r="R106" s="13">
        <f t="shared" si="29"/>
        <v>0</v>
      </c>
      <c r="S106" s="13">
        <f t="shared" si="29"/>
        <v>0</v>
      </c>
      <c r="T106" s="13">
        <f t="shared" si="29"/>
        <v>0</v>
      </c>
      <c r="U106" s="13">
        <f t="shared" si="29"/>
        <v>0</v>
      </c>
      <c r="V106" s="13">
        <f t="shared" si="29"/>
        <v>0</v>
      </c>
      <c r="W106" s="13">
        <f t="shared" si="29"/>
        <v>0</v>
      </c>
      <c r="X106" s="13">
        <f t="shared" si="29"/>
        <v>0</v>
      </c>
      <c r="Y106" s="13">
        <f t="shared" si="29"/>
        <v>0</v>
      </c>
      <c r="Z106" s="13">
        <f t="shared" si="29"/>
        <v>0</v>
      </c>
      <c r="AA106" s="13">
        <f t="shared" si="29"/>
        <v>0</v>
      </c>
      <c r="AB106" s="13">
        <f t="shared" si="29"/>
        <v>0</v>
      </c>
      <c r="AC106" s="13">
        <f t="shared" si="29"/>
        <v>0</v>
      </c>
      <c r="AD106" s="13">
        <f t="shared" si="29"/>
        <v>0</v>
      </c>
      <c r="AE106" s="13">
        <f t="shared" si="29"/>
        <v>0</v>
      </c>
      <c r="AF106" s="13">
        <f t="shared" si="29"/>
        <v>0</v>
      </c>
      <c r="AG106" s="13">
        <f t="shared" si="29"/>
        <v>0</v>
      </c>
    </row>
    <row r="107" spans="3:33" ht="2" customHeight="1"/>
    <row r="108" spans="3:33">
      <c r="C108" s="15">
        <v>4</v>
      </c>
      <c r="D108" s="16" t="s">
        <v>50</v>
      </c>
      <c r="E108" s="17" t="s">
        <v>15</v>
      </c>
      <c r="F108" s="45"/>
      <c r="G108" s="16"/>
      <c r="H108" s="20">
        <f t="shared" ref="H108:AG108" si="30">SUM(H109)</f>
        <v>1059.8499999999999</v>
      </c>
      <c r="I108" s="20">
        <f t="shared" si="30"/>
        <v>2472.6320999999994</v>
      </c>
      <c r="J108" s="20">
        <f t="shared" si="30"/>
        <v>2522.0847419999996</v>
      </c>
      <c r="K108" s="20">
        <f t="shared" si="30"/>
        <v>2572.5264368399994</v>
      </c>
      <c r="L108" s="20">
        <f t="shared" si="30"/>
        <v>2623.9769655767996</v>
      </c>
      <c r="M108" s="20">
        <f t="shared" si="30"/>
        <v>2676.4565048883355</v>
      </c>
      <c r="N108" s="20">
        <f t="shared" si="30"/>
        <v>2729.985634986102</v>
      </c>
      <c r="O108" s="20">
        <f t="shared" si="30"/>
        <v>2784.5853476858242</v>
      </c>
      <c r="P108" s="20">
        <f t="shared" si="30"/>
        <v>2840.2770546395409</v>
      </c>
      <c r="Q108" s="20">
        <f t="shared" si="30"/>
        <v>2897.0825957323318</v>
      </c>
      <c r="R108" s="20">
        <f t="shared" si="30"/>
        <v>2955.0242476469784</v>
      </c>
      <c r="S108" s="20">
        <f t="shared" si="30"/>
        <v>3014.1247325999179</v>
      </c>
      <c r="T108" s="20">
        <f t="shared" si="30"/>
        <v>3074.4072272519161</v>
      </c>
      <c r="U108" s="20">
        <f t="shared" si="30"/>
        <v>3135.8953717969548</v>
      </c>
      <c r="V108" s="20">
        <f t="shared" si="30"/>
        <v>3198.613279232894</v>
      </c>
      <c r="W108" s="20">
        <f t="shared" si="30"/>
        <v>3262.5855448175516</v>
      </c>
      <c r="X108" s="20">
        <f t="shared" si="30"/>
        <v>3327.8372557139028</v>
      </c>
      <c r="Y108" s="20">
        <f t="shared" si="30"/>
        <v>3394.3940008281807</v>
      </c>
      <c r="Z108" s="20">
        <f t="shared" si="30"/>
        <v>3462.2818808447446</v>
      </c>
      <c r="AA108" s="20">
        <f t="shared" si="30"/>
        <v>3531.5275184616394</v>
      </c>
      <c r="AB108" s="20">
        <f t="shared" si="30"/>
        <v>3602.1580688308723</v>
      </c>
      <c r="AC108" s="20">
        <f t="shared" si="30"/>
        <v>3674.2012302074895</v>
      </c>
      <c r="AD108" s="20">
        <f t="shared" si="30"/>
        <v>3747.6852548116394</v>
      </c>
      <c r="AE108" s="20">
        <f t="shared" si="30"/>
        <v>3822.6389599078725</v>
      </c>
      <c r="AF108" s="20">
        <f t="shared" si="30"/>
        <v>3899.0917391060298</v>
      </c>
      <c r="AG108" s="20">
        <f t="shared" si="30"/>
        <v>3977.0735738881503</v>
      </c>
    </row>
    <row r="109" spans="3:33">
      <c r="C109" s="2" t="s">
        <v>13</v>
      </c>
      <c r="D109" s="33" t="s">
        <v>19</v>
      </c>
      <c r="E109" s="3" t="s">
        <v>15</v>
      </c>
      <c r="F109" s="37"/>
      <c r="H109" s="13">
        <f>SUM(H110,H114)</f>
        <v>1059.8499999999999</v>
      </c>
      <c r="I109" s="13">
        <f>SUM(I110,I114)</f>
        <v>2472.6320999999994</v>
      </c>
      <c r="J109" s="13">
        <f t="shared" ref="J109:AG109" si="31">SUM(J110,J114)</f>
        <v>2522.0847419999996</v>
      </c>
      <c r="K109" s="13">
        <f t="shared" si="31"/>
        <v>2572.5264368399994</v>
      </c>
      <c r="L109" s="13">
        <f t="shared" si="31"/>
        <v>2623.9769655767996</v>
      </c>
      <c r="M109" s="13">
        <f t="shared" si="31"/>
        <v>2676.4565048883355</v>
      </c>
      <c r="N109" s="13">
        <f t="shared" si="31"/>
        <v>2729.985634986102</v>
      </c>
      <c r="O109" s="13">
        <f t="shared" si="31"/>
        <v>2784.5853476858242</v>
      </c>
      <c r="P109" s="13">
        <f t="shared" si="31"/>
        <v>2840.2770546395409</v>
      </c>
      <c r="Q109" s="13">
        <f t="shared" si="31"/>
        <v>2897.0825957323318</v>
      </c>
      <c r="R109" s="13">
        <f t="shared" si="31"/>
        <v>2955.0242476469784</v>
      </c>
      <c r="S109" s="13">
        <f t="shared" si="31"/>
        <v>3014.1247325999179</v>
      </c>
      <c r="T109" s="13">
        <f t="shared" si="31"/>
        <v>3074.4072272519161</v>
      </c>
      <c r="U109" s="13">
        <f t="shared" si="31"/>
        <v>3135.8953717969548</v>
      </c>
      <c r="V109" s="13">
        <f t="shared" si="31"/>
        <v>3198.613279232894</v>
      </c>
      <c r="W109" s="13">
        <f t="shared" si="31"/>
        <v>3262.5855448175516</v>
      </c>
      <c r="X109" s="13">
        <f t="shared" si="31"/>
        <v>3327.8372557139028</v>
      </c>
      <c r="Y109" s="13">
        <f t="shared" si="31"/>
        <v>3394.3940008281807</v>
      </c>
      <c r="Z109" s="13">
        <f t="shared" si="31"/>
        <v>3462.2818808447446</v>
      </c>
      <c r="AA109" s="13">
        <f t="shared" si="31"/>
        <v>3531.5275184616394</v>
      </c>
      <c r="AB109" s="13">
        <f t="shared" si="31"/>
        <v>3602.1580688308723</v>
      </c>
      <c r="AC109" s="13">
        <f t="shared" si="31"/>
        <v>3674.2012302074895</v>
      </c>
      <c r="AD109" s="13">
        <f t="shared" si="31"/>
        <v>3747.6852548116394</v>
      </c>
      <c r="AE109" s="13">
        <f t="shared" si="31"/>
        <v>3822.6389599078725</v>
      </c>
      <c r="AF109" s="13">
        <f t="shared" si="31"/>
        <v>3899.0917391060298</v>
      </c>
      <c r="AG109" s="13">
        <f t="shared" si="31"/>
        <v>3977.0735738881503</v>
      </c>
    </row>
    <row r="110" spans="3:33">
      <c r="C110" s="2" t="s">
        <v>71</v>
      </c>
      <c r="D110" s="34" t="s">
        <v>65</v>
      </c>
      <c r="E110" s="3" t="s">
        <v>15</v>
      </c>
      <c r="F110" s="37"/>
      <c r="H110" s="13">
        <f>$F$112*H111*H113*0.5</f>
        <v>904.05</v>
      </c>
      <c r="I110" s="13">
        <f>$F$112*I111*I113</f>
        <v>1838.8376999999996</v>
      </c>
      <c r="J110" s="13">
        <f t="shared" ref="J110:AG110" si="32">$F$112*J111*J113</f>
        <v>1875.6144539999996</v>
      </c>
      <c r="K110" s="13">
        <f t="shared" si="32"/>
        <v>1913.1267430799999</v>
      </c>
      <c r="L110" s="13">
        <f t="shared" si="32"/>
        <v>1951.3892779415999</v>
      </c>
      <c r="M110" s="13">
        <f t="shared" si="32"/>
        <v>1990.4170635004318</v>
      </c>
      <c r="N110" s="13">
        <f t="shared" si="32"/>
        <v>2030.2254047704403</v>
      </c>
      <c r="O110" s="13">
        <f t="shared" si="32"/>
        <v>2070.8299128658491</v>
      </c>
      <c r="P110" s="13">
        <f t="shared" si="32"/>
        <v>2112.2465111231663</v>
      </c>
      <c r="Q110" s="13">
        <f t="shared" si="32"/>
        <v>2154.4914413456295</v>
      </c>
      <c r="R110" s="13">
        <f t="shared" si="32"/>
        <v>2197.5812701725422</v>
      </c>
      <c r="S110" s="13">
        <f t="shared" si="32"/>
        <v>2241.5328955759928</v>
      </c>
      <c r="T110" s="13">
        <f t="shared" si="32"/>
        <v>2286.3635534875125</v>
      </c>
      <c r="U110" s="13">
        <f t="shared" si="32"/>
        <v>2332.0908245572632</v>
      </c>
      <c r="V110" s="13">
        <f t="shared" si="32"/>
        <v>2378.7326410484084</v>
      </c>
      <c r="W110" s="13">
        <f t="shared" si="32"/>
        <v>2426.3072938693763</v>
      </c>
      <c r="X110" s="13">
        <f t="shared" si="32"/>
        <v>2474.8334397467638</v>
      </c>
      <c r="Y110" s="13">
        <f t="shared" si="32"/>
        <v>2524.3301085416992</v>
      </c>
      <c r="Z110" s="13">
        <f t="shared" si="32"/>
        <v>2574.8167107125332</v>
      </c>
      <c r="AA110" s="13">
        <f t="shared" si="32"/>
        <v>2626.3130449267837</v>
      </c>
      <c r="AB110" s="13">
        <f t="shared" si="32"/>
        <v>2678.8393058253196</v>
      </c>
      <c r="AC110" s="13">
        <f t="shared" si="32"/>
        <v>2732.4160919418259</v>
      </c>
      <c r="AD110" s="13">
        <f t="shared" si="32"/>
        <v>2787.0644137806626</v>
      </c>
      <c r="AE110" s="13">
        <f t="shared" si="32"/>
        <v>2842.805702056276</v>
      </c>
      <c r="AF110" s="13">
        <f t="shared" si="32"/>
        <v>2899.6618160974012</v>
      </c>
      <c r="AG110" s="13">
        <f t="shared" si="32"/>
        <v>2957.6550524193494</v>
      </c>
    </row>
    <row r="111" spans="3:33" ht="15">
      <c r="D111" s="35" t="s">
        <v>66</v>
      </c>
      <c r="E111" s="3" t="s">
        <v>58</v>
      </c>
      <c r="F111" s="14">
        <f>F28*F112</f>
        <v>5740</v>
      </c>
      <c r="H111" s="13">
        <f>F111</f>
        <v>5740</v>
      </c>
      <c r="I111" s="13">
        <f>F111</f>
        <v>5740</v>
      </c>
      <c r="J111" s="13">
        <f>I111</f>
        <v>5740</v>
      </c>
      <c r="K111" s="13">
        <f t="shared" ref="K111:AG111" si="33">J111</f>
        <v>5740</v>
      </c>
      <c r="L111" s="13">
        <f t="shared" si="33"/>
        <v>5740</v>
      </c>
      <c r="M111" s="13">
        <f t="shared" si="33"/>
        <v>5740</v>
      </c>
      <c r="N111" s="13">
        <f t="shared" si="33"/>
        <v>5740</v>
      </c>
      <c r="O111" s="13">
        <f t="shared" si="33"/>
        <v>5740</v>
      </c>
      <c r="P111" s="13">
        <f t="shared" si="33"/>
        <v>5740</v>
      </c>
      <c r="Q111" s="13">
        <f t="shared" si="33"/>
        <v>5740</v>
      </c>
      <c r="R111" s="13">
        <f t="shared" si="33"/>
        <v>5740</v>
      </c>
      <c r="S111" s="13">
        <f t="shared" si="33"/>
        <v>5740</v>
      </c>
      <c r="T111" s="13">
        <f t="shared" si="33"/>
        <v>5740</v>
      </c>
      <c r="U111" s="13">
        <f t="shared" si="33"/>
        <v>5740</v>
      </c>
      <c r="V111" s="13">
        <f t="shared" si="33"/>
        <v>5740</v>
      </c>
      <c r="W111" s="13">
        <f t="shared" si="33"/>
        <v>5740</v>
      </c>
      <c r="X111" s="13">
        <f t="shared" si="33"/>
        <v>5740</v>
      </c>
      <c r="Y111" s="13">
        <f t="shared" si="33"/>
        <v>5740</v>
      </c>
      <c r="Z111" s="13">
        <f t="shared" si="33"/>
        <v>5740</v>
      </c>
      <c r="AA111" s="13">
        <f t="shared" si="33"/>
        <v>5740</v>
      </c>
      <c r="AB111" s="13">
        <f t="shared" si="33"/>
        <v>5740</v>
      </c>
      <c r="AC111" s="13">
        <f t="shared" si="33"/>
        <v>5740</v>
      </c>
      <c r="AD111" s="13">
        <f t="shared" si="33"/>
        <v>5740</v>
      </c>
      <c r="AE111" s="13">
        <f t="shared" si="33"/>
        <v>5740</v>
      </c>
      <c r="AF111" s="13">
        <f t="shared" si="33"/>
        <v>5740</v>
      </c>
      <c r="AG111" s="13">
        <f t="shared" si="33"/>
        <v>5740</v>
      </c>
    </row>
    <row r="112" spans="3:33">
      <c r="D112" s="36" t="s">
        <v>67</v>
      </c>
      <c r="E112" s="3" t="s">
        <v>9</v>
      </c>
      <c r="F112" s="28">
        <v>0.35</v>
      </c>
      <c r="H112" s="37"/>
      <c r="I112" s="101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</row>
    <row r="113" spans="3:33" ht="15">
      <c r="D113" s="35" t="s">
        <v>74</v>
      </c>
      <c r="E113" s="3" t="s">
        <v>64</v>
      </c>
      <c r="F113" s="43">
        <v>0.9</v>
      </c>
      <c r="H113" s="9">
        <f>F113</f>
        <v>0.9</v>
      </c>
      <c r="I113" s="9">
        <f t="shared" ref="I113:AG113" si="34">H113*(1+H33)</f>
        <v>0.91529999999999989</v>
      </c>
      <c r="J113" s="9">
        <f t="shared" si="34"/>
        <v>0.93360599999999994</v>
      </c>
      <c r="K113" s="9">
        <f t="shared" si="34"/>
        <v>0.95227812000000001</v>
      </c>
      <c r="L113" s="9">
        <f t="shared" si="34"/>
        <v>0.9713236824</v>
      </c>
      <c r="M113" s="9">
        <f t="shared" si="34"/>
        <v>0.99075015604799999</v>
      </c>
      <c r="N113" s="9">
        <f t="shared" si="34"/>
        <v>1.0105651591689599</v>
      </c>
      <c r="O113" s="9">
        <f t="shared" si="34"/>
        <v>1.0307764623523392</v>
      </c>
      <c r="P113" s="9">
        <f t="shared" si="34"/>
        <v>1.0513919915993861</v>
      </c>
      <c r="Q113" s="9">
        <f t="shared" si="34"/>
        <v>1.0724198314313738</v>
      </c>
      <c r="R113" s="9">
        <f t="shared" si="34"/>
        <v>1.0938682280600012</v>
      </c>
      <c r="S113" s="9">
        <f t="shared" si="34"/>
        <v>1.1157455926212012</v>
      </c>
      <c r="T113" s="9">
        <f t="shared" si="34"/>
        <v>1.1380605044736252</v>
      </c>
      <c r="U113" s="9">
        <f t="shared" si="34"/>
        <v>1.1608217145630977</v>
      </c>
      <c r="V113" s="9">
        <f t="shared" si="34"/>
        <v>1.1840381488543597</v>
      </c>
      <c r="W113" s="9">
        <f t="shared" si="34"/>
        <v>1.2077189118314469</v>
      </c>
      <c r="X113" s="9">
        <f t="shared" si="34"/>
        <v>1.2318732900680758</v>
      </c>
      <c r="Y113" s="9">
        <f t="shared" si="34"/>
        <v>1.2565107558694373</v>
      </c>
      <c r="Z113" s="9">
        <f t="shared" si="34"/>
        <v>1.2816409709868259</v>
      </c>
      <c r="AA113" s="9">
        <f t="shared" si="34"/>
        <v>1.3072737904065626</v>
      </c>
      <c r="AB113" s="9">
        <f t="shared" si="34"/>
        <v>1.3334192662146938</v>
      </c>
      <c r="AC113" s="9">
        <f t="shared" si="34"/>
        <v>1.3600876515389877</v>
      </c>
      <c r="AD113" s="9">
        <f t="shared" si="34"/>
        <v>1.3872894045697675</v>
      </c>
      <c r="AE113" s="9">
        <f t="shared" si="34"/>
        <v>1.4150351926611628</v>
      </c>
      <c r="AF113" s="9">
        <f t="shared" si="34"/>
        <v>1.4433358965143861</v>
      </c>
      <c r="AG113" s="9">
        <f t="shared" si="34"/>
        <v>1.4722026144446738</v>
      </c>
    </row>
    <row r="114" spans="3:33">
      <c r="C114" s="2" t="s">
        <v>72</v>
      </c>
      <c r="D114" s="34" t="s">
        <v>68</v>
      </c>
      <c r="E114" s="3" t="s">
        <v>15</v>
      </c>
      <c r="F114" s="37"/>
      <c r="H114" s="13">
        <f>H115*H117*0.25</f>
        <v>155.79999999999998</v>
      </c>
      <c r="I114" s="13">
        <f>I115*I117</f>
        <v>633.79439999999988</v>
      </c>
      <c r="J114" s="13">
        <f t="shared" ref="J114:AG114" si="35">J115*J117</f>
        <v>646.47028799999987</v>
      </c>
      <c r="K114" s="13">
        <f t="shared" si="35"/>
        <v>659.39969375999976</v>
      </c>
      <c r="L114" s="13">
        <f t="shared" si="35"/>
        <v>672.58768763519981</v>
      </c>
      <c r="M114" s="13">
        <f t="shared" si="35"/>
        <v>686.03944138790382</v>
      </c>
      <c r="N114" s="13">
        <f t="shared" si="35"/>
        <v>699.76023021566186</v>
      </c>
      <c r="O114" s="13">
        <f t="shared" si="35"/>
        <v>713.75543481997511</v>
      </c>
      <c r="P114" s="13">
        <f t="shared" si="35"/>
        <v>728.03054351637468</v>
      </c>
      <c r="Q114" s="13">
        <f t="shared" si="35"/>
        <v>742.59115438670221</v>
      </c>
      <c r="R114" s="13">
        <f t="shared" si="35"/>
        <v>757.44297747443625</v>
      </c>
      <c r="S114" s="13">
        <f t="shared" si="35"/>
        <v>772.591837023925</v>
      </c>
      <c r="T114" s="13">
        <f t="shared" si="35"/>
        <v>788.04367376440359</v>
      </c>
      <c r="U114" s="13">
        <f t="shared" si="35"/>
        <v>803.8045472396916</v>
      </c>
      <c r="V114" s="13">
        <f t="shared" si="35"/>
        <v>819.88063818448552</v>
      </c>
      <c r="W114" s="13">
        <f t="shared" si="35"/>
        <v>836.27825094817524</v>
      </c>
      <c r="X114" s="13">
        <f t="shared" si="35"/>
        <v>853.00381596713873</v>
      </c>
      <c r="Y114" s="13">
        <f t="shared" si="35"/>
        <v>870.06389228648152</v>
      </c>
      <c r="Z114" s="13">
        <f t="shared" si="35"/>
        <v>887.46517013221114</v>
      </c>
      <c r="AA114" s="13">
        <f t="shared" si="35"/>
        <v>905.21447353485541</v>
      </c>
      <c r="AB114" s="13">
        <f t="shared" si="35"/>
        <v>923.31876300555257</v>
      </c>
      <c r="AC114" s="13">
        <f t="shared" si="35"/>
        <v>941.78513826566359</v>
      </c>
      <c r="AD114" s="13">
        <f t="shared" si="35"/>
        <v>960.62084103097686</v>
      </c>
      <c r="AE114" s="13">
        <f t="shared" si="35"/>
        <v>979.83325785159639</v>
      </c>
      <c r="AF114" s="13">
        <f t="shared" si="35"/>
        <v>999.42992300862841</v>
      </c>
      <c r="AG114" s="13">
        <f t="shared" si="35"/>
        <v>1019.4185214688009</v>
      </c>
    </row>
    <row r="115" spans="3:33" ht="15">
      <c r="D115" s="35" t="s">
        <v>69</v>
      </c>
      <c r="E115" s="3" t="s">
        <v>58</v>
      </c>
      <c r="F115" s="14">
        <f>F28*F116</f>
        <v>32.799999999999997</v>
      </c>
      <c r="H115" s="13">
        <f>F115</f>
        <v>32.799999999999997</v>
      </c>
      <c r="I115" s="13">
        <f>F115</f>
        <v>32.799999999999997</v>
      </c>
      <c r="J115" s="13">
        <f>I115</f>
        <v>32.799999999999997</v>
      </c>
      <c r="K115" s="13">
        <f t="shared" ref="K115:AG115" si="36">J115</f>
        <v>32.799999999999997</v>
      </c>
      <c r="L115" s="13">
        <f t="shared" si="36"/>
        <v>32.799999999999997</v>
      </c>
      <c r="M115" s="13">
        <f t="shared" si="36"/>
        <v>32.799999999999997</v>
      </c>
      <c r="N115" s="13">
        <f t="shared" si="36"/>
        <v>32.799999999999997</v>
      </c>
      <c r="O115" s="13">
        <f t="shared" si="36"/>
        <v>32.799999999999997</v>
      </c>
      <c r="P115" s="13">
        <f t="shared" si="36"/>
        <v>32.799999999999997</v>
      </c>
      <c r="Q115" s="13">
        <f t="shared" si="36"/>
        <v>32.799999999999997</v>
      </c>
      <c r="R115" s="13">
        <f t="shared" si="36"/>
        <v>32.799999999999997</v>
      </c>
      <c r="S115" s="13">
        <f t="shared" si="36"/>
        <v>32.799999999999997</v>
      </c>
      <c r="T115" s="13">
        <f t="shared" si="36"/>
        <v>32.799999999999997</v>
      </c>
      <c r="U115" s="13">
        <f t="shared" si="36"/>
        <v>32.799999999999997</v>
      </c>
      <c r="V115" s="13">
        <f t="shared" si="36"/>
        <v>32.799999999999997</v>
      </c>
      <c r="W115" s="13">
        <f t="shared" si="36"/>
        <v>32.799999999999997</v>
      </c>
      <c r="X115" s="13">
        <f t="shared" si="36"/>
        <v>32.799999999999997</v>
      </c>
      <c r="Y115" s="13">
        <f t="shared" si="36"/>
        <v>32.799999999999997</v>
      </c>
      <c r="Z115" s="13">
        <f t="shared" si="36"/>
        <v>32.799999999999997</v>
      </c>
      <c r="AA115" s="13">
        <f t="shared" si="36"/>
        <v>32.799999999999997</v>
      </c>
      <c r="AB115" s="13">
        <f t="shared" si="36"/>
        <v>32.799999999999997</v>
      </c>
      <c r="AC115" s="13">
        <f t="shared" si="36"/>
        <v>32.799999999999997</v>
      </c>
      <c r="AD115" s="13">
        <f t="shared" si="36"/>
        <v>32.799999999999997</v>
      </c>
      <c r="AE115" s="13">
        <f t="shared" si="36"/>
        <v>32.799999999999997</v>
      </c>
      <c r="AF115" s="13">
        <f t="shared" si="36"/>
        <v>32.799999999999997</v>
      </c>
      <c r="AG115" s="13">
        <f t="shared" si="36"/>
        <v>32.799999999999997</v>
      </c>
    </row>
    <row r="116" spans="3:33">
      <c r="D116" s="36" t="s">
        <v>70</v>
      </c>
      <c r="E116" s="3" t="s">
        <v>9</v>
      </c>
      <c r="F116" s="28">
        <v>2E-3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</row>
    <row r="117" spans="3:33" ht="15">
      <c r="D117" s="35" t="s">
        <v>73</v>
      </c>
      <c r="E117" s="3" t="s">
        <v>64</v>
      </c>
      <c r="F117" s="43">
        <v>19</v>
      </c>
      <c r="H117" s="9">
        <f>F117</f>
        <v>19</v>
      </c>
      <c r="I117" s="9">
        <f t="shared" ref="I117:AG117" si="37">H117*(1+H33)</f>
        <v>19.322999999999997</v>
      </c>
      <c r="J117" s="9">
        <f t="shared" si="37"/>
        <v>19.709459999999996</v>
      </c>
      <c r="K117" s="9">
        <f t="shared" si="37"/>
        <v>20.103649199999996</v>
      </c>
      <c r="L117" s="9">
        <f t="shared" si="37"/>
        <v>20.505722183999996</v>
      </c>
      <c r="M117" s="9">
        <f t="shared" si="37"/>
        <v>20.915836627679997</v>
      </c>
      <c r="N117" s="9">
        <f t="shared" si="37"/>
        <v>21.334153360233596</v>
      </c>
      <c r="O117" s="9">
        <f t="shared" si="37"/>
        <v>21.760836427438267</v>
      </c>
      <c r="P117" s="9">
        <f t="shared" si="37"/>
        <v>22.196053155987034</v>
      </c>
      <c r="Q117" s="9">
        <f t="shared" si="37"/>
        <v>22.639974219106776</v>
      </c>
      <c r="R117" s="9">
        <f t="shared" si="37"/>
        <v>23.092773703488913</v>
      </c>
      <c r="S117" s="9">
        <f t="shared" si="37"/>
        <v>23.554629177558692</v>
      </c>
      <c r="T117" s="9">
        <f t="shared" si="37"/>
        <v>24.025721761109867</v>
      </c>
      <c r="U117" s="9">
        <f t="shared" si="37"/>
        <v>24.506236196332065</v>
      </c>
      <c r="V117" s="9">
        <f t="shared" si="37"/>
        <v>24.996360920258706</v>
      </c>
      <c r="W117" s="9">
        <f t="shared" si="37"/>
        <v>25.496288138663882</v>
      </c>
      <c r="X117" s="9">
        <f t="shared" si="37"/>
        <v>26.00621390143716</v>
      </c>
      <c r="Y117" s="9">
        <f t="shared" si="37"/>
        <v>26.526338179465903</v>
      </c>
      <c r="Z117" s="9">
        <f t="shared" si="37"/>
        <v>27.056864943055221</v>
      </c>
      <c r="AA117" s="9">
        <f t="shared" si="37"/>
        <v>27.598002241916326</v>
      </c>
      <c r="AB117" s="9">
        <f t="shared" si="37"/>
        <v>28.149962286754654</v>
      </c>
      <c r="AC117" s="9">
        <f t="shared" si="37"/>
        <v>28.712961532489746</v>
      </c>
      <c r="AD117" s="9">
        <f t="shared" si="37"/>
        <v>29.28722076313954</v>
      </c>
      <c r="AE117" s="9">
        <f t="shared" si="37"/>
        <v>29.872965178402332</v>
      </c>
      <c r="AF117" s="9">
        <f t="shared" si="37"/>
        <v>30.47042448197038</v>
      </c>
      <c r="AG117" s="9">
        <f t="shared" si="37"/>
        <v>31.079832971609786</v>
      </c>
    </row>
    <row r="118" spans="3:33" ht="2" customHeight="1"/>
    <row r="119" spans="3:33" s="16" customFormat="1">
      <c r="C119" s="15">
        <v>5</v>
      </c>
      <c r="D119" s="16" t="s">
        <v>51</v>
      </c>
      <c r="E119" s="17" t="s">
        <v>15</v>
      </c>
      <c r="F119" s="45"/>
      <c r="H119" s="20">
        <f>SUM(H120)</f>
        <v>0</v>
      </c>
      <c r="I119" s="20">
        <f t="shared" ref="I119:AG119" si="38">SUM(I120)</f>
        <v>0</v>
      </c>
      <c r="J119" s="20">
        <f t="shared" si="38"/>
        <v>0</v>
      </c>
      <c r="K119" s="20">
        <f t="shared" si="38"/>
        <v>0</v>
      </c>
      <c r="L119" s="20">
        <f t="shared" si="38"/>
        <v>0</v>
      </c>
      <c r="M119" s="20">
        <f t="shared" si="38"/>
        <v>0</v>
      </c>
      <c r="N119" s="20">
        <f t="shared" si="38"/>
        <v>0</v>
      </c>
      <c r="O119" s="20">
        <f t="shared" si="38"/>
        <v>0</v>
      </c>
      <c r="P119" s="20">
        <f t="shared" si="38"/>
        <v>0</v>
      </c>
      <c r="Q119" s="20">
        <f t="shared" si="38"/>
        <v>0</v>
      </c>
      <c r="R119" s="20">
        <f t="shared" si="38"/>
        <v>0</v>
      </c>
      <c r="S119" s="20">
        <f t="shared" si="38"/>
        <v>0</v>
      </c>
      <c r="T119" s="20">
        <f t="shared" si="38"/>
        <v>0</v>
      </c>
      <c r="U119" s="20">
        <f t="shared" si="38"/>
        <v>0</v>
      </c>
      <c r="V119" s="20">
        <f t="shared" si="38"/>
        <v>0</v>
      </c>
      <c r="W119" s="20">
        <f t="shared" si="38"/>
        <v>0</v>
      </c>
      <c r="X119" s="20">
        <f t="shared" si="38"/>
        <v>0</v>
      </c>
      <c r="Y119" s="20">
        <f t="shared" si="38"/>
        <v>0</v>
      </c>
      <c r="Z119" s="20">
        <f t="shared" si="38"/>
        <v>0</v>
      </c>
      <c r="AA119" s="20">
        <f t="shared" si="38"/>
        <v>0</v>
      </c>
      <c r="AB119" s="20">
        <f t="shared" si="38"/>
        <v>0</v>
      </c>
      <c r="AC119" s="20">
        <f t="shared" si="38"/>
        <v>0</v>
      </c>
      <c r="AD119" s="20">
        <f t="shared" si="38"/>
        <v>0</v>
      </c>
      <c r="AE119" s="20">
        <f t="shared" si="38"/>
        <v>0</v>
      </c>
      <c r="AF119" s="20">
        <f t="shared" si="38"/>
        <v>0</v>
      </c>
      <c r="AG119" s="20">
        <f t="shared" si="38"/>
        <v>0</v>
      </c>
    </row>
    <row r="120" spans="3:33">
      <c r="C120" s="2" t="s">
        <v>75</v>
      </c>
      <c r="D120" s="33" t="s">
        <v>77</v>
      </c>
      <c r="E120" s="3" t="s">
        <v>15</v>
      </c>
      <c r="F120" s="45"/>
      <c r="H120" s="153">
        <v>0</v>
      </c>
      <c r="I120" s="13">
        <f t="shared" ref="I120:AG120" si="39">IF($F$122&gt;H122,$F$121*12,0)*((1+H33)^H122)</f>
        <v>0</v>
      </c>
      <c r="J120" s="13">
        <f t="shared" si="39"/>
        <v>0</v>
      </c>
      <c r="K120" s="13">
        <f t="shared" si="39"/>
        <v>0</v>
      </c>
      <c r="L120" s="13">
        <f t="shared" si="39"/>
        <v>0</v>
      </c>
      <c r="M120" s="13">
        <f t="shared" si="39"/>
        <v>0</v>
      </c>
      <c r="N120" s="13">
        <f t="shared" si="39"/>
        <v>0</v>
      </c>
      <c r="O120" s="13">
        <f t="shared" si="39"/>
        <v>0</v>
      </c>
      <c r="P120" s="13">
        <f t="shared" si="39"/>
        <v>0</v>
      </c>
      <c r="Q120" s="13">
        <f t="shared" si="39"/>
        <v>0</v>
      </c>
      <c r="R120" s="13">
        <f t="shared" si="39"/>
        <v>0</v>
      </c>
      <c r="S120" s="13">
        <f t="shared" si="39"/>
        <v>0</v>
      </c>
      <c r="T120" s="13">
        <f t="shared" si="39"/>
        <v>0</v>
      </c>
      <c r="U120" s="13">
        <f t="shared" si="39"/>
        <v>0</v>
      </c>
      <c r="V120" s="13">
        <f t="shared" si="39"/>
        <v>0</v>
      </c>
      <c r="W120" s="13">
        <f t="shared" si="39"/>
        <v>0</v>
      </c>
      <c r="X120" s="13">
        <f t="shared" si="39"/>
        <v>0</v>
      </c>
      <c r="Y120" s="13">
        <f t="shared" si="39"/>
        <v>0</v>
      </c>
      <c r="Z120" s="13">
        <f t="shared" si="39"/>
        <v>0</v>
      </c>
      <c r="AA120" s="13">
        <f t="shared" si="39"/>
        <v>0</v>
      </c>
      <c r="AB120" s="13">
        <f t="shared" si="39"/>
        <v>0</v>
      </c>
      <c r="AC120" s="13">
        <f t="shared" si="39"/>
        <v>0</v>
      </c>
      <c r="AD120" s="13">
        <f t="shared" si="39"/>
        <v>0</v>
      </c>
      <c r="AE120" s="13">
        <f t="shared" si="39"/>
        <v>0</v>
      </c>
      <c r="AF120" s="13">
        <f t="shared" si="39"/>
        <v>0</v>
      </c>
      <c r="AG120" s="13">
        <f t="shared" si="39"/>
        <v>0</v>
      </c>
    </row>
    <row r="121" spans="3:33">
      <c r="D121" s="34" t="s">
        <v>76</v>
      </c>
      <c r="E121" s="3" t="s">
        <v>15</v>
      </c>
      <c r="F121" s="44">
        <v>2100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spans="3:33">
      <c r="D122" s="34" t="s">
        <v>78</v>
      </c>
      <c r="E122" s="3" t="s">
        <v>57</v>
      </c>
      <c r="F122" s="46">
        <v>0</v>
      </c>
      <c r="H122" s="47">
        <v>0</v>
      </c>
      <c r="I122" s="47">
        <v>1</v>
      </c>
      <c r="J122" s="47">
        <v>2</v>
      </c>
      <c r="K122" s="47">
        <v>3</v>
      </c>
      <c r="L122" s="47">
        <v>4</v>
      </c>
      <c r="M122" s="47">
        <v>5</v>
      </c>
      <c r="N122" s="47">
        <v>6</v>
      </c>
      <c r="O122" s="47">
        <v>7</v>
      </c>
      <c r="P122" s="47">
        <v>8</v>
      </c>
      <c r="Q122" s="47">
        <v>9</v>
      </c>
      <c r="R122" s="47">
        <v>10</v>
      </c>
      <c r="S122" s="47">
        <v>11</v>
      </c>
      <c r="T122" s="47">
        <v>12</v>
      </c>
      <c r="U122" s="47">
        <v>13</v>
      </c>
      <c r="V122" s="47">
        <v>14</v>
      </c>
      <c r="W122" s="47">
        <v>15</v>
      </c>
      <c r="X122" s="47">
        <v>16</v>
      </c>
      <c r="Y122" s="47">
        <v>17</v>
      </c>
      <c r="Z122" s="47">
        <v>18</v>
      </c>
      <c r="AA122" s="47">
        <v>19</v>
      </c>
      <c r="AB122" s="47">
        <v>20</v>
      </c>
      <c r="AC122" s="47">
        <v>21</v>
      </c>
      <c r="AD122" s="47">
        <v>22</v>
      </c>
      <c r="AE122" s="47">
        <v>23</v>
      </c>
      <c r="AF122" s="47">
        <v>24</v>
      </c>
      <c r="AG122" s="47">
        <v>25</v>
      </c>
    </row>
    <row r="123" spans="3:33" ht="2" customHeight="1"/>
    <row r="124" spans="3:33" s="16" customFormat="1">
      <c r="C124" s="15">
        <v>6</v>
      </c>
      <c r="D124" s="16" t="s">
        <v>52</v>
      </c>
      <c r="E124" s="17" t="s">
        <v>15</v>
      </c>
      <c r="F124" s="45"/>
      <c r="H124" s="20">
        <f t="shared" ref="H124:AG124" si="40">SUM(H125)</f>
        <v>0</v>
      </c>
      <c r="I124" s="20">
        <f t="shared" si="40"/>
        <v>0</v>
      </c>
      <c r="J124" s="20">
        <f t="shared" si="40"/>
        <v>0</v>
      </c>
      <c r="K124" s="20">
        <f t="shared" si="40"/>
        <v>0</v>
      </c>
      <c r="L124" s="20">
        <f t="shared" si="40"/>
        <v>0</v>
      </c>
      <c r="M124" s="20">
        <f t="shared" si="40"/>
        <v>0</v>
      </c>
      <c r="N124" s="20">
        <f t="shared" si="40"/>
        <v>0</v>
      </c>
      <c r="O124" s="20">
        <f t="shared" si="40"/>
        <v>0</v>
      </c>
      <c r="P124" s="20">
        <f t="shared" si="40"/>
        <v>0</v>
      </c>
      <c r="Q124" s="20">
        <f t="shared" si="40"/>
        <v>0</v>
      </c>
      <c r="R124" s="20">
        <f t="shared" si="40"/>
        <v>0</v>
      </c>
      <c r="S124" s="20">
        <f t="shared" si="40"/>
        <v>0</v>
      </c>
      <c r="T124" s="20">
        <f t="shared" si="40"/>
        <v>0</v>
      </c>
      <c r="U124" s="20">
        <f t="shared" si="40"/>
        <v>0</v>
      </c>
      <c r="V124" s="20">
        <f t="shared" si="40"/>
        <v>0</v>
      </c>
      <c r="W124" s="20">
        <f t="shared" si="40"/>
        <v>0</v>
      </c>
      <c r="X124" s="20">
        <f t="shared" si="40"/>
        <v>0</v>
      </c>
      <c r="Y124" s="20">
        <f t="shared" si="40"/>
        <v>0</v>
      </c>
      <c r="Z124" s="20">
        <f t="shared" si="40"/>
        <v>0</v>
      </c>
      <c r="AA124" s="20">
        <f t="shared" si="40"/>
        <v>0</v>
      </c>
      <c r="AB124" s="20">
        <f t="shared" si="40"/>
        <v>0</v>
      </c>
      <c r="AC124" s="20">
        <f t="shared" si="40"/>
        <v>0</v>
      </c>
      <c r="AD124" s="20">
        <f t="shared" si="40"/>
        <v>0</v>
      </c>
      <c r="AE124" s="20">
        <f t="shared" si="40"/>
        <v>0</v>
      </c>
      <c r="AF124" s="20">
        <f t="shared" si="40"/>
        <v>0</v>
      </c>
      <c r="AG124" s="20">
        <f t="shared" si="40"/>
        <v>0</v>
      </c>
    </row>
    <row r="125" spans="3:33">
      <c r="D125" s="33" t="s">
        <v>79</v>
      </c>
      <c r="E125" s="3" t="s">
        <v>15</v>
      </c>
      <c r="F125" s="14">
        <f>F126*F121</f>
        <v>435.54000000000008</v>
      </c>
      <c r="H125" s="13">
        <f>IF($F$122&gt;G122,$F$125*2,0)*((1+G33)^G122)</f>
        <v>0</v>
      </c>
      <c r="I125" s="13">
        <f t="shared" ref="I125:AG125" si="41">IF($F$122&gt;H122,$F$125*12,0)*((1+H33)^H122)</f>
        <v>0</v>
      </c>
      <c r="J125" s="13">
        <f t="shared" si="41"/>
        <v>0</v>
      </c>
      <c r="K125" s="13">
        <f t="shared" si="41"/>
        <v>0</v>
      </c>
      <c r="L125" s="13">
        <f t="shared" si="41"/>
        <v>0</v>
      </c>
      <c r="M125" s="13">
        <f t="shared" si="41"/>
        <v>0</v>
      </c>
      <c r="N125" s="13">
        <f t="shared" si="41"/>
        <v>0</v>
      </c>
      <c r="O125" s="13">
        <f t="shared" si="41"/>
        <v>0</v>
      </c>
      <c r="P125" s="13">
        <f t="shared" si="41"/>
        <v>0</v>
      </c>
      <c r="Q125" s="13">
        <f t="shared" si="41"/>
        <v>0</v>
      </c>
      <c r="R125" s="13">
        <f t="shared" si="41"/>
        <v>0</v>
      </c>
      <c r="S125" s="13">
        <f t="shared" si="41"/>
        <v>0</v>
      </c>
      <c r="T125" s="13">
        <f t="shared" si="41"/>
        <v>0</v>
      </c>
      <c r="U125" s="13">
        <f t="shared" si="41"/>
        <v>0</v>
      </c>
      <c r="V125" s="13">
        <f t="shared" si="41"/>
        <v>0</v>
      </c>
      <c r="W125" s="13">
        <f t="shared" si="41"/>
        <v>0</v>
      </c>
      <c r="X125" s="13">
        <f t="shared" si="41"/>
        <v>0</v>
      </c>
      <c r="Y125" s="13">
        <f t="shared" si="41"/>
        <v>0</v>
      </c>
      <c r="Z125" s="13">
        <f t="shared" si="41"/>
        <v>0</v>
      </c>
      <c r="AA125" s="13">
        <f t="shared" si="41"/>
        <v>0</v>
      </c>
      <c r="AB125" s="13">
        <f t="shared" si="41"/>
        <v>0</v>
      </c>
      <c r="AC125" s="13">
        <f t="shared" si="41"/>
        <v>0</v>
      </c>
      <c r="AD125" s="13">
        <f t="shared" si="41"/>
        <v>0</v>
      </c>
      <c r="AE125" s="13">
        <f t="shared" si="41"/>
        <v>0</v>
      </c>
      <c r="AF125" s="13">
        <f t="shared" si="41"/>
        <v>0</v>
      </c>
      <c r="AG125" s="13">
        <f t="shared" si="41"/>
        <v>0</v>
      </c>
    </row>
    <row r="126" spans="3:33">
      <c r="D126" s="34" t="s">
        <v>80</v>
      </c>
      <c r="E126" s="3" t="s">
        <v>9</v>
      </c>
      <c r="F126" s="48">
        <v>0.20740000000000003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spans="3:33" ht="2" customHeight="1"/>
    <row r="128" spans="3:33" s="16" customFormat="1">
      <c r="C128" s="15">
        <v>7</v>
      </c>
      <c r="D128" s="16" t="s">
        <v>53</v>
      </c>
      <c r="E128" s="17" t="s">
        <v>15</v>
      </c>
      <c r="F128" s="45"/>
      <c r="H128" s="20">
        <f>SUM(H129:H130)</f>
        <v>179.24250000000001</v>
      </c>
      <c r="I128" s="20">
        <f t="shared" ref="I128:AG128" si="42">SUM(I129:I130)</f>
        <v>771.75500727317819</v>
      </c>
      <c r="J128" s="20">
        <f t="shared" si="42"/>
        <v>784.82908754865537</v>
      </c>
      <c r="K128" s="20">
        <f t="shared" si="42"/>
        <v>798.20111538153401</v>
      </c>
      <c r="L128" s="20">
        <f t="shared" si="42"/>
        <v>811.87741364572469</v>
      </c>
      <c r="M128" s="20">
        <f t="shared" si="42"/>
        <v>825.86447540026757</v>
      </c>
      <c r="N128" s="20">
        <f t="shared" si="42"/>
        <v>840.16896856492758</v>
      </c>
      <c r="O128" s="20">
        <f t="shared" si="42"/>
        <v>854.79774076977287</v>
      </c>
      <c r="P128" s="20">
        <f t="shared" si="42"/>
        <v>869.75782438551312</v>
      </c>
      <c r="Q128" s="20">
        <f t="shared" si="42"/>
        <v>885.05644174170982</v>
      </c>
      <c r="R128" s="20">
        <f t="shared" si="42"/>
        <v>900.70101054032352</v>
      </c>
      <c r="S128" s="20">
        <f t="shared" si="42"/>
        <v>916.69914947242614</v>
      </c>
      <c r="T128" s="20">
        <f t="shared" si="42"/>
        <v>933.05868404629098</v>
      </c>
      <c r="U128" s="20">
        <f t="shared" si="42"/>
        <v>949.78765263548451</v>
      </c>
      <c r="V128" s="20">
        <f t="shared" si="42"/>
        <v>966.89431275600191</v>
      </c>
      <c r="W128" s="20">
        <f t="shared" si="42"/>
        <v>977.15980871139004</v>
      </c>
      <c r="X128" s="20">
        <f t="shared" si="42"/>
        <v>1028.9311814967234</v>
      </c>
      <c r="Y128" s="20">
        <f t="shared" si="42"/>
        <v>1043.5098051266577</v>
      </c>
      <c r="Z128" s="20">
        <f t="shared" si="42"/>
        <v>1058.3800012291911</v>
      </c>
      <c r="AA128" s="20">
        <f t="shared" si="42"/>
        <v>1073.5476012537749</v>
      </c>
      <c r="AB128" s="20">
        <f t="shared" si="42"/>
        <v>1089.0185532788503</v>
      </c>
      <c r="AC128" s="20">
        <f t="shared" si="42"/>
        <v>1104.7989243444274</v>
      </c>
      <c r="AD128" s="20">
        <f t="shared" si="42"/>
        <v>1120.8949028313159</v>
      </c>
      <c r="AE128" s="20">
        <f t="shared" si="42"/>
        <v>1137.3128008879421</v>
      </c>
      <c r="AF128" s="20">
        <f t="shared" si="42"/>
        <v>1154.059056905701</v>
      </c>
      <c r="AG128" s="20">
        <f t="shared" si="42"/>
        <v>1171.1402380438151</v>
      </c>
    </row>
    <row r="129" spans="3:33" s="16" customFormat="1">
      <c r="C129" s="2" t="s">
        <v>81</v>
      </c>
      <c r="D129" s="33" t="s">
        <v>409</v>
      </c>
      <c r="E129" s="3" t="s">
        <v>15</v>
      </c>
      <c r="F129" s="44">
        <v>0</v>
      </c>
      <c r="H129" s="13">
        <f>F129</f>
        <v>0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spans="3:33">
      <c r="C130" s="2" t="s">
        <v>236</v>
      </c>
      <c r="D130" s="33" t="s">
        <v>177</v>
      </c>
      <c r="E130" s="3" t="s">
        <v>15</v>
      </c>
      <c r="F130" s="28">
        <v>0.05</v>
      </c>
      <c r="G130" s="45"/>
      <c r="H130" s="13">
        <f t="shared" ref="H130:AG130" si="43">SUM(H95,H97,H108,H119,H124)*$F$130</f>
        <v>179.24250000000001</v>
      </c>
      <c r="I130" s="13">
        <f>SUM(I95,I97,I108,I119,I124)*$F$130</f>
        <v>771.75500727317819</v>
      </c>
      <c r="J130" s="13">
        <f t="shared" si="43"/>
        <v>784.82908754865537</v>
      </c>
      <c r="K130" s="13">
        <f t="shared" si="43"/>
        <v>798.20111538153401</v>
      </c>
      <c r="L130" s="13">
        <f t="shared" si="43"/>
        <v>811.87741364572469</v>
      </c>
      <c r="M130" s="13">
        <f t="shared" si="43"/>
        <v>825.86447540026757</v>
      </c>
      <c r="N130" s="13">
        <f t="shared" si="43"/>
        <v>840.16896856492758</v>
      </c>
      <c r="O130" s="13">
        <f t="shared" si="43"/>
        <v>854.79774076977287</v>
      </c>
      <c r="P130" s="13">
        <f t="shared" si="43"/>
        <v>869.75782438551312</v>
      </c>
      <c r="Q130" s="13">
        <f t="shared" si="43"/>
        <v>885.05644174170982</v>
      </c>
      <c r="R130" s="13">
        <f t="shared" si="43"/>
        <v>900.70101054032352</v>
      </c>
      <c r="S130" s="13">
        <f t="shared" si="43"/>
        <v>916.69914947242614</v>
      </c>
      <c r="T130" s="13">
        <f t="shared" si="43"/>
        <v>933.05868404629098</v>
      </c>
      <c r="U130" s="13">
        <f t="shared" si="43"/>
        <v>949.78765263548451</v>
      </c>
      <c r="V130" s="13">
        <f t="shared" si="43"/>
        <v>966.89431275600191</v>
      </c>
      <c r="W130" s="13">
        <f t="shared" si="43"/>
        <v>977.15980871139004</v>
      </c>
      <c r="X130" s="13">
        <f t="shared" si="43"/>
        <v>1028.9311814967234</v>
      </c>
      <c r="Y130" s="13">
        <f t="shared" si="43"/>
        <v>1043.5098051266577</v>
      </c>
      <c r="Z130" s="13">
        <f t="shared" si="43"/>
        <v>1058.3800012291911</v>
      </c>
      <c r="AA130" s="13">
        <f t="shared" si="43"/>
        <v>1073.5476012537749</v>
      </c>
      <c r="AB130" s="13">
        <f t="shared" si="43"/>
        <v>1089.0185532788503</v>
      </c>
      <c r="AC130" s="13">
        <f t="shared" si="43"/>
        <v>1104.7989243444274</v>
      </c>
      <c r="AD130" s="13">
        <f t="shared" si="43"/>
        <v>1120.8949028313159</v>
      </c>
      <c r="AE130" s="13">
        <f t="shared" si="43"/>
        <v>1137.3128008879421</v>
      </c>
      <c r="AF130" s="13">
        <f t="shared" si="43"/>
        <v>1154.059056905701</v>
      </c>
      <c r="AG130" s="13">
        <f t="shared" si="43"/>
        <v>1171.1402380438151</v>
      </c>
    </row>
    <row r="131" spans="3:33">
      <c r="D131" s="33"/>
      <c r="F131" s="1"/>
    </row>
    <row r="132" spans="3:3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hidden="1">
      <c r="E133" s="1"/>
      <c r="F133" s="1"/>
    </row>
    <row r="134" spans="3:33" hidden="1">
      <c r="F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hidden="1">
      <c r="E135" s="1"/>
      <c r="F135" s="1"/>
    </row>
    <row r="136" spans="3:33" hidden="1">
      <c r="E136" s="1"/>
      <c r="F136" s="1"/>
    </row>
    <row r="137" spans="3:33" hidden="1"/>
    <row r="138" spans="3:33" hidden="1">
      <c r="E138" s="1"/>
      <c r="F138" s="1"/>
    </row>
    <row r="139" spans="3:33" hidden="1"/>
    <row r="140" spans="3:33" hidden="1">
      <c r="E140" s="1"/>
      <c r="F140" s="1"/>
    </row>
    <row r="141" spans="3:33" hidden="1"/>
    <row r="142" spans="3:33" hidden="1">
      <c r="E142" s="1"/>
      <c r="F142" s="1"/>
    </row>
    <row r="143" spans="3:33" hidden="1"/>
    <row r="144" spans="3:33" hidden="1"/>
    <row r="145" spans="6:33" hidden="1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6:33" hidden="1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6:33" hidden="1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6:33" hidden="1">
      <c r="F148" s="4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6:33" hidden="1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6:33" hidden="1"/>
    <row r="151" spans="6:33"/>
    <row r="152" spans="6:33"/>
    <row r="153" spans="6:33"/>
    <row r="154" spans="6:33"/>
    <row r="155" spans="6:33"/>
    <row r="156" spans="6:33"/>
    <row r="157" spans="6:33"/>
    <row r="158" spans="6:33"/>
    <row r="159" spans="6:33"/>
  </sheetData>
  <dataValidations count="3">
    <dataValidation type="list" allowBlank="1" showInputMessage="1" showErrorMessage="1" sqref="F72" xr:uid="{00000000-0002-0000-0500-000000000000}">
      <formula1>$B$73:$B$75</formula1>
    </dataValidation>
    <dataValidation type="list" allowBlank="1" showInputMessage="1" sqref="M1" xr:uid="{00000000-0002-0000-0500-000001000000}">
      <formula1>$N$1:$P$1</formula1>
    </dataValidation>
    <dataValidation type="list" allowBlank="1" showInputMessage="1" showErrorMessage="1" sqref="M2:M3" xr:uid="{00000000-0002-0000-0500-000002000000}">
      <formula1>$N$2:$O$2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AY164"/>
  <sheetViews>
    <sheetView showGridLines="0" zoomScale="125" zoomScaleNormal="70" workbookViewId="0">
      <pane xSplit="8" ySplit="8" topLeftCell="N121" activePane="bottomRight" state="frozen"/>
      <selection activeCell="D65" sqref="D65"/>
      <selection pane="topRight" activeCell="D65" sqref="D65"/>
      <selection pane="bottomLeft" activeCell="D65" sqref="D65"/>
      <selection pane="bottomRight" activeCell="X163" sqref="X163"/>
    </sheetView>
  </sheetViews>
  <sheetFormatPr baseColWidth="10" defaultColWidth="0" defaultRowHeight="0" customHeight="1" zeroHeight="1"/>
  <cols>
    <col min="1" max="2" width="1.1640625" style="49" customWidth="1"/>
    <col min="3" max="3" width="4.33203125" style="1" customWidth="1"/>
    <col min="4" max="4" width="57" style="1" customWidth="1"/>
    <col min="5" max="5" width="9.1640625" style="1" customWidth="1"/>
    <col min="6" max="7" width="9.1640625" style="1" hidden="1" customWidth="1"/>
    <col min="8" max="8" width="9.1640625" style="1" customWidth="1"/>
    <col min="9" max="34" width="10.83203125" style="1" customWidth="1"/>
    <col min="35" max="35" width="4.33203125" style="50" customWidth="1"/>
    <col min="36" max="51" width="0" style="1" hidden="1" customWidth="1"/>
    <col min="52" max="16384" width="9.1640625" style="1" hidden="1"/>
  </cols>
  <sheetData>
    <row r="1" spans="1:35" ht="13">
      <c r="A1" s="1"/>
      <c r="B1" s="1"/>
      <c r="D1" s="2"/>
      <c r="I1" s="50">
        <v>-1</v>
      </c>
    </row>
    <row r="2" spans="1:35" ht="13">
      <c r="A2" s="1"/>
      <c r="B2" s="1"/>
      <c r="D2" s="120" t="s">
        <v>29</v>
      </c>
      <c r="K2" s="13"/>
    </row>
    <row r="3" spans="1:35" ht="13">
      <c r="A3" s="1"/>
      <c r="B3" s="1"/>
      <c r="D3" s="122" t="s">
        <v>175</v>
      </c>
      <c r="Y3" s="13"/>
    </row>
    <row r="4" spans="1:35" ht="13">
      <c r="A4" s="1"/>
      <c r="B4" s="1"/>
      <c r="D4" s="2"/>
      <c r="K4" s="13"/>
    </row>
    <row r="5" spans="1:35" ht="2" customHeight="1"/>
    <row r="6" spans="1:35" ht="2" customHeight="1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spans="1:35" s="52" customFormat="1" ht="15" customHeight="1">
      <c r="A7" s="51"/>
      <c r="B7" s="51"/>
      <c r="C7" s="38" t="s">
        <v>0</v>
      </c>
      <c r="D7" s="78" t="s">
        <v>176</v>
      </c>
      <c r="E7" s="40"/>
      <c r="F7" s="21"/>
      <c r="G7" s="21"/>
      <c r="H7" s="21"/>
      <c r="I7" s="39">
        <v>2018</v>
      </c>
      <c r="J7" s="39">
        <v>2019</v>
      </c>
      <c r="K7" s="39">
        <v>2020</v>
      </c>
      <c r="L7" s="39">
        <v>2021</v>
      </c>
      <c r="M7" s="39">
        <v>2022</v>
      </c>
      <c r="N7" s="39">
        <v>2023</v>
      </c>
      <c r="O7" s="39">
        <v>2024</v>
      </c>
      <c r="P7" s="39">
        <v>2025</v>
      </c>
      <c r="Q7" s="39">
        <v>2026</v>
      </c>
      <c r="R7" s="39">
        <v>2027</v>
      </c>
      <c r="S7" s="39">
        <v>2028</v>
      </c>
      <c r="T7" s="39">
        <v>2029</v>
      </c>
      <c r="U7" s="39">
        <v>2030</v>
      </c>
      <c r="V7" s="39">
        <v>2031</v>
      </c>
      <c r="W7" s="39">
        <v>2032</v>
      </c>
      <c r="X7" s="39">
        <v>2033</v>
      </c>
      <c r="Y7" s="39">
        <v>2034</v>
      </c>
      <c r="Z7" s="39">
        <v>2035</v>
      </c>
      <c r="AA7" s="39">
        <v>2036</v>
      </c>
      <c r="AB7" s="39">
        <v>2037</v>
      </c>
      <c r="AC7" s="39">
        <v>2038</v>
      </c>
      <c r="AD7" s="39">
        <v>2039</v>
      </c>
      <c r="AE7" s="39">
        <v>2040</v>
      </c>
      <c r="AF7" s="39">
        <v>2041</v>
      </c>
      <c r="AG7" s="39">
        <v>2042</v>
      </c>
      <c r="AH7" s="39">
        <v>2043</v>
      </c>
      <c r="AI7" s="51"/>
    </row>
    <row r="8" spans="1:35" ht="2" customHeight="1"/>
    <row r="9" spans="1:35" ht="2" customHeight="1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5" s="55" customFormat="1" ht="13">
      <c r="A10" s="51"/>
      <c r="B10" s="51"/>
      <c r="C10" s="75"/>
      <c r="D10" s="75" t="s">
        <v>89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51"/>
    </row>
    <row r="11" spans="1:35" ht="2" customHeight="1"/>
    <row r="12" spans="1:35" ht="2" customHeight="1"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5" ht="13">
      <c r="C13" s="16" t="s">
        <v>90</v>
      </c>
      <c r="D13" s="16" t="s">
        <v>91</v>
      </c>
      <c r="E13" s="17" t="s">
        <v>15</v>
      </c>
      <c r="F13" s="16"/>
      <c r="G13" s="16"/>
      <c r="H13" s="16"/>
      <c r="I13" s="58">
        <f>SUM(I14:I15)</f>
        <v>10068.799999999999</v>
      </c>
      <c r="J13" s="58">
        <f t="shared" ref="J13:AH13" si="0">SUM(J14:J15)</f>
        <v>184118.72181854252</v>
      </c>
      <c r="K13" s="58">
        <f t="shared" si="0"/>
        <v>185912.28035892424</v>
      </c>
      <c r="L13" s="58">
        <f t="shared" si="0"/>
        <v>187770.88283162712</v>
      </c>
      <c r="M13" s="58">
        <f t="shared" si="0"/>
        <v>189696.12125350779</v>
      </c>
      <c r="N13" s="58">
        <f t="shared" si="0"/>
        <v>191689.65446388058</v>
      </c>
      <c r="O13" s="58">
        <f t="shared" si="0"/>
        <v>193753.21047848187</v>
      </c>
      <c r="P13" s="58">
        <f t="shared" si="0"/>
        <v>195888.58895488895</v>
      </c>
      <c r="Q13" s="58">
        <f t="shared" si="0"/>
        <v>198097.66377426253</v>
      </c>
      <c r="R13" s="58">
        <f t="shared" si="0"/>
        <v>200382.38574453685</v>
      </c>
      <c r="S13" s="58">
        <f t="shared" si="0"/>
        <v>202744.7854304513</v>
      </c>
      <c r="T13" s="58">
        <f t="shared" si="0"/>
        <v>205186.97611609718</v>
      </c>
      <c r="U13" s="58">
        <f t="shared" si="0"/>
        <v>207711.15690595217</v>
      </c>
      <c r="V13" s="58">
        <f t="shared" si="0"/>
        <v>210319.61597068535</v>
      </c>
      <c r="W13" s="58">
        <f t="shared" si="0"/>
        <v>213014.73394434509</v>
      </c>
      <c r="X13" s="58">
        <f t="shared" si="0"/>
        <v>210017.11638344661</v>
      </c>
      <c r="Y13" s="58">
        <f t="shared" si="0"/>
        <v>110512.77669765755</v>
      </c>
      <c r="Z13" s="58">
        <f t="shared" si="0"/>
        <v>112013.92005073273</v>
      </c>
      <c r="AA13" s="58">
        <f t="shared" si="0"/>
        <v>113564.17557077867</v>
      </c>
      <c r="AB13" s="58">
        <f t="shared" si="0"/>
        <v>115165.00870024419</v>
      </c>
      <c r="AC13" s="58">
        <f t="shared" si="0"/>
        <v>116817.94372824141</v>
      </c>
      <c r="AD13" s="58">
        <f t="shared" si="0"/>
        <v>118524.56615236838</v>
      </c>
      <c r="AE13" s="58">
        <f t="shared" si="0"/>
        <v>120286.52515088765</v>
      </c>
      <c r="AF13" s="58">
        <f t="shared" si="0"/>
        <v>122105.53617055001</v>
      </c>
      <c r="AG13" s="58">
        <f t="shared" si="0"/>
        <v>123983.38363563144</v>
      </c>
      <c r="AH13" s="58">
        <f t="shared" si="0"/>
        <v>125921.92378404479</v>
      </c>
    </row>
    <row r="14" spans="1:35" ht="13">
      <c r="C14" s="1" t="s">
        <v>21</v>
      </c>
      <c r="D14" s="33" t="s">
        <v>92</v>
      </c>
      <c r="E14" s="3" t="s">
        <v>15</v>
      </c>
      <c r="I14" s="61">
        <f>zalozenia!H86</f>
        <v>10068.799999999999</v>
      </c>
      <c r="J14" s="61">
        <f>zalozenia!I86</f>
        <v>184118.72181854252</v>
      </c>
      <c r="K14" s="61">
        <f>zalozenia!J86</f>
        <v>185912.28035892424</v>
      </c>
      <c r="L14" s="61">
        <f>zalozenia!K86</f>
        <v>187770.88283162712</v>
      </c>
      <c r="M14" s="61">
        <f>zalozenia!L86</f>
        <v>189696.12125350779</v>
      </c>
      <c r="N14" s="61">
        <f>zalozenia!M86</f>
        <v>191689.65446388058</v>
      </c>
      <c r="O14" s="61">
        <f>zalozenia!N86</f>
        <v>193753.21047848187</v>
      </c>
      <c r="P14" s="61">
        <f>zalozenia!O86</f>
        <v>195888.58895488895</v>
      </c>
      <c r="Q14" s="61">
        <f>zalozenia!P86</f>
        <v>198097.66377426253</v>
      </c>
      <c r="R14" s="61">
        <f>zalozenia!Q86</f>
        <v>200382.38574453685</v>
      </c>
      <c r="S14" s="61">
        <f>zalozenia!R86</f>
        <v>202744.7854304513</v>
      </c>
      <c r="T14" s="61">
        <f>zalozenia!S86</f>
        <v>205186.97611609718</v>
      </c>
      <c r="U14" s="61">
        <f>zalozenia!T86</f>
        <v>207711.15690595217</v>
      </c>
      <c r="V14" s="61">
        <f>zalozenia!U86</f>
        <v>210319.61597068535</v>
      </c>
      <c r="W14" s="61">
        <f>zalozenia!V86</f>
        <v>213014.73394434509</v>
      </c>
      <c r="X14" s="61">
        <f>zalozenia!W86</f>
        <v>210017.11638344661</v>
      </c>
      <c r="Y14" s="61">
        <f>zalozenia!X86</f>
        <v>110512.77669765755</v>
      </c>
      <c r="Z14" s="61">
        <f>zalozenia!Y86</f>
        <v>112013.92005073273</v>
      </c>
      <c r="AA14" s="61">
        <f>zalozenia!Z86</f>
        <v>113564.17557077867</v>
      </c>
      <c r="AB14" s="61">
        <f>zalozenia!AA86</f>
        <v>115165.00870024419</v>
      </c>
      <c r="AC14" s="61">
        <f>zalozenia!AB86</f>
        <v>116817.94372824141</v>
      </c>
      <c r="AD14" s="61">
        <f>zalozenia!AC86</f>
        <v>118524.56615236838</v>
      </c>
      <c r="AE14" s="61">
        <f>zalozenia!AD86</f>
        <v>120286.52515088765</v>
      </c>
      <c r="AF14" s="61">
        <f>zalozenia!AE86</f>
        <v>122105.53617055001</v>
      </c>
      <c r="AG14" s="61">
        <f>zalozenia!AF86</f>
        <v>123983.38363563144</v>
      </c>
      <c r="AH14" s="61">
        <f>zalozenia!AG86</f>
        <v>125921.92378404479</v>
      </c>
    </row>
    <row r="15" spans="1:35" ht="13">
      <c r="C15" s="1" t="s">
        <v>23</v>
      </c>
      <c r="D15" s="33" t="s">
        <v>93</v>
      </c>
      <c r="E15" s="3" t="s">
        <v>15</v>
      </c>
      <c r="I15" s="61" t="s">
        <v>94</v>
      </c>
      <c r="J15" s="61" t="s">
        <v>94</v>
      </c>
      <c r="K15" s="61" t="s">
        <v>94</v>
      </c>
      <c r="L15" s="61" t="s">
        <v>94</v>
      </c>
      <c r="M15" s="61" t="s">
        <v>94</v>
      </c>
      <c r="N15" s="61" t="s">
        <v>94</v>
      </c>
      <c r="O15" s="61" t="s">
        <v>94</v>
      </c>
      <c r="P15" s="61" t="s">
        <v>94</v>
      </c>
      <c r="Q15" s="61" t="s">
        <v>94</v>
      </c>
      <c r="R15" s="61" t="s">
        <v>94</v>
      </c>
      <c r="S15" s="61" t="s">
        <v>94</v>
      </c>
      <c r="T15" s="61" t="s">
        <v>94</v>
      </c>
      <c r="U15" s="61" t="s">
        <v>94</v>
      </c>
      <c r="V15" s="61" t="s">
        <v>94</v>
      </c>
      <c r="W15" s="61" t="s">
        <v>94</v>
      </c>
      <c r="X15" s="61" t="s">
        <v>94</v>
      </c>
      <c r="Y15" s="61" t="s">
        <v>94</v>
      </c>
      <c r="Z15" s="61" t="s">
        <v>94</v>
      </c>
      <c r="AA15" s="61" t="s">
        <v>94</v>
      </c>
      <c r="AB15" s="61" t="s">
        <v>94</v>
      </c>
      <c r="AC15" s="61" t="s">
        <v>94</v>
      </c>
      <c r="AD15" s="61" t="s">
        <v>94</v>
      </c>
      <c r="AE15" s="61" t="s">
        <v>94</v>
      </c>
      <c r="AF15" s="61" t="s">
        <v>94</v>
      </c>
      <c r="AG15" s="61" t="s">
        <v>94</v>
      </c>
      <c r="AH15" s="61" t="s">
        <v>94</v>
      </c>
    </row>
    <row r="16" spans="1:35" ht="2" customHeight="1"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5" ht="13">
      <c r="C17" s="16" t="s">
        <v>95</v>
      </c>
      <c r="D17" s="16" t="s">
        <v>96</v>
      </c>
      <c r="E17" s="17" t="s">
        <v>15</v>
      </c>
      <c r="F17" s="16"/>
      <c r="G17" s="16"/>
      <c r="H17" s="16"/>
      <c r="I17" s="20">
        <f>SUM(I18:I24)</f>
        <v>164382.56472098964</v>
      </c>
      <c r="J17" s="20">
        <f>SUM(J18:J24)</f>
        <v>137264.51999409462</v>
      </c>
      <c r="K17" s="20">
        <f t="shared" ref="K17:AH17" si="1">SUM(K18:K24)</f>
        <v>137539.07567987966</v>
      </c>
      <c r="L17" s="20">
        <f t="shared" si="1"/>
        <v>137819.88826437012</v>
      </c>
      <c r="M17" s="20">
        <f t="shared" si="1"/>
        <v>138107.0905279181</v>
      </c>
      <c r="N17" s="20">
        <f t="shared" si="1"/>
        <v>138400.81882476353</v>
      </c>
      <c r="O17" s="20">
        <f t="shared" si="1"/>
        <v>138701.21318122136</v>
      </c>
      <c r="P17" s="20">
        <f t="shared" si="1"/>
        <v>139008.41739752312</v>
      </c>
      <c r="Q17" s="20">
        <f t="shared" si="1"/>
        <v>139322.57915345367</v>
      </c>
      <c r="R17" s="20">
        <f t="shared" si="1"/>
        <v>139643.85011793379</v>
      </c>
      <c r="S17" s="20">
        <f t="shared" si="1"/>
        <v>139972.3860627047</v>
      </c>
      <c r="T17" s="20">
        <f t="shared" si="1"/>
        <v>140308.34698027885</v>
      </c>
      <c r="U17" s="20">
        <f t="shared" si="1"/>
        <v>140651.89720633</v>
      </c>
      <c r="V17" s="20">
        <f t="shared" si="1"/>
        <v>141003.20554670304</v>
      </c>
      <c r="W17" s="20">
        <f t="shared" si="1"/>
        <v>141362.44540923391</v>
      </c>
      <c r="X17" s="20">
        <f t="shared" si="1"/>
        <v>20520.355982939189</v>
      </c>
      <c r="Y17" s="20">
        <f t="shared" si="1"/>
        <v>21607.55481143119</v>
      </c>
      <c r="Z17" s="20">
        <f t="shared" si="1"/>
        <v>21913.705907659813</v>
      </c>
      <c r="AA17" s="20">
        <f t="shared" si="1"/>
        <v>22225.980025813009</v>
      </c>
      <c r="AB17" s="20">
        <f t="shared" si="1"/>
        <v>22544.499626329274</v>
      </c>
      <c r="AC17" s="20">
        <f t="shared" si="1"/>
        <v>22869.389618855854</v>
      </c>
      <c r="AD17" s="20">
        <f t="shared" si="1"/>
        <v>23200.777411232975</v>
      </c>
      <c r="AE17" s="20">
        <f t="shared" si="1"/>
        <v>23538.792959457631</v>
      </c>
      <c r="AF17" s="20">
        <f t="shared" si="1"/>
        <v>23883.568818646785</v>
      </c>
      <c r="AG17" s="20">
        <f t="shared" si="1"/>
        <v>24235.240195019724</v>
      </c>
      <c r="AH17" s="20">
        <f t="shared" si="1"/>
        <v>24593.944998920117</v>
      </c>
    </row>
    <row r="18" spans="1:35" ht="13">
      <c r="C18" s="1" t="s">
        <v>21</v>
      </c>
      <c r="D18" s="33" t="s">
        <v>45</v>
      </c>
      <c r="E18" s="3" t="s">
        <v>15</v>
      </c>
      <c r="I18" s="13">
        <f>zalozenia!H91</f>
        <v>34587.904240387965</v>
      </c>
      <c r="J18" s="13">
        <f>zalozenia!I91</f>
        <v>121057.6648413579</v>
      </c>
      <c r="K18" s="13">
        <f>zalozenia!J91</f>
        <v>121057.6648413579</v>
      </c>
      <c r="L18" s="13">
        <f>zalozenia!K91</f>
        <v>121057.6648413579</v>
      </c>
      <c r="M18" s="13">
        <f>zalozenia!L91</f>
        <v>121057.6648413579</v>
      </c>
      <c r="N18" s="13">
        <f>zalozenia!M91</f>
        <v>121057.6648413579</v>
      </c>
      <c r="O18" s="13">
        <f>zalozenia!N91</f>
        <v>121057.6648413579</v>
      </c>
      <c r="P18" s="13">
        <f>zalozenia!O91</f>
        <v>121057.6648413579</v>
      </c>
      <c r="Q18" s="13">
        <f>zalozenia!P91</f>
        <v>121057.6648413579</v>
      </c>
      <c r="R18" s="13">
        <f>zalozenia!Q91</f>
        <v>121057.6648413579</v>
      </c>
      <c r="S18" s="13">
        <f>zalozenia!R91</f>
        <v>121057.6648413579</v>
      </c>
      <c r="T18" s="13">
        <f>zalozenia!S91</f>
        <v>121057.6648413579</v>
      </c>
      <c r="U18" s="13">
        <f>zalozenia!T91</f>
        <v>121057.6648413579</v>
      </c>
      <c r="V18" s="13">
        <f>zalozenia!U91</f>
        <v>121057.6648413579</v>
      </c>
      <c r="W18" s="13">
        <f>zalozenia!V91</f>
        <v>121057.6648413579</v>
      </c>
      <c r="X18" s="13">
        <f>zalozenia!W91</f>
        <v>0</v>
      </c>
      <c r="Y18" s="13">
        <f>zalozenia!X91</f>
        <v>0</v>
      </c>
      <c r="Z18" s="13">
        <f>zalozenia!Y91</f>
        <v>0</v>
      </c>
      <c r="AA18" s="13">
        <f>zalozenia!Z91</f>
        <v>0</v>
      </c>
      <c r="AB18" s="13">
        <f>zalozenia!AA91</f>
        <v>0</v>
      </c>
      <c r="AC18" s="13">
        <f>zalozenia!AB91</f>
        <v>0</v>
      </c>
      <c r="AD18" s="13">
        <f>zalozenia!AC91</f>
        <v>0</v>
      </c>
      <c r="AE18" s="13">
        <f>zalozenia!AD91</f>
        <v>0</v>
      </c>
      <c r="AF18" s="13">
        <f>zalozenia!AE91</f>
        <v>0</v>
      </c>
      <c r="AG18" s="13">
        <f>zalozenia!AF91</f>
        <v>0</v>
      </c>
      <c r="AH18" s="13">
        <f>zalozenia!AG91</f>
        <v>0</v>
      </c>
    </row>
    <row r="19" spans="1:35" ht="13">
      <c r="C19" s="1" t="s">
        <v>23</v>
      </c>
      <c r="D19" s="33" t="s">
        <v>97</v>
      </c>
      <c r="E19" s="3" t="s">
        <v>15</v>
      </c>
      <c r="I19" s="13">
        <f>zalozenia!H95</f>
        <v>0</v>
      </c>
      <c r="J19" s="13">
        <f>zalozenia!I95</f>
        <v>0</v>
      </c>
      <c r="K19" s="13">
        <f>zalozenia!J95</f>
        <v>0</v>
      </c>
      <c r="L19" s="13">
        <f>zalozenia!K95</f>
        <v>0</v>
      </c>
      <c r="M19" s="13">
        <f>zalozenia!L95</f>
        <v>0</v>
      </c>
      <c r="N19" s="13">
        <f>zalozenia!M95</f>
        <v>0</v>
      </c>
      <c r="O19" s="13">
        <f>zalozenia!N95</f>
        <v>0</v>
      </c>
      <c r="P19" s="13">
        <f>zalozenia!O95</f>
        <v>0</v>
      </c>
      <c r="Q19" s="13">
        <f>zalozenia!P95</f>
        <v>0</v>
      </c>
      <c r="R19" s="13">
        <f>zalozenia!Q95</f>
        <v>0</v>
      </c>
      <c r="S19" s="13">
        <f>zalozenia!R95</f>
        <v>0</v>
      </c>
      <c r="T19" s="13">
        <f>zalozenia!S95</f>
        <v>0</v>
      </c>
      <c r="U19" s="13">
        <f>zalozenia!T95</f>
        <v>0</v>
      </c>
      <c r="V19" s="13">
        <f>zalozenia!U95</f>
        <v>0</v>
      </c>
      <c r="W19" s="13">
        <f>zalozenia!V95</f>
        <v>0</v>
      </c>
      <c r="X19" s="13">
        <f>zalozenia!W95</f>
        <v>0</v>
      </c>
      <c r="Y19" s="13">
        <f>zalozenia!X95</f>
        <v>0</v>
      </c>
      <c r="Z19" s="13">
        <f>zalozenia!Y95</f>
        <v>0</v>
      </c>
      <c r="AA19" s="13">
        <f>zalozenia!Z95</f>
        <v>0</v>
      </c>
      <c r="AB19" s="13">
        <f>zalozenia!AA95</f>
        <v>0</v>
      </c>
      <c r="AC19" s="13">
        <f>zalozenia!AB95</f>
        <v>0</v>
      </c>
      <c r="AD19" s="13">
        <f>zalozenia!AC95</f>
        <v>0</v>
      </c>
      <c r="AE19" s="13">
        <f>zalozenia!AD95</f>
        <v>0</v>
      </c>
      <c r="AF19" s="13">
        <f>zalozenia!AE95</f>
        <v>0</v>
      </c>
      <c r="AG19" s="13">
        <f>zalozenia!AF95</f>
        <v>0</v>
      </c>
      <c r="AH19" s="13">
        <f>zalozenia!AG95</f>
        <v>0</v>
      </c>
    </row>
    <row r="20" spans="1:35" ht="13">
      <c r="C20" s="1" t="s">
        <v>37</v>
      </c>
      <c r="D20" s="33" t="s">
        <v>47</v>
      </c>
      <c r="E20" s="3" t="s">
        <v>15</v>
      </c>
      <c r="I20" s="13">
        <f>zalozenia!H97+zalozenia!F55-zalozenia!F57</f>
        <v>128555.56798060169</v>
      </c>
      <c r="J20" s="13">
        <f>zalozenia!I97</f>
        <v>12962.468045463564</v>
      </c>
      <c r="K20" s="13">
        <f>zalozenia!J97</f>
        <v>13174.497008973107</v>
      </c>
      <c r="L20" s="13">
        <f>zalozenia!K97</f>
        <v>13391.495870790679</v>
      </c>
      <c r="M20" s="13">
        <f>zalozenia!L97</f>
        <v>13613.571307337694</v>
      </c>
      <c r="N20" s="13">
        <f>zalozenia!M97</f>
        <v>13840.833003117015</v>
      </c>
      <c r="O20" s="13">
        <f>zalozenia!N97</f>
        <v>14073.393736312446</v>
      </c>
      <c r="P20" s="13">
        <f>zalozenia!O97</f>
        <v>14311.369467709632</v>
      </c>
      <c r="Q20" s="13">
        <f>zalozenia!P97</f>
        <v>14554.879433070721</v>
      </c>
      <c r="R20" s="13">
        <f>zalozenia!Q97</f>
        <v>14804.046239101863</v>
      </c>
      <c r="S20" s="13">
        <f>zalozenia!R97</f>
        <v>15058.99596315949</v>
      </c>
      <c r="T20" s="13">
        <f>zalozenia!S97</f>
        <v>15319.858256848604</v>
      </c>
      <c r="U20" s="13">
        <f>zalozenia!T97</f>
        <v>15586.766453673901</v>
      </c>
      <c r="V20" s="13">
        <f>zalozenia!U97</f>
        <v>15859.857680912733</v>
      </c>
      <c r="W20" s="13">
        <f>zalozenia!V97</f>
        <v>16139.272975887141</v>
      </c>
      <c r="X20" s="13">
        <f>zalozenia!W97</f>
        <v>16280.610629410248</v>
      </c>
      <c r="Y20" s="13">
        <f>zalozenia!X97</f>
        <v>17250.786374220566</v>
      </c>
      <c r="Z20" s="13">
        <f>zalozenia!Y97</f>
        <v>17475.802101704976</v>
      </c>
      <c r="AA20" s="13">
        <f>zalozenia!Z97</f>
        <v>17705.318143739074</v>
      </c>
      <c r="AB20" s="13">
        <f>zalozenia!AA97</f>
        <v>17939.424506613857</v>
      </c>
      <c r="AC20" s="13">
        <f>zalozenia!AB97</f>
        <v>18178.212996746133</v>
      </c>
      <c r="AD20" s="13">
        <f>zalozenia!AC97</f>
        <v>18421.777256681056</v>
      </c>
      <c r="AE20" s="13">
        <f>zalozenia!AD97</f>
        <v>18670.212801814676</v>
      </c>
      <c r="AF20" s="13">
        <f>zalozenia!AE97</f>
        <v>18923.61705785097</v>
      </c>
      <c r="AG20" s="13">
        <f>zalozenia!AF97</f>
        <v>19182.089399007993</v>
      </c>
      <c r="AH20" s="13">
        <f>zalozenia!AG97</f>
        <v>19445.731186988152</v>
      </c>
    </row>
    <row r="21" spans="1:35" ht="13">
      <c r="C21" s="1" t="s">
        <v>38</v>
      </c>
      <c r="D21" s="33" t="s">
        <v>50</v>
      </c>
      <c r="E21" s="3" t="s">
        <v>15</v>
      </c>
      <c r="I21" s="13">
        <f>zalozenia!H108</f>
        <v>1059.8499999999999</v>
      </c>
      <c r="J21" s="13">
        <f>zalozenia!I108</f>
        <v>2472.6320999999994</v>
      </c>
      <c r="K21" s="13">
        <f>zalozenia!J108</f>
        <v>2522.0847419999996</v>
      </c>
      <c r="L21" s="13">
        <f>zalozenia!K108</f>
        <v>2572.5264368399994</v>
      </c>
      <c r="M21" s="13">
        <f>zalozenia!L108</f>
        <v>2623.9769655767996</v>
      </c>
      <c r="N21" s="13">
        <f>zalozenia!M108</f>
        <v>2676.4565048883355</v>
      </c>
      <c r="O21" s="13">
        <f>zalozenia!N108</f>
        <v>2729.985634986102</v>
      </c>
      <c r="P21" s="13">
        <f>zalozenia!O108</f>
        <v>2784.5853476858242</v>
      </c>
      <c r="Q21" s="13">
        <f>zalozenia!P108</f>
        <v>2840.2770546395409</v>
      </c>
      <c r="R21" s="13">
        <f>zalozenia!Q108</f>
        <v>2897.0825957323318</v>
      </c>
      <c r="S21" s="13">
        <f>zalozenia!R108</f>
        <v>2955.0242476469784</v>
      </c>
      <c r="T21" s="13">
        <f>zalozenia!S108</f>
        <v>3014.1247325999179</v>
      </c>
      <c r="U21" s="13">
        <f>zalozenia!T108</f>
        <v>3074.4072272519161</v>
      </c>
      <c r="V21" s="13">
        <f>zalozenia!U108</f>
        <v>3135.8953717969548</v>
      </c>
      <c r="W21" s="13">
        <f>zalozenia!V108</f>
        <v>3198.613279232894</v>
      </c>
      <c r="X21" s="13">
        <f>zalozenia!W108</f>
        <v>3262.5855448175516</v>
      </c>
      <c r="Y21" s="13">
        <f>zalozenia!X108</f>
        <v>3327.8372557139028</v>
      </c>
      <c r="Z21" s="13">
        <f>zalozenia!Y108</f>
        <v>3394.3940008281807</v>
      </c>
      <c r="AA21" s="13">
        <f>zalozenia!Z108</f>
        <v>3462.2818808447446</v>
      </c>
      <c r="AB21" s="13">
        <f>zalozenia!AA108</f>
        <v>3531.5275184616394</v>
      </c>
      <c r="AC21" s="13">
        <f>zalozenia!AB108</f>
        <v>3602.1580688308723</v>
      </c>
      <c r="AD21" s="13">
        <f>zalozenia!AC108</f>
        <v>3674.2012302074895</v>
      </c>
      <c r="AE21" s="13">
        <f>zalozenia!AD108</f>
        <v>3747.6852548116394</v>
      </c>
      <c r="AF21" s="13">
        <f>zalozenia!AE108</f>
        <v>3822.6389599078725</v>
      </c>
      <c r="AG21" s="13">
        <f>zalozenia!AF108</f>
        <v>3899.0917391060298</v>
      </c>
      <c r="AH21" s="13">
        <f>zalozenia!AG108</f>
        <v>3977.0735738881503</v>
      </c>
    </row>
    <row r="22" spans="1:35" ht="13">
      <c r="C22" s="1" t="s">
        <v>39</v>
      </c>
      <c r="D22" s="33" t="s">
        <v>98</v>
      </c>
      <c r="E22" s="3" t="s">
        <v>15</v>
      </c>
      <c r="I22" s="13"/>
      <c r="J22" s="13">
        <f>zalozenia!I119</f>
        <v>0</v>
      </c>
      <c r="K22" s="13">
        <f>zalozenia!J119</f>
        <v>0</v>
      </c>
      <c r="L22" s="13">
        <f>zalozenia!K119</f>
        <v>0</v>
      </c>
      <c r="M22" s="13">
        <f>zalozenia!L119</f>
        <v>0</v>
      </c>
      <c r="N22" s="13">
        <f>zalozenia!M119</f>
        <v>0</v>
      </c>
      <c r="O22" s="13">
        <f>zalozenia!N119</f>
        <v>0</v>
      </c>
      <c r="P22" s="13">
        <f>zalozenia!O119</f>
        <v>0</v>
      </c>
      <c r="Q22" s="13">
        <f>zalozenia!P119</f>
        <v>0</v>
      </c>
      <c r="R22" s="13">
        <f>zalozenia!Q119</f>
        <v>0</v>
      </c>
      <c r="S22" s="13">
        <f>zalozenia!R119</f>
        <v>0</v>
      </c>
      <c r="T22" s="13">
        <f>zalozenia!S119</f>
        <v>0</v>
      </c>
      <c r="U22" s="13">
        <f>zalozenia!T119</f>
        <v>0</v>
      </c>
      <c r="V22" s="13">
        <f>zalozenia!U119</f>
        <v>0</v>
      </c>
      <c r="W22" s="13">
        <f>zalozenia!V119</f>
        <v>0</v>
      </c>
      <c r="X22" s="13">
        <f>zalozenia!W119</f>
        <v>0</v>
      </c>
      <c r="Y22" s="13">
        <f>zalozenia!X119</f>
        <v>0</v>
      </c>
      <c r="Z22" s="13">
        <f>zalozenia!Y119</f>
        <v>0</v>
      </c>
      <c r="AA22" s="13">
        <f>zalozenia!Z119</f>
        <v>0</v>
      </c>
      <c r="AB22" s="13">
        <f>zalozenia!AA119</f>
        <v>0</v>
      </c>
      <c r="AC22" s="13">
        <f>zalozenia!AB119</f>
        <v>0</v>
      </c>
      <c r="AD22" s="13">
        <f>zalozenia!AC119</f>
        <v>0</v>
      </c>
      <c r="AE22" s="13">
        <f>zalozenia!AD119</f>
        <v>0</v>
      </c>
      <c r="AF22" s="13">
        <f>zalozenia!AE119</f>
        <v>0</v>
      </c>
      <c r="AG22" s="13">
        <f>zalozenia!AF119</f>
        <v>0</v>
      </c>
      <c r="AH22" s="13">
        <f>zalozenia!AG119</f>
        <v>0</v>
      </c>
    </row>
    <row r="23" spans="1:35" ht="13">
      <c r="C23" s="1" t="s">
        <v>82</v>
      </c>
      <c r="D23" s="33" t="s">
        <v>99</v>
      </c>
      <c r="E23" s="3" t="s">
        <v>15</v>
      </c>
      <c r="I23" s="13">
        <f>zalozenia!H124</f>
        <v>0</v>
      </c>
      <c r="J23" s="13">
        <f>zalozenia!I124</f>
        <v>0</v>
      </c>
      <c r="K23" s="13">
        <f>zalozenia!J124</f>
        <v>0</v>
      </c>
      <c r="L23" s="13">
        <f>zalozenia!K124</f>
        <v>0</v>
      </c>
      <c r="M23" s="13">
        <f>zalozenia!L124</f>
        <v>0</v>
      </c>
      <c r="N23" s="13">
        <f>zalozenia!M124</f>
        <v>0</v>
      </c>
      <c r="O23" s="13">
        <f>zalozenia!N124</f>
        <v>0</v>
      </c>
      <c r="P23" s="13">
        <f>zalozenia!O124</f>
        <v>0</v>
      </c>
      <c r="Q23" s="13">
        <f>zalozenia!P124</f>
        <v>0</v>
      </c>
      <c r="R23" s="13">
        <f>zalozenia!Q124</f>
        <v>0</v>
      </c>
      <c r="S23" s="13">
        <f>zalozenia!R124</f>
        <v>0</v>
      </c>
      <c r="T23" s="13">
        <f>zalozenia!S124</f>
        <v>0</v>
      </c>
      <c r="U23" s="13">
        <f>zalozenia!T124</f>
        <v>0</v>
      </c>
      <c r="V23" s="13">
        <f>zalozenia!U124</f>
        <v>0</v>
      </c>
      <c r="W23" s="13">
        <f>zalozenia!V124</f>
        <v>0</v>
      </c>
      <c r="X23" s="13">
        <f>zalozenia!W124</f>
        <v>0</v>
      </c>
      <c r="Y23" s="13">
        <f>zalozenia!X124</f>
        <v>0</v>
      </c>
      <c r="Z23" s="13">
        <f>zalozenia!Y124</f>
        <v>0</v>
      </c>
      <c r="AA23" s="13">
        <f>zalozenia!Z124</f>
        <v>0</v>
      </c>
      <c r="AB23" s="13">
        <f>zalozenia!AA124</f>
        <v>0</v>
      </c>
      <c r="AC23" s="13">
        <f>zalozenia!AB124</f>
        <v>0</v>
      </c>
      <c r="AD23" s="13">
        <f>zalozenia!AC124</f>
        <v>0</v>
      </c>
      <c r="AE23" s="13">
        <f>zalozenia!AD124</f>
        <v>0</v>
      </c>
      <c r="AF23" s="13">
        <f>zalozenia!AE124</f>
        <v>0</v>
      </c>
      <c r="AG23" s="13">
        <f>zalozenia!AF124</f>
        <v>0</v>
      </c>
      <c r="AH23" s="13">
        <f>zalozenia!AG124</f>
        <v>0</v>
      </c>
    </row>
    <row r="24" spans="1:35" ht="13">
      <c r="C24" s="1" t="s">
        <v>83</v>
      </c>
      <c r="D24" s="33" t="s">
        <v>100</v>
      </c>
      <c r="E24" s="3" t="s">
        <v>15</v>
      </c>
      <c r="I24" s="13">
        <f>zalozenia!H128</f>
        <v>179.24250000000001</v>
      </c>
      <c r="J24" s="13">
        <f>zalozenia!I128</f>
        <v>771.75500727317819</v>
      </c>
      <c r="K24" s="13">
        <f>zalozenia!J128</f>
        <v>784.82908754865537</v>
      </c>
      <c r="L24" s="13">
        <f>zalozenia!K128</f>
        <v>798.20111538153401</v>
      </c>
      <c r="M24" s="13">
        <f>zalozenia!L128</f>
        <v>811.87741364572469</v>
      </c>
      <c r="N24" s="13">
        <f>zalozenia!M128</f>
        <v>825.86447540026757</v>
      </c>
      <c r="O24" s="13">
        <f>zalozenia!N128</f>
        <v>840.16896856492758</v>
      </c>
      <c r="P24" s="13">
        <f>zalozenia!O128</f>
        <v>854.79774076977287</v>
      </c>
      <c r="Q24" s="13">
        <f>zalozenia!P128</f>
        <v>869.75782438551312</v>
      </c>
      <c r="R24" s="13">
        <f>zalozenia!Q128</f>
        <v>885.05644174170982</v>
      </c>
      <c r="S24" s="13">
        <f>zalozenia!R128</f>
        <v>900.70101054032352</v>
      </c>
      <c r="T24" s="13">
        <f>zalozenia!S128</f>
        <v>916.69914947242614</v>
      </c>
      <c r="U24" s="13">
        <f>zalozenia!T128</f>
        <v>933.05868404629098</v>
      </c>
      <c r="V24" s="13">
        <f>zalozenia!U128</f>
        <v>949.78765263548451</v>
      </c>
      <c r="W24" s="13">
        <f>zalozenia!V128</f>
        <v>966.89431275600191</v>
      </c>
      <c r="X24" s="13">
        <f>zalozenia!W128</f>
        <v>977.15980871139004</v>
      </c>
      <c r="Y24" s="13">
        <f>zalozenia!X128</f>
        <v>1028.9311814967234</v>
      </c>
      <c r="Z24" s="13">
        <f>zalozenia!Y128</f>
        <v>1043.5098051266577</v>
      </c>
      <c r="AA24" s="13">
        <f>zalozenia!Z128</f>
        <v>1058.3800012291911</v>
      </c>
      <c r="AB24" s="13">
        <f>zalozenia!AA128</f>
        <v>1073.5476012537749</v>
      </c>
      <c r="AC24" s="13">
        <f>zalozenia!AB128</f>
        <v>1089.0185532788503</v>
      </c>
      <c r="AD24" s="13">
        <f>zalozenia!AC128</f>
        <v>1104.7989243444274</v>
      </c>
      <c r="AE24" s="13">
        <f>zalozenia!AD128</f>
        <v>1120.8949028313159</v>
      </c>
      <c r="AF24" s="13">
        <f>zalozenia!AE128</f>
        <v>1137.3128008879421</v>
      </c>
      <c r="AG24" s="13">
        <f>zalozenia!AF128</f>
        <v>1154.059056905701</v>
      </c>
      <c r="AH24" s="13">
        <f>zalozenia!AG128</f>
        <v>1171.1402380438151</v>
      </c>
    </row>
    <row r="25" spans="1:35" ht="2" customHeight="1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5" ht="2" customHeight="1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5" s="16" customFormat="1" ht="13">
      <c r="A27" s="67"/>
      <c r="B27" s="67"/>
      <c r="C27" s="16" t="s">
        <v>101</v>
      </c>
      <c r="D27" s="16" t="s">
        <v>102</v>
      </c>
      <c r="E27" s="17" t="s">
        <v>15</v>
      </c>
      <c r="I27" s="20">
        <f>I13-I17</f>
        <v>-154313.76472098965</v>
      </c>
      <c r="J27" s="20">
        <f t="shared" ref="J27:AH27" si="2">J13-J17</f>
        <v>46854.201824447897</v>
      </c>
      <c r="K27" s="20">
        <f t="shared" si="2"/>
        <v>48373.204679044575</v>
      </c>
      <c r="L27" s="20">
        <f t="shared" si="2"/>
        <v>49950.994567257003</v>
      </c>
      <c r="M27" s="20">
        <f t="shared" si="2"/>
        <v>51589.030725589691</v>
      </c>
      <c r="N27" s="20">
        <f t="shared" si="2"/>
        <v>53288.835639117053</v>
      </c>
      <c r="O27" s="20">
        <f t="shared" si="2"/>
        <v>55051.997297260503</v>
      </c>
      <c r="P27" s="20">
        <f t="shared" si="2"/>
        <v>56880.171557365829</v>
      </c>
      <c r="Q27" s="20">
        <f t="shared" si="2"/>
        <v>58775.084620808862</v>
      </c>
      <c r="R27" s="20">
        <f t="shared" si="2"/>
        <v>60738.535626603058</v>
      </c>
      <c r="S27" s="20">
        <f t="shared" si="2"/>
        <v>62772.399367746606</v>
      </c>
      <c r="T27" s="20">
        <f t="shared" si="2"/>
        <v>64878.629135818337</v>
      </c>
      <c r="U27" s="20">
        <f t="shared" si="2"/>
        <v>67059.259699622169</v>
      </c>
      <c r="V27" s="20">
        <f t="shared" si="2"/>
        <v>69316.410423982306</v>
      </c>
      <c r="W27" s="20">
        <f t="shared" si="2"/>
        <v>71652.288535111176</v>
      </c>
      <c r="X27" s="20">
        <f t="shared" si="2"/>
        <v>189496.76040050742</v>
      </c>
      <c r="Y27" s="20">
        <f t="shared" si="2"/>
        <v>88905.221886226354</v>
      </c>
      <c r="Z27" s="20">
        <f t="shared" si="2"/>
        <v>90100.214143072924</v>
      </c>
      <c r="AA27" s="20">
        <f t="shared" si="2"/>
        <v>91338.195544965653</v>
      </c>
      <c r="AB27" s="20">
        <f t="shared" si="2"/>
        <v>92620.509073914916</v>
      </c>
      <c r="AC27" s="20">
        <f t="shared" si="2"/>
        <v>93948.554109385557</v>
      </c>
      <c r="AD27" s="20">
        <f t="shared" si="2"/>
        <v>95323.788741135402</v>
      </c>
      <c r="AE27" s="20">
        <f t="shared" si="2"/>
        <v>96747.732191430026</v>
      </c>
      <c r="AF27" s="20">
        <f t="shared" si="2"/>
        <v>98221.967351903222</v>
      </c>
      <c r="AG27" s="20">
        <f t="shared" si="2"/>
        <v>99748.143440611719</v>
      </c>
      <c r="AH27" s="20">
        <f t="shared" si="2"/>
        <v>101327.97878512467</v>
      </c>
      <c r="AI27" s="51"/>
    </row>
    <row r="28" spans="1:35" ht="2" customHeight="1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5" ht="2" customHeight="1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5" ht="13">
      <c r="C30" s="1" t="s">
        <v>103</v>
      </c>
      <c r="D30" s="33" t="s">
        <v>104</v>
      </c>
      <c r="E30" s="3" t="s">
        <v>15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</row>
    <row r="31" spans="1:35" ht="2" customHeight="1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5" ht="13">
      <c r="C32" s="1" t="s">
        <v>105</v>
      </c>
      <c r="D32" s="33" t="s">
        <v>106</v>
      </c>
      <c r="E32" s="3" t="s">
        <v>15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</row>
    <row r="33" spans="1:35" ht="2" customHeight="1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5" ht="2" customHeight="1"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5" s="16" customFormat="1" ht="13">
      <c r="A35" s="67"/>
      <c r="B35" s="67"/>
      <c r="C35" s="16" t="s">
        <v>107</v>
      </c>
      <c r="D35" s="16" t="s">
        <v>108</v>
      </c>
      <c r="E35" s="17" t="s">
        <v>15</v>
      </c>
      <c r="I35" s="20">
        <f>I27+I30-I32</f>
        <v>-154313.76472098965</v>
      </c>
      <c r="J35" s="20">
        <f t="shared" ref="J35:AH35" si="3">J27+J30-J32</f>
        <v>46854.201824447897</v>
      </c>
      <c r="K35" s="20">
        <f t="shared" si="3"/>
        <v>48373.204679044575</v>
      </c>
      <c r="L35" s="20">
        <f t="shared" si="3"/>
        <v>49950.994567257003</v>
      </c>
      <c r="M35" s="20">
        <f t="shared" si="3"/>
        <v>51589.030725589691</v>
      </c>
      <c r="N35" s="20">
        <f t="shared" si="3"/>
        <v>53288.835639117053</v>
      </c>
      <c r="O35" s="20">
        <f t="shared" si="3"/>
        <v>55051.997297260503</v>
      </c>
      <c r="P35" s="20">
        <f t="shared" si="3"/>
        <v>56880.171557365829</v>
      </c>
      <c r="Q35" s="20">
        <f t="shared" si="3"/>
        <v>58775.084620808862</v>
      </c>
      <c r="R35" s="20">
        <f t="shared" si="3"/>
        <v>60738.535626603058</v>
      </c>
      <c r="S35" s="20">
        <f t="shared" si="3"/>
        <v>62772.399367746606</v>
      </c>
      <c r="T35" s="20">
        <f t="shared" si="3"/>
        <v>64878.629135818337</v>
      </c>
      <c r="U35" s="20">
        <f t="shared" si="3"/>
        <v>67059.259699622169</v>
      </c>
      <c r="V35" s="20">
        <f t="shared" si="3"/>
        <v>69316.410423982306</v>
      </c>
      <c r="W35" s="20">
        <f t="shared" si="3"/>
        <v>71652.288535111176</v>
      </c>
      <c r="X35" s="20">
        <f t="shared" si="3"/>
        <v>189496.76040050742</v>
      </c>
      <c r="Y35" s="20">
        <f t="shared" si="3"/>
        <v>88905.221886226354</v>
      </c>
      <c r="Z35" s="20">
        <f t="shared" si="3"/>
        <v>90100.214143072924</v>
      </c>
      <c r="AA35" s="20">
        <f t="shared" si="3"/>
        <v>91338.195544965653</v>
      </c>
      <c r="AB35" s="20">
        <f t="shared" si="3"/>
        <v>92620.509073914916</v>
      </c>
      <c r="AC35" s="20">
        <f t="shared" si="3"/>
        <v>93948.554109385557</v>
      </c>
      <c r="AD35" s="20">
        <f t="shared" si="3"/>
        <v>95323.788741135402</v>
      </c>
      <c r="AE35" s="20">
        <f t="shared" si="3"/>
        <v>96747.732191430026</v>
      </c>
      <c r="AF35" s="20">
        <f t="shared" si="3"/>
        <v>98221.967351903222</v>
      </c>
      <c r="AG35" s="20">
        <f t="shared" si="3"/>
        <v>99748.143440611719</v>
      </c>
      <c r="AH35" s="20">
        <f t="shared" si="3"/>
        <v>101327.97878512467</v>
      </c>
      <c r="AI35" s="51"/>
    </row>
    <row r="36" spans="1:35" ht="2" customHeight="1"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5" ht="2" customHeight="1"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5" ht="13">
      <c r="C38" s="1" t="s">
        <v>109</v>
      </c>
      <c r="D38" s="33" t="s">
        <v>110</v>
      </c>
      <c r="E38" s="3" t="s">
        <v>15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5" ht="2" customHeight="1"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5" ht="13">
      <c r="C40" s="1" t="s">
        <v>111</v>
      </c>
      <c r="D40" s="33" t="s">
        <v>112</v>
      </c>
      <c r="E40" s="3" t="s">
        <v>15</v>
      </c>
      <c r="I40" s="13">
        <f>zalozenia!H66</f>
        <v>43664.1293446372</v>
      </c>
      <c r="J40" s="13">
        <f>zalozenia!I66</f>
        <v>72096.049760029724</v>
      </c>
      <c r="K40" s="13">
        <f>zalozenia!J66</f>
        <v>68457.570668950575</v>
      </c>
      <c r="L40" s="13">
        <f>zalozenia!K66</f>
        <v>64629.129582499016</v>
      </c>
      <c r="M40" s="13">
        <f>zalozenia!L66</f>
        <v>60600.808741418274</v>
      </c>
      <c r="N40" s="13">
        <f>zalozenia!M66</f>
        <v>56362.172588412752</v>
      </c>
      <c r="O40" s="13">
        <f>zalozenia!N66</f>
        <v>51902.240734338957</v>
      </c>
      <c r="P40" s="13">
        <f>zalozenia!O66</f>
        <v>47209.459512983609</v>
      </c>
      <c r="Q40" s="13">
        <f>zalozenia!P66</f>
        <v>42271.672050740242</v>
      </c>
      <c r="R40" s="13">
        <f>zalozenia!Q66</f>
        <v>37076.086773648203</v>
      </c>
      <c r="S40" s="13">
        <f>zalozenia!R66</f>
        <v>31609.244270210169</v>
      </c>
      <c r="T40" s="13">
        <f>zalozenia!S66</f>
        <v>25856.982424144564</v>
      </c>
      <c r="U40" s="13">
        <f>zalozenia!T66</f>
        <v>19804.399726747841</v>
      </c>
      <c r="V40" s="13">
        <f>zalozenia!U66</f>
        <v>13435.816673825331</v>
      </c>
      <c r="W40" s="13">
        <f>zalozenia!V66</f>
        <v>6734.7351471876837</v>
      </c>
      <c r="X40" s="13">
        <f>zalozenia!W66</f>
        <v>745.83396234250176</v>
      </c>
      <c r="Y40" s="13">
        <f>zalozenia!X66</f>
        <v>6.3393524363370328E-11</v>
      </c>
      <c r="Z40" s="13">
        <f>zalozenia!Y66</f>
        <v>6.6703248036451899E-11</v>
      </c>
      <c r="AA40" s="13">
        <f>zalozenia!Z66</f>
        <v>7.0185769655414632E-11</v>
      </c>
      <c r="AB40" s="13">
        <f>zalozenia!AA66</f>
        <v>7.3850110858633801E-11</v>
      </c>
      <c r="AC40" s="13">
        <f>zalozenia!AB66</f>
        <v>7.770576429679082E-11</v>
      </c>
      <c r="AD40" s="13">
        <f>zalozenia!AC66</f>
        <v>8.1762718224037567E-11</v>
      </c>
      <c r="AE40" s="13">
        <f>zalozenia!AD66</f>
        <v>8.6031482373045197E-11</v>
      </c>
      <c r="AF40" s="13">
        <f>zalozenia!AE66</f>
        <v>9.0523115180967999E-11</v>
      </c>
      <c r="AG40" s="13">
        <f>zalozenia!AF66</f>
        <v>9.5249252436852423E-11</v>
      </c>
      <c r="AH40" s="13">
        <f>zalozenia!AG66</f>
        <v>4.1140280438653155E-11</v>
      </c>
    </row>
    <row r="41" spans="1:35" ht="2" customHeight="1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5" ht="2" customHeight="1"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5" s="16" customFormat="1" ht="13">
      <c r="A43" s="67"/>
      <c r="B43" s="67"/>
      <c r="C43" s="16" t="s">
        <v>21</v>
      </c>
      <c r="D43" s="16" t="s">
        <v>113</v>
      </c>
      <c r="E43" s="17" t="s">
        <v>15</v>
      </c>
      <c r="I43" s="20">
        <f>I35+I38-I40</f>
        <v>-197977.89406562684</v>
      </c>
      <c r="J43" s="20">
        <f t="shared" ref="J43:AH43" si="4">J35+J38-J40</f>
        <v>-25241.847935581827</v>
      </c>
      <c r="K43" s="20">
        <f t="shared" si="4"/>
        <v>-20084.365989906</v>
      </c>
      <c r="L43" s="20">
        <f t="shared" si="4"/>
        <v>-14678.135015242013</v>
      </c>
      <c r="M43" s="20">
        <f t="shared" si="4"/>
        <v>-9011.7780158285823</v>
      </c>
      <c r="N43" s="20">
        <f t="shared" si="4"/>
        <v>-3073.336949295699</v>
      </c>
      <c r="O43" s="20">
        <f t="shared" si="4"/>
        <v>3149.756562921546</v>
      </c>
      <c r="P43" s="20">
        <f t="shared" si="4"/>
        <v>9670.7120443822205</v>
      </c>
      <c r="Q43" s="20">
        <f t="shared" si="4"/>
        <v>16503.41257006862</v>
      </c>
      <c r="R43" s="20">
        <f t="shared" si="4"/>
        <v>23662.448852954854</v>
      </c>
      <c r="S43" s="20">
        <f t="shared" si="4"/>
        <v>31163.155097536437</v>
      </c>
      <c r="T43" s="20">
        <f t="shared" si="4"/>
        <v>39021.646711673777</v>
      </c>
      <c r="U43" s="20">
        <f t="shared" si="4"/>
        <v>47254.859972874328</v>
      </c>
      <c r="V43" s="20">
        <f t="shared" si="4"/>
        <v>55880.593750156972</v>
      </c>
      <c r="W43" s="20">
        <f t="shared" si="4"/>
        <v>64917.553387923494</v>
      </c>
      <c r="X43" s="20">
        <f t="shared" si="4"/>
        <v>188750.92643816493</v>
      </c>
      <c r="Y43" s="20">
        <f t="shared" si="4"/>
        <v>88905.221886226296</v>
      </c>
      <c r="Z43" s="20">
        <f t="shared" si="4"/>
        <v>90100.214143072852</v>
      </c>
      <c r="AA43" s="20">
        <f t="shared" si="4"/>
        <v>91338.19554496558</v>
      </c>
      <c r="AB43" s="20">
        <f t="shared" si="4"/>
        <v>92620.509073914844</v>
      </c>
      <c r="AC43" s="20">
        <f t="shared" si="4"/>
        <v>93948.554109385484</v>
      </c>
      <c r="AD43" s="20">
        <f t="shared" si="4"/>
        <v>95323.788741135315</v>
      </c>
      <c r="AE43" s="20">
        <f t="shared" si="4"/>
        <v>96747.732191429939</v>
      </c>
      <c r="AF43" s="20">
        <f t="shared" si="4"/>
        <v>98221.967351903135</v>
      </c>
      <c r="AG43" s="20">
        <f t="shared" si="4"/>
        <v>99748.143440611617</v>
      </c>
      <c r="AH43" s="20">
        <f t="shared" si="4"/>
        <v>101327.97878512462</v>
      </c>
      <c r="AI43" s="51"/>
    </row>
    <row r="44" spans="1:35" ht="2" customHeight="1"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5" ht="2" customHeight="1"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5" ht="13">
      <c r="C46" s="1" t="s">
        <v>114</v>
      </c>
      <c r="D46" s="33" t="s">
        <v>115</v>
      </c>
      <c r="E46" s="3" t="s">
        <v>15</v>
      </c>
      <c r="I46" s="13">
        <f>IF(I43&gt;0,I43*$E$47,0)</f>
        <v>0</v>
      </c>
      <c r="J46" s="13">
        <f t="shared" ref="J46:AH46" si="5">IF(J43&gt;0,J43*$E$47,0)</f>
        <v>0</v>
      </c>
      <c r="K46" s="13">
        <f t="shared" si="5"/>
        <v>0</v>
      </c>
      <c r="L46" s="13">
        <f t="shared" si="5"/>
        <v>0</v>
      </c>
      <c r="M46" s="13">
        <f t="shared" si="5"/>
        <v>0</v>
      </c>
      <c r="N46" s="13">
        <f t="shared" si="5"/>
        <v>0</v>
      </c>
      <c r="O46" s="13">
        <f t="shared" si="5"/>
        <v>472.46348443823189</v>
      </c>
      <c r="P46" s="13">
        <f t="shared" si="5"/>
        <v>1450.606806657333</v>
      </c>
      <c r="Q46" s="13">
        <f t="shared" si="5"/>
        <v>2475.5118855102928</v>
      </c>
      <c r="R46" s="13">
        <f t="shared" si="5"/>
        <v>3549.3673279432282</v>
      </c>
      <c r="S46" s="13">
        <f t="shared" si="5"/>
        <v>4674.4732646304656</v>
      </c>
      <c r="T46" s="13">
        <f t="shared" si="5"/>
        <v>5853.2470067510667</v>
      </c>
      <c r="U46" s="13">
        <f t="shared" si="5"/>
        <v>7088.2289959311493</v>
      </c>
      <c r="V46" s="13">
        <f t="shared" si="5"/>
        <v>8382.0890625235461</v>
      </c>
      <c r="W46" s="13">
        <f t="shared" si="5"/>
        <v>9737.6330081885244</v>
      </c>
      <c r="X46" s="13">
        <f t="shared" si="5"/>
        <v>28312.638965724738</v>
      </c>
      <c r="Y46" s="13">
        <f t="shared" si="5"/>
        <v>13335.783282933944</v>
      </c>
      <c r="Z46" s="13">
        <f t="shared" si="5"/>
        <v>13515.032121460927</v>
      </c>
      <c r="AA46" s="13">
        <f t="shared" si="5"/>
        <v>13700.729331744837</v>
      </c>
      <c r="AB46" s="13">
        <f t="shared" si="5"/>
        <v>13893.076361087225</v>
      </c>
      <c r="AC46" s="13">
        <f t="shared" si="5"/>
        <v>14092.283116407822</v>
      </c>
      <c r="AD46" s="13">
        <f t="shared" si="5"/>
        <v>14298.568311170297</v>
      </c>
      <c r="AE46" s="13">
        <f t="shared" si="5"/>
        <v>14512.15982871449</v>
      </c>
      <c r="AF46" s="13">
        <f t="shared" si="5"/>
        <v>14733.295102785471</v>
      </c>
      <c r="AG46" s="13">
        <f t="shared" si="5"/>
        <v>14962.221516091742</v>
      </c>
      <c r="AH46" s="13">
        <f t="shared" si="5"/>
        <v>15199.196817768692</v>
      </c>
    </row>
    <row r="47" spans="1:35" ht="13">
      <c r="D47" s="68" t="s">
        <v>116</v>
      </c>
      <c r="E47" s="69">
        <v>0.15</v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</row>
    <row r="48" spans="1:35" ht="2" customHeight="1"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5" ht="13">
      <c r="C49" s="1" t="s">
        <v>117</v>
      </c>
      <c r="D49" s="33" t="s">
        <v>118</v>
      </c>
      <c r="E49" s="3" t="s">
        <v>15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5" ht="2" customHeight="1"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5" ht="2" customHeight="1"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5" s="16" customFormat="1" ht="13">
      <c r="A52" s="67"/>
      <c r="B52" s="67"/>
      <c r="C52" s="16" t="s">
        <v>119</v>
      </c>
      <c r="D52" s="16" t="s">
        <v>120</v>
      </c>
      <c r="E52" s="17" t="s">
        <v>15</v>
      </c>
      <c r="I52" s="20">
        <f>I43-I46-I49</f>
        <v>-197977.89406562684</v>
      </c>
      <c r="J52" s="20">
        <f t="shared" ref="J52:AH52" si="6">J43-J46-J49</f>
        <v>-25241.847935581827</v>
      </c>
      <c r="K52" s="20">
        <f t="shared" si="6"/>
        <v>-20084.365989906</v>
      </c>
      <c r="L52" s="20">
        <f t="shared" si="6"/>
        <v>-14678.135015242013</v>
      </c>
      <c r="M52" s="20">
        <f t="shared" si="6"/>
        <v>-9011.7780158285823</v>
      </c>
      <c r="N52" s="20">
        <f t="shared" si="6"/>
        <v>-3073.336949295699</v>
      </c>
      <c r="O52" s="20">
        <f t="shared" si="6"/>
        <v>2677.2930784833143</v>
      </c>
      <c r="P52" s="20">
        <f t="shared" si="6"/>
        <v>8220.105237724887</v>
      </c>
      <c r="Q52" s="20">
        <f t="shared" si="6"/>
        <v>14027.900684558328</v>
      </c>
      <c r="R52" s="20">
        <f t="shared" si="6"/>
        <v>20113.081525011625</v>
      </c>
      <c r="S52" s="20">
        <f t="shared" si="6"/>
        <v>26488.681832905972</v>
      </c>
      <c r="T52" s="20">
        <f t="shared" si="6"/>
        <v>33168.399704922711</v>
      </c>
      <c r="U52" s="20">
        <f t="shared" si="6"/>
        <v>40166.630976943183</v>
      </c>
      <c r="V52" s="20">
        <f t="shared" si="6"/>
        <v>47498.504687633424</v>
      </c>
      <c r="W52" s="20">
        <f t="shared" si="6"/>
        <v>55179.920379734969</v>
      </c>
      <c r="X52" s="20">
        <f t="shared" si="6"/>
        <v>160438.28747244019</v>
      </c>
      <c r="Y52" s="20">
        <f t="shared" si="6"/>
        <v>75569.43860329235</v>
      </c>
      <c r="Z52" s="20">
        <f t="shared" si="6"/>
        <v>76585.182021611923</v>
      </c>
      <c r="AA52" s="20">
        <f t="shared" si="6"/>
        <v>77637.466213220745</v>
      </c>
      <c r="AB52" s="20">
        <f t="shared" si="6"/>
        <v>78727.43271282762</v>
      </c>
      <c r="AC52" s="20">
        <f t="shared" si="6"/>
        <v>79856.270992977661</v>
      </c>
      <c r="AD52" s="20">
        <f t="shared" si="6"/>
        <v>81025.220429965018</v>
      </c>
      <c r="AE52" s="20">
        <f t="shared" si="6"/>
        <v>82235.572362715451</v>
      </c>
      <c r="AF52" s="20">
        <f t="shared" si="6"/>
        <v>83488.672249117662</v>
      </c>
      <c r="AG52" s="20">
        <f t="shared" si="6"/>
        <v>84785.921924519876</v>
      </c>
      <c r="AH52" s="20">
        <f t="shared" si="6"/>
        <v>86128.781967355928</v>
      </c>
      <c r="AI52" s="51"/>
    </row>
    <row r="53" spans="1:35" ht="2" customHeight="1"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5" ht="2" customHeight="1"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5" ht="13"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5" ht="2" customHeight="1"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5" ht="2" customHeight="1">
      <c r="C57" s="31"/>
      <c r="D57" s="31"/>
      <c r="E57" s="31"/>
      <c r="F57" s="31"/>
      <c r="G57" s="31"/>
      <c r="H57" s="31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</row>
    <row r="58" spans="1:35" s="55" customFormat="1" ht="13">
      <c r="A58" s="51"/>
      <c r="B58" s="51"/>
      <c r="C58" s="75"/>
      <c r="D58" s="75" t="s">
        <v>121</v>
      </c>
      <c r="E58" s="75"/>
      <c r="F58" s="75"/>
      <c r="G58" s="75"/>
      <c r="H58" s="75"/>
      <c r="I58" s="82" t="str">
        <f>IF(INT(I61)=INT(I84),"TAK","NIE")</f>
        <v>TAK</v>
      </c>
      <c r="J58" s="82" t="str">
        <f>IF(INT(J61)=INT(J84),"TAK","NIE")</f>
        <v>TAK</v>
      </c>
      <c r="K58" s="82" t="str">
        <f t="shared" ref="K58:AH58" si="7">IF(INT(K61)=INT(K84),"TAK","NIE")</f>
        <v>TAK</v>
      </c>
      <c r="L58" s="82" t="str">
        <f t="shared" si="7"/>
        <v>TAK</v>
      </c>
      <c r="M58" s="82" t="str">
        <f t="shared" si="7"/>
        <v>TAK</v>
      </c>
      <c r="N58" s="82" t="str">
        <f t="shared" si="7"/>
        <v>TAK</v>
      </c>
      <c r="O58" s="82" t="str">
        <f t="shared" si="7"/>
        <v>TAK</v>
      </c>
      <c r="P58" s="82" t="str">
        <f t="shared" si="7"/>
        <v>TAK</v>
      </c>
      <c r="Q58" s="82" t="str">
        <f t="shared" si="7"/>
        <v>TAK</v>
      </c>
      <c r="R58" s="82" t="str">
        <f t="shared" si="7"/>
        <v>TAK</v>
      </c>
      <c r="S58" s="82" t="str">
        <f t="shared" si="7"/>
        <v>TAK</v>
      </c>
      <c r="T58" s="82" t="str">
        <f t="shared" si="7"/>
        <v>TAK</v>
      </c>
      <c r="U58" s="82" t="str">
        <f t="shared" si="7"/>
        <v>TAK</v>
      </c>
      <c r="V58" s="82" t="str">
        <f t="shared" si="7"/>
        <v>TAK</v>
      </c>
      <c r="W58" s="82" t="str">
        <f t="shared" si="7"/>
        <v>TAK</v>
      </c>
      <c r="X58" s="82" t="str">
        <f t="shared" si="7"/>
        <v>TAK</v>
      </c>
      <c r="Y58" s="82" t="str">
        <f t="shared" si="7"/>
        <v>TAK</v>
      </c>
      <c r="Z58" s="82" t="str">
        <f t="shared" si="7"/>
        <v>TAK</v>
      </c>
      <c r="AA58" s="82" t="str">
        <f t="shared" si="7"/>
        <v>TAK</v>
      </c>
      <c r="AB58" s="82" t="str">
        <f t="shared" si="7"/>
        <v>TAK</v>
      </c>
      <c r="AC58" s="82" t="str">
        <f t="shared" si="7"/>
        <v>TAK</v>
      </c>
      <c r="AD58" s="82" t="str">
        <f t="shared" si="7"/>
        <v>TAK</v>
      </c>
      <c r="AE58" s="82" t="str">
        <f t="shared" si="7"/>
        <v>TAK</v>
      </c>
      <c r="AF58" s="82" t="str">
        <f t="shared" si="7"/>
        <v>TAK</v>
      </c>
      <c r="AG58" s="82" t="str">
        <f t="shared" si="7"/>
        <v>TAK</v>
      </c>
      <c r="AH58" s="82" t="str">
        <f t="shared" si="7"/>
        <v>TAK</v>
      </c>
      <c r="AI58" s="51"/>
    </row>
    <row r="59" spans="1:35" ht="2" customHeight="1"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5" ht="2" customHeight="1">
      <c r="C60" s="31"/>
      <c r="D60" s="31"/>
      <c r="E60" s="31"/>
      <c r="F60" s="31"/>
      <c r="G60" s="31"/>
      <c r="H60" s="31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</row>
    <row r="61" spans="1:35" ht="13">
      <c r="C61" s="16"/>
      <c r="D61" s="16" t="s">
        <v>122</v>
      </c>
      <c r="E61" s="17" t="s">
        <v>15</v>
      </c>
      <c r="F61" s="16"/>
      <c r="G61" s="16"/>
      <c r="H61" s="16"/>
      <c r="I61" s="20">
        <f t="shared" ref="I61:AH61" si="8">SUM(I64,I74)</f>
        <v>1322318.0887693726</v>
      </c>
      <c r="J61" s="20">
        <f t="shared" si="8"/>
        <v>1227385.8268630127</v>
      </c>
      <c r="K61" s="20">
        <f t="shared" si="8"/>
        <v>1133972.5678112498</v>
      </c>
      <c r="L61" s="20">
        <f t="shared" si="8"/>
        <v>1042137.098647699</v>
      </c>
      <c r="M61" s="20">
        <f t="shared" si="8"/>
        <v>951939.66564248083</v>
      </c>
      <c r="N61" s="20">
        <f t="shared" si="8"/>
        <v>863442.03755079024</v>
      </c>
      <c r="O61" s="20">
        <f t="shared" si="8"/>
        <v>776235.10763280478</v>
      </c>
      <c r="P61" s="20">
        <f t="shared" si="8"/>
        <v>689878.20865270565</v>
      </c>
      <c r="Q61" s="20">
        <f t="shared" si="8"/>
        <v>604391.31765719643</v>
      </c>
      <c r="R61" s="20">
        <f t="shared" si="8"/>
        <v>519794.02222504857</v>
      </c>
      <c r="S61" s="20">
        <f t="shared" si="8"/>
        <v>436105.48459735693</v>
      </c>
      <c r="T61" s="20">
        <f t="shared" si="8"/>
        <v>353344.40299561649</v>
      </c>
      <c r="U61" s="20">
        <f t="shared" si="8"/>
        <v>271528.96996849973</v>
      </c>
      <c r="V61" s="20">
        <f t="shared" si="8"/>
        <v>190676.82759915077</v>
      </c>
      <c r="W61" s="20">
        <f t="shared" si="8"/>
        <v>110805.01939526567</v>
      </c>
      <c r="X61" s="20">
        <f t="shared" si="8"/>
        <v>212911.44760887849</v>
      </c>
      <c r="Y61" s="20">
        <f t="shared" si="8"/>
        <v>288480.88621217094</v>
      </c>
      <c r="Z61" s="20">
        <f t="shared" si="8"/>
        <v>365066.06823378289</v>
      </c>
      <c r="AA61" s="20">
        <f t="shared" si="8"/>
        <v>442703.53444700374</v>
      </c>
      <c r="AB61" s="20">
        <f t="shared" si="8"/>
        <v>521430.96715983143</v>
      </c>
      <c r="AC61" s="20">
        <f t="shared" si="8"/>
        <v>601287.23815280921</v>
      </c>
      <c r="AD61" s="20">
        <f t="shared" si="8"/>
        <v>682312.45858277427</v>
      </c>
      <c r="AE61" s="20">
        <f t="shared" si="8"/>
        <v>764548.03094548977</v>
      </c>
      <c r="AF61" s="20">
        <f t="shared" si="8"/>
        <v>848036.70319460751</v>
      </c>
      <c r="AG61" s="20">
        <f t="shared" si="8"/>
        <v>932822.62511912745</v>
      </c>
      <c r="AH61" s="20">
        <f t="shared" si="8"/>
        <v>1018951.4070864834</v>
      </c>
    </row>
    <row r="62" spans="1:35" ht="2" customHeight="1"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5" ht="2" customHeight="1">
      <c r="C63" s="31"/>
      <c r="D63" s="31"/>
      <c r="E63" s="31"/>
      <c r="F63" s="31"/>
      <c r="G63" s="31"/>
      <c r="H63" s="31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</row>
    <row r="64" spans="1:35" ht="13">
      <c r="C64" s="71" t="s">
        <v>90</v>
      </c>
      <c r="D64" s="16" t="s">
        <v>123</v>
      </c>
      <c r="E64" s="17" t="s">
        <v>15</v>
      </c>
      <c r="F64" s="16"/>
      <c r="G64" s="16"/>
      <c r="H64" s="16"/>
      <c r="I64" s="20">
        <f t="shared" ref="I64:AH64" si="9">SUM(I65,I66,I72)</f>
        <v>1694807.3077790104</v>
      </c>
      <c r="J64" s="20">
        <f t="shared" si="9"/>
        <v>1573749.6429376525</v>
      </c>
      <c r="K64" s="20">
        <f t="shared" si="9"/>
        <v>1452691.9780962947</v>
      </c>
      <c r="L64" s="20">
        <f t="shared" si="9"/>
        <v>1331634.3132549368</v>
      </c>
      <c r="M64" s="20">
        <f t="shared" si="9"/>
        <v>1210576.648413579</v>
      </c>
      <c r="N64" s="20">
        <f t="shared" si="9"/>
        <v>1089518.9835722211</v>
      </c>
      <c r="O64" s="20">
        <f t="shared" si="9"/>
        <v>968461.31873086328</v>
      </c>
      <c r="P64" s="20">
        <f t="shared" si="9"/>
        <v>847403.65388950543</v>
      </c>
      <c r="Q64" s="20">
        <f t="shared" si="9"/>
        <v>726345.98904814757</v>
      </c>
      <c r="R64" s="20">
        <f t="shared" si="9"/>
        <v>605288.32420678972</v>
      </c>
      <c r="S64" s="20">
        <f t="shared" si="9"/>
        <v>484230.65936543181</v>
      </c>
      <c r="T64" s="20">
        <f t="shared" si="9"/>
        <v>363172.9945240739</v>
      </c>
      <c r="U64" s="20">
        <f t="shared" si="9"/>
        <v>242115.32968271599</v>
      </c>
      <c r="V64" s="20">
        <f t="shared" si="9"/>
        <v>121057.6648413581</v>
      </c>
      <c r="W64" s="20">
        <f t="shared" si="9"/>
        <v>2.0372681319713593E-10</v>
      </c>
      <c r="X64" s="20">
        <f t="shared" si="9"/>
        <v>2.0372681319713593E-10</v>
      </c>
      <c r="Y64" s="20">
        <f t="shared" si="9"/>
        <v>2.0372681319713593E-10</v>
      </c>
      <c r="Z64" s="20">
        <f t="shared" si="9"/>
        <v>2.0372681319713593E-10</v>
      </c>
      <c r="AA64" s="20">
        <f t="shared" si="9"/>
        <v>2.0372681319713593E-10</v>
      </c>
      <c r="AB64" s="20">
        <f t="shared" si="9"/>
        <v>2.0372681319713593E-10</v>
      </c>
      <c r="AC64" s="20">
        <f t="shared" si="9"/>
        <v>2.0372681319713593E-10</v>
      </c>
      <c r="AD64" s="20">
        <f t="shared" si="9"/>
        <v>2.0372681319713593E-10</v>
      </c>
      <c r="AE64" s="20">
        <f t="shared" si="9"/>
        <v>2.0372681319713593E-10</v>
      </c>
      <c r="AF64" s="20">
        <f t="shared" si="9"/>
        <v>2.0372681319713593E-10</v>
      </c>
      <c r="AG64" s="20">
        <f t="shared" si="9"/>
        <v>2.0372681319713593E-10</v>
      </c>
      <c r="AH64" s="20">
        <f t="shared" si="9"/>
        <v>2.0372681319713593E-10</v>
      </c>
    </row>
    <row r="65" spans="1:34" s="50" customFormat="1" ht="13">
      <c r="A65" s="49"/>
      <c r="B65" s="49"/>
      <c r="C65" s="72" t="s">
        <v>21</v>
      </c>
      <c r="D65" s="33" t="s">
        <v>124</v>
      </c>
      <c r="E65" s="3" t="s">
        <v>15</v>
      </c>
      <c r="F65" s="1"/>
      <c r="G65" s="1"/>
      <c r="H65" s="1"/>
      <c r="I65" s="61" t="s">
        <v>94</v>
      </c>
      <c r="J65" s="61" t="s">
        <v>94</v>
      </c>
      <c r="K65" s="61" t="s">
        <v>94</v>
      </c>
      <c r="L65" s="61" t="s">
        <v>94</v>
      </c>
      <c r="M65" s="61" t="s">
        <v>94</v>
      </c>
      <c r="N65" s="61" t="s">
        <v>94</v>
      </c>
      <c r="O65" s="61" t="s">
        <v>94</v>
      </c>
      <c r="P65" s="61" t="s">
        <v>94</v>
      </c>
      <c r="Q65" s="61" t="s">
        <v>94</v>
      </c>
      <c r="R65" s="61" t="s">
        <v>94</v>
      </c>
      <c r="S65" s="61" t="s">
        <v>94</v>
      </c>
      <c r="T65" s="61" t="s">
        <v>94</v>
      </c>
      <c r="U65" s="61" t="s">
        <v>94</v>
      </c>
      <c r="V65" s="61" t="s">
        <v>94</v>
      </c>
      <c r="W65" s="61" t="s">
        <v>94</v>
      </c>
      <c r="X65" s="61" t="s">
        <v>94</v>
      </c>
      <c r="Y65" s="61" t="s">
        <v>94</v>
      </c>
      <c r="Z65" s="61" t="s">
        <v>94</v>
      </c>
      <c r="AA65" s="61" t="s">
        <v>94</v>
      </c>
      <c r="AB65" s="61" t="s">
        <v>94</v>
      </c>
      <c r="AC65" s="61" t="s">
        <v>94</v>
      </c>
      <c r="AD65" s="61" t="s">
        <v>94</v>
      </c>
      <c r="AE65" s="61" t="s">
        <v>94</v>
      </c>
      <c r="AF65" s="61" t="s">
        <v>94</v>
      </c>
      <c r="AG65" s="61" t="s">
        <v>94</v>
      </c>
      <c r="AH65" s="61" t="s">
        <v>94</v>
      </c>
    </row>
    <row r="66" spans="1:34" s="50" customFormat="1" ht="13">
      <c r="A66" s="49"/>
      <c r="B66" s="49"/>
      <c r="C66" s="72" t="s">
        <v>23</v>
      </c>
      <c r="D66" s="33" t="s">
        <v>125</v>
      </c>
      <c r="E66" s="3" t="s">
        <v>15</v>
      </c>
      <c r="F66" s="1"/>
      <c r="G66" s="1"/>
      <c r="H66" s="1"/>
      <c r="I66" s="13">
        <f t="shared" ref="I66:AH66" si="10">SUM(I67:I71)</f>
        <v>1694807.3077790104</v>
      </c>
      <c r="J66" s="13">
        <f t="shared" si="10"/>
        <v>1573749.6429376525</v>
      </c>
      <c r="K66" s="13">
        <f t="shared" si="10"/>
        <v>1452691.9780962947</v>
      </c>
      <c r="L66" s="13">
        <f t="shared" si="10"/>
        <v>1331634.3132549368</v>
      </c>
      <c r="M66" s="13">
        <f t="shared" si="10"/>
        <v>1210576.648413579</v>
      </c>
      <c r="N66" s="13">
        <f t="shared" si="10"/>
        <v>1089518.9835722211</v>
      </c>
      <c r="O66" s="13">
        <f t="shared" si="10"/>
        <v>968461.31873086328</v>
      </c>
      <c r="P66" s="13">
        <f t="shared" si="10"/>
        <v>847403.65388950543</v>
      </c>
      <c r="Q66" s="13">
        <f t="shared" si="10"/>
        <v>726345.98904814757</v>
      </c>
      <c r="R66" s="13">
        <f t="shared" si="10"/>
        <v>605288.32420678972</v>
      </c>
      <c r="S66" s="13">
        <f t="shared" si="10"/>
        <v>484230.65936543181</v>
      </c>
      <c r="T66" s="13">
        <f t="shared" si="10"/>
        <v>363172.9945240739</v>
      </c>
      <c r="U66" s="13">
        <f t="shared" si="10"/>
        <v>242115.32968271599</v>
      </c>
      <c r="V66" s="13">
        <f t="shared" si="10"/>
        <v>121057.6648413581</v>
      </c>
      <c r="W66" s="13">
        <f t="shared" si="10"/>
        <v>2.0372681319713593E-10</v>
      </c>
      <c r="X66" s="13">
        <f t="shared" si="10"/>
        <v>2.0372681319713593E-10</v>
      </c>
      <c r="Y66" s="13">
        <f t="shared" si="10"/>
        <v>2.0372681319713593E-10</v>
      </c>
      <c r="Z66" s="13">
        <f t="shared" si="10"/>
        <v>2.0372681319713593E-10</v>
      </c>
      <c r="AA66" s="13">
        <f t="shared" si="10"/>
        <v>2.0372681319713593E-10</v>
      </c>
      <c r="AB66" s="13">
        <f t="shared" si="10"/>
        <v>2.0372681319713593E-10</v>
      </c>
      <c r="AC66" s="13">
        <f t="shared" si="10"/>
        <v>2.0372681319713593E-10</v>
      </c>
      <c r="AD66" s="13">
        <f t="shared" si="10"/>
        <v>2.0372681319713593E-10</v>
      </c>
      <c r="AE66" s="13">
        <f t="shared" si="10"/>
        <v>2.0372681319713593E-10</v>
      </c>
      <c r="AF66" s="13">
        <f t="shared" si="10"/>
        <v>2.0372681319713593E-10</v>
      </c>
      <c r="AG66" s="13">
        <f t="shared" si="10"/>
        <v>2.0372681319713593E-10</v>
      </c>
      <c r="AH66" s="13">
        <f t="shared" si="10"/>
        <v>2.0372681319713593E-10</v>
      </c>
    </row>
    <row r="67" spans="1:34" s="50" customFormat="1" ht="13">
      <c r="A67" s="49"/>
      <c r="B67" s="49"/>
      <c r="C67" s="72">
        <v>1</v>
      </c>
      <c r="D67" s="34" t="s">
        <v>126</v>
      </c>
      <c r="E67" s="3" t="s">
        <v>15</v>
      </c>
      <c r="F67" s="1"/>
      <c r="G67" s="1"/>
      <c r="H67" s="1"/>
      <c r="I67" s="61" t="s">
        <v>94</v>
      </c>
      <c r="J67" s="61" t="s">
        <v>94</v>
      </c>
      <c r="K67" s="61" t="s">
        <v>94</v>
      </c>
      <c r="L67" s="61" t="s">
        <v>94</v>
      </c>
      <c r="M67" s="61" t="s">
        <v>94</v>
      </c>
      <c r="N67" s="61" t="s">
        <v>94</v>
      </c>
      <c r="O67" s="61" t="s">
        <v>94</v>
      </c>
      <c r="P67" s="61" t="s">
        <v>94</v>
      </c>
      <c r="Q67" s="61" t="s">
        <v>94</v>
      </c>
      <c r="R67" s="61" t="s">
        <v>94</v>
      </c>
      <c r="S67" s="61" t="s">
        <v>94</v>
      </c>
      <c r="T67" s="61" t="s">
        <v>94</v>
      </c>
      <c r="U67" s="61" t="s">
        <v>94</v>
      </c>
      <c r="V67" s="61" t="s">
        <v>94</v>
      </c>
      <c r="W67" s="61" t="s">
        <v>94</v>
      </c>
      <c r="X67" s="61" t="s">
        <v>94</v>
      </c>
      <c r="Y67" s="61" t="s">
        <v>94</v>
      </c>
      <c r="Z67" s="61" t="s">
        <v>94</v>
      </c>
      <c r="AA67" s="61" t="s">
        <v>94</v>
      </c>
      <c r="AB67" s="61" t="s">
        <v>94</v>
      </c>
      <c r="AC67" s="61" t="s">
        <v>94</v>
      </c>
      <c r="AD67" s="61" t="s">
        <v>94</v>
      </c>
      <c r="AE67" s="61" t="s">
        <v>94</v>
      </c>
      <c r="AF67" s="61" t="s">
        <v>94</v>
      </c>
      <c r="AG67" s="61" t="s">
        <v>94</v>
      </c>
      <c r="AH67" s="61" t="s">
        <v>94</v>
      </c>
    </row>
    <row r="68" spans="1:34" s="50" customFormat="1" ht="13">
      <c r="A68" s="49"/>
      <c r="B68" s="49"/>
      <c r="C68" s="72">
        <v>2</v>
      </c>
      <c r="D68" s="34" t="s">
        <v>127</v>
      </c>
      <c r="E68" s="3" t="s">
        <v>15</v>
      </c>
      <c r="F68" s="1"/>
      <c r="G68" s="1"/>
      <c r="H68" s="1"/>
      <c r="I68" s="61" t="s">
        <v>94</v>
      </c>
      <c r="J68" s="61" t="s">
        <v>94</v>
      </c>
      <c r="K68" s="61" t="s">
        <v>94</v>
      </c>
      <c r="L68" s="61" t="s">
        <v>94</v>
      </c>
      <c r="M68" s="61" t="s">
        <v>94</v>
      </c>
      <c r="N68" s="61" t="s">
        <v>94</v>
      </c>
      <c r="O68" s="61" t="s">
        <v>94</v>
      </c>
      <c r="P68" s="61" t="s">
        <v>94</v>
      </c>
      <c r="Q68" s="61" t="s">
        <v>94</v>
      </c>
      <c r="R68" s="61" t="s">
        <v>94</v>
      </c>
      <c r="S68" s="61" t="s">
        <v>94</v>
      </c>
      <c r="T68" s="61" t="s">
        <v>94</v>
      </c>
      <c r="U68" s="61" t="s">
        <v>94</v>
      </c>
      <c r="V68" s="61" t="s">
        <v>94</v>
      </c>
      <c r="W68" s="61" t="s">
        <v>94</v>
      </c>
      <c r="X68" s="61" t="s">
        <v>94</v>
      </c>
      <c r="Y68" s="61" t="s">
        <v>94</v>
      </c>
      <c r="Z68" s="61" t="s">
        <v>94</v>
      </c>
      <c r="AA68" s="61" t="s">
        <v>94</v>
      </c>
      <c r="AB68" s="61" t="s">
        <v>94</v>
      </c>
      <c r="AC68" s="61" t="s">
        <v>94</v>
      </c>
      <c r="AD68" s="61" t="s">
        <v>94</v>
      </c>
      <c r="AE68" s="61" t="s">
        <v>94</v>
      </c>
      <c r="AF68" s="61" t="s">
        <v>94</v>
      </c>
      <c r="AG68" s="61" t="s">
        <v>94</v>
      </c>
      <c r="AH68" s="61" t="s">
        <v>94</v>
      </c>
    </row>
    <row r="69" spans="1:34" s="50" customFormat="1" ht="13">
      <c r="A69" s="49"/>
      <c r="B69" s="49"/>
      <c r="C69" s="72">
        <v>3</v>
      </c>
      <c r="D69" s="34" t="s">
        <v>128</v>
      </c>
      <c r="E69" s="3" t="s">
        <v>15</v>
      </c>
      <c r="F69" s="1"/>
      <c r="G69" s="1"/>
      <c r="H69" s="1"/>
      <c r="I69" s="61">
        <f>zalozenia!$F$57-(I18)</f>
        <v>1694807.3077790104</v>
      </c>
      <c r="J69" s="61">
        <f>I69-(J18)</f>
        <v>1573749.6429376525</v>
      </c>
      <c r="K69" s="61">
        <f t="shared" ref="K69:AH69" si="11">J69-(K18)</f>
        <v>1452691.9780962947</v>
      </c>
      <c r="L69" s="61">
        <f t="shared" si="11"/>
        <v>1331634.3132549368</v>
      </c>
      <c r="M69" s="61">
        <f t="shared" si="11"/>
        <v>1210576.648413579</v>
      </c>
      <c r="N69" s="61">
        <f t="shared" si="11"/>
        <v>1089518.9835722211</v>
      </c>
      <c r="O69" s="61">
        <f t="shared" si="11"/>
        <v>968461.31873086328</v>
      </c>
      <c r="P69" s="61">
        <f t="shared" si="11"/>
        <v>847403.65388950543</v>
      </c>
      <c r="Q69" s="61">
        <f t="shared" si="11"/>
        <v>726345.98904814757</v>
      </c>
      <c r="R69" s="61">
        <f t="shared" si="11"/>
        <v>605288.32420678972</v>
      </c>
      <c r="S69" s="61">
        <f t="shared" si="11"/>
        <v>484230.65936543181</v>
      </c>
      <c r="T69" s="61">
        <f t="shared" si="11"/>
        <v>363172.9945240739</v>
      </c>
      <c r="U69" s="61">
        <f t="shared" si="11"/>
        <v>242115.32968271599</v>
      </c>
      <c r="V69" s="61">
        <f t="shared" si="11"/>
        <v>121057.6648413581</v>
      </c>
      <c r="W69" s="61">
        <f t="shared" si="11"/>
        <v>2.0372681319713593E-10</v>
      </c>
      <c r="X69" s="61">
        <f t="shared" si="11"/>
        <v>2.0372681319713593E-10</v>
      </c>
      <c r="Y69" s="61">
        <f t="shared" si="11"/>
        <v>2.0372681319713593E-10</v>
      </c>
      <c r="Z69" s="61">
        <f t="shared" si="11"/>
        <v>2.0372681319713593E-10</v>
      </c>
      <c r="AA69" s="61">
        <f t="shared" si="11"/>
        <v>2.0372681319713593E-10</v>
      </c>
      <c r="AB69" s="61">
        <f t="shared" si="11"/>
        <v>2.0372681319713593E-10</v>
      </c>
      <c r="AC69" s="61">
        <f t="shared" si="11"/>
        <v>2.0372681319713593E-10</v>
      </c>
      <c r="AD69" s="61">
        <f t="shared" si="11"/>
        <v>2.0372681319713593E-10</v>
      </c>
      <c r="AE69" s="61">
        <f t="shared" si="11"/>
        <v>2.0372681319713593E-10</v>
      </c>
      <c r="AF69" s="61">
        <f t="shared" si="11"/>
        <v>2.0372681319713593E-10</v>
      </c>
      <c r="AG69" s="61">
        <f t="shared" si="11"/>
        <v>2.0372681319713593E-10</v>
      </c>
      <c r="AH69" s="61">
        <f t="shared" si="11"/>
        <v>2.0372681319713593E-10</v>
      </c>
    </row>
    <row r="70" spans="1:34" s="50" customFormat="1" ht="13">
      <c r="A70" s="49"/>
      <c r="B70" s="49"/>
      <c r="C70" s="72">
        <v>4</v>
      </c>
      <c r="D70" s="34" t="s">
        <v>129</v>
      </c>
      <c r="E70" s="3" t="s">
        <v>15</v>
      </c>
      <c r="F70" s="1"/>
      <c r="G70" s="1"/>
      <c r="H70" s="1"/>
      <c r="I70" s="61" t="s">
        <v>94</v>
      </c>
      <c r="J70" s="61" t="s">
        <v>94</v>
      </c>
      <c r="K70" s="61" t="s">
        <v>94</v>
      </c>
      <c r="L70" s="61" t="s">
        <v>94</v>
      </c>
      <c r="M70" s="61" t="s">
        <v>94</v>
      </c>
      <c r="N70" s="61" t="s">
        <v>94</v>
      </c>
      <c r="O70" s="61" t="s">
        <v>94</v>
      </c>
      <c r="P70" s="61" t="s">
        <v>94</v>
      </c>
      <c r="Q70" s="61" t="s">
        <v>94</v>
      </c>
      <c r="R70" s="61" t="s">
        <v>94</v>
      </c>
      <c r="S70" s="61" t="s">
        <v>94</v>
      </c>
      <c r="T70" s="61" t="s">
        <v>94</v>
      </c>
      <c r="U70" s="61" t="s">
        <v>94</v>
      </c>
      <c r="V70" s="61" t="s">
        <v>94</v>
      </c>
      <c r="W70" s="61" t="s">
        <v>94</v>
      </c>
      <c r="X70" s="61" t="s">
        <v>94</v>
      </c>
      <c r="Y70" s="61" t="s">
        <v>94</v>
      </c>
      <c r="Z70" s="61" t="s">
        <v>94</v>
      </c>
      <c r="AA70" s="61" t="s">
        <v>94</v>
      </c>
      <c r="AB70" s="61" t="s">
        <v>94</v>
      </c>
      <c r="AC70" s="61" t="s">
        <v>94</v>
      </c>
      <c r="AD70" s="61" t="s">
        <v>94</v>
      </c>
      <c r="AE70" s="61" t="s">
        <v>94</v>
      </c>
      <c r="AF70" s="61" t="s">
        <v>94</v>
      </c>
      <c r="AG70" s="61" t="s">
        <v>94</v>
      </c>
      <c r="AH70" s="61" t="s">
        <v>94</v>
      </c>
    </row>
    <row r="71" spans="1:34" s="50" customFormat="1" ht="13">
      <c r="A71" s="49"/>
      <c r="B71" s="49"/>
      <c r="C71" s="72">
        <v>5</v>
      </c>
      <c r="D71" s="34" t="s">
        <v>130</v>
      </c>
      <c r="E71" s="3" t="s">
        <v>15</v>
      </c>
      <c r="F71" s="1"/>
      <c r="G71" s="1"/>
      <c r="H71" s="1"/>
      <c r="I71" s="61" t="s">
        <v>94</v>
      </c>
      <c r="J71" s="61" t="s">
        <v>94</v>
      </c>
      <c r="K71" s="61" t="s">
        <v>94</v>
      </c>
      <c r="L71" s="61" t="s">
        <v>94</v>
      </c>
      <c r="M71" s="61" t="s">
        <v>94</v>
      </c>
      <c r="N71" s="61" t="s">
        <v>94</v>
      </c>
      <c r="O71" s="61" t="s">
        <v>94</v>
      </c>
      <c r="P71" s="61" t="s">
        <v>94</v>
      </c>
      <c r="Q71" s="61" t="s">
        <v>94</v>
      </c>
      <c r="R71" s="61" t="s">
        <v>94</v>
      </c>
      <c r="S71" s="61" t="s">
        <v>94</v>
      </c>
      <c r="T71" s="61" t="s">
        <v>94</v>
      </c>
      <c r="U71" s="61" t="s">
        <v>94</v>
      </c>
      <c r="V71" s="61" t="s">
        <v>94</v>
      </c>
      <c r="W71" s="61" t="s">
        <v>94</v>
      </c>
      <c r="X71" s="61" t="s">
        <v>94</v>
      </c>
      <c r="Y71" s="61" t="s">
        <v>94</v>
      </c>
      <c r="Z71" s="61" t="s">
        <v>94</v>
      </c>
      <c r="AA71" s="61" t="s">
        <v>94</v>
      </c>
      <c r="AB71" s="61" t="s">
        <v>94</v>
      </c>
      <c r="AC71" s="61" t="s">
        <v>94</v>
      </c>
      <c r="AD71" s="61" t="s">
        <v>94</v>
      </c>
      <c r="AE71" s="61" t="s">
        <v>94</v>
      </c>
      <c r="AF71" s="61" t="s">
        <v>94</v>
      </c>
      <c r="AG71" s="61" t="s">
        <v>94</v>
      </c>
      <c r="AH71" s="61" t="s">
        <v>94</v>
      </c>
    </row>
    <row r="72" spans="1:34" s="50" customFormat="1" ht="13">
      <c r="A72" s="49"/>
      <c r="B72" s="49"/>
      <c r="C72" s="72" t="s">
        <v>37</v>
      </c>
      <c r="D72" s="33" t="s">
        <v>131</v>
      </c>
      <c r="E72" s="3" t="s">
        <v>15</v>
      </c>
      <c r="F72" s="1"/>
      <c r="G72" s="1"/>
      <c r="H72" s="1"/>
      <c r="I72" s="61" t="s">
        <v>94</v>
      </c>
      <c r="J72" s="61" t="s">
        <v>94</v>
      </c>
      <c r="K72" s="61" t="s">
        <v>94</v>
      </c>
      <c r="L72" s="61" t="s">
        <v>94</v>
      </c>
      <c r="M72" s="61" t="s">
        <v>94</v>
      </c>
      <c r="N72" s="61" t="s">
        <v>94</v>
      </c>
      <c r="O72" s="61" t="s">
        <v>94</v>
      </c>
      <c r="P72" s="61" t="s">
        <v>94</v>
      </c>
      <c r="Q72" s="61" t="s">
        <v>94</v>
      </c>
      <c r="R72" s="61" t="s">
        <v>94</v>
      </c>
      <c r="S72" s="61" t="s">
        <v>94</v>
      </c>
      <c r="T72" s="61" t="s">
        <v>94</v>
      </c>
      <c r="U72" s="61" t="s">
        <v>94</v>
      </c>
      <c r="V72" s="61" t="s">
        <v>94</v>
      </c>
      <c r="W72" s="61" t="s">
        <v>94</v>
      </c>
      <c r="X72" s="61" t="s">
        <v>94</v>
      </c>
      <c r="Y72" s="61" t="s">
        <v>94</v>
      </c>
      <c r="Z72" s="61" t="s">
        <v>94</v>
      </c>
      <c r="AA72" s="61" t="s">
        <v>94</v>
      </c>
      <c r="AB72" s="61" t="s">
        <v>94</v>
      </c>
      <c r="AC72" s="61" t="s">
        <v>94</v>
      </c>
      <c r="AD72" s="61" t="s">
        <v>94</v>
      </c>
      <c r="AE72" s="61" t="s">
        <v>94</v>
      </c>
      <c r="AF72" s="61" t="s">
        <v>94</v>
      </c>
      <c r="AG72" s="61" t="s">
        <v>94</v>
      </c>
      <c r="AH72" s="61" t="s">
        <v>94</v>
      </c>
    </row>
    <row r="73" spans="1:34" ht="2" customHeight="1">
      <c r="C73" s="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s="50" customFormat="1" ht="13">
      <c r="A74" s="49"/>
      <c r="B74" s="49"/>
      <c r="C74" s="71" t="s">
        <v>95</v>
      </c>
      <c r="D74" s="16" t="s">
        <v>132</v>
      </c>
      <c r="E74" s="17" t="s">
        <v>15</v>
      </c>
      <c r="F74" s="16"/>
      <c r="G74" s="16"/>
      <c r="H74" s="16"/>
      <c r="I74" s="20">
        <f t="shared" ref="I74:AH74" si="12">SUM(I75,I76,I77,I80)</f>
        <v>-372489.21900963783</v>
      </c>
      <c r="J74" s="20">
        <f t="shared" si="12"/>
        <v>-346363.81607463979</v>
      </c>
      <c r="K74" s="20">
        <f t="shared" si="12"/>
        <v>-318719.41028504504</v>
      </c>
      <c r="L74" s="20">
        <f t="shared" si="12"/>
        <v>-289497.2146072379</v>
      </c>
      <c r="M74" s="20">
        <f t="shared" si="12"/>
        <v>-258636.98277109809</v>
      </c>
      <c r="N74" s="20">
        <f t="shared" si="12"/>
        <v>-226076.94602143089</v>
      </c>
      <c r="O74" s="20">
        <f t="shared" si="12"/>
        <v>-192226.21109805847</v>
      </c>
      <c r="P74" s="20">
        <f t="shared" si="12"/>
        <v>-157525.44523679983</v>
      </c>
      <c r="Q74" s="20">
        <f t="shared" si="12"/>
        <v>-121954.6713909511</v>
      </c>
      <c r="R74" s="20">
        <f t="shared" si="12"/>
        <v>-85494.30198174114</v>
      </c>
      <c r="S74" s="20">
        <f t="shared" si="12"/>
        <v>-48125.174768074867</v>
      </c>
      <c r="T74" s="20">
        <f t="shared" si="12"/>
        <v>-9828.5915284574294</v>
      </c>
      <c r="U74" s="20">
        <f t="shared" si="12"/>
        <v>29413.640285783753</v>
      </c>
      <c r="V74" s="20">
        <f t="shared" si="12"/>
        <v>69619.162757792685</v>
      </c>
      <c r="W74" s="20">
        <f t="shared" si="12"/>
        <v>110805.01939526547</v>
      </c>
      <c r="X74" s="20">
        <f t="shared" si="12"/>
        <v>212911.44760887828</v>
      </c>
      <c r="Y74" s="20">
        <f t="shared" si="12"/>
        <v>288480.88621217071</v>
      </c>
      <c r="Z74" s="20">
        <f t="shared" si="12"/>
        <v>365066.06823378272</v>
      </c>
      <c r="AA74" s="20">
        <f t="shared" si="12"/>
        <v>442703.53444700351</v>
      </c>
      <c r="AB74" s="20">
        <f t="shared" si="12"/>
        <v>521430.9671598312</v>
      </c>
      <c r="AC74" s="20">
        <f t="shared" si="12"/>
        <v>601287.23815280898</v>
      </c>
      <c r="AD74" s="20">
        <f t="shared" si="12"/>
        <v>682312.45858277404</v>
      </c>
      <c r="AE74" s="20">
        <f t="shared" si="12"/>
        <v>764548.03094548953</v>
      </c>
      <c r="AF74" s="20">
        <f t="shared" si="12"/>
        <v>848036.70319460728</v>
      </c>
      <c r="AG74" s="20">
        <f t="shared" si="12"/>
        <v>932822.62511912722</v>
      </c>
      <c r="AH74" s="20">
        <f t="shared" si="12"/>
        <v>1018951.4070864832</v>
      </c>
    </row>
    <row r="75" spans="1:34" s="50" customFormat="1" ht="13">
      <c r="A75" s="49"/>
      <c r="B75" s="49"/>
      <c r="C75" s="72" t="s">
        <v>21</v>
      </c>
      <c r="D75" s="33" t="s">
        <v>133</v>
      </c>
      <c r="E75" s="3" t="s">
        <v>15</v>
      </c>
      <c r="F75" s="1"/>
      <c r="G75" s="1"/>
      <c r="H75" s="1"/>
      <c r="I75" s="61" t="s">
        <v>94</v>
      </c>
      <c r="J75" s="61" t="s">
        <v>94</v>
      </c>
      <c r="K75" s="61" t="s">
        <v>94</v>
      </c>
      <c r="L75" s="61" t="s">
        <v>94</v>
      </c>
      <c r="M75" s="61" t="s">
        <v>94</v>
      </c>
      <c r="N75" s="61" t="s">
        <v>94</v>
      </c>
      <c r="O75" s="61" t="s">
        <v>94</v>
      </c>
      <c r="P75" s="61" t="s">
        <v>94</v>
      </c>
      <c r="Q75" s="61" t="s">
        <v>94</v>
      </c>
      <c r="R75" s="61" t="s">
        <v>94</v>
      </c>
      <c r="S75" s="61" t="s">
        <v>94</v>
      </c>
      <c r="T75" s="61" t="s">
        <v>94</v>
      </c>
      <c r="U75" s="61" t="s">
        <v>94</v>
      </c>
      <c r="V75" s="61" t="s">
        <v>94</v>
      </c>
      <c r="W75" s="61" t="s">
        <v>94</v>
      </c>
      <c r="X75" s="61" t="s">
        <v>94</v>
      </c>
      <c r="Y75" s="61" t="s">
        <v>94</v>
      </c>
      <c r="Z75" s="61" t="s">
        <v>94</v>
      </c>
      <c r="AA75" s="61" t="s">
        <v>94</v>
      </c>
      <c r="AB75" s="61" t="s">
        <v>94</v>
      </c>
      <c r="AC75" s="61" t="s">
        <v>94</v>
      </c>
      <c r="AD75" s="61" t="s">
        <v>94</v>
      </c>
      <c r="AE75" s="61" t="s">
        <v>94</v>
      </c>
      <c r="AF75" s="61" t="s">
        <v>94</v>
      </c>
      <c r="AG75" s="61" t="s">
        <v>94</v>
      </c>
      <c r="AH75" s="61" t="s">
        <v>94</v>
      </c>
    </row>
    <row r="76" spans="1:34" s="50" customFormat="1" ht="13">
      <c r="A76" s="49"/>
      <c r="B76" s="49"/>
      <c r="C76" s="72" t="s">
        <v>23</v>
      </c>
      <c r="D76" s="33" t="s">
        <v>134</v>
      </c>
      <c r="E76" s="3" t="s">
        <v>15</v>
      </c>
      <c r="F76" s="1"/>
      <c r="G76" s="1"/>
      <c r="H76" s="1"/>
      <c r="I76" s="61" t="s">
        <v>94</v>
      </c>
      <c r="J76" s="61" t="s">
        <v>94</v>
      </c>
      <c r="K76" s="61" t="s">
        <v>94</v>
      </c>
      <c r="L76" s="61" t="s">
        <v>94</v>
      </c>
      <c r="M76" s="61" t="s">
        <v>94</v>
      </c>
      <c r="N76" s="61" t="s">
        <v>94</v>
      </c>
      <c r="O76" s="61" t="s">
        <v>94</v>
      </c>
      <c r="P76" s="61" t="s">
        <v>94</v>
      </c>
      <c r="Q76" s="61" t="s">
        <v>94</v>
      </c>
      <c r="R76" s="61" t="s">
        <v>94</v>
      </c>
      <c r="S76" s="61" t="s">
        <v>94</v>
      </c>
      <c r="T76" s="61" t="s">
        <v>94</v>
      </c>
      <c r="U76" s="61" t="s">
        <v>94</v>
      </c>
      <c r="V76" s="61" t="s">
        <v>94</v>
      </c>
      <c r="W76" s="61" t="s">
        <v>94</v>
      </c>
      <c r="X76" s="61" t="s">
        <v>94</v>
      </c>
      <c r="Y76" s="61" t="s">
        <v>94</v>
      </c>
      <c r="Z76" s="61" t="s">
        <v>94</v>
      </c>
      <c r="AA76" s="61" t="s">
        <v>94</v>
      </c>
      <c r="AB76" s="61" t="s">
        <v>94</v>
      </c>
      <c r="AC76" s="61" t="s">
        <v>94</v>
      </c>
      <c r="AD76" s="61" t="s">
        <v>94</v>
      </c>
      <c r="AE76" s="61" t="s">
        <v>94</v>
      </c>
      <c r="AF76" s="61" t="s">
        <v>94</v>
      </c>
      <c r="AG76" s="61" t="s">
        <v>94</v>
      </c>
      <c r="AH76" s="61" t="s">
        <v>94</v>
      </c>
    </row>
    <row r="77" spans="1:34" s="50" customFormat="1" ht="13">
      <c r="A77" s="49"/>
      <c r="B77" s="49"/>
      <c r="C77" s="72" t="s">
        <v>37</v>
      </c>
      <c r="D77" s="33" t="s">
        <v>135</v>
      </c>
      <c r="E77" s="3" t="s">
        <v>15</v>
      </c>
      <c r="F77" s="1"/>
      <c r="G77" s="1"/>
      <c r="H77" s="1"/>
      <c r="I77" s="61">
        <f t="shared" ref="I77:AH77" si="13">SUM(I78:I79)</f>
        <v>-372489.21900963783</v>
      </c>
      <c r="J77" s="61">
        <f t="shared" si="13"/>
        <v>-346363.81607463979</v>
      </c>
      <c r="K77" s="61">
        <f t="shared" si="13"/>
        <v>-318719.41028504504</v>
      </c>
      <c r="L77" s="61">
        <f t="shared" si="13"/>
        <v>-289497.2146072379</v>
      </c>
      <c r="M77" s="61">
        <f t="shared" si="13"/>
        <v>-258636.98277109809</v>
      </c>
      <c r="N77" s="61">
        <f t="shared" si="13"/>
        <v>-226076.94602143089</v>
      </c>
      <c r="O77" s="61">
        <f t="shared" si="13"/>
        <v>-192226.21109805847</v>
      </c>
      <c r="P77" s="61">
        <f t="shared" si="13"/>
        <v>-157525.44523679983</v>
      </c>
      <c r="Q77" s="61">
        <f t="shared" si="13"/>
        <v>-121954.6713909511</v>
      </c>
      <c r="R77" s="61">
        <f t="shared" si="13"/>
        <v>-85494.30198174114</v>
      </c>
      <c r="S77" s="61">
        <f t="shared" si="13"/>
        <v>-48125.174768074867</v>
      </c>
      <c r="T77" s="61">
        <f t="shared" si="13"/>
        <v>-9828.5915284574294</v>
      </c>
      <c r="U77" s="61">
        <f t="shared" si="13"/>
        <v>29413.640285783753</v>
      </c>
      <c r="V77" s="61">
        <f t="shared" si="13"/>
        <v>69619.162757792685</v>
      </c>
      <c r="W77" s="61">
        <f t="shared" si="13"/>
        <v>110805.01939526547</v>
      </c>
      <c r="X77" s="61">
        <f t="shared" si="13"/>
        <v>212911.44760887828</v>
      </c>
      <c r="Y77" s="61">
        <f t="shared" si="13"/>
        <v>288480.88621217071</v>
      </c>
      <c r="Z77" s="61">
        <f t="shared" si="13"/>
        <v>365066.06823378272</v>
      </c>
      <c r="AA77" s="61">
        <f t="shared" si="13"/>
        <v>442703.53444700351</v>
      </c>
      <c r="AB77" s="61">
        <f t="shared" si="13"/>
        <v>521430.9671598312</v>
      </c>
      <c r="AC77" s="61">
        <f t="shared" si="13"/>
        <v>601287.23815280898</v>
      </c>
      <c r="AD77" s="61">
        <f t="shared" si="13"/>
        <v>682312.45858277404</v>
      </c>
      <c r="AE77" s="61">
        <f t="shared" si="13"/>
        <v>764548.03094548953</v>
      </c>
      <c r="AF77" s="61">
        <f t="shared" si="13"/>
        <v>848036.70319460728</v>
      </c>
      <c r="AG77" s="61">
        <f t="shared" si="13"/>
        <v>932822.62511912722</v>
      </c>
      <c r="AH77" s="61">
        <f t="shared" si="13"/>
        <v>1018951.4070864832</v>
      </c>
    </row>
    <row r="78" spans="1:34" s="50" customFormat="1" ht="13">
      <c r="A78" s="49"/>
      <c r="B78" s="49"/>
      <c r="C78" s="72">
        <v>1</v>
      </c>
      <c r="D78" s="34" t="s">
        <v>136</v>
      </c>
      <c r="E78" s="3" t="s">
        <v>15</v>
      </c>
      <c r="F78" s="1"/>
      <c r="G78" s="1"/>
      <c r="H78" s="1"/>
      <c r="I78" s="13">
        <f t="shared" ref="I78:T78" si="14">I142</f>
        <v>-372489.21900963783</v>
      </c>
      <c r="J78" s="13">
        <f t="shared" si="14"/>
        <v>-346363.81607463979</v>
      </c>
      <c r="K78" s="13">
        <f t="shared" si="14"/>
        <v>-318719.41028504504</v>
      </c>
      <c r="L78" s="13">
        <f t="shared" si="14"/>
        <v>-289497.2146072379</v>
      </c>
      <c r="M78" s="13">
        <f t="shared" si="14"/>
        <v>-258636.98277109809</v>
      </c>
      <c r="N78" s="13">
        <f t="shared" si="14"/>
        <v>-226076.94602143089</v>
      </c>
      <c r="O78" s="13">
        <f t="shared" si="14"/>
        <v>-192226.21109805847</v>
      </c>
      <c r="P78" s="13">
        <f t="shared" si="14"/>
        <v>-157525.44523679983</v>
      </c>
      <c r="Q78" s="13">
        <f t="shared" si="14"/>
        <v>-121954.6713909511</v>
      </c>
      <c r="R78" s="13">
        <f t="shared" si="14"/>
        <v>-85494.30198174114</v>
      </c>
      <c r="S78" s="13">
        <f t="shared" si="14"/>
        <v>-48125.174768074867</v>
      </c>
      <c r="T78" s="13">
        <f t="shared" si="14"/>
        <v>-9828.5915284574294</v>
      </c>
      <c r="U78" s="13">
        <f t="shared" ref="U78:AH78" si="15">U142</f>
        <v>29413.640285783753</v>
      </c>
      <c r="V78" s="13">
        <f t="shared" si="15"/>
        <v>69619.162757792685</v>
      </c>
      <c r="W78" s="13">
        <f t="shared" si="15"/>
        <v>110805.01939526547</v>
      </c>
      <c r="X78" s="13">
        <f t="shared" si="15"/>
        <v>212911.44760887828</v>
      </c>
      <c r="Y78" s="13">
        <f t="shared" si="15"/>
        <v>288480.88621217071</v>
      </c>
      <c r="Z78" s="13">
        <f t="shared" si="15"/>
        <v>365066.06823378272</v>
      </c>
      <c r="AA78" s="13">
        <f t="shared" si="15"/>
        <v>442703.53444700351</v>
      </c>
      <c r="AB78" s="13">
        <f t="shared" si="15"/>
        <v>521430.9671598312</v>
      </c>
      <c r="AC78" s="13">
        <f t="shared" si="15"/>
        <v>601287.23815280898</v>
      </c>
      <c r="AD78" s="13">
        <f t="shared" si="15"/>
        <v>682312.45858277404</v>
      </c>
      <c r="AE78" s="13">
        <f t="shared" si="15"/>
        <v>764548.03094548953</v>
      </c>
      <c r="AF78" s="13">
        <f t="shared" si="15"/>
        <v>848036.70319460728</v>
      </c>
      <c r="AG78" s="13">
        <f t="shared" si="15"/>
        <v>932822.62511912722</v>
      </c>
      <c r="AH78" s="13">
        <f t="shared" si="15"/>
        <v>1018951.4070864832</v>
      </c>
    </row>
    <row r="79" spans="1:34" s="50" customFormat="1" ht="13">
      <c r="A79" s="49"/>
      <c r="B79" s="49"/>
      <c r="C79" s="72">
        <v>2</v>
      </c>
      <c r="D79" s="34" t="s">
        <v>137</v>
      </c>
      <c r="E79" s="3" t="s">
        <v>15</v>
      </c>
      <c r="F79" s="1"/>
      <c r="G79" s="1"/>
      <c r="H79" s="1"/>
      <c r="I79" s="61" t="s">
        <v>94</v>
      </c>
      <c r="J79" s="61" t="s">
        <v>94</v>
      </c>
      <c r="K79" s="61" t="s">
        <v>94</v>
      </c>
      <c r="L79" s="61" t="s">
        <v>94</v>
      </c>
      <c r="M79" s="61" t="s">
        <v>94</v>
      </c>
      <c r="N79" s="61" t="s">
        <v>94</v>
      </c>
      <c r="O79" s="61" t="s">
        <v>94</v>
      </c>
      <c r="P79" s="61" t="s">
        <v>94</v>
      </c>
      <c r="Q79" s="61" t="s">
        <v>94</v>
      </c>
      <c r="R79" s="61" t="s">
        <v>94</v>
      </c>
      <c r="S79" s="61" t="s">
        <v>94</v>
      </c>
      <c r="T79" s="61" t="s">
        <v>94</v>
      </c>
      <c r="U79" s="61" t="s">
        <v>94</v>
      </c>
      <c r="V79" s="61" t="s">
        <v>94</v>
      </c>
      <c r="W79" s="61" t="s">
        <v>94</v>
      </c>
      <c r="X79" s="61" t="s">
        <v>94</v>
      </c>
      <c r="Y79" s="61" t="s">
        <v>94</v>
      </c>
      <c r="Z79" s="61" t="s">
        <v>94</v>
      </c>
      <c r="AA79" s="61" t="s">
        <v>94</v>
      </c>
      <c r="AB79" s="61" t="s">
        <v>94</v>
      </c>
      <c r="AC79" s="61" t="s">
        <v>94</v>
      </c>
      <c r="AD79" s="61" t="s">
        <v>94</v>
      </c>
      <c r="AE79" s="61" t="s">
        <v>94</v>
      </c>
      <c r="AF79" s="61" t="s">
        <v>94</v>
      </c>
      <c r="AG79" s="61" t="s">
        <v>94</v>
      </c>
      <c r="AH79" s="61" t="s">
        <v>94</v>
      </c>
    </row>
    <row r="80" spans="1:34" s="50" customFormat="1" ht="13">
      <c r="A80" s="49"/>
      <c r="B80" s="49"/>
      <c r="C80" s="72" t="s">
        <v>38</v>
      </c>
      <c r="D80" s="33" t="s">
        <v>138</v>
      </c>
      <c r="E80" s="3" t="s">
        <v>15</v>
      </c>
      <c r="F80" s="1"/>
      <c r="G80" s="1"/>
      <c r="H80" s="1"/>
      <c r="I80" s="61" t="s">
        <v>94</v>
      </c>
      <c r="J80" s="61" t="s">
        <v>94</v>
      </c>
      <c r="K80" s="61" t="s">
        <v>94</v>
      </c>
      <c r="L80" s="61" t="s">
        <v>94</v>
      </c>
      <c r="M80" s="61" t="s">
        <v>94</v>
      </c>
      <c r="N80" s="61" t="s">
        <v>94</v>
      </c>
      <c r="O80" s="61" t="s">
        <v>94</v>
      </c>
      <c r="P80" s="61" t="s">
        <v>94</v>
      </c>
      <c r="Q80" s="61" t="s">
        <v>94</v>
      </c>
      <c r="R80" s="61" t="s">
        <v>94</v>
      </c>
      <c r="S80" s="61" t="s">
        <v>94</v>
      </c>
      <c r="T80" s="61" t="s">
        <v>94</v>
      </c>
      <c r="U80" s="61" t="s">
        <v>94</v>
      </c>
      <c r="V80" s="61" t="s">
        <v>94</v>
      </c>
      <c r="W80" s="61" t="s">
        <v>94</v>
      </c>
      <c r="X80" s="61" t="s">
        <v>94</v>
      </c>
      <c r="Y80" s="61" t="s">
        <v>94</v>
      </c>
      <c r="Z80" s="61" t="s">
        <v>94</v>
      </c>
      <c r="AA80" s="61" t="s">
        <v>94</v>
      </c>
      <c r="AB80" s="61" t="s">
        <v>94</v>
      </c>
      <c r="AC80" s="61" t="s">
        <v>94</v>
      </c>
      <c r="AD80" s="61" t="s">
        <v>94</v>
      </c>
      <c r="AE80" s="61" t="s">
        <v>94</v>
      </c>
      <c r="AF80" s="61" t="s">
        <v>94</v>
      </c>
      <c r="AG80" s="61" t="s">
        <v>94</v>
      </c>
      <c r="AH80" s="61" t="s">
        <v>94</v>
      </c>
    </row>
    <row r="81" spans="1:35" ht="13">
      <c r="E81" s="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5" ht="2" customHeight="1"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5" ht="2" customHeight="1">
      <c r="C83" s="31"/>
      <c r="D83" s="31"/>
      <c r="E83" s="31"/>
      <c r="F83" s="31"/>
      <c r="G83" s="31"/>
      <c r="H83" s="31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</row>
    <row r="84" spans="1:35" ht="13">
      <c r="C84" s="16"/>
      <c r="D84" s="16" t="s">
        <v>139</v>
      </c>
      <c r="E84" s="17" t="s">
        <v>15</v>
      </c>
      <c r="F84" s="16"/>
      <c r="G84" s="16"/>
      <c r="H84" s="16"/>
      <c r="I84" s="20">
        <f t="shared" ref="I84:AH84" si="16">SUM(I87,I93)</f>
        <v>1322318.0887693726</v>
      </c>
      <c r="J84" s="20">
        <f t="shared" si="16"/>
        <v>1227385.8268630127</v>
      </c>
      <c r="K84" s="20">
        <f t="shared" si="16"/>
        <v>1133972.5678112495</v>
      </c>
      <c r="L84" s="20">
        <f t="shared" si="16"/>
        <v>1042137.0986476989</v>
      </c>
      <c r="M84" s="20">
        <f t="shared" si="16"/>
        <v>951939.66564248083</v>
      </c>
      <c r="N84" s="20">
        <f t="shared" si="16"/>
        <v>863442.03755079</v>
      </c>
      <c r="O84" s="20">
        <f t="shared" si="16"/>
        <v>776235.10763280466</v>
      </c>
      <c r="P84" s="20">
        <f t="shared" si="16"/>
        <v>689878.20865270542</v>
      </c>
      <c r="Q84" s="20">
        <f t="shared" si="16"/>
        <v>604391.3176571962</v>
      </c>
      <c r="R84" s="20">
        <f t="shared" si="16"/>
        <v>519794.02222504833</v>
      </c>
      <c r="S84" s="20">
        <f t="shared" si="16"/>
        <v>436105.4845973567</v>
      </c>
      <c r="T84" s="20">
        <f t="shared" si="16"/>
        <v>353344.40299561631</v>
      </c>
      <c r="U84" s="20">
        <f t="shared" si="16"/>
        <v>271528.96996849962</v>
      </c>
      <c r="V84" s="20">
        <f t="shared" si="16"/>
        <v>190676.82759915062</v>
      </c>
      <c r="W84" s="20">
        <f t="shared" si="16"/>
        <v>110805.01939526552</v>
      </c>
      <c r="X84" s="20">
        <f t="shared" si="16"/>
        <v>212911.44760887834</v>
      </c>
      <c r="Y84" s="20">
        <f t="shared" si="16"/>
        <v>288480.88621217076</v>
      </c>
      <c r="Z84" s="20">
        <f t="shared" si="16"/>
        <v>365066.06823378277</v>
      </c>
      <c r="AA84" s="20">
        <f t="shared" si="16"/>
        <v>442703.53444700356</v>
      </c>
      <c r="AB84" s="20">
        <f t="shared" si="16"/>
        <v>521430.96715983131</v>
      </c>
      <c r="AC84" s="20">
        <f t="shared" si="16"/>
        <v>601287.23815280909</v>
      </c>
      <c r="AD84" s="20">
        <f t="shared" si="16"/>
        <v>682312.45858277427</v>
      </c>
      <c r="AE84" s="20">
        <f t="shared" si="16"/>
        <v>764548.03094548977</v>
      </c>
      <c r="AF84" s="20">
        <f t="shared" si="16"/>
        <v>848036.70319460751</v>
      </c>
      <c r="AG84" s="20">
        <f t="shared" si="16"/>
        <v>932822.62511912757</v>
      </c>
      <c r="AH84" s="20">
        <f t="shared" si="16"/>
        <v>1018951.4070864834</v>
      </c>
      <c r="AI84" s="51"/>
    </row>
    <row r="85" spans="1:35" ht="2" customHeight="1"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5" ht="2" customHeight="1">
      <c r="C86" s="31"/>
      <c r="D86" s="31"/>
      <c r="E86" s="31"/>
      <c r="F86" s="31"/>
      <c r="G86" s="31"/>
      <c r="H86" s="31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</row>
    <row r="87" spans="1:35" s="16" customFormat="1" ht="13">
      <c r="A87" s="67"/>
      <c r="B87" s="67"/>
      <c r="C87" s="15" t="s">
        <v>101</v>
      </c>
      <c r="D87" s="16" t="s">
        <v>140</v>
      </c>
      <c r="E87" s="17" t="s">
        <v>15</v>
      </c>
      <c r="I87" s="20">
        <f t="shared" ref="I87:AH87" si="17">SUM(I88:I91)</f>
        <v>-122977.89406562684</v>
      </c>
      <c r="J87" s="20">
        <f t="shared" si="17"/>
        <v>-148219.74200120865</v>
      </c>
      <c r="K87" s="20">
        <f t="shared" si="17"/>
        <v>-168304.10799111467</v>
      </c>
      <c r="L87" s="20">
        <f t="shared" si="17"/>
        <v>-182982.24300635667</v>
      </c>
      <c r="M87" s="20">
        <f t="shared" si="17"/>
        <v>-191994.02102218525</v>
      </c>
      <c r="N87" s="20">
        <f t="shared" si="17"/>
        <v>-195067.35797148099</v>
      </c>
      <c r="O87" s="20">
        <f t="shared" si="17"/>
        <v>-192390.06489299767</v>
      </c>
      <c r="P87" s="20">
        <f t="shared" si="17"/>
        <v>-184169.95965527277</v>
      </c>
      <c r="Q87" s="20">
        <f t="shared" si="17"/>
        <v>-170142.05897071445</v>
      </c>
      <c r="R87" s="20">
        <f t="shared" si="17"/>
        <v>-150028.97744570283</v>
      </c>
      <c r="S87" s="20">
        <f t="shared" si="17"/>
        <v>-123540.29561279685</v>
      </c>
      <c r="T87" s="20">
        <f t="shared" si="17"/>
        <v>-90371.895907874132</v>
      </c>
      <c r="U87" s="20">
        <f t="shared" si="17"/>
        <v>-50205.264930930949</v>
      </c>
      <c r="V87" s="20">
        <f t="shared" si="17"/>
        <v>-2706.7602432975254</v>
      </c>
      <c r="W87" s="20">
        <f t="shared" si="17"/>
        <v>52473.160136437444</v>
      </c>
      <c r="X87" s="20">
        <f t="shared" si="17"/>
        <v>212911.44760887764</v>
      </c>
      <c r="Y87" s="20">
        <f t="shared" si="17"/>
        <v>288480.88621217001</v>
      </c>
      <c r="Z87" s="20">
        <f t="shared" si="17"/>
        <v>365066.06823378196</v>
      </c>
      <c r="AA87" s="20">
        <f t="shared" si="17"/>
        <v>442703.53444700269</v>
      </c>
      <c r="AB87" s="20">
        <f t="shared" si="17"/>
        <v>521430.96715983032</v>
      </c>
      <c r="AC87" s="20">
        <f t="shared" si="17"/>
        <v>601287.23815280804</v>
      </c>
      <c r="AD87" s="20">
        <f t="shared" si="17"/>
        <v>682312.45858277311</v>
      </c>
      <c r="AE87" s="20">
        <f t="shared" si="17"/>
        <v>764548.0309454886</v>
      </c>
      <c r="AF87" s="20">
        <f t="shared" si="17"/>
        <v>848036.70319460623</v>
      </c>
      <c r="AG87" s="20">
        <f t="shared" si="17"/>
        <v>932822.62511912617</v>
      </c>
      <c r="AH87" s="20">
        <f t="shared" si="17"/>
        <v>1018951.407086482</v>
      </c>
      <c r="AI87" s="51"/>
    </row>
    <row r="88" spans="1:35" ht="13">
      <c r="C88" s="2" t="s">
        <v>21</v>
      </c>
      <c r="D88" s="33" t="s">
        <v>141</v>
      </c>
      <c r="E88" s="3" t="s">
        <v>15</v>
      </c>
      <c r="I88" s="13">
        <f>I133</f>
        <v>75000</v>
      </c>
      <c r="J88" s="13">
        <f>I88+J133</f>
        <v>75000</v>
      </c>
      <c r="K88" s="13">
        <f t="shared" ref="K88:AH88" si="18">J88+K133</f>
        <v>75000</v>
      </c>
      <c r="L88" s="13">
        <f t="shared" si="18"/>
        <v>75000</v>
      </c>
      <c r="M88" s="13">
        <f t="shared" si="18"/>
        <v>75000</v>
      </c>
      <c r="N88" s="13">
        <f t="shared" si="18"/>
        <v>75000</v>
      </c>
      <c r="O88" s="13">
        <f t="shared" si="18"/>
        <v>75000</v>
      </c>
      <c r="P88" s="13">
        <f t="shared" si="18"/>
        <v>75000</v>
      </c>
      <c r="Q88" s="13">
        <f t="shared" si="18"/>
        <v>75000</v>
      </c>
      <c r="R88" s="13">
        <f t="shared" si="18"/>
        <v>75000</v>
      </c>
      <c r="S88" s="13">
        <f t="shared" si="18"/>
        <v>75000</v>
      </c>
      <c r="T88" s="13">
        <f t="shared" si="18"/>
        <v>75000</v>
      </c>
      <c r="U88" s="13">
        <f t="shared" si="18"/>
        <v>75000</v>
      </c>
      <c r="V88" s="13">
        <f t="shared" si="18"/>
        <v>75000</v>
      </c>
      <c r="W88" s="13">
        <f t="shared" si="18"/>
        <v>75000</v>
      </c>
      <c r="X88" s="13">
        <f t="shared" si="18"/>
        <v>75000</v>
      </c>
      <c r="Y88" s="13">
        <f t="shared" si="18"/>
        <v>75000</v>
      </c>
      <c r="Z88" s="13">
        <f t="shared" si="18"/>
        <v>75000</v>
      </c>
      <c r="AA88" s="13">
        <f t="shared" si="18"/>
        <v>75000</v>
      </c>
      <c r="AB88" s="13">
        <f t="shared" si="18"/>
        <v>75000</v>
      </c>
      <c r="AC88" s="13">
        <f t="shared" si="18"/>
        <v>75000</v>
      </c>
      <c r="AD88" s="13">
        <f t="shared" si="18"/>
        <v>75000</v>
      </c>
      <c r="AE88" s="13">
        <f t="shared" si="18"/>
        <v>75000</v>
      </c>
      <c r="AF88" s="13">
        <f t="shared" si="18"/>
        <v>75000</v>
      </c>
      <c r="AG88" s="13">
        <f t="shared" si="18"/>
        <v>75000</v>
      </c>
      <c r="AH88" s="13">
        <f t="shared" si="18"/>
        <v>75000</v>
      </c>
    </row>
    <row r="89" spans="1:35" ht="13">
      <c r="C89" s="2" t="s">
        <v>23</v>
      </c>
      <c r="D89" s="33" t="s">
        <v>142</v>
      </c>
      <c r="E89" s="3" t="s">
        <v>15</v>
      </c>
      <c r="I89" s="61">
        <f>I132</f>
        <v>0</v>
      </c>
      <c r="J89" s="61">
        <f>J132</f>
        <v>0</v>
      </c>
      <c r="K89" s="61">
        <f t="shared" ref="K89:AH89" si="19">K132</f>
        <v>0</v>
      </c>
      <c r="L89" s="61">
        <f t="shared" si="19"/>
        <v>0</v>
      </c>
      <c r="M89" s="61">
        <f t="shared" si="19"/>
        <v>0</v>
      </c>
      <c r="N89" s="61">
        <f t="shared" si="19"/>
        <v>0</v>
      </c>
      <c r="O89" s="61">
        <f t="shared" si="19"/>
        <v>0</v>
      </c>
      <c r="P89" s="61">
        <f t="shared" si="19"/>
        <v>0</v>
      </c>
      <c r="Q89" s="61">
        <f t="shared" si="19"/>
        <v>0</v>
      </c>
      <c r="R89" s="61">
        <f t="shared" si="19"/>
        <v>0</v>
      </c>
      <c r="S89" s="61">
        <f t="shared" si="19"/>
        <v>0</v>
      </c>
      <c r="T89" s="61">
        <f t="shared" si="19"/>
        <v>0</v>
      </c>
      <c r="U89" s="61">
        <f t="shared" si="19"/>
        <v>0</v>
      </c>
      <c r="V89" s="61">
        <f t="shared" si="19"/>
        <v>0</v>
      </c>
      <c r="W89" s="61">
        <f t="shared" si="19"/>
        <v>0</v>
      </c>
      <c r="X89" s="61">
        <f t="shared" si="19"/>
        <v>0</v>
      </c>
      <c r="Y89" s="61">
        <f t="shared" si="19"/>
        <v>0</v>
      </c>
      <c r="Z89" s="61">
        <f t="shared" si="19"/>
        <v>0</v>
      </c>
      <c r="AA89" s="61">
        <f t="shared" si="19"/>
        <v>0</v>
      </c>
      <c r="AB89" s="61">
        <f t="shared" si="19"/>
        <v>0</v>
      </c>
      <c r="AC89" s="61">
        <f t="shared" si="19"/>
        <v>0</v>
      </c>
      <c r="AD89" s="61">
        <f t="shared" si="19"/>
        <v>0</v>
      </c>
      <c r="AE89" s="61">
        <f t="shared" si="19"/>
        <v>0</v>
      </c>
      <c r="AF89" s="61">
        <f t="shared" si="19"/>
        <v>0</v>
      </c>
      <c r="AG89" s="61">
        <f t="shared" si="19"/>
        <v>0</v>
      </c>
      <c r="AH89" s="61">
        <f t="shared" si="19"/>
        <v>0</v>
      </c>
    </row>
    <row r="90" spans="1:35" ht="13">
      <c r="C90" s="2" t="s">
        <v>37</v>
      </c>
      <c r="D90" s="33" t="s">
        <v>143</v>
      </c>
      <c r="E90" s="3" t="s">
        <v>15</v>
      </c>
      <c r="I90" s="61">
        <v>0</v>
      </c>
      <c r="J90" s="61">
        <f>I91</f>
        <v>-197977.89406562684</v>
      </c>
      <c r="K90" s="61">
        <f>J90+J91</f>
        <v>-223219.74200120865</v>
      </c>
      <c r="L90" s="61">
        <f>K90+K91</f>
        <v>-243304.10799111467</v>
      </c>
      <c r="M90" s="61">
        <f>L90+L91</f>
        <v>-257982.24300635667</v>
      </c>
      <c r="N90" s="61">
        <f t="shared" ref="N90:AH90" si="20">M90+M91</f>
        <v>-266994.02102218528</v>
      </c>
      <c r="O90" s="61">
        <f t="shared" si="20"/>
        <v>-270067.35797148099</v>
      </c>
      <c r="P90" s="61">
        <f t="shared" si="20"/>
        <v>-267390.06489299767</v>
      </c>
      <c r="Q90" s="61">
        <f t="shared" si="20"/>
        <v>-259169.95965527277</v>
      </c>
      <c r="R90" s="61">
        <f t="shared" si="20"/>
        <v>-245142.05897071445</v>
      </c>
      <c r="S90" s="61">
        <f t="shared" si="20"/>
        <v>-225028.97744570283</v>
      </c>
      <c r="T90" s="61">
        <f t="shared" si="20"/>
        <v>-198540.29561279685</v>
      </c>
      <c r="U90" s="61">
        <f t="shared" si="20"/>
        <v>-165371.89590787413</v>
      </c>
      <c r="V90" s="61">
        <f t="shared" si="20"/>
        <v>-125205.26493093095</v>
      </c>
      <c r="W90" s="61">
        <f t="shared" si="20"/>
        <v>-77706.760243297525</v>
      </c>
      <c r="X90" s="61">
        <f t="shared" si="20"/>
        <v>-22526.839863562556</v>
      </c>
      <c r="Y90" s="61">
        <f t="shared" si="20"/>
        <v>137911.44760887764</v>
      </c>
      <c r="Z90" s="61">
        <f t="shared" si="20"/>
        <v>213480.88621217001</v>
      </c>
      <c r="AA90" s="61">
        <f t="shared" si="20"/>
        <v>290066.06823378196</v>
      </c>
      <c r="AB90" s="61">
        <f t="shared" si="20"/>
        <v>367703.53444700269</v>
      </c>
      <c r="AC90" s="61">
        <f t="shared" si="20"/>
        <v>446430.96715983032</v>
      </c>
      <c r="AD90" s="61">
        <f t="shared" si="20"/>
        <v>526287.23815280804</v>
      </c>
      <c r="AE90" s="61">
        <f t="shared" si="20"/>
        <v>607312.45858277311</v>
      </c>
      <c r="AF90" s="61">
        <f t="shared" si="20"/>
        <v>689548.0309454886</v>
      </c>
      <c r="AG90" s="61">
        <f t="shared" si="20"/>
        <v>773036.70319460623</v>
      </c>
      <c r="AH90" s="61">
        <f t="shared" si="20"/>
        <v>857822.62511912617</v>
      </c>
    </row>
    <row r="91" spans="1:35" ht="13">
      <c r="C91" s="2" t="s">
        <v>38</v>
      </c>
      <c r="D91" s="33" t="s">
        <v>144</v>
      </c>
      <c r="E91" s="3" t="s">
        <v>15</v>
      </c>
      <c r="I91" s="61">
        <f>I52</f>
        <v>-197977.89406562684</v>
      </c>
      <c r="J91" s="61">
        <f t="shared" ref="J91:AH91" si="21">J52</f>
        <v>-25241.847935581827</v>
      </c>
      <c r="K91" s="61">
        <f t="shared" si="21"/>
        <v>-20084.365989906</v>
      </c>
      <c r="L91" s="61">
        <f t="shared" si="21"/>
        <v>-14678.135015242013</v>
      </c>
      <c r="M91" s="61">
        <f t="shared" si="21"/>
        <v>-9011.7780158285823</v>
      </c>
      <c r="N91" s="61">
        <f t="shared" si="21"/>
        <v>-3073.336949295699</v>
      </c>
      <c r="O91" s="61">
        <f t="shared" si="21"/>
        <v>2677.2930784833143</v>
      </c>
      <c r="P91" s="61">
        <f t="shared" si="21"/>
        <v>8220.105237724887</v>
      </c>
      <c r="Q91" s="61">
        <f t="shared" si="21"/>
        <v>14027.900684558328</v>
      </c>
      <c r="R91" s="61">
        <f t="shared" si="21"/>
        <v>20113.081525011625</v>
      </c>
      <c r="S91" s="61">
        <f t="shared" si="21"/>
        <v>26488.681832905972</v>
      </c>
      <c r="T91" s="61">
        <f t="shared" si="21"/>
        <v>33168.399704922711</v>
      </c>
      <c r="U91" s="61">
        <f t="shared" si="21"/>
        <v>40166.630976943183</v>
      </c>
      <c r="V91" s="61">
        <f t="shared" si="21"/>
        <v>47498.504687633424</v>
      </c>
      <c r="W91" s="61">
        <f t="shared" si="21"/>
        <v>55179.920379734969</v>
      </c>
      <c r="X91" s="61">
        <f t="shared" si="21"/>
        <v>160438.28747244019</v>
      </c>
      <c r="Y91" s="61">
        <f t="shared" si="21"/>
        <v>75569.43860329235</v>
      </c>
      <c r="Z91" s="61">
        <f t="shared" si="21"/>
        <v>76585.182021611923</v>
      </c>
      <c r="AA91" s="61">
        <f t="shared" si="21"/>
        <v>77637.466213220745</v>
      </c>
      <c r="AB91" s="61">
        <f t="shared" si="21"/>
        <v>78727.43271282762</v>
      </c>
      <c r="AC91" s="61">
        <f t="shared" si="21"/>
        <v>79856.270992977661</v>
      </c>
      <c r="AD91" s="61">
        <f t="shared" si="21"/>
        <v>81025.220429965018</v>
      </c>
      <c r="AE91" s="61">
        <f t="shared" si="21"/>
        <v>82235.572362715451</v>
      </c>
      <c r="AF91" s="61">
        <f t="shared" si="21"/>
        <v>83488.672249117662</v>
      </c>
      <c r="AG91" s="61">
        <f t="shared" si="21"/>
        <v>84785.921924519876</v>
      </c>
      <c r="AH91" s="61">
        <f t="shared" si="21"/>
        <v>86128.781967355928</v>
      </c>
    </row>
    <row r="92" spans="1:35" ht="2" customHeight="1">
      <c r="C92" s="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5" s="16" customFormat="1" ht="13">
      <c r="A93" s="67"/>
      <c r="B93" s="67"/>
      <c r="C93" s="15" t="s">
        <v>103</v>
      </c>
      <c r="D93" s="16" t="s">
        <v>145</v>
      </c>
      <c r="E93" s="17" t="s">
        <v>15</v>
      </c>
      <c r="I93" s="20">
        <f t="shared" ref="I93:AH93" si="22">SUM(I94,I95,I98,I102)</f>
        <v>1445295.9828349994</v>
      </c>
      <c r="J93" s="20">
        <f t="shared" si="22"/>
        <v>1375605.5688642215</v>
      </c>
      <c r="K93" s="20">
        <f t="shared" si="22"/>
        <v>1302276.6758023642</v>
      </c>
      <c r="L93" s="20">
        <f t="shared" si="22"/>
        <v>1225119.3416540555</v>
      </c>
      <c r="M93" s="20">
        <f t="shared" si="22"/>
        <v>1143933.686664666</v>
      </c>
      <c r="N93" s="20">
        <f t="shared" si="22"/>
        <v>1058509.3955222711</v>
      </c>
      <c r="O93" s="20">
        <f t="shared" si="22"/>
        <v>968625.17252580228</v>
      </c>
      <c r="P93" s="20">
        <f t="shared" si="22"/>
        <v>874048.16830797819</v>
      </c>
      <c r="Q93" s="20">
        <f t="shared" si="22"/>
        <v>774533.37662791065</v>
      </c>
      <c r="R93" s="20">
        <f t="shared" si="22"/>
        <v>669822.99967075116</v>
      </c>
      <c r="S93" s="20">
        <f t="shared" si="22"/>
        <v>559645.78021015355</v>
      </c>
      <c r="T93" s="20">
        <f t="shared" si="22"/>
        <v>443716.29890349042</v>
      </c>
      <c r="U93" s="20">
        <f t="shared" si="22"/>
        <v>321734.23489943054</v>
      </c>
      <c r="V93" s="20">
        <f t="shared" si="22"/>
        <v>193383.58784244815</v>
      </c>
      <c r="W93" s="20">
        <f t="shared" si="22"/>
        <v>58331.859258828074</v>
      </c>
      <c r="X93" s="20">
        <f t="shared" si="22"/>
        <v>6.9849193096160889E-10</v>
      </c>
      <c r="Y93" s="20">
        <f t="shared" si="22"/>
        <v>7.6188545532497927E-10</v>
      </c>
      <c r="Z93" s="20">
        <f t="shared" si="22"/>
        <v>8.2858870336143115E-10</v>
      </c>
      <c r="AA93" s="20">
        <f t="shared" si="22"/>
        <v>8.9877447301684582E-10</v>
      </c>
      <c r="AB93" s="20">
        <f t="shared" si="22"/>
        <v>9.7262458387547955E-10</v>
      </c>
      <c r="AC93" s="20">
        <f t="shared" si="22"/>
        <v>1.0503303481722703E-9</v>
      </c>
      <c r="AD93" s="20">
        <f t="shared" si="22"/>
        <v>1.1320930663963078E-9</v>
      </c>
      <c r="AE93" s="20">
        <f t="shared" si="22"/>
        <v>1.2181245487693531E-9</v>
      </c>
      <c r="AF93" s="20">
        <f t="shared" si="22"/>
        <v>1.3086476639503211E-9</v>
      </c>
      <c r="AG93" s="20">
        <f t="shared" si="22"/>
        <v>1.4038969163871735E-9</v>
      </c>
      <c r="AH93" s="20">
        <f t="shared" si="22"/>
        <v>1.4450371968258267E-9</v>
      </c>
      <c r="AI93" s="51"/>
    </row>
    <row r="94" spans="1:35" ht="13">
      <c r="C94" s="2" t="s">
        <v>21</v>
      </c>
      <c r="D94" s="33" t="s">
        <v>146</v>
      </c>
      <c r="E94" s="3" t="s">
        <v>15</v>
      </c>
      <c r="I94" s="61" t="s">
        <v>94</v>
      </c>
      <c r="J94" s="61" t="s">
        <v>94</v>
      </c>
      <c r="K94" s="61" t="s">
        <v>94</v>
      </c>
      <c r="L94" s="61" t="s">
        <v>94</v>
      </c>
      <c r="M94" s="61" t="s">
        <v>94</v>
      </c>
      <c r="N94" s="61" t="s">
        <v>94</v>
      </c>
      <c r="O94" s="61" t="s">
        <v>94</v>
      </c>
      <c r="P94" s="61" t="s">
        <v>94</v>
      </c>
      <c r="Q94" s="61" t="s">
        <v>94</v>
      </c>
      <c r="R94" s="61" t="s">
        <v>94</v>
      </c>
      <c r="S94" s="61" t="s">
        <v>94</v>
      </c>
      <c r="T94" s="61" t="s">
        <v>94</v>
      </c>
      <c r="U94" s="61" t="s">
        <v>94</v>
      </c>
      <c r="V94" s="61" t="s">
        <v>94</v>
      </c>
      <c r="W94" s="61" t="s">
        <v>94</v>
      </c>
      <c r="X94" s="61" t="s">
        <v>94</v>
      </c>
      <c r="Y94" s="61" t="s">
        <v>94</v>
      </c>
      <c r="Z94" s="61" t="s">
        <v>94</v>
      </c>
      <c r="AA94" s="61" t="s">
        <v>94</v>
      </c>
      <c r="AB94" s="61" t="s">
        <v>94</v>
      </c>
      <c r="AC94" s="61" t="s">
        <v>94</v>
      </c>
      <c r="AD94" s="61" t="s">
        <v>94</v>
      </c>
      <c r="AE94" s="61" t="s">
        <v>94</v>
      </c>
      <c r="AF94" s="61" t="s">
        <v>94</v>
      </c>
      <c r="AG94" s="61" t="s">
        <v>94</v>
      </c>
      <c r="AH94" s="61" t="s">
        <v>94</v>
      </c>
    </row>
    <row r="95" spans="1:35" ht="13">
      <c r="C95" s="2" t="s">
        <v>23</v>
      </c>
      <c r="D95" s="33" t="s">
        <v>147</v>
      </c>
      <c r="E95" s="3" t="s">
        <v>15</v>
      </c>
      <c r="I95" s="61">
        <f t="shared" ref="I95:AH95" si="23">SUM(I96:I97)</f>
        <v>1375605.5688642215</v>
      </c>
      <c r="J95" s="61">
        <f t="shared" si="23"/>
        <v>1302276.6758023642</v>
      </c>
      <c r="K95" s="61">
        <f t="shared" si="23"/>
        <v>1225119.3416540555</v>
      </c>
      <c r="L95" s="61">
        <f t="shared" si="23"/>
        <v>1143933.686664666</v>
      </c>
      <c r="M95" s="61">
        <f t="shared" si="23"/>
        <v>1058509.3955222711</v>
      </c>
      <c r="N95" s="61">
        <f t="shared" si="23"/>
        <v>968625.17252580228</v>
      </c>
      <c r="O95" s="61">
        <f t="shared" si="23"/>
        <v>874048.16830797819</v>
      </c>
      <c r="P95" s="61">
        <f t="shared" si="23"/>
        <v>774533.37662791065</v>
      </c>
      <c r="Q95" s="61">
        <f t="shared" si="23"/>
        <v>669822.99967075116</v>
      </c>
      <c r="R95" s="61">
        <f t="shared" si="23"/>
        <v>559645.78021015355</v>
      </c>
      <c r="S95" s="61">
        <f t="shared" si="23"/>
        <v>443716.29890349042</v>
      </c>
      <c r="T95" s="61">
        <f t="shared" si="23"/>
        <v>321734.23489943054</v>
      </c>
      <c r="U95" s="61">
        <f t="shared" si="23"/>
        <v>193383.58784244815</v>
      </c>
      <c r="V95" s="61">
        <f t="shared" si="23"/>
        <v>58331.859258828074</v>
      </c>
      <c r="W95" s="61">
        <f t="shared" si="23"/>
        <v>6.9849193096160889E-10</v>
      </c>
      <c r="X95" s="61">
        <f t="shared" si="23"/>
        <v>7.6188545532497927E-10</v>
      </c>
      <c r="Y95" s="61">
        <f t="shared" si="23"/>
        <v>8.2858870336143115E-10</v>
      </c>
      <c r="Z95" s="61">
        <f t="shared" si="23"/>
        <v>8.9877447301684582E-10</v>
      </c>
      <c r="AA95" s="61">
        <f t="shared" si="23"/>
        <v>9.7262458387547955E-10</v>
      </c>
      <c r="AB95" s="61">
        <f t="shared" si="23"/>
        <v>1.0503303481722703E-9</v>
      </c>
      <c r="AC95" s="61">
        <f t="shared" si="23"/>
        <v>1.1320930663963078E-9</v>
      </c>
      <c r="AD95" s="61">
        <f t="shared" si="23"/>
        <v>1.2181245487693531E-9</v>
      </c>
      <c r="AE95" s="61">
        <f t="shared" si="23"/>
        <v>1.3086476639503211E-9</v>
      </c>
      <c r="AF95" s="61">
        <f t="shared" si="23"/>
        <v>1.4038969163871735E-9</v>
      </c>
      <c r="AG95" s="61">
        <f t="shared" si="23"/>
        <v>1.4450371968258267E-9</v>
      </c>
      <c r="AH95" s="61">
        <f t="shared" si="23"/>
        <v>0</v>
      </c>
    </row>
    <row r="96" spans="1:35" ht="13">
      <c r="C96" s="2">
        <v>1</v>
      </c>
      <c r="D96" s="34" t="s">
        <v>148</v>
      </c>
      <c r="E96" s="3" t="s">
        <v>15</v>
      </c>
      <c r="I96" s="61">
        <f>zalozenia!H68-I100</f>
        <v>1375605.5688642215</v>
      </c>
      <c r="J96" s="61">
        <f>zalozenia!I68-J100</f>
        <v>1302276.6758023642</v>
      </c>
      <c r="K96" s="61">
        <f>zalozenia!J68-K100</f>
        <v>1225119.3416540555</v>
      </c>
      <c r="L96" s="61">
        <f>zalozenia!K68-L100</f>
        <v>1143933.686664666</v>
      </c>
      <c r="M96" s="61">
        <f>zalozenia!L68-M100</f>
        <v>1058509.3955222711</v>
      </c>
      <c r="N96" s="61">
        <f>zalozenia!M68-N100</f>
        <v>968625.17252580228</v>
      </c>
      <c r="O96" s="61">
        <f>zalozenia!N68-O100</f>
        <v>874048.16830797819</v>
      </c>
      <c r="P96" s="61">
        <f>zalozenia!O68-P100</f>
        <v>774533.37662791065</v>
      </c>
      <c r="Q96" s="61">
        <f>zalozenia!P68-Q100</f>
        <v>669822.99967075116</v>
      </c>
      <c r="R96" s="61">
        <f>zalozenia!Q68-R100</f>
        <v>559645.78021015355</v>
      </c>
      <c r="S96" s="61">
        <f>zalozenia!R68-S100</f>
        <v>443716.29890349042</v>
      </c>
      <c r="T96" s="61">
        <f>zalozenia!S68-T100</f>
        <v>321734.23489943054</v>
      </c>
      <c r="U96" s="61">
        <f>zalozenia!T68-U100</f>
        <v>193383.58784244815</v>
      </c>
      <c r="V96" s="61">
        <f>zalozenia!U68-V100</f>
        <v>58331.859258828074</v>
      </c>
      <c r="W96" s="61">
        <f>zalozenia!V68-W100</f>
        <v>6.9849193096160889E-10</v>
      </c>
      <c r="X96" s="61">
        <f>zalozenia!W68-X100</f>
        <v>7.6188545532497927E-10</v>
      </c>
      <c r="Y96" s="61">
        <f>zalozenia!X68-Y100</f>
        <v>8.2858870336143115E-10</v>
      </c>
      <c r="Z96" s="61">
        <f>zalozenia!Y68-Z100</f>
        <v>8.9877447301684582E-10</v>
      </c>
      <c r="AA96" s="61">
        <f>zalozenia!Z68-AA100</f>
        <v>9.7262458387547955E-10</v>
      </c>
      <c r="AB96" s="61">
        <f>zalozenia!AA68-AB100</f>
        <v>1.0503303481722703E-9</v>
      </c>
      <c r="AC96" s="61">
        <f>zalozenia!AB68-AC100</f>
        <v>1.1320930663963078E-9</v>
      </c>
      <c r="AD96" s="61">
        <f>zalozenia!AC68-AD100</f>
        <v>1.2181245487693531E-9</v>
      </c>
      <c r="AE96" s="61">
        <f>zalozenia!AD68-AE100</f>
        <v>1.3086476639503211E-9</v>
      </c>
      <c r="AF96" s="61">
        <f>zalozenia!AE68-AF100</f>
        <v>1.4038969163871735E-9</v>
      </c>
      <c r="AG96" s="61">
        <f>zalozenia!AF68-AG100</f>
        <v>1.4450371968258267E-9</v>
      </c>
      <c r="AH96" s="61">
        <f>zalozenia!AG68-AH100</f>
        <v>0</v>
      </c>
    </row>
    <row r="97" spans="1:35" ht="13">
      <c r="C97" s="2">
        <v>2</v>
      </c>
      <c r="D97" s="34" t="s">
        <v>149</v>
      </c>
      <c r="E97" s="3" t="s">
        <v>15</v>
      </c>
      <c r="I97" s="61" t="s">
        <v>94</v>
      </c>
      <c r="J97" s="61" t="s">
        <v>94</v>
      </c>
      <c r="K97" s="61" t="s">
        <v>94</v>
      </c>
      <c r="L97" s="61" t="s">
        <v>94</v>
      </c>
      <c r="M97" s="61" t="s">
        <v>94</v>
      </c>
      <c r="N97" s="61" t="s">
        <v>94</v>
      </c>
      <c r="O97" s="61" t="s">
        <v>94</v>
      </c>
      <c r="P97" s="61" t="s">
        <v>94</v>
      </c>
      <c r="Q97" s="61" t="s">
        <v>94</v>
      </c>
      <c r="R97" s="61" t="s">
        <v>94</v>
      </c>
      <c r="S97" s="61" t="s">
        <v>94</v>
      </c>
      <c r="T97" s="61" t="s">
        <v>94</v>
      </c>
      <c r="U97" s="61" t="s">
        <v>94</v>
      </c>
      <c r="V97" s="61" t="s">
        <v>94</v>
      </c>
      <c r="W97" s="61" t="s">
        <v>94</v>
      </c>
      <c r="X97" s="61" t="s">
        <v>94</v>
      </c>
      <c r="Y97" s="61" t="s">
        <v>94</v>
      </c>
      <c r="Z97" s="61" t="s">
        <v>94</v>
      </c>
      <c r="AA97" s="61" t="s">
        <v>94</v>
      </c>
      <c r="AB97" s="61" t="s">
        <v>94</v>
      </c>
      <c r="AC97" s="61" t="s">
        <v>94</v>
      </c>
      <c r="AD97" s="61" t="s">
        <v>94</v>
      </c>
      <c r="AE97" s="61" t="s">
        <v>94</v>
      </c>
      <c r="AF97" s="61" t="s">
        <v>94</v>
      </c>
      <c r="AG97" s="61" t="s">
        <v>94</v>
      </c>
      <c r="AH97" s="61" t="s">
        <v>94</v>
      </c>
    </row>
    <row r="98" spans="1:35" ht="13">
      <c r="C98" s="2" t="s">
        <v>37</v>
      </c>
      <c r="D98" s="33" t="s">
        <v>150</v>
      </c>
      <c r="E98" s="3" t="s">
        <v>15</v>
      </c>
      <c r="I98" s="61">
        <f t="shared" ref="I98:AH98" si="24">SUM(I99:I101)</f>
        <v>69690.413970777998</v>
      </c>
      <c r="J98" s="61">
        <f t="shared" si="24"/>
        <v>73328.893061857205</v>
      </c>
      <c r="K98" s="61">
        <f t="shared" si="24"/>
        <v>77157.334148308728</v>
      </c>
      <c r="L98" s="61">
        <f t="shared" si="24"/>
        <v>81185.65498938947</v>
      </c>
      <c r="M98" s="61">
        <f t="shared" si="24"/>
        <v>85424.291142394999</v>
      </c>
      <c r="N98" s="61">
        <f t="shared" si="24"/>
        <v>89884.222996468772</v>
      </c>
      <c r="O98" s="61">
        <f t="shared" si="24"/>
        <v>94577.004217824084</v>
      </c>
      <c r="P98" s="61">
        <f t="shared" si="24"/>
        <v>99514.791680067545</v>
      </c>
      <c r="Q98" s="61">
        <f t="shared" si="24"/>
        <v>104710.37695715949</v>
      </c>
      <c r="R98" s="61">
        <f t="shared" si="24"/>
        <v>110177.21946059761</v>
      </c>
      <c r="S98" s="61">
        <f t="shared" si="24"/>
        <v>115929.48130666313</v>
      </c>
      <c r="T98" s="61">
        <f t="shared" si="24"/>
        <v>121982.06400405988</v>
      </c>
      <c r="U98" s="61">
        <f t="shared" si="24"/>
        <v>128350.64705698239</v>
      </c>
      <c r="V98" s="61">
        <f t="shared" si="24"/>
        <v>135051.72858362008</v>
      </c>
      <c r="W98" s="61">
        <f t="shared" si="24"/>
        <v>58331.859258827375</v>
      </c>
      <c r="X98" s="61">
        <f t="shared" si="24"/>
        <v>-6.339352436337038E-11</v>
      </c>
      <c r="Y98" s="61">
        <f t="shared" si="24"/>
        <v>-6.6703248036451886E-11</v>
      </c>
      <c r="Z98" s="61">
        <f t="shared" si="24"/>
        <v>-7.0185769655414671E-11</v>
      </c>
      <c r="AA98" s="61">
        <f t="shared" si="24"/>
        <v>-7.3850110858633723E-11</v>
      </c>
      <c r="AB98" s="61">
        <f t="shared" si="24"/>
        <v>-7.7705764296790794E-11</v>
      </c>
      <c r="AC98" s="61">
        <f t="shared" si="24"/>
        <v>-8.176271822403749E-11</v>
      </c>
      <c r="AD98" s="61">
        <f t="shared" si="24"/>
        <v>-8.6031482373045249E-11</v>
      </c>
      <c r="AE98" s="61">
        <f t="shared" si="24"/>
        <v>-9.0523115180968025E-11</v>
      </c>
      <c r="AF98" s="61">
        <f t="shared" si="24"/>
        <v>-9.5249252436852398E-11</v>
      </c>
      <c r="AG98" s="61">
        <f t="shared" si="24"/>
        <v>-4.1140280438653187E-11</v>
      </c>
      <c r="AH98" s="61">
        <f t="shared" si="24"/>
        <v>1.4450371968258267E-9</v>
      </c>
    </row>
    <row r="99" spans="1:35" ht="13">
      <c r="C99" s="2">
        <v>1</v>
      </c>
      <c r="D99" s="34" t="s">
        <v>151</v>
      </c>
      <c r="E99" s="3" t="s">
        <v>15</v>
      </c>
      <c r="I99" s="61" t="s">
        <v>94</v>
      </c>
      <c r="J99" s="61" t="s">
        <v>94</v>
      </c>
      <c r="K99" s="61" t="s">
        <v>94</v>
      </c>
      <c r="L99" s="61" t="s">
        <v>94</v>
      </c>
      <c r="M99" s="61" t="s">
        <v>94</v>
      </c>
      <c r="N99" s="61" t="s">
        <v>94</v>
      </c>
      <c r="O99" s="61" t="s">
        <v>94</v>
      </c>
      <c r="P99" s="61" t="s">
        <v>94</v>
      </c>
      <c r="Q99" s="61" t="s">
        <v>94</v>
      </c>
      <c r="R99" s="61" t="s">
        <v>94</v>
      </c>
      <c r="S99" s="61" t="s">
        <v>94</v>
      </c>
      <c r="T99" s="61" t="s">
        <v>94</v>
      </c>
      <c r="U99" s="61" t="s">
        <v>94</v>
      </c>
      <c r="V99" s="61" t="s">
        <v>94</v>
      </c>
      <c r="W99" s="61" t="s">
        <v>94</v>
      </c>
      <c r="X99" s="61" t="s">
        <v>94</v>
      </c>
      <c r="Y99" s="61" t="s">
        <v>94</v>
      </c>
      <c r="Z99" s="61" t="s">
        <v>94</v>
      </c>
      <c r="AA99" s="61" t="s">
        <v>94</v>
      </c>
      <c r="AB99" s="61" t="s">
        <v>94</v>
      </c>
      <c r="AC99" s="61" t="s">
        <v>94</v>
      </c>
      <c r="AD99" s="61" t="s">
        <v>94</v>
      </c>
      <c r="AE99" s="61" t="s">
        <v>94</v>
      </c>
      <c r="AF99" s="61" t="s">
        <v>94</v>
      </c>
      <c r="AG99" s="61" t="s">
        <v>94</v>
      </c>
      <c r="AH99" s="61" t="s">
        <v>94</v>
      </c>
    </row>
    <row r="100" spans="1:35" ht="13">
      <c r="C100" s="2">
        <v>2</v>
      </c>
      <c r="D100" s="34" t="s">
        <v>148</v>
      </c>
      <c r="E100" s="3" t="s">
        <v>15</v>
      </c>
      <c r="I100" s="61">
        <f>zalozenia!H68-zalozenia!I68</f>
        <v>69690.413970777998</v>
      </c>
      <c r="J100" s="61">
        <f>zalozenia!I68-zalozenia!J68</f>
        <v>73328.893061857205</v>
      </c>
      <c r="K100" s="61">
        <f>zalozenia!J68-zalozenia!K68</f>
        <v>77157.334148308728</v>
      </c>
      <c r="L100" s="61">
        <f>zalozenia!K68-zalozenia!L68</f>
        <v>81185.65498938947</v>
      </c>
      <c r="M100" s="61">
        <f>zalozenia!L68-zalozenia!M68</f>
        <v>85424.291142394999</v>
      </c>
      <c r="N100" s="61">
        <f>zalozenia!M68-zalozenia!N68</f>
        <v>89884.222996468772</v>
      </c>
      <c r="O100" s="61">
        <f>zalozenia!N68-zalozenia!O68</f>
        <v>94577.004217824084</v>
      </c>
      <c r="P100" s="61">
        <f>zalozenia!O68-zalozenia!P68</f>
        <v>99514.791680067545</v>
      </c>
      <c r="Q100" s="61">
        <f>zalozenia!P68-zalozenia!Q68</f>
        <v>104710.37695715949</v>
      </c>
      <c r="R100" s="61">
        <f>zalozenia!Q68-zalozenia!R68</f>
        <v>110177.21946059761</v>
      </c>
      <c r="S100" s="61">
        <f>zalozenia!R68-zalozenia!S68</f>
        <v>115929.48130666313</v>
      </c>
      <c r="T100" s="61">
        <f>zalozenia!S68-zalozenia!T68</f>
        <v>121982.06400405988</v>
      </c>
      <c r="U100" s="61">
        <f>zalozenia!T68-zalozenia!U68</f>
        <v>128350.64705698239</v>
      </c>
      <c r="V100" s="61">
        <f>zalozenia!U68-zalozenia!V68</f>
        <v>135051.72858362008</v>
      </c>
      <c r="W100" s="61">
        <f>zalozenia!V68-zalozenia!W68</f>
        <v>58331.859258827375</v>
      </c>
      <c r="X100" s="61">
        <f>zalozenia!W68-zalozenia!X68</f>
        <v>-6.339352436337038E-11</v>
      </c>
      <c r="Y100" s="61">
        <f>zalozenia!X68-zalozenia!Y68</f>
        <v>-6.6703248036451886E-11</v>
      </c>
      <c r="Z100" s="61">
        <f>zalozenia!Y68-zalozenia!Z68</f>
        <v>-7.0185769655414671E-11</v>
      </c>
      <c r="AA100" s="61">
        <f>zalozenia!Z68-zalozenia!AA68</f>
        <v>-7.3850110858633723E-11</v>
      </c>
      <c r="AB100" s="61">
        <f>zalozenia!AA68-zalozenia!AB68</f>
        <v>-7.7705764296790794E-11</v>
      </c>
      <c r="AC100" s="61">
        <f>zalozenia!AB68-zalozenia!AC68</f>
        <v>-8.176271822403749E-11</v>
      </c>
      <c r="AD100" s="61">
        <f>zalozenia!AC68-zalozenia!AD68</f>
        <v>-8.6031482373045249E-11</v>
      </c>
      <c r="AE100" s="61">
        <f>zalozenia!AD68-zalozenia!AE68</f>
        <v>-9.0523115180968025E-11</v>
      </c>
      <c r="AF100" s="61">
        <f>zalozenia!AE68-zalozenia!AF68</f>
        <v>-9.5249252436852398E-11</v>
      </c>
      <c r="AG100" s="61">
        <f>zalozenia!AF68-zalozenia!AG68</f>
        <v>-4.1140280438653187E-11</v>
      </c>
      <c r="AH100" s="61">
        <f>zalozenia!AG68-zalozenia!AH68</f>
        <v>1.4450371968258267E-9</v>
      </c>
    </row>
    <row r="101" spans="1:35" ht="13">
      <c r="C101" s="2">
        <v>3</v>
      </c>
      <c r="D101" s="34" t="s">
        <v>149</v>
      </c>
      <c r="E101" s="3" t="s">
        <v>15</v>
      </c>
      <c r="I101" s="61" t="s">
        <v>94</v>
      </c>
      <c r="J101" s="61" t="s">
        <v>94</v>
      </c>
      <c r="K101" s="61" t="s">
        <v>94</v>
      </c>
      <c r="L101" s="61" t="s">
        <v>94</v>
      </c>
      <c r="M101" s="61" t="s">
        <v>94</v>
      </c>
      <c r="N101" s="61" t="s">
        <v>94</v>
      </c>
      <c r="O101" s="61" t="s">
        <v>94</v>
      </c>
      <c r="P101" s="61" t="s">
        <v>94</v>
      </c>
      <c r="Q101" s="61" t="s">
        <v>94</v>
      </c>
      <c r="R101" s="61" t="s">
        <v>94</v>
      </c>
      <c r="S101" s="61" t="s">
        <v>94</v>
      </c>
      <c r="T101" s="61" t="s">
        <v>94</v>
      </c>
      <c r="U101" s="61" t="s">
        <v>94</v>
      </c>
      <c r="V101" s="61" t="s">
        <v>94</v>
      </c>
      <c r="W101" s="61" t="s">
        <v>94</v>
      </c>
      <c r="X101" s="61" t="s">
        <v>94</v>
      </c>
      <c r="Y101" s="61" t="s">
        <v>94</v>
      </c>
      <c r="Z101" s="61" t="s">
        <v>94</v>
      </c>
      <c r="AA101" s="61" t="s">
        <v>94</v>
      </c>
      <c r="AB101" s="61" t="s">
        <v>94</v>
      </c>
      <c r="AC101" s="61" t="s">
        <v>94</v>
      </c>
      <c r="AD101" s="61" t="s">
        <v>94</v>
      </c>
      <c r="AE101" s="61" t="s">
        <v>94</v>
      </c>
      <c r="AF101" s="61" t="s">
        <v>94</v>
      </c>
      <c r="AG101" s="61" t="s">
        <v>94</v>
      </c>
      <c r="AH101" s="61" t="s">
        <v>94</v>
      </c>
    </row>
    <row r="102" spans="1:35" ht="13">
      <c r="C102" s="2" t="s">
        <v>38</v>
      </c>
      <c r="D102" s="33" t="s">
        <v>152</v>
      </c>
      <c r="E102" s="3" t="s">
        <v>15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</row>
    <row r="103" spans="1:35" ht="13"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74">
        <f>U61-U84</f>
        <v>0</v>
      </c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74">
        <f>AG61-AG84</f>
        <v>0</v>
      </c>
      <c r="AH103" s="13"/>
    </row>
    <row r="104" spans="1:35" ht="2" customHeight="1"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spans="1:35" ht="2" customHeight="1">
      <c r="C105" s="31"/>
      <c r="D105" s="31"/>
      <c r="E105" s="31"/>
      <c r="F105" s="31"/>
      <c r="G105" s="31"/>
      <c r="H105" s="31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</row>
    <row r="106" spans="1:35" s="55" customFormat="1" ht="13">
      <c r="A106" s="51"/>
      <c r="B106" s="51"/>
      <c r="C106" s="75"/>
      <c r="D106" s="75" t="s">
        <v>153</v>
      </c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51"/>
    </row>
    <row r="107" spans="1:35" ht="2" customHeight="1"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5" ht="2" customHeight="1">
      <c r="C108" s="31"/>
      <c r="D108" s="31"/>
      <c r="E108" s="31"/>
      <c r="F108" s="31"/>
      <c r="G108" s="31"/>
      <c r="H108" s="31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</row>
    <row r="109" spans="1:35" ht="13">
      <c r="C109" s="15" t="s">
        <v>90</v>
      </c>
      <c r="D109" s="16" t="s">
        <v>154</v>
      </c>
      <c r="E109" s="17" t="s">
        <v>15</v>
      </c>
      <c r="F109" s="16"/>
      <c r="G109" s="16"/>
      <c r="H109" s="16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5" ht="2" customHeight="1">
      <c r="C110" s="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spans="1:35" ht="13">
      <c r="C111" s="2">
        <v>1</v>
      </c>
      <c r="D111" s="33" t="s">
        <v>155</v>
      </c>
      <c r="E111" s="3" t="s">
        <v>15</v>
      </c>
      <c r="I111" s="13">
        <f>I52</f>
        <v>-197977.89406562684</v>
      </c>
      <c r="J111" s="13">
        <f>J52</f>
        <v>-25241.847935581827</v>
      </c>
      <c r="K111" s="13">
        <f>K52</f>
        <v>-20084.365989906</v>
      </c>
      <c r="L111" s="13">
        <f>L52</f>
        <v>-14678.135015242013</v>
      </c>
      <c r="M111" s="13">
        <f t="shared" ref="M111:AH111" si="25">M52</f>
        <v>-9011.7780158285823</v>
      </c>
      <c r="N111" s="13">
        <f t="shared" si="25"/>
        <v>-3073.336949295699</v>
      </c>
      <c r="O111" s="13">
        <f t="shared" si="25"/>
        <v>2677.2930784833143</v>
      </c>
      <c r="P111" s="13">
        <f t="shared" si="25"/>
        <v>8220.105237724887</v>
      </c>
      <c r="Q111" s="13">
        <f t="shared" si="25"/>
        <v>14027.900684558328</v>
      </c>
      <c r="R111" s="13">
        <f t="shared" si="25"/>
        <v>20113.081525011625</v>
      </c>
      <c r="S111" s="13">
        <f t="shared" si="25"/>
        <v>26488.681832905972</v>
      </c>
      <c r="T111" s="13">
        <f t="shared" si="25"/>
        <v>33168.399704922711</v>
      </c>
      <c r="U111" s="13">
        <f t="shared" si="25"/>
        <v>40166.630976943183</v>
      </c>
      <c r="V111" s="13">
        <f t="shared" si="25"/>
        <v>47498.504687633424</v>
      </c>
      <c r="W111" s="13">
        <f t="shared" si="25"/>
        <v>55179.920379734969</v>
      </c>
      <c r="X111" s="13">
        <f t="shared" si="25"/>
        <v>160438.28747244019</v>
      </c>
      <c r="Y111" s="13">
        <f t="shared" si="25"/>
        <v>75569.43860329235</v>
      </c>
      <c r="Z111" s="13">
        <f t="shared" si="25"/>
        <v>76585.182021611923</v>
      </c>
      <c r="AA111" s="13">
        <f t="shared" si="25"/>
        <v>77637.466213220745</v>
      </c>
      <c r="AB111" s="13">
        <f t="shared" si="25"/>
        <v>78727.43271282762</v>
      </c>
      <c r="AC111" s="13">
        <f t="shared" si="25"/>
        <v>79856.270992977661</v>
      </c>
      <c r="AD111" s="13">
        <f t="shared" si="25"/>
        <v>81025.220429965018</v>
      </c>
      <c r="AE111" s="13">
        <f t="shared" si="25"/>
        <v>82235.572362715451</v>
      </c>
      <c r="AF111" s="13">
        <f t="shared" si="25"/>
        <v>83488.672249117662</v>
      </c>
      <c r="AG111" s="13">
        <f t="shared" si="25"/>
        <v>84785.921924519876</v>
      </c>
      <c r="AH111" s="13">
        <f t="shared" si="25"/>
        <v>86128.781967355928</v>
      </c>
    </row>
    <row r="112" spans="1:35" ht="13">
      <c r="C112" s="2">
        <v>2</v>
      </c>
      <c r="D112" s="33" t="s">
        <v>156</v>
      </c>
      <c r="E112" s="3" t="s">
        <v>15</v>
      </c>
      <c r="I112" s="13">
        <f>I18</f>
        <v>34587.904240387965</v>
      </c>
      <c r="J112" s="13">
        <f>J18</f>
        <v>121057.6648413579</v>
      </c>
      <c r="K112" s="13">
        <f>K18</f>
        <v>121057.6648413579</v>
      </c>
      <c r="L112" s="13">
        <f>L18</f>
        <v>121057.6648413579</v>
      </c>
      <c r="M112" s="13">
        <f>M18</f>
        <v>121057.6648413579</v>
      </c>
      <c r="N112" s="13">
        <f t="shared" ref="N112:AH112" si="26">N18</f>
        <v>121057.6648413579</v>
      </c>
      <c r="O112" s="13">
        <f t="shared" si="26"/>
        <v>121057.6648413579</v>
      </c>
      <c r="P112" s="13">
        <f t="shared" si="26"/>
        <v>121057.6648413579</v>
      </c>
      <c r="Q112" s="13">
        <f t="shared" si="26"/>
        <v>121057.6648413579</v>
      </c>
      <c r="R112" s="13">
        <f t="shared" si="26"/>
        <v>121057.6648413579</v>
      </c>
      <c r="S112" s="13">
        <f t="shared" si="26"/>
        <v>121057.6648413579</v>
      </c>
      <c r="T112" s="13">
        <f t="shared" si="26"/>
        <v>121057.6648413579</v>
      </c>
      <c r="U112" s="13">
        <f t="shared" si="26"/>
        <v>121057.6648413579</v>
      </c>
      <c r="V112" s="13">
        <f t="shared" si="26"/>
        <v>121057.6648413579</v>
      </c>
      <c r="W112" s="13">
        <f t="shared" si="26"/>
        <v>121057.6648413579</v>
      </c>
      <c r="X112" s="13">
        <f t="shared" si="26"/>
        <v>0</v>
      </c>
      <c r="Y112" s="13">
        <f t="shared" si="26"/>
        <v>0</v>
      </c>
      <c r="Z112" s="13">
        <f t="shared" si="26"/>
        <v>0</v>
      </c>
      <c r="AA112" s="13">
        <f t="shared" si="26"/>
        <v>0</v>
      </c>
      <c r="AB112" s="13">
        <f t="shared" si="26"/>
        <v>0</v>
      </c>
      <c r="AC112" s="13">
        <f t="shared" si="26"/>
        <v>0</v>
      </c>
      <c r="AD112" s="13">
        <f t="shared" si="26"/>
        <v>0</v>
      </c>
      <c r="AE112" s="13">
        <f t="shared" si="26"/>
        <v>0</v>
      </c>
      <c r="AF112" s="13">
        <f t="shared" si="26"/>
        <v>0</v>
      </c>
      <c r="AG112" s="13">
        <f t="shared" si="26"/>
        <v>0</v>
      </c>
      <c r="AH112" s="13">
        <f t="shared" si="26"/>
        <v>0</v>
      </c>
    </row>
    <row r="113" spans="1:35" ht="13">
      <c r="C113" s="2">
        <v>3</v>
      </c>
      <c r="D113" s="33" t="s">
        <v>157</v>
      </c>
      <c r="E113" s="3" t="s">
        <v>15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</row>
    <row r="114" spans="1:35" ht="13">
      <c r="C114" s="2">
        <v>4</v>
      </c>
      <c r="D114" s="33" t="s">
        <v>158</v>
      </c>
      <c r="E114" s="3" t="s">
        <v>15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</row>
    <row r="115" spans="1:35" ht="13">
      <c r="C115" s="2">
        <v>5</v>
      </c>
      <c r="D115" s="33" t="s">
        <v>159</v>
      </c>
      <c r="E115" s="3" t="s">
        <v>15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</row>
    <row r="116" spans="1:35" ht="13">
      <c r="C116" s="2">
        <v>6</v>
      </c>
      <c r="D116" s="33" t="s">
        <v>160</v>
      </c>
      <c r="E116" s="3" t="s">
        <v>15</v>
      </c>
      <c r="I116" s="13">
        <f>I102</f>
        <v>0</v>
      </c>
      <c r="J116" s="13">
        <f>J102-I102</f>
        <v>0</v>
      </c>
      <c r="K116" s="13">
        <f t="shared" ref="K116:AH116" si="27">K102-J102</f>
        <v>0</v>
      </c>
      <c r="L116" s="13">
        <f t="shared" si="27"/>
        <v>0</v>
      </c>
      <c r="M116" s="13">
        <f t="shared" si="27"/>
        <v>0</v>
      </c>
      <c r="N116" s="13">
        <f t="shared" si="27"/>
        <v>0</v>
      </c>
      <c r="O116" s="13">
        <f t="shared" si="27"/>
        <v>0</v>
      </c>
      <c r="P116" s="13">
        <f t="shared" si="27"/>
        <v>0</v>
      </c>
      <c r="Q116" s="13">
        <f t="shared" si="27"/>
        <v>0</v>
      </c>
      <c r="R116" s="13">
        <f t="shared" si="27"/>
        <v>0</v>
      </c>
      <c r="S116" s="13">
        <f t="shared" si="27"/>
        <v>0</v>
      </c>
      <c r="T116" s="13">
        <f t="shared" si="27"/>
        <v>0</v>
      </c>
      <c r="U116" s="13">
        <f t="shared" si="27"/>
        <v>0</v>
      </c>
      <c r="V116" s="13">
        <f t="shared" si="27"/>
        <v>0</v>
      </c>
      <c r="W116" s="13">
        <f t="shared" si="27"/>
        <v>0</v>
      </c>
      <c r="X116" s="13">
        <f t="shared" si="27"/>
        <v>0</v>
      </c>
      <c r="Y116" s="13">
        <f t="shared" si="27"/>
        <v>0</v>
      </c>
      <c r="Z116" s="13">
        <f t="shared" si="27"/>
        <v>0</v>
      </c>
      <c r="AA116" s="13">
        <f t="shared" si="27"/>
        <v>0</v>
      </c>
      <c r="AB116" s="13">
        <f t="shared" si="27"/>
        <v>0</v>
      </c>
      <c r="AC116" s="13">
        <f t="shared" si="27"/>
        <v>0</v>
      </c>
      <c r="AD116" s="13">
        <f t="shared" si="27"/>
        <v>0</v>
      </c>
      <c r="AE116" s="13">
        <f t="shared" si="27"/>
        <v>0</v>
      </c>
      <c r="AF116" s="13">
        <f t="shared" si="27"/>
        <v>0</v>
      </c>
      <c r="AG116" s="13">
        <f t="shared" si="27"/>
        <v>0</v>
      </c>
      <c r="AH116" s="13">
        <f t="shared" si="27"/>
        <v>0</v>
      </c>
    </row>
    <row r="117" spans="1:35" ht="13">
      <c r="C117" s="2">
        <v>7</v>
      </c>
      <c r="D117" s="33" t="s">
        <v>161</v>
      </c>
      <c r="E117" s="3" t="s">
        <v>15</v>
      </c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</row>
    <row r="118" spans="1:35" s="16" customFormat="1" ht="13">
      <c r="A118" s="67"/>
      <c r="B118" s="67"/>
      <c r="C118" s="15" t="s">
        <v>21</v>
      </c>
      <c r="D118" s="16" t="s">
        <v>162</v>
      </c>
      <c r="E118" s="17" t="s">
        <v>15</v>
      </c>
      <c r="I118" s="20">
        <f>SUM(I111:I117)</f>
        <v>-163389.98982523888</v>
      </c>
      <c r="J118" s="20">
        <f>SUM(J111:J117)</f>
        <v>95815.816905776068</v>
      </c>
      <c r="K118" s="20">
        <f>SUM(K111:K117)</f>
        <v>100973.29885145189</v>
      </c>
      <c r="L118" s="20">
        <f t="shared" ref="L118:AH118" si="28">SUM(L111:L117)</f>
        <v>106379.52982611588</v>
      </c>
      <c r="M118" s="20">
        <f t="shared" si="28"/>
        <v>112045.88682552931</v>
      </c>
      <c r="N118" s="20">
        <f t="shared" si="28"/>
        <v>117984.3278920622</v>
      </c>
      <c r="O118" s="20">
        <f t="shared" si="28"/>
        <v>123734.95791984121</v>
      </c>
      <c r="P118" s="20">
        <f t="shared" si="28"/>
        <v>129277.77007908278</v>
      </c>
      <c r="Q118" s="20">
        <f t="shared" si="28"/>
        <v>135085.56552591623</v>
      </c>
      <c r="R118" s="20">
        <f t="shared" si="28"/>
        <v>141170.74636636951</v>
      </c>
      <c r="S118" s="20">
        <f t="shared" si="28"/>
        <v>147546.34667426386</v>
      </c>
      <c r="T118" s="20">
        <f t="shared" si="28"/>
        <v>154226.0645462806</v>
      </c>
      <c r="U118" s="20">
        <f t="shared" si="28"/>
        <v>161224.29581830109</v>
      </c>
      <c r="V118" s="20">
        <f t="shared" si="28"/>
        <v>168556.16952899133</v>
      </c>
      <c r="W118" s="20">
        <f t="shared" si="28"/>
        <v>176237.58522109286</v>
      </c>
      <c r="X118" s="20">
        <f t="shared" si="28"/>
        <v>160438.28747244019</v>
      </c>
      <c r="Y118" s="20">
        <f t="shared" si="28"/>
        <v>75569.43860329235</v>
      </c>
      <c r="Z118" s="20">
        <f t="shared" si="28"/>
        <v>76585.182021611923</v>
      </c>
      <c r="AA118" s="20">
        <f t="shared" si="28"/>
        <v>77637.466213220745</v>
      </c>
      <c r="AB118" s="20">
        <f t="shared" si="28"/>
        <v>78727.43271282762</v>
      </c>
      <c r="AC118" s="20">
        <f t="shared" si="28"/>
        <v>79856.270992977661</v>
      </c>
      <c r="AD118" s="20">
        <f t="shared" si="28"/>
        <v>81025.220429965018</v>
      </c>
      <c r="AE118" s="20">
        <f t="shared" si="28"/>
        <v>82235.572362715451</v>
      </c>
      <c r="AF118" s="20">
        <f t="shared" si="28"/>
        <v>83488.672249117662</v>
      </c>
      <c r="AG118" s="20">
        <f t="shared" si="28"/>
        <v>84785.921924519876</v>
      </c>
      <c r="AH118" s="20">
        <f t="shared" si="28"/>
        <v>86128.781967355928</v>
      </c>
      <c r="AI118" s="51"/>
    </row>
    <row r="119" spans="1:35" ht="2" customHeight="1"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spans="1:35" ht="2" customHeight="1">
      <c r="C120" s="31"/>
      <c r="D120" s="31"/>
      <c r="E120" s="31"/>
      <c r="F120" s="31"/>
      <c r="G120" s="31"/>
      <c r="H120" s="31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</row>
    <row r="121" spans="1:35" ht="13">
      <c r="C121" s="15" t="s">
        <v>95</v>
      </c>
      <c r="D121" s="16" t="s">
        <v>163</v>
      </c>
      <c r="E121" s="17" t="s">
        <v>15</v>
      </c>
      <c r="F121" s="16"/>
      <c r="G121" s="16"/>
      <c r="H121" s="16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5" ht="2" customHeight="1">
      <c r="C122" s="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spans="1:35" ht="13">
      <c r="C123" s="2">
        <v>1</v>
      </c>
      <c r="D123" s="33" t="s">
        <v>164</v>
      </c>
      <c r="E123" s="3" t="s">
        <v>15</v>
      </c>
      <c r="I123" s="13">
        <f>-zalozenia!F57</f>
        <v>-1729395.2120193983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</row>
    <row r="124" spans="1:35" ht="13">
      <c r="C124" s="2">
        <v>2</v>
      </c>
      <c r="D124" s="33" t="s">
        <v>131</v>
      </c>
      <c r="E124" s="3" t="s">
        <v>15</v>
      </c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</row>
    <row r="125" spans="1:35" s="16" customFormat="1" ht="13">
      <c r="A125" s="67"/>
      <c r="B125" s="67"/>
      <c r="C125" s="15" t="s">
        <v>23</v>
      </c>
      <c r="D125" s="16" t="s">
        <v>165</v>
      </c>
      <c r="E125" s="17" t="s">
        <v>15</v>
      </c>
      <c r="I125" s="20">
        <f>SUM(I123:I124)</f>
        <v>-1729395.2120193983</v>
      </c>
      <c r="J125" s="20">
        <f>SUM(J123:J124)</f>
        <v>0</v>
      </c>
      <c r="K125" s="20">
        <f>SUM(K123:K124)</f>
        <v>0</v>
      </c>
      <c r="L125" s="20">
        <f t="shared" ref="L125:AH125" si="29">SUM(L123:L124)</f>
        <v>0</v>
      </c>
      <c r="M125" s="20">
        <f t="shared" si="29"/>
        <v>0</v>
      </c>
      <c r="N125" s="20">
        <f t="shared" si="29"/>
        <v>0</v>
      </c>
      <c r="O125" s="20">
        <f t="shared" si="29"/>
        <v>0</v>
      </c>
      <c r="P125" s="20">
        <f t="shared" si="29"/>
        <v>0</v>
      </c>
      <c r="Q125" s="20">
        <f t="shared" si="29"/>
        <v>0</v>
      </c>
      <c r="R125" s="20">
        <f t="shared" si="29"/>
        <v>0</v>
      </c>
      <c r="S125" s="20">
        <f t="shared" si="29"/>
        <v>0</v>
      </c>
      <c r="T125" s="20">
        <f t="shared" si="29"/>
        <v>0</v>
      </c>
      <c r="U125" s="20">
        <f t="shared" si="29"/>
        <v>0</v>
      </c>
      <c r="V125" s="20">
        <f t="shared" si="29"/>
        <v>0</v>
      </c>
      <c r="W125" s="20">
        <f t="shared" si="29"/>
        <v>0</v>
      </c>
      <c r="X125" s="20">
        <f t="shared" si="29"/>
        <v>0</v>
      </c>
      <c r="Y125" s="20">
        <f t="shared" si="29"/>
        <v>0</v>
      </c>
      <c r="Z125" s="20">
        <f t="shared" si="29"/>
        <v>0</v>
      </c>
      <c r="AA125" s="20">
        <f t="shared" si="29"/>
        <v>0</v>
      </c>
      <c r="AB125" s="20">
        <f t="shared" si="29"/>
        <v>0</v>
      </c>
      <c r="AC125" s="20">
        <f t="shared" si="29"/>
        <v>0</v>
      </c>
      <c r="AD125" s="20">
        <f t="shared" si="29"/>
        <v>0</v>
      </c>
      <c r="AE125" s="20">
        <f t="shared" si="29"/>
        <v>0</v>
      </c>
      <c r="AF125" s="20">
        <f t="shared" si="29"/>
        <v>0</v>
      </c>
      <c r="AG125" s="20">
        <f t="shared" si="29"/>
        <v>0</v>
      </c>
      <c r="AH125" s="20">
        <f t="shared" si="29"/>
        <v>0</v>
      </c>
      <c r="AI125" s="51"/>
    </row>
    <row r="126" spans="1:35" ht="2" customHeight="1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spans="1:35" ht="2" customHeight="1">
      <c r="C127" s="31"/>
      <c r="D127" s="31"/>
      <c r="E127" s="31"/>
      <c r="F127" s="31"/>
      <c r="G127" s="31"/>
      <c r="H127" s="31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</row>
    <row r="128" spans="1:35" ht="13">
      <c r="C128" s="15" t="s">
        <v>101</v>
      </c>
      <c r="D128" s="16" t="s">
        <v>166</v>
      </c>
      <c r="E128" s="17" t="s">
        <v>15</v>
      </c>
      <c r="F128" s="16"/>
      <c r="G128" s="16"/>
      <c r="H128" s="16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5" ht="2" customHeight="1">
      <c r="C129" s="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spans="1:35" ht="13">
      <c r="C130" s="2">
        <v>1</v>
      </c>
      <c r="D130" s="33" t="s">
        <v>167</v>
      </c>
      <c r="E130" s="3" t="s">
        <v>15</v>
      </c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</row>
    <row r="131" spans="1:35" ht="13">
      <c r="A131" s="49" t="s">
        <v>431</v>
      </c>
      <c r="C131" s="2">
        <v>2</v>
      </c>
      <c r="D131" s="33" t="s">
        <v>168</v>
      </c>
      <c r="E131" s="3" t="s">
        <v>15</v>
      </c>
      <c r="I131" s="61">
        <f>zalozenia!F59-zalozenia!H65</f>
        <v>1445295.9828349994</v>
      </c>
      <c r="J131" s="61">
        <f>-zalozenia!I65</f>
        <v>-69690.413970778027</v>
      </c>
      <c r="K131" s="61">
        <f>-zalozenia!J65</f>
        <v>-73328.893061857176</v>
      </c>
      <c r="L131" s="61">
        <f>-zalozenia!K65</f>
        <v>-77157.334148308728</v>
      </c>
      <c r="M131" s="61">
        <f>-zalozenia!L65</f>
        <v>-81185.654989389484</v>
      </c>
      <c r="N131" s="61">
        <f>-zalozenia!M65</f>
        <v>-85424.291142394984</v>
      </c>
      <c r="O131" s="61">
        <f>-zalozenia!N65</f>
        <v>-89884.222996468787</v>
      </c>
      <c r="P131" s="61">
        <f>-zalozenia!O65</f>
        <v>-94577.004217824127</v>
      </c>
      <c r="Q131" s="61">
        <f>-zalozenia!P65</f>
        <v>-99514.791680067501</v>
      </c>
      <c r="R131" s="61">
        <f>-zalozenia!Q65</f>
        <v>-104710.37695715955</v>
      </c>
      <c r="S131" s="61">
        <f>-zalozenia!R65</f>
        <v>-110177.21946059758</v>
      </c>
      <c r="T131" s="61">
        <f>-zalozenia!S65</f>
        <v>-115929.48130666316</v>
      </c>
      <c r="U131" s="61">
        <f>-zalozenia!T65</f>
        <v>-121982.06400405991</v>
      </c>
      <c r="V131" s="61">
        <f>-zalozenia!U65</f>
        <v>-128350.6470569824</v>
      </c>
      <c r="W131" s="61">
        <f>-zalozenia!V65</f>
        <v>-135051.72858362008</v>
      </c>
      <c r="X131" s="61">
        <f>-zalozenia!W65</f>
        <v>-58331.859258827375</v>
      </c>
      <c r="Y131" s="61">
        <f>-zalozenia!X65</f>
        <v>6.3393524363370328E-11</v>
      </c>
      <c r="Z131" s="61">
        <f>-zalozenia!Y65</f>
        <v>6.6703248036451899E-11</v>
      </c>
      <c r="AA131" s="61">
        <f>-zalozenia!Z65</f>
        <v>7.0185769655414632E-11</v>
      </c>
      <c r="AB131" s="61">
        <f>-zalozenia!AA65</f>
        <v>7.3850110858633801E-11</v>
      </c>
      <c r="AC131" s="61">
        <f>-zalozenia!AB65</f>
        <v>7.770576429679082E-11</v>
      </c>
      <c r="AD131" s="61">
        <f>-zalozenia!AC65</f>
        <v>8.1762718224037567E-11</v>
      </c>
      <c r="AE131" s="61">
        <f>-zalozenia!AD65</f>
        <v>8.6031482373045197E-11</v>
      </c>
      <c r="AF131" s="61">
        <f>-zalozenia!AE65</f>
        <v>9.0523115180967999E-11</v>
      </c>
      <c r="AG131" s="61">
        <f>-zalozenia!AF65</f>
        <v>9.5249252436852423E-11</v>
      </c>
      <c r="AH131" s="61">
        <f>-zalozenia!AG65</f>
        <v>4.1140280438653155E-11</v>
      </c>
    </row>
    <row r="132" spans="1:35" ht="13">
      <c r="C132" s="2">
        <v>3</v>
      </c>
      <c r="D132" s="33" t="s">
        <v>169</v>
      </c>
      <c r="E132" s="3" t="s">
        <v>15</v>
      </c>
      <c r="I132" s="61">
        <f>IF(I52&gt;0,-I52*zalozenia!$F$44,0)</f>
        <v>0</v>
      </c>
      <c r="J132" s="61">
        <f>IF(J52&gt;0,-J52*zalozenia!$F$44,0)</f>
        <v>0</v>
      </c>
      <c r="K132" s="61">
        <f>IF(K52&gt;0,-K52*zalozenia!$F$44,0)</f>
        <v>0</v>
      </c>
      <c r="L132" s="61">
        <f>IF(L52&gt;0,-L52*zalozenia!$F$44,0)</f>
        <v>0</v>
      </c>
      <c r="M132" s="61">
        <f>IF(M52&gt;0,-M52*zalozenia!$F$44,0)</f>
        <v>0</v>
      </c>
      <c r="N132" s="61">
        <f>IF(N52&gt;0,-N52*zalozenia!$F$44,0)</f>
        <v>0</v>
      </c>
      <c r="O132" s="61">
        <f>IF(O52&gt;0,-O52*zalozenia!$F$44,0)</f>
        <v>0</v>
      </c>
      <c r="P132" s="61">
        <f>IF(P52&gt;0,-P52*zalozenia!$F$44,0)</f>
        <v>0</v>
      </c>
      <c r="Q132" s="61">
        <f>IF(Q52&gt;0,-Q52*zalozenia!$F$44,0)</f>
        <v>0</v>
      </c>
      <c r="R132" s="61">
        <f>IF(R52&gt;0,-R52*zalozenia!$F$44,0)</f>
        <v>0</v>
      </c>
      <c r="S132" s="61">
        <f>IF(S52&gt;0,-S52*zalozenia!$F$44,0)</f>
        <v>0</v>
      </c>
      <c r="T132" s="61">
        <f>IF(T52&gt;0,-T52*zalozenia!$F$44,0)</f>
        <v>0</v>
      </c>
      <c r="U132" s="61">
        <f>IF(U52&gt;0,-U52*zalozenia!$F$44,0)</f>
        <v>0</v>
      </c>
      <c r="V132" s="61">
        <f>IF(V52&gt;0,-V52*zalozenia!$F$44,0)</f>
        <v>0</v>
      </c>
      <c r="W132" s="61">
        <f>IF(W52&gt;0,-W52*zalozenia!$F$44,0)</f>
        <v>0</v>
      </c>
      <c r="X132" s="61">
        <f>IF(X52&gt;0,-X52*zalozenia!$F$44,0)</f>
        <v>0</v>
      </c>
      <c r="Y132" s="61">
        <f>IF(Y52&gt;0,-Y52*zalozenia!$F$44,0)</f>
        <v>0</v>
      </c>
      <c r="Z132" s="61">
        <f>IF(Z52&gt;0,-Z52*zalozenia!$F$44,0)</f>
        <v>0</v>
      </c>
      <c r="AA132" s="61">
        <f>IF(AA52&gt;0,-AA52*zalozenia!$F$44,0)</f>
        <v>0</v>
      </c>
      <c r="AB132" s="61">
        <f>IF(AB52&gt;0,-AB52*zalozenia!$F$44,0)</f>
        <v>0</v>
      </c>
      <c r="AC132" s="61">
        <f>IF(AC52&gt;0,-AC52*zalozenia!$F$44,0)</f>
        <v>0</v>
      </c>
      <c r="AD132" s="61">
        <f>IF(AD52&gt;0,-AD52*zalozenia!$F$44,0)</f>
        <v>0</v>
      </c>
      <c r="AE132" s="61">
        <f>IF(AE52&gt;0,-AE52*zalozenia!$F$44,0)</f>
        <v>0</v>
      </c>
      <c r="AF132" s="61">
        <f>IF(AF52&gt;0,-AF52*zalozenia!$F$44,0)</f>
        <v>0</v>
      </c>
      <c r="AG132" s="61">
        <f>IF(AG52&gt;0,-AG52*zalozenia!$F$44,0)</f>
        <v>0</v>
      </c>
      <c r="AH132" s="61">
        <f>IF(AH52&gt;0,-AH52*zalozenia!$F$44,0)</f>
        <v>0</v>
      </c>
    </row>
    <row r="133" spans="1:35" ht="13">
      <c r="C133" s="2">
        <v>4</v>
      </c>
      <c r="D133" s="33" t="s">
        <v>170</v>
      </c>
      <c r="E133" s="3" t="s">
        <v>15</v>
      </c>
      <c r="I133" s="61">
        <f>zalozenia!F40+zalozenia!F42</f>
        <v>75000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61">
        <v>0</v>
      </c>
      <c r="AE133" s="61">
        <v>0</v>
      </c>
      <c r="AF133" s="61">
        <v>0</v>
      </c>
      <c r="AG133" s="61">
        <v>0</v>
      </c>
      <c r="AH133" s="61">
        <v>0</v>
      </c>
    </row>
    <row r="134" spans="1:35" ht="13">
      <c r="C134" s="2">
        <v>5</v>
      </c>
      <c r="D134" s="33" t="s">
        <v>149</v>
      </c>
      <c r="E134" s="3" t="s">
        <v>15</v>
      </c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</row>
    <row r="135" spans="1:35" s="16" customFormat="1" ht="13">
      <c r="A135" s="67"/>
      <c r="B135" s="67"/>
      <c r="C135" s="15" t="s">
        <v>37</v>
      </c>
      <c r="D135" s="16" t="s">
        <v>171</v>
      </c>
      <c r="E135" s="17" t="s">
        <v>15</v>
      </c>
      <c r="I135" s="20">
        <f>SUM(I130:I134)</f>
        <v>1520295.9828349994</v>
      </c>
      <c r="J135" s="20">
        <f>SUM(J130:J134)</f>
        <v>-69690.413970778027</v>
      </c>
      <c r="K135" s="20">
        <f>SUM(K130:K134)</f>
        <v>-73328.893061857176</v>
      </c>
      <c r="L135" s="20">
        <f t="shared" ref="L135:AH135" si="30">SUM(L130:L134)</f>
        <v>-77157.334148308728</v>
      </c>
      <c r="M135" s="20">
        <f t="shared" si="30"/>
        <v>-81185.654989389484</v>
      </c>
      <c r="N135" s="20">
        <f t="shared" si="30"/>
        <v>-85424.291142394984</v>
      </c>
      <c r="O135" s="20">
        <f t="shared" si="30"/>
        <v>-89884.222996468787</v>
      </c>
      <c r="P135" s="20">
        <f t="shared" si="30"/>
        <v>-94577.004217824127</v>
      </c>
      <c r="Q135" s="20">
        <f t="shared" si="30"/>
        <v>-99514.791680067501</v>
      </c>
      <c r="R135" s="20">
        <f t="shared" si="30"/>
        <v>-104710.37695715955</v>
      </c>
      <c r="S135" s="20">
        <f t="shared" si="30"/>
        <v>-110177.21946059758</v>
      </c>
      <c r="T135" s="20">
        <f t="shared" si="30"/>
        <v>-115929.48130666316</v>
      </c>
      <c r="U135" s="20">
        <f t="shared" si="30"/>
        <v>-121982.06400405991</v>
      </c>
      <c r="V135" s="20">
        <f t="shared" si="30"/>
        <v>-128350.6470569824</v>
      </c>
      <c r="W135" s="20">
        <f t="shared" si="30"/>
        <v>-135051.72858362008</v>
      </c>
      <c r="X135" s="20">
        <f t="shared" si="30"/>
        <v>-58331.859258827375</v>
      </c>
      <c r="Y135" s="20">
        <f t="shared" si="30"/>
        <v>6.3393524363370328E-11</v>
      </c>
      <c r="Z135" s="20">
        <f t="shared" si="30"/>
        <v>6.6703248036451899E-11</v>
      </c>
      <c r="AA135" s="20">
        <f t="shared" si="30"/>
        <v>7.0185769655414632E-11</v>
      </c>
      <c r="AB135" s="20">
        <f t="shared" si="30"/>
        <v>7.3850110858633801E-11</v>
      </c>
      <c r="AC135" s="20">
        <f t="shared" si="30"/>
        <v>7.770576429679082E-11</v>
      </c>
      <c r="AD135" s="20">
        <f t="shared" si="30"/>
        <v>8.1762718224037567E-11</v>
      </c>
      <c r="AE135" s="20">
        <f t="shared" si="30"/>
        <v>8.6031482373045197E-11</v>
      </c>
      <c r="AF135" s="20">
        <f t="shared" si="30"/>
        <v>9.0523115180967999E-11</v>
      </c>
      <c r="AG135" s="20">
        <f t="shared" si="30"/>
        <v>9.5249252436852423E-11</v>
      </c>
      <c r="AH135" s="20">
        <f t="shared" si="30"/>
        <v>4.1140280438653155E-11</v>
      </c>
      <c r="AI135" s="51"/>
    </row>
    <row r="136" spans="1:35" ht="2" customHeight="1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spans="1:35" ht="2" customHeight="1">
      <c r="C137" s="31"/>
      <c r="D137" s="31"/>
      <c r="E137" s="31"/>
      <c r="F137" s="31"/>
      <c r="G137" s="31"/>
      <c r="H137" s="31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</row>
    <row r="138" spans="1:35" ht="13">
      <c r="C138" s="15" t="s">
        <v>103</v>
      </c>
      <c r="D138" s="16" t="s">
        <v>172</v>
      </c>
      <c r="E138" s="17" t="s">
        <v>15</v>
      </c>
      <c r="F138" s="16"/>
      <c r="G138" s="16"/>
      <c r="H138" s="16"/>
      <c r="I138" s="20">
        <f>SUM(I118,I125,I135)</f>
        <v>-372489.21900963783</v>
      </c>
      <c r="J138" s="20">
        <f>SUM(J118,J125,J135)</f>
        <v>26125.402934998041</v>
      </c>
      <c r="K138" s="20">
        <f>SUM(K118,K125,K135)</f>
        <v>27644.405789594719</v>
      </c>
      <c r="L138" s="20">
        <f>L135+L125+L118</f>
        <v>29222.195677807147</v>
      </c>
      <c r="M138" s="20">
        <f t="shared" ref="M138:AH138" si="31">M135+M125+M118</f>
        <v>30860.231836139821</v>
      </c>
      <c r="N138" s="20">
        <f t="shared" si="31"/>
        <v>32560.036749667212</v>
      </c>
      <c r="O138" s="20">
        <f t="shared" si="31"/>
        <v>33850.734923372424</v>
      </c>
      <c r="P138" s="20">
        <f t="shared" si="31"/>
        <v>34700.765861258653</v>
      </c>
      <c r="Q138" s="20">
        <f t="shared" si="31"/>
        <v>35570.773845848729</v>
      </c>
      <c r="R138" s="20">
        <f t="shared" si="31"/>
        <v>36460.369409209961</v>
      </c>
      <c r="S138" s="20">
        <f t="shared" si="31"/>
        <v>37369.127213666274</v>
      </c>
      <c r="T138" s="20">
        <f t="shared" si="31"/>
        <v>38296.583239617437</v>
      </c>
      <c r="U138" s="20">
        <f t="shared" si="31"/>
        <v>39242.231814241182</v>
      </c>
      <c r="V138" s="20">
        <f t="shared" si="31"/>
        <v>40205.522472008932</v>
      </c>
      <c r="W138" s="20">
        <f t="shared" si="31"/>
        <v>41185.856637472782</v>
      </c>
      <c r="X138" s="20">
        <f t="shared" si="31"/>
        <v>102106.42821361282</v>
      </c>
      <c r="Y138" s="20">
        <f t="shared" si="31"/>
        <v>75569.438603292409</v>
      </c>
      <c r="Z138" s="20">
        <f t="shared" si="31"/>
        <v>76585.182021611996</v>
      </c>
      <c r="AA138" s="20">
        <f t="shared" si="31"/>
        <v>77637.466213220818</v>
      </c>
      <c r="AB138" s="20">
        <f t="shared" si="31"/>
        <v>78727.432712827693</v>
      </c>
      <c r="AC138" s="20">
        <f t="shared" si="31"/>
        <v>79856.270992977734</v>
      </c>
      <c r="AD138" s="20">
        <f t="shared" si="31"/>
        <v>81025.220429965106</v>
      </c>
      <c r="AE138" s="20">
        <f t="shared" si="31"/>
        <v>82235.572362715538</v>
      </c>
      <c r="AF138" s="20">
        <f t="shared" si="31"/>
        <v>83488.67224911775</v>
      </c>
      <c r="AG138" s="20">
        <f t="shared" si="31"/>
        <v>84785.921924519978</v>
      </c>
      <c r="AH138" s="20">
        <f t="shared" si="31"/>
        <v>86128.781967355972</v>
      </c>
    </row>
    <row r="139" spans="1:35" ht="2" customHeight="1">
      <c r="C139" s="2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spans="1:35" ht="13">
      <c r="C140" s="15" t="s">
        <v>105</v>
      </c>
      <c r="D140" s="16" t="s">
        <v>173</v>
      </c>
      <c r="E140" s="17" t="s">
        <v>15</v>
      </c>
      <c r="F140" s="16"/>
      <c r="G140" s="16"/>
      <c r="H140" s="16"/>
      <c r="I140" s="20">
        <f>H142</f>
        <v>0</v>
      </c>
      <c r="J140" s="20">
        <f>I142</f>
        <v>-372489.21900963783</v>
      </c>
      <c r="K140" s="20">
        <f>J142</f>
        <v>-346363.81607463979</v>
      </c>
      <c r="L140" s="20">
        <f>K142</f>
        <v>-318719.41028504504</v>
      </c>
      <c r="M140" s="20">
        <f t="shared" ref="M140:AH140" si="32">L142</f>
        <v>-289497.2146072379</v>
      </c>
      <c r="N140" s="20">
        <f t="shared" si="32"/>
        <v>-258636.98277109809</v>
      </c>
      <c r="O140" s="20">
        <f t="shared" si="32"/>
        <v>-226076.94602143089</v>
      </c>
      <c r="P140" s="20">
        <f t="shared" si="32"/>
        <v>-192226.21109805847</v>
      </c>
      <c r="Q140" s="20">
        <f t="shared" si="32"/>
        <v>-157525.44523679983</v>
      </c>
      <c r="R140" s="20">
        <f t="shared" si="32"/>
        <v>-121954.6713909511</v>
      </c>
      <c r="S140" s="20">
        <f t="shared" si="32"/>
        <v>-85494.30198174114</v>
      </c>
      <c r="T140" s="20">
        <f t="shared" si="32"/>
        <v>-48125.174768074867</v>
      </c>
      <c r="U140" s="20">
        <f t="shared" si="32"/>
        <v>-9828.5915284574294</v>
      </c>
      <c r="V140" s="20">
        <f t="shared" si="32"/>
        <v>29413.640285783753</v>
      </c>
      <c r="W140" s="20">
        <f t="shared" si="32"/>
        <v>69619.162757792685</v>
      </c>
      <c r="X140" s="20">
        <f t="shared" si="32"/>
        <v>110805.01939526547</v>
      </c>
      <c r="Y140" s="20">
        <f t="shared" si="32"/>
        <v>212911.44760887828</v>
      </c>
      <c r="Z140" s="20">
        <f t="shared" si="32"/>
        <v>288480.88621217071</v>
      </c>
      <c r="AA140" s="20">
        <f t="shared" si="32"/>
        <v>365066.06823378272</v>
      </c>
      <c r="AB140" s="20">
        <f t="shared" si="32"/>
        <v>442703.53444700351</v>
      </c>
      <c r="AC140" s="20">
        <f t="shared" si="32"/>
        <v>521430.9671598312</v>
      </c>
      <c r="AD140" s="20">
        <f t="shared" si="32"/>
        <v>601287.23815280898</v>
      </c>
      <c r="AE140" s="20">
        <f t="shared" si="32"/>
        <v>682312.45858277404</v>
      </c>
      <c r="AF140" s="20">
        <f t="shared" si="32"/>
        <v>764548.03094548953</v>
      </c>
      <c r="AG140" s="20">
        <f t="shared" si="32"/>
        <v>848036.70319460728</v>
      </c>
      <c r="AH140" s="20">
        <f t="shared" si="32"/>
        <v>932822.62511912722</v>
      </c>
    </row>
    <row r="141" spans="1:35" ht="2" customHeight="1">
      <c r="C141" s="2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5" ht="13">
      <c r="C142" s="15" t="s">
        <v>107</v>
      </c>
      <c r="D142" s="16" t="s">
        <v>174</v>
      </c>
      <c r="E142" s="17" t="s">
        <v>15</v>
      </c>
      <c r="F142" s="16"/>
      <c r="G142" s="16"/>
      <c r="H142" s="16"/>
      <c r="I142" s="20">
        <f>I138+I140</f>
        <v>-372489.21900963783</v>
      </c>
      <c r="J142" s="20">
        <f>J138+J140</f>
        <v>-346363.81607463979</v>
      </c>
      <c r="K142" s="20">
        <f>K138+K140</f>
        <v>-318719.41028504504</v>
      </c>
      <c r="L142" s="20">
        <f t="shared" ref="L142:AH142" si="33">L138+L140</f>
        <v>-289497.2146072379</v>
      </c>
      <c r="M142" s="20">
        <f t="shared" si="33"/>
        <v>-258636.98277109809</v>
      </c>
      <c r="N142" s="20">
        <f t="shared" si="33"/>
        <v>-226076.94602143089</v>
      </c>
      <c r="O142" s="20">
        <f t="shared" si="33"/>
        <v>-192226.21109805847</v>
      </c>
      <c r="P142" s="20">
        <f t="shared" si="33"/>
        <v>-157525.44523679983</v>
      </c>
      <c r="Q142" s="20">
        <f t="shared" si="33"/>
        <v>-121954.6713909511</v>
      </c>
      <c r="R142" s="20">
        <f t="shared" si="33"/>
        <v>-85494.30198174114</v>
      </c>
      <c r="S142" s="20">
        <f t="shared" si="33"/>
        <v>-48125.174768074867</v>
      </c>
      <c r="T142" s="20">
        <f t="shared" si="33"/>
        <v>-9828.5915284574294</v>
      </c>
      <c r="U142" s="20">
        <f t="shared" si="33"/>
        <v>29413.640285783753</v>
      </c>
      <c r="V142" s="20">
        <f t="shared" si="33"/>
        <v>69619.162757792685</v>
      </c>
      <c r="W142" s="20">
        <f t="shared" si="33"/>
        <v>110805.01939526547</v>
      </c>
      <c r="X142" s="20">
        <f t="shared" si="33"/>
        <v>212911.44760887828</v>
      </c>
      <c r="Y142" s="20">
        <f t="shared" si="33"/>
        <v>288480.88621217071</v>
      </c>
      <c r="Z142" s="20">
        <f t="shared" si="33"/>
        <v>365066.06823378272</v>
      </c>
      <c r="AA142" s="20">
        <f t="shared" si="33"/>
        <v>442703.53444700351</v>
      </c>
      <c r="AB142" s="20">
        <f t="shared" si="33"/>
        <v>521430.9671598312</v>
      </c>
      <c r="AC142" s="20">
        <f t="shared" si="33"/>
        <v>601287.23815280898</v>
      </c>
      <c r="AD142" s="20">
        <f t="shared" si="33"/>
        <v>682312.45858277404</v>
      </c>
      <c r="AE142" s="20">
        <f t="shared" si="33"/>
        <v>764548.03094548953</v>
      </c>
      <c r="AF142" s="20">
        <f t="shared" si="33"/>
        <v>848036.70319460728</v>
      </c>
      <c r="AG142" s="20">
        <f t="shared" si="33"/>
        <v>932822.62511912722</v>
      </c>
      <c r="AH142" s="20">
        <f t="shared" si="33"/>
        <v>1018951.4070864832</v>
      </c>
    </row>
    <row r="143" spans="1:35" ht="1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 spans="1:35" ht="2" customHeight="1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spans="1:35" ht="2" customHeight="1">
      <c r="C145" s="31"/>
      <c r="D145" s="31"/>
      <c r="E145" s="31"/>
      <c r="F145" s="31"/>
      <c r="G145" s="31"/>
      <c r="H145" s="31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</row>
    <row r="146" spans="1:35" s="55" customFormat="1" ht="13">
      <c r="A146" s="51"/>
      <c r="B146" s="51"/>
      <c r="C146" s="75"/>
      <c r="D146" s="75" t="s">
        <v>220</v>
      </c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51"/>
    </row>
    <row r="147" spans="1:35" ht="2" customHeight="1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 spans="1:35" ht="2" customHeight="1">
      <c r="C148" s="31"/>
      <c r="D148" s="31"/>
      <c r="E148" s="31"/>
      <c r="F148" s="31"/>
      <c r="G148" s="31"/>
      <c r="H148" s="31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</row>
    <row r="149" spans="1:35" ht="13">
      <c r="C149" s="2">
        <v>1</v>
      </c>
      <c r="D149" s="2" t="s">
        <v>155</v>
      </c>
      <c r="E149" s="3" t="s">
        <v>15</v>
      </c>
      <c r="I149" s="13">
        <f>I111</f>
        <v>-197977.89406562684</v>
      </c>
      <c r="J149" s="13">
        <f t="shared" ref="J149:AH150" si="34">J111</f>
        <v>-25241.847935581827</v>
      </c>
      <c r="K149" s="13">
        <f t="shared" si="34"/>
        <v>-20084.365989906</v>
      </c>
      <c r="L149" s="13">
        <f t="shared" si="34"/>
        <v>-14678.135015242013</v>
      </c>
      <c r="M149" s="13">
        <f t="shared" si="34"/>
        <v>-9011.7780158285823</v>
      </c>
      <c r="N149" s="13">
        <f t="shared" si="34"/>
        <v>-3073.336949295699</v>
      </c>
      <c r="O149" s="13">
        <f t="shared" si="34"/>
        <v>2677.2930784833143</v>
      </c>
      <c r="P149" s="13">
        <f t="shared" si="34"/>
        <v>8220.105237724887</v>
      </c>
      <c r="Q149" s="13">
        <f t="shared" si="34"/>
        <v>14027.900684558328</v>
      </c>
      <c r="R149" s="13">
        <f t="shared" si="34"/>
        <v>20113.081525011625</v>
      </c>
      <c r="S149" s="13">
        <f t="shared" si="34"/>
        <v>26488.681832905972</v>
      </c>
      <c r="T149" s="13">
        <f t="shared" si="34"/>
        <v>33168.399704922711</v>
      </c>
      <c r="U149" s="13">
        <f t="shared" si="34"/>
        <v>40166.630976943183</v>
      </c>
      <c r="V149" s="13">
        <f t="shared" si="34"/>
        <v>47498.504687633424</v>
      </c>
      <c r="W149" s="13">
        <f t="shared" si="34"/>
        <v>55179.920379734969</v>
      </c>
      <c r="X149" s="13">
        <f t="shared" si="34"/>
        <v>160438.28747244019</v>
      </c>
      <c r="Y149" s="13">
        <f t="shared" si="34"/>
        <v>75569.43860329235</v>
      </c>
      <c r="Z149" s="13">
        <f t="shared" si="34"/>
        <v>76585.182021611923</v>
      </c>
      <c r="AA149" s="13">
        <f t="shared" si="34"/>
        <v>77637.466213220745</v>
      </c>
      <c r="AB149" s="13">
        <f t="shared" si="34"/>
        <v>78727.43271282762</v>
      </c>
      <c r="AC149" s="13">
        <f t="shared" si="34"/>
        <v>79856.270992977661</v>
      </c>
      <c r="AD149" s="13">
        <f t="shared" si="34"/>
        <v>81025.220429965018</v>
      </c>
      <c r="AE149" s="13">
        <f t="shared" si="34"/>
        <v>82235.572362715451</v>
      </c>
      <c r="AF149" s="13">
        <f t="shared" si="34"/>
        <v>83488.672249117662</v>
      </c>
      <c r="AG149" s="13">
        <f t="shared" si="34"/>
        <v>84785.921924519876</v>
      </c>
      <c r="AH149" s="13">
        <f t="shared" si="34"/>
        <v>86128.781967355928</v>
      </c>
    </row>
    <row r="150" spans="1:35" ht="13">
      <c r="C150" s="2">
        <v>2</v>
      </c>
      <c r="D150" s="2" t="s">
        <v>156</v>
      </c>
      <c r="E150" s="3" t="s">
        <v>15</v>
      </c>
      <c r="I150" s="13">
        <f>I112</f>
        <v>34587.904240387965</v>
      </c>
      <c r="J150" s="13">
        <f t="shared" si="34"/>
        <v>121057.6648413579</v>
      </c>
      <c r="K150" s="13">
        <f t="shared" si="34"/>
        <v>121057.6648413579</v>
      </c>
      <c r="L150" s="13">
        <f t="shared" si="34"/>
        <v>121057.6648413579</v>
      </c>
      <c r="M150" s="13">
        <f t="shared" si="34"/>
        <v>121057.6648413579</v>
      </c>
      <c r="N150" s="13">
        <f t="shared" si="34"/>
        <v>121057.6648413579</v>
      </c>
      <c r="O150" s="13">
        <f t="shared" si="34"/>
        <v>121057.6648413579</v>
      </c>
      <c r="P150" s="13">
        <f t="shared" si="34"/>
        <v>121057.6648413579</v>
      </c>
      <c r="Q150" s="13">
        <f t="shared" si="34"/>
        <v>121057.6648413579</v>
      </c>
      <c r="R150" s="13">
        <f t="shared" si="34"/>
        <v>121057.6648413579</v>
      </c>
      <c r="S150" s="13">
        <f t="shared" si="34"/>
        <v>121057.6648413579</v>
      </c>
      <c r="T150" s="13">
        <f t="shared" si="34"/>
        <v>121057.6648413579</v>
      </c>
      <c r="U150" s="13">
        <f t="shared" si="34"/>
        <v>121057.6648413579</v>
      </c>
      <c r="V150" s="13">
        <f t="shared" si="34"/>
        <v>121057.6648413579</v>
      </c>
      <c r="W150" s="13">
        <f t="shared" si="34"/>
        <v>121057.6648413579</v>
      </c>
      <c r="X150" s="13">
        <f t="shared" si="34"/>
        <v>0</v>
      </c>
      <c r="Y150" s="13">
        <f t="shared" si="34"/>
        <v>0</v>
      </c>
      <c r="Z150" s="13">
        <f t="shared" si="34"/>
        <v>0</v>
      </c>
      <c r="AA150" s="13">
        <f t="shared" si="34"/>
        <v>0</v>
      </c>
      <c r="AB150" s="13">
        <f t="shared" si="34"/>
        <v>0</v>
      </c>
      <c r="AC150" s="13">
        <f t="shared" si="34"/>
        <v>0</v>
      </c>
      <c r="AD150" s="13">
        <f t="shared" si="34"/>
        <v>0</v>
      </c>
      <c r="AE150" s="13">
        <f t="shared" si="34"/>
        <v>0</v>
      </c>
      <c r="AF150" s="13">
        <f t="shared" si="34"/>
        <v>0</v>
      </c>
      <c r="AG150" s="13">
        <f t="shared" si="34"/>
        <v>0</v>
      </c>
      <c r="AH150" s="13">
        <f t="shared" si="34"/>
        <v>0</v>
      </c>
    </row>
    <row r="151" spans="1:35" ht="13">
      <c r="C151" s="2">
        <v>3</v>
      </c>
      <c r="D151" s="2" t="s">
        <v>214</v>
      </c>
      <c r="E151" s="3" t="s">
        <v>15</v>
      </c>
      <c r="I151" s="13">
        <f>-zalozenia!F40</f>
        <v>0</v>
      </c>
      <c r="J151" s="13">
        <f t="shared" ref="J151:AH151" si="35">-J133</f>
        <v>0</v>
      </c>
      <c r="K151" s="13">
        <f t="shared" si="35"/>
        <v>0</v>
      </c>
      <c r="L151" s="13">
        <f t="shared" si="35"/>
        <v>0</v>
      </c>
      <c r="M151" s="13">
        <f t="shared" si="35"/>
        <v>0</v>
      </c>
      <c r="N151" s="13">
        <f t="shared" si="35"/>
        <v>0</v>
      </c>
      <c r="O151" s="13">
        <f t="shared" si="35"/>
        <v>0</v>
      </c>
      <c r="P151" s="13">
        <f t="shared" si="35"/>
        <v>0</v>
      </c>
      <c r="Q151" s="13">
        <f t="shared" si="35"/>
        <v>0</v>
      </c>
      <c r="R151" s="13">
        <f t="shared" si="35"/>
        <v>0</v>
      </c>
      <c r="S151" s="13">
        <f t="shared" si="35"/>
        <v>0</v>
      </c>
      <c r="T151" s="13">
        <f t="shared" si="35"/>
        <v>0</v>
      </c>
      <c r="U151" s="13">
        <f t="shared" si="35"/>
        <v>0</v>
      </c>
      <c r="V151" s="13">
        <f t="shared" si="35"/>
        <v>0</v>
      </c>
      <c r="W151" s="13">
        <f t="shared" si="35"/>
        <v>0</v>
      </c>
      <c r="X151" s="13">
        <f t="shared" si="35"/>
        <v>0</v>
      </c>
      <c r="Y151" s="13">
        <f t="shared" si="35"/>
        <v>0</v>
      </c>
      <c r="Z151" s="13">
        <f t="shared" si="35"/>
        <v>0</v>
      </c>
      <c r="AA151" s="13">
        <f t="shared" si="35"/>
        <v>0</v>
      </c>
      <c r="AB151" s="13">
        <f t="shared" si="35"/>
        <v>0</v>
      </c>
      <c r="AC151" s="13">
        <f t="shared" si="35"/>
        <v>0</v>
      </c>
      <c r="AD151" s="13">
        <f t="shared" si="35"/>
        <v>0</v>
      </c>
      <c r="AE151" s="13">
        <f t="shared" si="35"/>
        <v>0</v>
      </c>
      <c r="AF151" s="13">
        <f t="shared" si="35"/>
        <v>0</v>
      </c>
      <c r="AG151" s="13">
        <f t="shared" si="35"/>
        <v>0</v>
      </c>
      <c r="AH151" s="13">
        <f t="shared" si="35"/>
        <v>0</v>
      </c>
    </row>
    <row r="152" spans="1:35" ht="13">
      <c r="C152" s="2">
        <v>4</v>
      </c>
      <c r="D152" s="2" t="s">
        <v>215</v>
      </c>
      <c r="E152" s="3" t="s">
        <v>15</v>
      </c>
      <c r="I152" s="13">
        <f>-(zalozenia!H65+zalozenia!H67)</f>
        <v>-61309.750525000651</v>
      </c>
      <c r="J152" s="13">
        <f>-(zalozenia!I65+zalozenia!I67)</f>
        <v>-69690.413970778027</v>
      </c>
      <c r="K152" s="13">
        <f>-(zalozenia!J65+zalozenia!J67)</f>
        <v>-73328.893061857176</v>
      </c>
      <c r="L152" s="13">
        <f>-(zalozenia!K65+zalozenia!K67)</f>
        <v>-77157.334148308728</v>
      </c>
      <c r="M152" s="13">
        <f>-(zalozenia!L65+zalozenia!L67)</f>
        <v>-81185.654989389484</v>
      </c>
      <c r="N152" s="13">
        <f>-(zalozenia!M65+zalozenia!M67)</f>
        <v>-85424.291142394984</v>
      </c>
      <c r="O152" s="13">
        <f>-(zalozenia!N65+zalozenia!N67)</f>
        <v>-89884.222996468787</v>
      </c>
      <c r="P152" s="13">
        <f>-(zalozenia!O65+zalozenia!O67)</f>
        <v>-94577.004217824127</v>
      </c>
      <c r="Q152" s="13">
        <f>-(zalozenia!P65+zalozenia!P67)</f>
        <v>-99514.791680067501</v>
      </c>
      <c r="R152" s="13">
        <f>-(zalozenia!Q65+zalozenia!Q67)</f>
        <v>-104710.37695715955</v>
      </c>
      <c r="S152" s="13">
        <f>-(zalozenia!R65+zalozenia!R67)</f>
        <v>-110177.21946059758</v>
      </c>
      <c r="T152" s="13">
        <f>-(zalozenia!S65+zalozenia!S67)</f>
        <v>-115929.48130666316</v>
      </c>
      <c r="U152" s="13">
        <f>-(zalozenia!T65+zalozenia!T67)</f>
        <v>-121982.06400405991</v>
      </c>
      <c r="V152" s="13">
        <f>-(zalozenia!U65+zalozenia!U67)</f>
        <v>-128350.6470569824</v>
      </c>
      <c r="W152" s="13">
        <f>-(zalozenia!V65+zalozenia!V67)</f>
        <v>-135051.72858362008</v>
      </c>
      <c r="X152" s="13">
        <f>-(zalozenia!W65+zalozenia!W67)</f>
        <v>-58331.859258827375</v>
      </c>
      <c r="Y152" s="13">
        <f>-(zalozenia!X65+zalozenia!X67)</f>
        <v>6.3393524363370328E-11</v>
      </c>
      <c r="Z152" s="13">
        <f>-(zalozenia!Y65+zalozenia!Y67)</f>
        <v>6.6703248036451899E-11</v>
      </c>
      <c r="AA152" s="13">
        <f>-(zalozenia!Z65+zalozenia!Z67)</f>
        <v>7.0185769655414632E-11</v>
      </c>
      <c r="AB152" s="13">
        <f>-(zalozenia!AA65+zalozenia!AA67)</f>
        <v>7.3850110858633801E-11</v>
      </c>
      <c r="AC152" s="13">
        <f>-(zalozenia!AB65+zalozenia!AB67)</f>
        <v>7.770576429679082E-11</v>
      </c>
      <c r="AD152" s="13">
        <f>-(zalozenia!AC65+zalozenia!AC67)</f>
        <v>8.1762718224037567E-11</v>
      </c>
      <c r="AE152" s="13">
        <f>-(zalozenia!AD65+zalozenia!AD67)</f>
        <v>8.6031482373045197E-11</v>
      </c>
      <c r="AF152" s="13">
        <f>-(zalozenia!AE65+zalozenia!AE67)</f>
        <v>9.0523115180967999E-11</v>
      </c>
      <c r="AG152" s="13">
        <f>-(zalozenia!AF65+zalozenia!AF67)</f>
        <v>9.5249252436852423E-11</v>
      </c>
      <c r="AH152" s="13">
        <f>-(zalozenia!AG65+zalozenia!AG67)</f>
        <v>4.1140280438653155E-11</v>
      </c>
    </row>
    <row r="153" spans="1:35" ht="13">
      <c r="C153" s="2">
        <v>5</v>
      </c>
      <c r="D153" s="2" t="s">
        <v>216</v>
      </c>
      <c r="E153" s="3" t="s">
        <v>15</v>
      </c>
      <c r="I153" s="13">
        <f>I74-I98</f>
        <v>-442179.63298041583</v>
      </c>
      <c r="J153" s="13">
        <f t="shared" ref="J153:AH153" si="36">J74-J98</f>
        <v>-419692.709136497</v>
      </c>
      <c r="K153" s="13">
        <f t="shared" si="36"/>
        <v>-395876.74443335377</v>
      </c>
      <c r="L153" s="13">
        <f t="shared" si="36"/>
        <v>-370682.86959662737</v>
      </c>
      <c r="M153" s="13">
        <f t="shared" si="36"/>
        <v>-344061.27391349309</v>
      </c>
      <c r="N153" s="13">
        <f t="shared" si="36"/>
        <v>-315961.16901789967</v>
      </c>
      <c r="O153" s="13">
        <f t="shared" si="36"/>
        <v>-286803.21531588258</v>
      </c>
      <c r="P153" s="13">
        <f t="shared" si="36"/>
        <v>-257040.23691686738</v>
      </c>
      <c r="Q153" s="13">
        <f t="shared" si="36"/>
        <v>-226665.04834811058</v>
      </c>
      <c r="R153" s="13">
        <f t="shared" si="36"/>
        <v>-195671.52144233877</v>
      </c>
      <c r="S153" s="13">
        <f t="shared" si="36"/>
        <v>-164054.65607473801</v>
      </c>
      <c r="T153" s="13">
        <f t="shared" si="36"/>
        <v>-131810.6555325173</v>
      </c>
      <c r="U153" s="13">
        <f t="shared" si="36"/>
        <v>-98937.006771198634</v>
      </c>
      <c r="V153" s="13">
        <f t="shared" si="36"/>
        <v>-65432.565825827391</v>
      </c>
      <c r="W153" s="13">
        <f t="shared" si="36"/>
        <v>52473.160136438091</v>
      </c>
      <c r="X153" s="13">
        <f t="shared" si="36"/>
        <v>212911.44760887834</v>
      </c>
      <c r="Y153" s="13">
        <f t="shared" si="36"/>
        <v>288480.88621217076</v>
      </c>
      <c r="Z153" s="13">
        <f t="shared" si="36"/>
        <v>365066.06823378277</v>
      </c>
      <c r="AA153" s="13">
        <f t="shared" si="36"/>
        <v>442703.53444700356</v>
      </c>
      <c r="AB153" s="13">
        <f t="shared" si="36"/>
        <v>521430.96715983126</v>
      </c>
      <c r="AC153" s="13">
        <f t="shared" si="36"/>
        <v>601287.23815280909</v>
      </c>
      <c r="AD153" s="13">
        <f t="shared" si="36"/>
        <v>682312.45858277415</v>
      </c>
      <c r="AE153" s="13">
        <f t="shared" si="36"/>
        <v>764548.03094548965</v>
      </c>
      <c r="AF153" s="13">
        <f t="shared" si="36"/>
        <v>848036.7031946074</v>
      </c>
      <c r="AG153" s="13">
        <f t="shared" si="36"/>
        <v>932822.62511912722</v>
      </c>
      <c r="AH153" s="13">
        <f t="shared" si="36"/>
        <v>1018951.4070864818</v>
      </c>
    </row>
    <row r="154" spans="1:35" ht="13">
      <c r="C154" s="2">
        <v>6</v>
      </c>
      <c r="D154" s="2" t="s">
        <v>217</v>
      </c>
      <c r="E154" s="3" t="s">
        <v>15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</row>
    <row r="155" spans="1:35" s="16" customFormat="1" ht="13">
      <c r="A155" s="67"/>
      <c r="B155" s="67"/>
      <c r="C155" s="15"/>
      <c r="D155" s="15" t="s">
        <v>235</v>
      </c>
      <c r="E155" s="3" t="s">
        <v>15</v>
      </c>
      <c r="I155" s="20">
        <f>SUM(I149:I152,I154)</f>
        <v>-224699.74035023953</v>
      </c>
      <c r="J155" s="20">
        <f t="shared" ref="J155:AH155" si="37">SUM(J149:J152,J154)</f>
        <v>26125.402934998041</v>
      </c>
      <c r="K155" s="20">
        <f t="shared" si="37"/>
        <v>27644.405789594719</v>
      </c>
      <c r="L155" s="20">
        <f>SUM(L149:L152,L154)</f>
        <v>29222.195677807147</v>
      </c>
      <c r="M155" s="20">
        <f t="shared" si="37"/>
        <v>30860.231836139821</v>
      </c>
      <c r="N155" s="20">
        <f t="shared" si="37"/>
        <v>32560.036749667212</v>
      </c>
      <c r="O155" s="20">
        <f t="shared" si="37"/>
        <v>33850.734923372424</v>
      </c>
      <c r="P155" s="20">
        <f t="shared" si="37"/>
        <v>34700.765861258653</v>
      </c>
      <c r="Q155" s="20">
        <f t="shared" si="37"/>
        <v>35570.773845848729</v>
      </c>
      <c r="R155" s="20">
        <f t="shared" si="37"/>
        <v>36460.369409209961</v>
      </c>
      <c r="S155" s="20">
        <f t="shared" si="37"/>
        <v>37369.127213666274</v>
      </c>
      <c r="T155" s="20">
        <f t="shared" si="37"/>
        <v>38296.583239617437</v>
      </c>
      <c r="U155" s="20">
        <f t="shared" si="37"/>
        <v>39242.231814241182</v>
      </c>
      <c r="V155" s="20">
        <f t="shared" si="37"/>
        <v>40205.522472008932</v>
      </c>
      <c r="W155" s="20">
        <f t="shared" si="37"/>
        <v>41185.856637472782</v>
      </c>
      <c r="X155" s="20">
        <f t="shared" si="37"/>
        <v>102106.42821361282</v>
      </c>
      <c r="Y155" s="20">
        <f t="shared" si="37"/>
        <v>75569.438603292409</v>
      </c>
      <c r="Z155" s="20">
        <f t="shared" si="37"/>
        <v>76585.182021611996</v>
      </c>
      <c r="AA155" s="20">
        <f t="shared" si="37"/>
        <v>77637.466213220818</v>
      </c>
      <c r="AB155" s="20">
        <f t="shared" si="37"/>
        <v>78727.432712827693</v>
      </c>
      <c r="AC155" s="20">
        <f t="shared" si="37"/>
        <v>79856.270992977734</v>
      </c>
      <c r="AD155" s="20">
        <f t="shared" si="37"/>
        <v>81025.220429965106</v>
      </c>
      <c r="AE155" s="20">
        <f t="shared" si="37"/>
        <v>82235.572362715538</v>
      </c>
      <c r="AF155" s="20">
        <f t="shared" si="37"/>
        <v>83488.67224911775</v>
      </c>
      <c r="AG155" s="20">
        <f t="shared" si="37"/>
        <v>84785.921924519978</v>
      </c>
      <c r="AH155" s="20">
        <f t="shared" si="37"/>
        <v>86128.781967355972</v>
      </c>
      <c r="AI155" s="51"/>
    </row>
    <row r="156" spans="1:35" ht="13">
      <c r="C156" s="2">
        <v>7</v>
      </c>
      <c r="D156" s="2" t="s">
        <v>218</v>
      </c>
      <c r="E156" s="18">
        <f>'6. Rachunek inwestycyjny'!F23</f>
        <v>5.1663319231270155E-2</v>
      </c>
      <c r="F156" s="5"/>
      <c r="G156" s="5"/>
      <c r="H156" s="5"/>
      <c r="I156" s="5">
        <f>E156</f>
        <v>5.1663319231270155E-2</v>
      </c>
      <c r="J156" s="5">
        <f>I156</f>
        <v>5.1663319231270155E-2</v>
      </c>
      <c r="K156" s="5">
        <f t="shared" ref="K156:AH156" si="38">J156</f>
        <v>5.1663319231270155E-2</v>
      </c>
      <c r="L156" s="5">
        <f t="shared" si="38"/>
        <v>5.1663319231270155E-2</v>
      </c>
      <c r="M156" s="5">
        <f t="shared" si="38"/>
        <v>5.1663319231270155E-2</v>
      </c>
      <c r="N156" s="5">
        <f t="shared" si="38"/>
        <v>5.1663319231270155E-2</v>
      </c>
      <c r="O156" s="5">
        <f t="shared" si="38"/>
        <v>5.1663319231270155E-2</v>
      </c>
      <c r="P156" s="5">
        <f t="shared" si="38"/>
        <v>5.1663319231270155E-2</v>
      </c>
      <c r="Q156" s="5">
        <f t="shared" si="38"/>
        <v>5.1663319231270155E-2</v>
      </c>
      <c r="R156" s="5">
        <f t="shared" si="38"/>
        <v>5.1663319231270155E-2</v>
      </c>
      <c r="S156" s="5">
        <f t="shared" si="38"/>
        <v>5.1663319231270155E-2</v>
      </c>
      <c r="T156" s="5">
        <f t="shared" si="38"/>
        <v>5.1663319231270155E-2</v>
      </c>
      <c r="U156" s="5">
        <f t="shared" si="38"/>
        <v>5.1663319231270155E-2</v>
      </c>
      <c r="V156" s="5">
        <f t="shared" si="38"/>
        <v>5.1663319231270155E-2</v>
      </c>
      <c r="W156" s="5">
        <f t="shared" si="38"/>
        <v>5.1663319231270155E-2</v>
      </c>
      <c r="X156" s="5">
        <f t="shared" si="38"/>
        <v>5.1663319231270155E-2</v>
      </c>
      <c r="Y156" s="5">
        <f t="shared" si="38"/>
        <v>5.1663319231270155E-2</v>
      </c>
      <c r="Z156" s="5">
        <f t="shared" si="38"/>
        <v>5.1663319231270155E-2</v>
      </c>
      <c r="AA156" s="5">
        <f t="shared" si="38"/>
        <v>5.1663319231270155E-2</v>
      </c>
      <c r="AB156" s="5">
        <f t="shared" si="38"/>
        <v>5.1663319231270155E-2</v>
      </c>
      <c r="AC156" s="5">
        <f t="shared" si="38"/>
        <v>5.1663319231270155E-2</v>
      </c>
      <c r="AD156" s="5">
        <f t="shared" si="38"/>
        <v>5.1663319231270155E-2</v>
      </c>
      <c r="AE156" s="5">
        <f t="shared" si="38"/>
        <v>5.1663319231270155E-2</v>
      </c>
      <c r="AF156" s="5">
        <f t="shared" si="38"/>
        <v>5.1663319231270155E-2</v>
      </c>
      <c r="AG156" s="5">
        <f t="shared" si="38"/>
        <v>5.1663319231270155E-2</v>
      </c>
      <c r="AH156" s="5">
        <f t="shared" si="38"/>
        <v>5.1663319231270155E-2</v>
      </c>
    </row>
    <row r="157" spans="1:35" ht="13">
      <c r="C157" s="2">
        <v>8</v>
      </c>
      <c r="D157" s="2" t="s">
        <v>219</v>
      </c>
      <c r="E157" s="3" t="s">
        <v>9</v>
      </c>
      <c r="I157" s="91">
        <v>1</v>
      </c>
      <c r="J157" s="92">
        <f>I157*(1-I156)</f>
        <v>0.9483366807687299</v>
      </c>
      <c r="K157" s="92">
        <f>J157*(1-J156)</f>
        <v>0.89934246009145191</v>
      </c>
      <c r="L157" s="92">
        <f>K157*(1-K156)</f>
        <v>0.85287944347751143</v>
      </c>
      <c r="M157" s="92">
        <f t="shared" ref="M157:AH157" si="39">L157*(1-L156)</f>
        <v>0.80881686052334478</v>
      </c>
      <c r="N157" s="92">
        <f t="shared" si="39"/>
        <v>0.76703069685849357</v>
      </c>
      <c r="O157" s="92">
        <f t="shared" si="39"/>
        <v>0.72740334510650961</v>
      </c>
      <c r="P157" s="92">
        <f t="shared" si="39"/>
        <v>0.68982327387837827</v>
      </c>
      <c r="Q157" s="92">
        <f t="shared" si="39"/>
        <v>0.65418471386683974</v>
      </c>
      <c r="R157" s="92">
        <f t="shared" si="39"/>
        <v>0.62038736015812013</v>
      </c>
      <c r="S157" s="92">
        <f t="shared" si="39"/>
        <v>0.58833608992322628</v>
      </c>
      <c r="T157" s="92">
        <f t="shared" si="39"/>
        <v>0.55794069469424545</v>
      </c>
      <c r="U157" s="92">
        <f t="shared" si="39"/>
        <v>0.52911562647214005</v>
      </c>
      <c r="V157" s="92">
        <f t="shared" si="39"/>
        <v>0.50177975695145638</v>
      </c>
      <c r="W157" s="92">
        <f t="shared" si="39"/>
        <v>0.47585614918428415</v>
      </c>
      <c r="X157" s="92">
        <f t="shared" si="39"/>
        <v>0.45127184104081358</v>
      </c>
      <c r="Y157" s="92">
        <f t="shared" si="39"/>
        <v>0.42795763985703905</v>
      </c>
      <c r="Z157" s="92">
        <f t="shared" si="39"/>
        <v>0.40584792769164391</v>
      </c>
      <c r="AA157" s="92">
        <f t="shared" si="39"/>
        <v>0.38488047664396108</v>
      </c>
      <c r="AB157" s="92">
        <f t="shared" si="39"/>
        <v>0.36499627371322074</v>
      </c>
      <c r="AC157" s="92">
        <f t="shared" si="39"/>
        <v>0.34613935470615059</v>
      </c>
      <c r="AD157" s="92">
        <f t="shared" si="39"/>
        <v>0.3282566467254609</v>
      </c>
      <c r="AE157" s="92">
        <f t="shared" si="39"/>
        <v>0.31129781879589719</v>
      </c>
      <c r="AF157" s="92">
        <f t="shared" si="39"/>
        <v>0.29521514020744666</v>
      </c>
      <c r="AG157" s="92">
        <f t="shared" si="39"/>
        <v>0.27996334617700519</v>
      </c>
      <c r="AH157" s="92">
        <f t="shared" si="39"/>
        <v>0.26549951045040798</v>
      </c>
    </row>
    <row r="158" spans="1:35" ht="2" customHeight="1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 spans="1:35" ht="2" customHeight="1">
      <c r="C159" s="31"/>
      <c r="D159" s="31"/>
      <c r="E159" s="31"/>
      <c r="F159" s="31"/>
      <c r="G159" s="31"/>
      <c r="H159" s="31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</row>
    <row r="160" spans="1:35" s="16" customFormat="1" ht="13">
      <c r="A160" s="67"/>
      <c r="B160" s="67"/>
      <c r="C160" s="15"/>
      <c r="D160" s="16" t="s">
        <v>213</v>
      </c>
      <c r="E160" s="17" t="s">
        <v>15</v>
      </c>
      <c r="I160" s="20">
        <f>SUM(I155)*I157</f>
        <v>-224699.74035023953</v>
      </c>
      <c r="J160" s="20">
        <f t="shared" ref="J160:AH160" si="40">SUM(J155)*J157</f>
        <v>24775.677903121676</v>
      </c>
      <c r="K160" s="20">
        <f t="shared" si="40"/>
        <v>24861.78791058049</v>
      </c>
      <c r="L160" s="20">
        <f t="shared" si="40"/>
        <v>24923.0099868791</v>
      </c>
      <c r="M160" s="20">
        <f t="shared" si="40"/>
        <v>24960.275828729187</v>
      </c>
      <c r="N160" s="20">
        <f t="shared" si="40"/>
        <v>24974.547677835402</v>
      </c>
      <c r="O160" s="20">
        <f t="shared" si="40"/>
        <v>24623.137817574847</v>
      </c>
      <c r="P160" s="20">
        <f t="shared" si="40"/>
        <v>23937.395912500506</v>
      </c>
      <c r="Q160" s="20">
        <f t="shared" si="40"/>
        <v>23269.856510368616</v>
      </c>
      <c r="R160" s="20">
        <f t="shared" si="40"/>
        <v>22619.552328169644</v>
      </c>
      <c r="S160" s="20">
        <f t="shared" si="40"/>
        <v>21985.606188732043</v>
      </c>
      <c r="T160" s="20">
        <f t="shared" si="40"/>
        <v>21367.222257128149</v>
      </c>
      <c r="U160" s="20">
        <f t="shared" si="40"/>
        <v>20763.678070557169</v>
      </c>
      <c r="V160" s="20">
        <f t="shared" si="40"/>
        <v>20174.317294110959</v>
      </c>
      <c r="W160" s="20">
        <f t="shared" si="40"/>
        <v>19598.543140363789</v>
      </c>
      <c r="X160" s="20">
        <f>SUM(X155)*X157</f>
        <v>46077.755842058723</v>
      </c>
      <c r="Y160" s="20">
        <f t="shared" si="40"/>
        <v>32340.518589986437</v>
      </c>
      <c r="Z160" s="20">
        <f t="shared" si="40"/>
        <v>31081.93741535857</v>
      </c>
      <c r="AA160" s="20">
        <f t="shared" si="40"/>
        <v>29881.145001573852</v>
      </c>
      <c r="AB160" s="20">
        <f t="shared" si="40"/>
        <v>28735.219579190427</v>
      </c>
      <c r="AC160" s="20">
        <f t="shared" si="40"/>
        <v>27641.398110748803</v>
      </c>
      <c r="AD160" s="20">
        <f t="shared" si="40"/>
        <v>26597.067158531652</v>
      </c>
      <c r="AE160" s="20">
        <f t="shared" si="40"/>
        <v>25599.754303945512</v>
      </c>
      <c r="AF160" s="20">
        <f t="shared" si="40"/>
        <v>24647.120083756858</v>
      </c>
      <c r="AG160" s="20">
        <f t="shared" si="40"/>
        <v>23736.950410690923</v>
      </c>
      <c r="AH160" s="20">
        <f t="shared" si="40"/>
        <v>22867.149448022938</v>
      </c>
      <c r="AI160" s="51"/>
    </row>
    <row r="161" spans="1:35" ht="2" customHeight="1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 spans="1:35" ht="2" customHeight="1">
      <c r="C162" s="31"/>
      <c r="D162" s="31"/>
      <c r="E162" s="31"/>
      <c r="F162" s="31"/>
      <c r="G162" s="31"/>
      <c r="H162" s="31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</row>
    <row r="163" spans="1:35" s="16" customFormat="1" ht="16">
      <c r="A163" s="67"/>
      <c r="B163" s="67"/>
      <c r="C163" s="15"/>
      <c r="D163" s="16" t="s">
        <v>270</v>
      </c>
      <c r="E163" s="17"/>
      <c r="I163" s="20">
        <f>I160</f>
        <v>-224699.74035023953</v>
      </c>
      <c r="J163" s="20">
        <f>I163+J160</f>
        <v>-199924.06244711785</v>
      </c>
      <c r="K163" s="20">
        <f t="shared" ref="K163:AH163" si="41">J163+K160</f>
        <v>-175062.27453653736</v>
      </c>
      <c r="L163" s="20">
        <f t="shared" si="41"/>
        <v>-150139.26454965826</v>
      </c>
      <c r="M163" s="20">
        <f t="shared" si="41"/>
        <v>-125178.98872092908</v>
      </c>
      <c r="N163" s="20">
        <f t="shared" si="41"/>
        <v>-100204.44104309367</v>
      </c>
      <c r="O163" s="20">
        <f t="shared" si="41"/>
        <v>-75581.303225518815</v>
      </c>
      <c r="P163" s="20">
        <f t="shared" si="41"/>
        <v>-51643.90731301831</v>
      </c>
      <c r="Q163" s="20">
        <f t="shared" si="41"/>
        <v>-28374.050802649694</v>
      </c>
      <c r="R163" s="20">
        <f t="shared" si="41"/>
        <v>-5754.4984744800495</v>
      </c>
      <c r="S163" s="20">
        <f t="shared" si="41"/>
        <v>16231.107714251993</v>
      </c>
      <c r="T163" s="20">
        <f t="shared" si="41"/>
        <v>37598.329971380139</v>
      </c>
      <c r="U163" s="20">
        <f t="shared" si="41"/>
        <v>58362.008041937312</v>
      </c>
      <c r="V163" s="20">
        <f t="shared" si="41"/>
        <v>78536.325336048263</v>
      </c>
      <c r="W163" s="20">
        <f t="shared" si="41"/>
        <v>98134.868476412055</v>
      </c>
      <c r="X163" s="172">
        <f t="shared" si="41"/>
        <v>144212.62431847077</v>
      </c>
      <c r="Y163" s="20">
        <f t="shared" si="41"/>
        <v>176553.1429084572</v>
      </c>
      <c r="Z163" s="20">
        <f t="shared" si="41"/>
        <v>207635.08032381578</v>
      </c>
      <c r="AA163" s="20">
        <f t="shared" si="41"/>
        <v>237516.22532538965</v>
      </c>
      <c r="AB163" s="20">
        <f t="shared" si="41"/>
        <v>266251.44490458007</v>
      </c>
      <c r="AC163" s="20">
        <f t="shared" si="41"/>
        <v>293892.84301532886</v>
      </c>
      <c r="AD163" s="20">
        <f t="shared" si="41"/>
        <v>320489.91017386049</v>
      </c>
      <c r="AE163" s="20">
        <f t="shared" si="41"/>
        <v>346089.66447780601</v>
      </c>
      <c r="AF163" s="20">
        <f t="shared" si="41"/>
        <v>370736.78456156288</v>
      </c>
      <c r="AG163" s="20">
        <f t="shared" si="41"/>
        <v>394473.73497225379</v>
      </c>
      <c r="AH163" s="20">
        <f t="shared" si="41"/>
        <v>417340.88442027674</v>
      </c>
      <c r="AI163" s="51"/>
    </row>
    <row r="164" spans="1:35" s="16" customFormat="1" ht="13">
      <c r="A164" s="67"/>
      <c r="B164" s="67"/>
      <c r="C164" s="15"/>
      <c r="E164" s="17"/>
      <c r="I164" s="151">
        <f>X142/15/I142</f>
        <v>-3.8106059941808115E-2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BA139"/>
  <sheetViews>
    <sheetView showGridLines="0" zoomScale="125" zoomScaleNormal="80" workbookViewId="0">
      <selection activeCell="F31" sqref="F31"/>
    </sheetView>
  </sheetViews>
  <sheetFormatPr baseColWidth="10" defaultColWidth="0" defaultRowHeight="0" customHeight="1" zeroHeight="1"/>
  <cols>
    <col min="1" max="2" width="1.1640625" style="49" customWidth="1"/>
    <col min="3" max="3" width="4.33203125" style="1" customWidth="1"/>
    <col min="4" max="4" width="57.1640625" style="1" customWidth="1"/>
    <col min="5" max="5" width="10.6640625" style="1" customWidth="1"/>
    <col min="6" max="6" width="14" style="1" customWidth="1"/>
    <col min="7" max="8" width="1" style="1" customWidth="1"/>
    <col min="9" max="9" width="4.33203125" style="50" customWidth="1"/>
    <col min="10" max="53" width="0" style="1" hidden="1" customWidth="1"/>
    <col min="54" max="16384" width="9.1640625" style="1" hidden="1"/>
  </cols>
  <sheetData>
    <row r="1" spans="1:9" ht="13">
      <c r="A1" s="1"/>
      <c r="B1" s="1"/>
      <c r="D1" s="2"/>
    </row>
    <row r="2" spans="1:9" ht="13">
      <c r="A2" s="1"/>
      <c r="B2" s="1"/>
      <c r="D2" s="120" t="s">
        <v>29</v>
      </c>
    </row>
    <row r="3" spans="1:9" ht="13">
      <c r="A3" s="1"/>
      <c r="B3" s="1"/>
      <c r="D3" s="36" t="s">
        <v>221</v>
      </c>
    </row>
    <row r="4" spans="1:9" ht="13">
      <c r="A4" s="1"/>
      <c r="B4" s="1"/>
      <c r="D4" s="2"/>
    </row>
    <row r="5" spans="1:9" ht="2" customHeight="1"/>
    <row r="6" spans="1:9" ht="2" customHeight="1">
      <c r="C6" s="31"/>
      <c r="D6" s="31"/>
      <c r="E6" s="31"/>
      <c r="F6" s="31"/>
      <c r="G6" s="31"/>
      <c r="H6" s="31"/>
    </row>
    <row r="7" spans="1:9" s="52" customFormat="1" ht="13">
      <c r="A7" s="51"/>
      <c r="B7" s="51"/>
      <c r="C7" s="177" t="s">
        <v>0</v>
      </c>
      <c r="D7" s="178" t="s">
        <v>2</v>
      </c>
      <c r="E7" s="175" t="s">
        <v>1</v>
      </c>
      <c r="F7" s="176"/>
      <c r="G7" s="21"/>
      <c r="H7" s="21"/>
      <c r="I7" s="51"/>
    </row>
    <row r="8" spans="1:9" s="52" customFormat="1" ht="13">
      <c r="A8" s="51"/>
      <c r="B8" s="51"/>
      <c r="C8" s="177"/>
      <c r="D8" s="178"/>
      <c r="E8" s="175"/>
      <c r="F8" s="176"/>
      <c r="G8" s="21"/>
      <c r="H8" s="21"/>
      <c r="I8" s="51"/>
    </row>
    <row r="9" spans="1:9" ht="2" customHeight="1"/>
    <row r="10" spans="1:9" ht="2" customHeight="1">
      <c r="C10" s="31"/>
      <c r="D10" s="31"/>
      <c r="E10" s="31"/>
      <c r="F10" s="31"/>
      <c r="G10" s="31"/>
      <c r="H10" s="31"/>
    </row>
    <row r="11" spans="1:9" s="55" customFormat="1" ht="13">
      <c r="A11" s="51"/>
      <c r="B11" s="51"/>
      <c r="C11" s="75" t="s">
        <v>21</v>
      </c>
      <c r="D11" s="75" t="s">
        <v>222</v>
      </c>
      <c r="E11" s="75"/>
      <c r="F11" s="75"/>
      <c r="G11" s="75"/>
      <c r="H11" s="75"/>
      <c r="I11" s="51"/>
    </row>
    <row r="12" spans="1:9" ht="2" customHeight="1"/>
    <row r="13" spans="1:9" ht="2" customHeight="1">
      <c r="C13" s="31"/>
      <c r="D13" s="31"/>
      <c r="E13" s="31"/>
      <c r="F13" s="31"/>
      <c r="G13" s="31"/>
      <c r="H13" s="31"/>
    </row>
    <row r="14" spans="1:9" ht="13">
      <c r="C14" s="2">
        <v>1</v>
      </c>
      <c r="D14" s="1" t="s">
        <v>232</v>
      </c>
      <c r="E14" s="3" t="s">
        <v>15</v>
      </c>
      <c r="F14" s="61">
        <f>SUM(zalozenia!F40,zalozenia!F42)</f>
        <v>75000</v>
      </c>
    </row>
    <row r="15" spans="1:9" ht="13">
      <c r="C15" s="2">
        <v>2</v>
      </c>
      <c r="D15" s="2" t="s">
        <v>227</v>
      </c>
      <c r="E15" s="14" t="s">
        <v>9</v>
      </c>
      <c r="F15" s="87">
        <f>SUM(F16:F17)</f>
        <v>4.4999999999999998E-2</v>
      </c>
    </row>
    <row r="16" spans="1:9" ht="13">
      <c r="C16" s="2"/>
      <c r="D16" s="33" t="s">
        <v>224</v>
      </c>
      <c r="E16" s="14" t="s">
        <v>9</v>
      </c>
      <c r="F16" s="42">
        <v>2.5000000000000001E-2</v>
      </c>
    </row>
    <row r="17" spans="1:50" ht="13">
      <c r="C17" s="2"/>
      <c r="D17" s="33" t="s">
        <v>225</v>
      </c>
      <c r="E17" s="14" t="s">
        <v>9</v>
      </c>
      <c r="F17" s="42">
        <v>0.02</v>
      </c>
    </row>
    <row r="18" spans="1:50" ht="2" customHeight="1">
      <c r="C18" s="2"/>
      <c r="E18" s="3"/>
      <c r="F18" s="3"/>
    </row>
    <row r="19" spans="1:50" ht="13">
      <c r="C19" s="2">
        <v>3</v>
      </c>
      <c r="D19" s="2" t="s">
        <v>233</v>
      </c>
      <c r="E19" s="3" t="s">
        <v>15</v>
      </c>
      <c r="F19" s="61">
        <f>zalozenia!F59</f>
        <v>1484340.6240000001</v>
      </c>
    </row>
    <row r="20" spans="1:50" ht="13">
      <c r="C20" s="2">
        <v>4</v>
      </c>
      <c r="D20" s="2" t="s">
        <v>226</v>
      </c>
      <c r="E20" s="14" t="s">
        <v>9</v>
      </c>
      <c r="F20" s="87">
        <f>SUM(zalozenia!F60,(zalozenia!F61)/zalozenia!F62)</f>
        <v>5.1999999999999998E-2</v>
      </c>
    </row>
    <row r="21" spans="1:50" ht="2" customHeight="1">
      <c r="E21" s="16"/>
      <c r="F21" s="16"/>
    </row>
    <row r="22" spans="1:50" ht="2" customHeight="1" thickBot="1">
      <c r="C22" s="31"/>
      <c r="D22" s="31"/>
      <c r="E22" s="84"/>
      <c r="F22" s="84"/>
      <c r="G22" s="31"/>
      <c r="H22" s="31"/>
    </row>
    <row r="23" spans="1:50" s="16" customFormat="1" ht="15" thickTop="1" thickBot="1">
      <c r="A23" s="67"/>
      <c r="B23" s="67"/>
      <c r="C23" s="15"/>
      <c r="D23" s="88" t="s">
        <v>234</v>
      </c>
      <c r="E23" s="89" t="s">
        <v>9</v>
      </c>
      <c r="F23" s="90">
        <f>((F14*F15)+(F19*F20))/SUM(F14,F19)</f>
        <v>5.1663319231270155E-2</v>
      </c>
      <c r="I23" s="51"/>
    </row>
    <row r="24" spans="1:50" ht="2" customHeight="1" thickTop="1"/>
    <row r="25" spans="1:50" ht="2" customHeight="1">
      <c r="C25" s="31"/>
      <c r="D25" s="31"/>
      <c r="E25" s="31"/>
      <c r="F25" s="31"/>
      <c r="G25" s="31"/>
      <c r="H25" s="31"/>
    </row>
    <row r="26" spans="1:50" s="55" customFormat="1" ht="13">
      <c r="A26" s="51"/>
      <c r="B26" s="51"/>
      <c r="C26" s="75" t="s">
        <v>23</v>
      </c>
      <c r="D26" s="75" t="s">
        <v>223</v>
      </c>
      <c r="E26" s="75"/>
      <c r="F26" s="75"/>
      <c r="G26" s="75"/>
      <c r="H26" s="75"/>
      <c r="I26" s="51"/>
    </row>
    <row r="27" spans="1:50" ht="2" customHeight="1"/>
    <row r="28" spans="1:50" ht="2" customHeight="1">
      <c r="C28" s="31"/>
      <c r="D28" s="31"/>
      <c r="E28" s="31"/>
      <c r="F28" s="31"/>
      <c r="G28" s="31"/>
      <c r="H28" s="31"/>
    </row>
    <row r="29" spans="1:50" s="50" customFormat="1" ht="13">
      <c r="A29" s="49"/>
      <c r="B29" s="49"/>
      <c r="C29" s="72"/>
      <c r="D29" s="2" t="s">
        <v>228</v>
      </c>
      <c r="E29" s="3" t="s">
        <v>15</v>
      </c>
      <c r="F29" s="94">
        <f>-sprawozdanie!I133+NPV(F23,sprawozdanie!I138:R138)</f>
        <v>-218235.81384630519</v>
      </c>
      <c r="G29" s="1"/>
      <c r="H29" s="1"/>
    </row>
    <row r="30" spans="1:50" s="51" customFormat="1" ht="13">
      <c r="A30" s="67"/>
      <c r="B30" s="67"/>
      <c r="C30" s="15"/>
      <c r="D30" s="15" t="s">
        <v>229</v>
      </c>
      <c r="E30" s="3" t="s">
        <v>15</v>
      </c>
      <c r="F30" s="95">
        <f>-sprawozdanie!I133+NPV(F23,sprawozdanie!I138:W138)</f>
        <v>-116245.36608134402</v>
      </c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s="50" customFormat="1" ht="13">
      <c r="A31" s="49"/>
      <c r="B31" s="49"/>
      <c r="C31" s="2"/>
      <c r="D31" s="2" t="s">
        <v>230</v>
      </c>
      <c r="E31" s="3" t="s">
        <v>15</v>
      </c>
      <c r="F31" s="94">
        <f>-sprawozdanie!I133+NPV(F23,sprawozdanie!I138:AB138)</f>
        <v>50945.647952058527</v>
      </c>
      <c r="G31" s="1"/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s="50" customFormat="1" ht="13">
      <c r="A32" s="49"/>
      <c r="B32" s="49"/>
      <c r="C32" s="2"/>
      <c r="D32" s="2" t="s">
        <v>231</v>
      </c>
      <c r="E32" s="3" t="s">
        <v>15</v>
      </c>
      <c r="F32" s="94">
        <f>-sprawozdanie!I133+NPV(F23,sprawozdanie!I138:AH138)</f>
        <v>203473.75740588957</v>
      </c>
      <c r="G32" s="1"/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50" customFormat="1" ht="12.5" hidden="1" customHeight="1">
      <c r="A33" s="49"/>
      <c r="B33" s="49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s="50" customFormat="1" ht="12.5" hidden="1" customHeight="1">
      <c r="A34" s="49"/>
      <c r="B34" s="49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s="50" customFormat="1" ht="12.5" hidden="1" customHeight="1">
      <c r="A35" s="49"/>
      <c r="B35" s="49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s="50" customFormat="1" ht="12.5" hidden="1" customHeight="1">
      <c r="A36" s="49"/>
      <c r="B36" s="49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s="50" customFormat="1" ht="12.5" hidden="1" customHeight="1">
      <c r="A37" s="49"/>
      <c r="B37" s="49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s="50" customFormat="1" ht="12.5" hidden="1" customHeight="1">
      <c r="A38" s="49"/>
      <c r="B38" s="49"/>
      <c r="C38" s="1"/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50" customFormat="1" ht="12.5" hidden="1" customHeight="1">
      <c r="A39" s="49"/>
      <c r="B39" s="49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50" customFormat="1" ht="12.5" hidden="1" customHeight="1">
      <c r="A40" s="49"/>
      <c r="B40" s="49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50" customFormat="1" ht="12.5" hidden="1" customHeight="1">
      <c r="A41" s="49"/>
      <c r="B41" s="49"/>
      <c r="C41" s="1"/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50" customFormat="1" ht="12.5" hidden="1" customHeight="1">
      <c r="A42" s="49"/>
      <c r="B42" s="49"/>
      <c r="C42" s="1"/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50" customFormat="1" ht="12.5" hidden="1" customHeight="1">
      <c r="A43" s="49"/>
      <c r="B43" s="49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50" customFormat="1" ht="12.5" hidden="1" customHeight="1">
      <c r="A44" s="49"/>
      <c r="B44" s="49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49" customFormat="1" ht="12.5" hidden="1" customHeight="1">
      <c r="C45" s="1"/>
      <c r="D45" s="1"/>
      <c r="E45" s="1"/>
      <c r="F45" s="1"/>
      <c r="G45" s="1"/>
      <c r="H45" s="1"/>
      <c r="I45" s="5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49" customFormat="1" ht="12.5" hidden="1" customHeight="1">
      <c r="C46" s="1"/>
      <c r="D46" s="1"/>
      <c r="E46" s="1"/>
      <c r="F46" s="1"/>
      <c r="G46" s="1"/>
      <c r="H46" s="1"/>
      <c r="I46" s="5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49" customFormat="1" ht="12.5" hidden="1" customHeight="1">
      <c r="C47" s="1"/>
      <c r="D47" s="1"/>
      <c r="E47" s="1"/>
      <c r="F47" s="1"/>
      <c r="G47" s="1"/>
      <c r="H47" s="1"/>
      <c r="I47" s="5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49" customFormat="1" ht="12.5" hidden="1" customHeight="1">
      <c r="C48" s="1"/>
      <c r="D48" s="1"/>
      <c r="E48" s="1"/>
      <c r="F48" s="1"/>
      <c r="G48" s="1"/>
      <c r="H48" s="1"/>
      <c r="I48" s="5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3:50" s="49" customFormat="1" ht="12.5" hidden="1" customHeight="1">
      <c r="C49" s="1"/>
      <c r="D49" s="1"/>
      <c r="E49" s="1"/>
      <c r="F49" s="1"/>
      <c r="G49" s="1"/>
      <c r="H49" s="1"/>
      <c r="I49" s="5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3:50" s="49" customFormat="1" ht="12.5" hidden="1" customHeight="1">
      <c r="C50" s="1"/>
      <c r="D50" s="1"/>
      <c r="E50" s="1"/>
      <c r="F50" s="1"/>
      <c r="G50" s="1"/>
      <c r="H50" s="1"/>
      <c r="I50" s="5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3:50" s="49" customFormat="1" ht="12.5" hidden="1" customHeight="1">
      <c r="C51" s="1"/>
      <c r="D51" s="1"/>
      <c r="E51" s="1"/>
      <c r="F51" s="1"/>
      <c r="G51" s="1"/>
      <c r="H51" s="1"/>
      <c r="I51" s="5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3:50" s="49" customFormat="1" ht="12.5" hidden="1" customHeight="1">
      <c r="C52" s="1"/>
      <c r="D52" s="1"/>
      <c r="E52" s="1"/>
      <c r="F52" s="1"/>
      <c r="G52" s="1"/>
      <c r="H52" s="1"/>
      <c r="I52" s="5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3:50" s="49" customFormat="1" ht="12.5" hidden="1" customHeight="1">
      <c r="C53" s="1"/>
      <c r="D53" s="1"/>
      <c r="E53" s="1"/>
      <c r="F53" s="1"/>
      <c r="G53" s="1"/>
      <c r="H53" s="1"/>
      <c r="I53" s="5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3:50" s="49" customFormat="1" ht="12.5" hidden="1" customHeight="1">
      <c r="C54" s="1"/>
      <c r="D54" s="1"/>
      <c r="E54" s="1"/>
      <c r="F54" s="1"/>
      <c r="G54" s="1"/>
      <c r="H54" s="1"/>
      <c r="I54" s="5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3:50" s="49" customFormat="1" ht="12.5" hidden="1" customHeight="1">
      <c r="C55" s="1"/>
      <c r="D55" s="1"/>
      <c r="E55" s="1"/>
      <c r="F55" s="1"/>
      <c r="G55" s="1"/>
      <c r="H55" s="1"/>
      <c r="I55" s="5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3:50" s="49" customFormat="1" ht="12.5" hidden="1" customHeight="1">
      <c r="C56" s="1"/>
      <c r="D56" s="1"/>
      <c r="E56" s="1"/>
      <c r="F56" s="1"/>
      <c r="G56" s="1"/>
      <c r="H56" s="1"/>
      <c r="I56" s="5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3:50" s="49" customFormat="1" ht="12.5" hidden="1" customHeight="1">
      <c r="C57" s="1"/>
      <c r="D57" s="1"/>
      <c r="E57" s="1"/>
      <c r="F57" s="1"/>
      <c r="G57" s="1"/>
      <c r="H57" s="1"/>
      <c r="I57" s="5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3:50" s="49" customFormat="1" ht="12.5" hidden="1" customHeight="1">
      <c r="C58" s="1"/>
      <c r="D58" s="1"/>
      <c r="E58" s="1"/>
      <c r="F58" s="1"/>
      <c r="G58" s="1"/>
      <c r="H58" s="1"/>
      <c r="I58" s="5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3:50" s="49" customFormat="1" ht="12.5" hidden="1" customHeight="1">
      <c r="C59" s="1"/>
      <c r="D59" s="1"/>
      <c r="E59" s="1"/>
      <c r="F59" s="1"/>
      <c r="G59" s="1"/>
      <c r="H59" s="1"/>
      <c r="I59" s="5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3:50" s="49" customFormat="1" ht="12.5" hidden="1" customHeight="1">
      <c r="C60" s="1"/>
      <c r="D60" s="1"/>
      <c r="E60" s="1"/>
      <c r="F60" s="1"/>
      <c r="G60" s="1"/>
      <c r="H60" s="1"/>
      <c r="I60" s="5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3:50" s="49" customFormat="1" ht="12.5" hidden="1" customHeight="1">
      <c r="C61" s="1"/>
      <c r="D61" s="1"/>
      <c r="E61" s="1"/>
      <c r="F61" s="1"/>
      <c r="G61" s="1"/>
      <c r="H61" s="1"/>
      <c r="I61" s="5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3:50" s="49" customFormat="1" ht="12.5" hidden="1" customHeight="1">
      <c r="C62" s="1"/>
      <c r="D62" s="1"/>
      <c r="E62" s="1"/>
      <c r="F62" s="1"/>
      <c r="G62" s="1"/>
      <c r="H62" s="1"/>
      <c r="I62" s="5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3:50" s="49" customFormat="1" ht="12.5" hidden="1" customHeight="1">
      <c r="C63" s="1"/>
      <c r="D63" s="1"/>
      <c r="E63" s="1"/>
      <c r="F63" s="1"/>
      <c r="G63" s="1"/>
      <c r="H63" s="1"/>
      <c r="I63" s="5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3:50" s="49" customFormat="1" ht="12.5" hidden="1" customHeight="1">
      <c r="C64" s="1"/>
      <c r="D64" s="1"/>
      <c r="E64" s="1"/>
      <c r="F64" s="1"/>
      <c r="G64" s="1"/>
      <c r="H64" s="1"/>
      <c r="I64" s="5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3:50" s="49" customFormat="1" ht="12.5" hidden="1" customHeight="1">
      <c r="C65" s="1"/>
      <c r="D65" s="1"/>
      <c r="E65" s="1"/>
      <c r="F65" s="1"/>
      <c r="G65" s="1"/>
      <c r="H65" s="1"/>
      <c r="I65" s="5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3:50" s="49" customFormat="1" ht="12.5" hidden="1" customHeight="1">
      <c r="C66" s="1"/>
      <c r="D66" s="1"/>
      <c r="E66" s="1"/>
      <c r="F66" s="1"/>
      <c r="G66" s="1"/>
      <c r="H66" s="1"/>
      <c r="I66" s="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3:50" s="49" customFormat="1" ht="12.5" hidden="1" customHeight="1">
      <c r="C67" s="1"/>
      <c r="D67" s="1"/>
      <c r="E67" s="1"/>
      <c r="F67" s="1"/>
      <c r="G67" s="1"/>
      <c r="H67" s="1"/>
      <c r="I67" s="5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3:50" s="49" customFormat="1" ht="12.5" hidden="1" customHeight="1">
      <c r="C68" s="1"/>
      <c r="D68" s="1"/>
      <c r="E68" s="1"/>
      <c r="F68" s="1"/>
      <c r="G68" s="1"/>
      <c r="H68" s="1"/>
      <c r="I68" s="5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3:50" s="49" customFormat="1" ht="12.5" hidden="1" customHeight="1">
      <c r="C69" s="1"/>
      <c r="D69" s="1"/>
      <c r="E69" s="1"/>
      <c r="F69" s="1"/>
      <c r="G69" s="1"/>
      <c r="H69" s="1"/>
      <c r="I69" s="5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3:50" s="49" customFormat="1" ht="12.5" hidden="1" customHeight="1">
      <c r="C70" s="1"/>
      <c r="D70" s="1"/>
      <c r="E70" s="1"/>
      <c r="F70" s="1"/>
      <c r="G70" s="1"/>
      <c r="H70" s="1"/>
      <c r="I70" s="5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3:50" s="49" customFormat="1" ht="12.5" hidden="1" customHeight="1">
      <c r="C71" s="1"/>
      <c r="D71" s="1"/>
      <c r="E71" s="1"/>
      <c r="F71" s="1"/>
      <c r="G71" s="1"/>
      <c r="H71" s="1"/>
      <c r="I71" s="5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3:50" s="49" customFormat="1" ht="12.5" hidden="1" customHeight="1">
      <c r="C72" s="1"/>
      <c r="D72" s="1"/>
      <c r="E72" s="1"/>
      <c r="F72" s="1"/>
      <c r="G72" s="1"/>
      <c r="H72" s="1"/>
      <c r="I72" s="5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3:50" s="49" customFormat="1" ht="12.5" hidden="1" customHeight="1">
      <c r="C73" s="1"/>
      <c r="D73" s="1"/>
      <c r="E73" s="1"/>
      <c r="F73" s="1"/>
      <c r="G73" s="1"/>
      <c r="H73" s="1"/>
      <c r="I73" s="5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3:50" s="49" customFormat="1" ht="12.5" hidden="1" customHeight="1">
      <c r="C74" s="1"/>
      <c r="D74" s="1"/>
      <c r="E74" s="1"/>
      <c r="F74" s="1"/>
      <c r="G74" s="1"/>
      <c r="H74" s="1"/>
      <c r="I74" s="5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3:50" s="49" customFormat="1" ht="12.5" hidden="1" customHeight="1">
      <c r="C75" s="1"/>
      <c r="D75" s="1"/>
      <c r="E75" s="1"/>
      <c r="F75" s="1"/>
      <c r="G75" s="1"/>
      <c r="H75" s="1"/>
      <c r="I75" s="5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3:50" s="49" customFormat="1" ht="12.5" hidden="1" customHeight="1">
      <c r="C76" s="1"/>
      <c r="D76" s="1"/>
      <c r="E76" s="1"/>
      <c r="F76" s="1"/>
      <c r="G76" s="1"/>
      <c r="H76" s="1"/>
      <c r="I76" s="5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3:50" s="49" customFormat="1" ht="12.5" hidden="1" customHeight="1">
      <c r="C77" s="1"/>
      <c r="D77" s="1"/>
      <c r="E77" s="1"/>
      <c r="F77" s="1"/>
      <c r="G77" s="1"/>
      <c r="H77" s="1"/>
      <c r="I77" s="5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3:50" s="49" customFormat="1" ht="12.5" hidden="1" customHeight="1">
      <c r="C78" s="1"/>
      <c r="D78" s="1"/>
      <c r="E78" s="1"/>
      <c r="F78" s="1"/>
      <c r="G78" s="1"/>
      <c r="H78" s="1"/>
      <c r="I78" s="5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3:50" s="49" customFormat="1" ht="12.5" hidden="1" customHeight="1">
      <c r="C79" s="1"/>
      <c r="D79" s="1"/>
      <c r="E79" s="1"/>
      <c r="F79" s="1"/>
      <c r="G79" s="1"/>
      <c r="H79" s="1"/>
      <c r="I79" s="5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3:50" s="49" customFormat="1" ht="12.5" hidden="1" customHeight="1">
      <c r="C80" s="1"/>
      <c r="D80" s="1"/>
      <c r="E80" s="1"/>
      <c r="F80" s="1"/>
      <c r="G80" s="1"/>
      <c r="H80" s="1"/>
      <c r="I80" s="5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3:50" s="49" customFormat="1" ht="12.5" hidden="1" customHeight="1">
      <c r="C81" s="1"/>
      <c r="D81" s="1"/>
      <c r="E81" s="1"/>
      <c r="F81" s="1"/>
      <c r="G81" s="1"/>
      <c r="H81" s="1"/>
      <c r="I81" s="5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3:50" s="49" customFormat="1" ht="12.5" hidden="1" customHeight="1">
      <c r="C82" s="1"/>
      <c r="D82" s="1"/>
      <c r="E82" s="1"/>
      <c r="F82" s="1"/>
      <c r="G82" s="1"/>
      <c r="H82" s="1"/>
      <c r="I82" s="5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3:50" s="49" customFormat="1" ht="12.5" hidden="1" customHeight="1">
      <c r="C83" s="1"/>
      <c r="D83" s="1"/>
      <c r="E83" s="1"/>
      <c r="F83" s="1"/>
      <c r="G83" s="1"/>
      <c r="H83" s="1"/>
      <c r="I83" s="5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3:50" s="49" customFormat="1" ht="12.5" hidden="1" customHeight="1">
      <c r="C84" s="1"/>
      <c r="D84" s="1"/>
      <c r="E84" s="1"/>
      <c r="F84" s="1"/>
      <c r="G84" s="1"/>
      <c r="H84" s="1"/>
      <c r="I84" s="5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3:50" s="49" customFormat="1" ht="12.5" hidden="1" customHeight="1">
      <c r="C85" s="1"/>
      <c r="D85" s="1"/>
      <c r="E85" s="1"/>
      <c r="F85" s="1"/>
      <c r="G85" s="1"/>
      <c r="H85" s="1"/>
      <c r="I85" s="5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3:50" s="49" customFormat="1" ht="12.5" hidden="1" customHeight="1">
      <c r="C86" s="1"/>
      <c r="D86" s="1"/>
      <c r="E86" s="1"/>
      <c r="F86" s="1"/>
      <c r="G86" s="1"/>
      <c r="H86" s="1"/>
      <c r="I86" s="5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3:50" s="49" customFormat="1" ht="12.5" hidden="1" customHeight="1">
      <c r="C87" s="1"/>
      <c r="D87" s="1"/>
      <c r="E87" s="1"/>
      <c r="F87" s="1"/>
      <c r="G87" s="1"/>
      <c r="H87" s="1"/>
      <c r="I87" s="5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3:50" s="49" customFormat="1" ht="12.5" hidden="1" customHeight="1">
      <c r="C88" s="1"/>
      <c r="D88" s="1"/>
      <c r="E88" s="1"/>
      <c r="F88" s="1"/>
      <c r="G88" s="1"/>
      <c r="H88" s="1"/>
      <c r="I88" s="5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3:50" s="49" customFormat="1" ht="12.5" hidden="1" customHeight="1">
      <c r="C89" s="1"/>
      <c r="D89" s="1"/>
      <c r="E89" s="1"/>
      <c r="F89" s="1"/>
      <c r="G89" s="1"/>
      <c r="H89" s="1"/>
      <c r="I89" s="5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3:50" s="49" customFormat="1" ht="12.5" hidden="1" customHeight="1">
      <c r="C90" s="1"/>
      <c r="D90" s="1"/>
      <c r="E90" s="1"/>
      <c r="F90" s="1"/>
      <c r="G90" s="1"/>
      <c r="H90" s="1"/>
      <c r="I90" s="5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3:50" s="49" customFormat="1" ht="12.5" hidden="1" customHeight="1">
      <c r="C91" s="1"/>
      <c r="D91" s="1"/>
      <c r="E91" s="1"/>
      <c r="F91" s="1"/>
      <c r="G91" s="1"/>
      <c r="H91" s="1"/>
      <c r="I91" s="5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3:50" s="49" customFormat="1" ht="12.5" hidden="1" customHeight="1">
      <c r="C92" s="1"/>
      <c r="D92" s="1"/>
      <c r="E92" s="1"/>
      <c r="F92" s="1"/>
      <c r="G92" s="1"/>
      <c r="H92" s="1"/>
      <c r="I92" s="5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3:50" ht="2" customHeight="1"/>
    <row r="94" spans="3:50" ht="2" customHeight="1">
      <c r="C94" s="31"/>
      <c r="D94" s="31"/>
      <c r="E94" s="31"/>
      <c r="F94" s="31"/>
      <c r="G94" s="31"/>
      <c r="H94" s="31"/>
    </row>
    <row r="95" spans="3:50" s="67" customFormat="1" ht="12.5" customHeight="1">
      <c r="C95" s="16"/>
      <c r="D95" s="15"/>
      <c r="E95" s="14"/>
      <c r="F95" s="93"/>
      <c r="G95" s="16"/>
      <c r="H95" s="16"/>
      <c r="I95" s="51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3:50" s="49" customFormat="1" ht="12.5" hidden="1" customHeight="1">
      <c r="C96" s="1"/>
      <c r="D96" s="2"/>
      <c r="E96" s="14"/>
      <c r="F96" s="7"/>
      <c r="G96" s="1"/>
      <c r="H96" s="1"/>
      <c r="I96" s="5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3:50" s="49" customFormat="1" ht="12.5" hidden="1" customHeight="1">
      <c r="C97" s="1"/>
      <c r="D97" s="2"/>
      <c r="E97" s="14"/>
      <c r="F97" s="7"/>
      <c r="G97" s="1"/>
      <c r="H97" s="1"/>
      <c r="I97" s="5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3:50" s="49" customFormat="1" ht="12.5" hidden="1" customHeight="1">
      <c r="C98" s="1"/>
      <c r="D98" s="1"/>
      <c r="E98" s="1"/>
      <c r="F98" s="1"/>
      <c r="G98" s="1"/>
      <c r="H98" s="1"/>
      <c r="I98" s="5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3:50" s="49" customFormat="1" ht="12.5" hidden="1" customHeight="1">
      <c r="C99" s="1"/>
      <c r="D99" s="1"/>
      <c r="E99" s="1"/>
      <c r="F99" s="1"/>
      <c r="G99" s="1"/>
      <c r="H99" s="1"/>
      <c r="I99" s="5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3:50" s="49" customFormat="1" ht="12.5" hidden="1" customHeight="1">
      <c r="C100" s="1"/>
      <c r="D100" s="1"/>
      <c r="E100" s="1"/>
      <c r="F100" s="1"/>
      <c r="G100" s="1"/>
      <c r="H100" s="1"/>
      <c r="I100" s="5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3:50" s="49" customFormat="1" ht="12.5" hidden="1" customHeight="1">
      <c r="C101" s="1"/>
      <c r="D101" s="1"/>
      <c r="E101" s="1"/>
      <c r="F101" s="1"/>
      <c r="G101" s="1"/>
      <c r="H101" s="1"/>
      <c r="I101" s="5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3:50" s="49" customFormat="1" ht="12.5" hidden="1" customHeight="1">
      <c r="C102" s="1"/>
      <c r="D102" s="1"/>
      <c r="E102" s="1"/>
      <c r="F102" s="1"/>
      <c r="G102" s="1"/>
      <c r="H102" s="1"/>
      <c r="I102" s="5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3:50" s="49" customFormat="1" ht="12.5" hidden="1" customHeight="1">
      <c r="C103" s="1"/>
      <c r="D103" s="1"/>
      <c r="E103" s="1"/>
      <c r="F103" s="1"/>
      <c r="G103" s="1"/>
      <c r="H103" s="1"/>
      <c r="I103" s="5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3:50" s="49" customFormat="1" ht="12.5" hidden="1" customHeight="1">
      <c r="C104" s="1"/>
      <c r="D104" s="1"/>
      <c r="E104" s="1"/>
      <c r="F104" s="1"/>
      <c r="G104" s="1"/>
      <c r="H104" s="1"/>
      <c r="I104" s="5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3:50" s="49" customFormat="1" ht="12.5" hidden="1" customHeight="1">
      <c r="C105" s="1"/>
      <c r="D105" s="1"/>
      <c r="E105" s="1"/>
      <c r="F105" s="1"/>
      <c r="G105" s="1"/>
      <c r="H105" s="1"/>
      <c r="I105" s="5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3:50" s="49" customFormat="1" ht="12.5" hidden="1" customHeight="1">
      <c r="C106" s="1"/>
      <c r="D106" s="1"/>
      <c r="E106" s="1"/>
      <c r="F106" s="1"/>
      <c r="G106" s="1"/>
      <c r="H106" s="1"/>
      <c r="I106" s="5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3:50" s="49" customFormat="1" ht="12.5" hidden="1" customHeight="1">
      <c r="C107" s="1"/>
      <c r="D107" s="1"/>
      <c r="E107" s="1"/>
      <c r="F107" s="1"/>
      <c r="G107" s="1"/>
      <c r="H107" s="1"/>
      <c r="I107" s="5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3:50" s="49" customFormat="1" ht="12.5" hidden="1" customHeight="1">
      <c r="C108" s="1"/>
      <c r="D108" s="1"/>
      <c r="E108" s="1"/>
      <c r="F108" s="1"/>
      <c r="G108" s="1"/>
      <c r="H108" s="1"/>
      <c r="I108" s="5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3:50" s="49" customFormat="1" ht="12.5" hidden="1" customHeight="1">
      <c r="C109" s="1"/>
      <c r="D109" s="1"/>
      <c r="E109" s="1"/>
      <c r="F109" s="1"/>
      <c r="G109" s="1"/>
      <c r="H109" s="1"/>
      <c r="I109" s="5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3:50" s="49" customFormat="1" ht="12.5" hidden="1" customHeight="1">
      <c r="C110" s="1"/>
      <c r="D110" s="1"/>
      <c r="E110" s="1"/>
      <c r="F110" s="1"/>
      <c r="G110" s="1"/>
      <c r="H110" s="1"/>
      <c r="I110" s="5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3:50" s="49" customFormat="1" ht="12.5" hidden="1" customHeight="1">
      <c r="C111" s="1"/>
      <c r="D111" s="1"/>
      <c r="E111" s="1"/>
      <c r="F111" s="1"/>
      <c r="G111" s="1"/>
      <c r="H111" s="1"/>
      <c r="I111" s="5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3:50" s="49" customFormat="1" ht="12.5" hidden="1" customHeight="1">
      <c r="C112" s="1"/>
      <c r="D112" s="1"/>
      <c r="E112" s="1"/>
      <c r="F112" s="1"/>
      <c r="G112" s="1"/>
      <c r="H112" s="1"/>
      <c r="I112" s="5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3:50" s="49" customFormat="1" ht="12.5" hidden="1" customHeight="1">
      <c r="C113" s="1"/>
      <c r="D113" s="1"/>
      <c r="E113" s="1"/>
      <c r="F113" s="1"/>
      <c r="G113" s="1"/>
      <c r="H113" s="1"/>
      <c r="I113" s="5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3:50" s="49" customFormat="1" ht="12.5" hidden="1" customHeight="1">
      <c r="C114" s="1"/>
      <c r="D114" s="1"/>
      <c r="E114" s="1"/>
      <c r="F114" s="1"/>
      <c r="G114" s="1"/>
      <c r="H114" s="1"/>
      <c r="I114" s="5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3:50" s="49" customFormat="1" ht="12.5" hidden="1" customHeight="1">
      <c r="C115" s="1"/>
      <c r="D115" s="1"/>
      <c r="E115" s="1"/>
      <c r="F115" s="1"/>
      <c r="G115" s="1"/>
      <c r="H115" s="1"/>
      <c r="I115" s="5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3:50" s="49" customFormat="1" ht="12.5" hidden="1" customHeight="1">
      <c r="C116" s="1"/>
      <c r="D116" s="1"/>
      <c r="E116" s="1"/>
      <c r="F116" s="1"/>
      <c r="G116" s="1"/>
      <c r="H116" s="1"/>
      <c r="I116" s="5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3:50" s="49" customFormat="1" ht="12.5" hidden="1" customHeight="1">
      <c r="C117" s="1"/>
      <c r="D117" s="1"/>
      <c r="E117" s="1"/>
      <c r="F117" s="1"/>
      <c r="G117" s="1"/>
      <c r="H117" s="1"/>
      <c r="I117" s="5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3:50" s="49" customFormat="1" ht="12.5" hidden="1" customHeight="1">
      <c r="C118" s="1"/>
      <c r="D118" s="1"/>
      <c r="E118" s="1"/>
      <c r="F118" s="1"/>
      <c r="G118" s="1"/>
      <c r="H118" s="1"/>
      <c r="I118" s="5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3:50" s="49" customFormat="1" ht="12.5" hidden="1" customHeight="1">
      <c r="C119" s="1"/>
      <c r="D119" s="1"/>
      <c r="E119" s="1"/>
      <c r="F119" s="1"/>
      <c r="G119" s="1"/>
      <c r="H119" s="1"/>
      <c r="I119" s="5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3:50" s="49" customFormat="1" ht="12.5" hidden="1" customHeight="1">
      <c r="C120" s="1"/>
      <c r="D120" s="1"/>
      <c r="E120" s="1"/>
      <c r="F120" s="1"/>
      <c r="G120" s="1"/>
      <c r="H120" s="1"/>
      <c r="I120" s="5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3:50" s="49" customFormat="1" ht="12.5" hidden="1" customHeight="1">
      <c r="C121" s="1"/>
      <c r="D121" s="1"/>
      <c r="E121" s="1"/>
      <c r="F121" s="1"/>
      <c r="G121" s="1"/>
      <c r="H121" s="1"/>
      <c r="I121" s="5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3:50" s="49" customFormat="1" ht="12.5" hidden="1" customHeight="1">
      <c r="C122" s="1"/>
      <c r="D122" s="1"/>
      <c r="E122" s="1"/>
      <c r="F122" s="1"/>
      <c r="G122" s="1"/>
      <c r="H122" s="1"/>
      <c r="I122" s="5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3:50" s="49" customFormat="1" ht="12.5" hidden="1" customHeight="1">
      <c r="C123" s="1"/>
      <c r="D123" s="1"/>
      <c r="E123" s="1"/>
      <c r="F123" s="1"/>
      <c r="G123" s="1"/>
      <c r="H123" s="1"/>
      <c r="I123" s="5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3:50" s="49" customFormat="1" ht="12.5" hidden="1" customHeight="1">
      <c r="C124" s="1"/>
      <c r="D124" s="1"/>
      <c r="E124" s="1"/>
      <c r="F124" s="1"/>
      <c r="G124" s="1"/>
      <c r="H124" s="1"/>
      <c r="I124" s="5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3:50" s="49" customFormat="1" ht="12.5" hidden="1" customHeight="1">
      <c r="C125" s="1"/>
      <c r="D125" s="1"/>
      <c r="E125" s="1"/>
      <c r="F125" s="1"/>
      <c r="G125" s="1"/>
      <c r="H125" s="1"/>
      <c r="I125" s="5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3:50" s="49" customFormat="1" ht="12.5" hidden="1" customHeight="1">
      <c r="C126" s="1"/>
      <c r="D126" s="1"/>
      <c r="E126" s="1"/>
      <c r="F126" s="1"/>
      <c r="G126" s="1"/>
      <c r="H126" s="1"/>
      <c r="I126" s="5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3:50" s="49" customFormat="1" ht="12.5" hidden="1" customHeight="1">
      <c r="C127" s="1"/>
      <c r="D127" s="1"/>
      <c r="E127" s="1"/>
      <c r="F127" s="1"/>
      <c r="G127" s="1"/>
      <c r="H127" s="1"/>
      <c r="I127" s="5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3:50" s="49" customFormat="1" ht="12.5" hidden="1" customHeight="1">
      <c r="C128" s="1"/>
      <c r="D128" s="1"/>
      <c r="E128" s="1"/>
      <c r="F128" s="1"/>
      <c r="G128" s="1"/>
      <c r="H128" s="1"/>
      <c r="I128" s="5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3:50" s="49" customFormat="1" ht="12.5" hidden="1" customHeight="1">
      <c r="C129" s="1"/>
      <c r="D129" s="1"/>
      <c r="E129" s="1"/>
      <c r="F129" s="1"/>
      <c r="G129" s="1"/>
      <c r="H129" s="1"/>
      <c r="I129" s="5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3:50" s="49" customFormat="1" ht="12.5" hidden="1" customHeight="1">
      <c r="C130" s="1"/>
      <c r="D130" s="1"/>
      <c r="E130" s="1"/>
      <c r="F130" s="1"/>
      <c r="G130" s="1"/>
      <c r="H130" s="1"/>
      <c r="I130" s="5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3:50" s="49" customFormat="1" ht="12.5" hidden="1" customHeight="1">
      <c r="C131" s="1"/>
      <c r="D131" s="1"/>
      <c r="E131" s="1"/>
      <c r="F131" s="1"/>
      <c r="G131" s="1"/>
      <c r="H131" s="1"/>
      <c r="I131" s="5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3:50" s="49" customFormat="1" ht="12.5" hidden="1" customHeight="1">
      <c r="C132" s="1"/>
      <c r="D132" s="1"/>
      <c r="E132" s="1"/>
      <c r="F132" s="1"/>
      <c r="G132" s="1"/>
      <c r="H132" s="1"/>
      <c r="I132" s="5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3:50" s="49" customFormat="1" ht="12.5" hidden="1" customHeight="1">
      <c r="C133" s="1"/>
      <c r="D133" s="1"/>
      <c r="E133" s="1"/>
      <c r="F133" s="1"/>
      <c r="G133" s="1"/>
      <c r="H133" s="1"/>
      <c r="I133" s="5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3:50" s="49" customFormat="1" ht="12.5" hidden="1" customHeight="1">
      <c r="C134" s="1"/>
      <c r="D134" s="1"/>
      <c r="E134" s="1"/>
      <c r="F134" s="1"/>
      <c r="G134" s="1"/>
      <c r="H134" s="1"/>
      <c r="I134" s="5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3:50" s="49" customFormat="1" ht="12.5" hidden="1" customHeight="1">
      <c r="C135" s="1"/>
      <c r="D135" s="1"/>
      <c r="E135" s="1"/>
      <c r="F135" s="1"/>
      <c r="G135" s="1"/>
      <c r="H135" s="1"/>
      <c r="I135" s="5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3:50" s="49" customFormat="1" ht="12.5" hidden="1" customHeight="1">
      <c r="C136" s="1"/>
      <c r="D136" s="1"/>
      <c r="E136" s="1"/>
      <c r="F136" s="1"/>
      <c r="G136" s="1"/>
      <c r="H136" s="1"/>
      <c r="I136" s="5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3:50" s="49" customFormat="1" ht="12.5" hidden="1" customHeight="1">
      <c r="C137" s="1"/>
      <c r="D137" s="1"/>
      <c r="E137" s="1"/>
      <c r="F137" s="1"/>
      <c r="G137" s="1"/>
      <c r="H137" s="1"/>
      <c r="I137" s="5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3:50" s="49" customFormat="1" ht="12.5" hidden="1" customHeight="1">
      <c r="C138" s="1"/>
      <c r="D138" s="1"/>
      <c r="E138" s="1"/>
      <c r="F138" s="1"/>
      <c r="G138" s="1"/>
      <c r="H138" s="1"/>
      <c r="I138" s="5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3:50" s="49" customFormat="1" ht="12.5" hidden="1" customHeight="1">
      <c r="C139" s="1"/>
      <c r="D139" s="1"/>
      <c r="E139" s="1"/>
      <c r="F139" s="1"/>
      <c r="G139" s="1"/>
      <c r="H139" s="1"/>
      <c r="I139" s="5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</sheetData>
  <mergeCells count="4">
    <mergeCell ref="C7:C8"/>
    <mergeCell ref="D7:D8"/>
    <mergeCell ref="E7:E8"/>
    <mergeCell ref="F7:F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D16"/>
  <sheetViews>
    <sheetView showGridLines="0" zoomScale="80" zoomScaleNormal="80" workbookViewId="0"/>
  </sheetViews>
  <sheetFormatPr baseColWidth="10" defaultColWidth="0" defaultRowHeight="13" zeroHeight="1"/>
  <cols>
    <col min="1" max="2" width="1" style="1" customWidth="1"/>
    <col min="3" max="3" width="4.5" style="1" customWidth="1"/>
    <col min="4" max="4" width="16.1640625" style="1" customWidth="1"/>
    <col min="5" max="5" width="7.5" style="1" bestFit="1" customWidth="1"/>
    <col min="6" max="6" width="8.1640625" style="3" customWidth="1"/>
    <col min="7" max="7" width="32.83203125" style="1" hidden="1" customWidth="1"/>
    <col min="8" max="9" width="17.6640625" style="1" hidden="1" customWidth="1"/>
    <col min="10" max="10" width="29.5" style="1" bestFit="1" customWidth="1"/>
    <col min="11" max="11" width="17.5" style="1" customWidth="1"/>
    <col min="12" max="12" width="33.5" style="1" customWidth="1"/>
    <col min="13" max="13" width="24.1640625" style="1" customWidth="1"/>
    <col min="14" max="14" width="28.6640625" style="1" bestFit="1" customWidth="1"/>
    <col min="15" max="16" width="1.83203125" style="1" customWidth="1"/>
    <col min="17" max="56" width="0" style="1" hidden="1" customWidth="1"/>
    <col min="57" max="16384" width="8.83203125" style="1" hidden="1"/>
  </cols>
  <sheetData>
    <row r="1" spans="1:14"/>
    <row r="2" spans="1:14">
      <c r="D2" s="121" t="s">
        <v>29</v>
      </c>
    </row>
    <row r="3" spans="1:14">
      <c r="D3" s="35" t="s">
        <v>252</v>
      </c>
    </row>
    <row r="4" spans="1:14"/>
    <row r="5" spans="1:14" ht="2" customHeight="1">
      <c r="A5" s="49"/>
      <c r="B5" s="49"/>
    </row>
    <row r="6" spans="1:14" ht="2" customHeight="1">
      <c r="A6" s="49"/>
      <c r="B6" s="49"/>
      <c r="C6" s="31"/>
      <c r="D6" s="31"/>
      <c r="E6" s="31"/>
      <c r="F6" s="32"/>
      <c r="G6" s="31"/>
      <c r="H6" s="31"/>
      <c r="I6" s="31"/>
      <c r="J6" s="31"/>
      <c r="K6" s="31"/>
      <c r="L6" s="31"/>
      <c r="M6" s="31"/>
      <c r="N6" s="96"/>
    </row>
    <row r="7" spans="1:14" ht="17" customHeight="1">
      <c r="C7" s="86" t="s">
        <v>0</v>
      </c>
      <c r="D7" s="39" t="s">
        <v>237</v>
      </c>
      <c r="E7" s="39" t="s">
        <v>238</v>
      </c>
      <c r="F7" s="85" t="s">
        <v>253</v>
      </c>
      <c r="G7" s="81" t="s">
        <v>239</v>
      </c>
      <c r="H7" s="81" t="s">
        <v>255</v>
      </c>
      <c r="I7" s="81"/>
      <c r="J7" s="81" t="s">
        <v>240</v>
      </c>
      <c r="K7" s="81" t="s">
        <v>256</v>
      </c>
      <c r="L7" s="81" t="s">
        <v>241</v>
      </c>
      <c r="M7" s="81" t="s">
        <v>251</v>
      </c>
      <c r="N7" s="81" t="s">
        <v>257</v>
      </c>
    </row>
    <row r="8" spans="1:14" ht="2" customHeight="1">
      <c r="A8" s="49"/>
      <c r="B8" s="49"/>
    </row>
    <row r="9" spans="1:14" ht="2" customHeight="1">
      <c r="A9" s="49"/>
      <c r="B9" s="49"/>
      <c r="C9" s="31"/>
      <c r="D9" s="31"/>
      <c r="E9" s="31"/>
      <c r="F9" s="32"/>
      <c r="G9" s="31"/>
      <c r="H9" s="31"/>
      <c r="I9" s="31"/>
      <c r="J9" s="31"/>
      <c r="K9" s="31"/>
      <c r="L9" s="31"/>
      <c r="M9" s="31"/>
      <c r="N9" s="96"/>
    </row>
    <row r="10" spans="1:14" ht="15">
      <c r="C10" s="2">
        <v>1</v>
      </c>
      <c r="D10" s="1" t="s">
        <v>242</v>
      </c>
      <c r="E10" s="1" t="s">
        <v>243</v>
      </c>
      <c r="F10" s="3" t="s">
        <v>254</v>
      </c>
      <c r="G10" s="98">
        <v>11215.96</v>
      </c>
      <c r="H10" s="83">
        <v>570</v>
      </c>
      <c r="I10" s="111">
        <v>0.81200000000000006</v>
      </c>
      <c r="J10" s="110">
        <f>G10/H10</f>
        <v>19.677122807017543</v>
      </c>
      <c r="K10" s="13">
        <f>zalozenia!F12</f>
        <v>499.98</v>
      </c>
      <c r="L10" s="97">
        <f>J10*K10</f>
        <v>9838.1678610526324</v>
      </c>
      <c r="M10" s="97">
        <f>L10/15</f>
        <v>655.87785740350887</v>
      </c>
      <c r="N10" s="97">
        <f>M10*3</f>
        <v>1967.6335722105266</v>
      </c>
    </row>
    <row r="11" spans="1:14">
      <c r="C11" s="2">
        <v>2</v>
      </c>
      <c r="D11" s="1" t="s">
        <v>244</v>
      </c>
      <c r="E11" s="1" t="s">
        <v>245</v>
      </c>
      <c r="F11" s="3" t="s">
        <v>254</v>
      </c>
      <c r="G11" s="98">
        <v>11.33</v>
      </c>
      <c r="H11" s="83">
        <v>570</v>
      </c>
      <c r="I11" s="111"/>
      <c r="J11" s="110">
        <f>G11/H11</f>
        <v>1.9877192982456139E-2</v>
      </c>
      <c r="K11" s="13">
        <f>zalozenia!F12</f>
        <v>499.98</v>
      </c>
      <c r="L11" s="97">
        <f>J11*K11</f>
        <v>9.93819894736842</v>
      </c>
      <c r="M11" s="97">
        <f>L11/15</f>
        <v>0.66254659649122805</v>
      </c>
      <c r="N11" s="97">
        <f>M11*3</f>
        <v>1.9876397894736841</v>
      </c>
    </row>
    <row r="12" spans="1:14" ht="15">
      <c r="C12" s="2">
        <v>3</v>
      </c>
      <c r="D12" s="1" t="s">
        <v>246</v>
      </c>
      <c r="E12" s="1" t="s">
        <v>247</v>
      </c>
      <c r="F12" s="3" t="s">
        <v>254</v>
      </c>
      <c r="G12" s="98">
        <v>17.59</v>
      </c>
      <c r="H12" s="83">
        <v>570</v>
      </c>
      <c r="I12" s="111"/>
      <c r="J12" s="110">
        <f>G12/H12</f>
        <v>3.0859649122807017E-2</v>
      </c>
      <c r="K12" s="13">
        <f>zalozenia!F12</f>
        <v>499.98</v>
      </c>
      <c r="L12" s="97">
        <f>J12*K12</f>
        <v>15.429207368421054</v>
      </c>
      <c r="M12" s="97">
        <f>L12/15</f>
        <v>1.0286138245614036</v>
      </c>
      <c r="N12" s="97">
        <f>M12*3</f>
        <v>3.0858414736842108</v>
      </c>
    </row>
    <row r="13" spans="1:14" ht="15">
      <c r="C13" s="2">
        <v>4</v>
      </c>
      <c r="D13" s="1" t="s">
        <v>248</v>
      </c>
      <c r="E13" s="1" t="s">
        <v>249</v>
      </c>
      <c r="F13" s="3" t="s">
        <v>254</v>
      </c>
      <c r="G13" s="98">
        <v>18.18</v>
      </c>
      <c r="H13" s="83">
        <v>570</v>
      </c>
      <c r="I13" s="111"/>
      <c r="J13" s="110">
        <f>G13/H13</f>
        <v>3.189473684210526E-2</v>
      </c>
      <c r="K13" s="13">
        <f>zalozenia!F12</f>
        <v>499.98</v>
      </c>
      <c r="L13" s="97">
        <f>J13*K13</f>
        <v>15.946730526315788</v>
      </c>
      <c r="M13" s="97">
        <f>L13/15</f>
        <v>1.0631153684210526</v>
      </c>
      <c r="N13" s="97">
        <f>M13*3</f>
        <v>3.1893461052631578</v>
      </c>
    </row>
    <row r="14" spans="1:14">
      <c r="C14" s="2">
        <v>5</v>
      </c>
      <c r="D14" s="1" t="s">
        <v>250</v>
      </c>
      <c r="E14" s="1" t="s">
        <v>94</v>
      </c>
      <c r="F14" s="3" t="s">
        <v>254</v>
      </c>
      <c r="G14" s="98">
        <v>0.78</v>
      </c>
      <c r="H14" s="83">
        <v>570</v>
      </c>
      <c r="I14" s="111"/>
      <c r="J14" s="110">
        <f>G14/H14</f>
        <v>1.3684210526315791E-3</v>
      </c>
      <c r="K14" s="13">
        <f>zalozenia!F12</f>
        <v>499.98</v>
      </c>
      <c r="L14" s="97">
        <f>J14*K14</f>
        <v>0.68418315789473694</v>
      </c>
      <c r="M14" s="97">
        <f>L14/15</f>
        <v>4.5612210526315797E-2</v>
      </c>
      <c r="N14" s="97">
        <f>M14*3</f>
        <v>0.13683663157894738</v>
      </c>
    </row>
    <row r="15" spans="1:14"/>
    <row r="16" spans="1:14"/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BE301"/>
  <sheetViews>
    <sheetView showGridLines="0" zoomScale="80" zoomScaleNormal="80" workbookViewId="0"/>
  </sheetViews>
  <sheetFormatPr baseColWidth="10" defaultColWidth="0" defaultRowHeight="0" customHeight="1" zeroHeight="1"/>
  <cols>
    <col min="1" max="2" width="1.1640625" style="49" customWidth="1"/>
    <col min="3" max="3" width="4.33203125" style="1" customWidth="1"/>
    <col min="4" max="4" width="57.1640625" style="1" customWidth="1"/>
    <col min="5" max="8" width="10.6640625" style="1" customWidth="1"/>
    <col min="9" max="10" width="1" style="1" customWidth="1"/>
    <col min="11" max="11" width="4.33203125" style="50" customWidth="1"/>
    <col min="12" max="57" width="0" style="1" hidden="1" customWidth="1"/>
    <col min="58" max="16384" width="9.1640625" style="1" hidden="1"/>
  </cols>
  <sheetData>
    <row r="1" spans="1:11" ht="13">
      <c r="A1" s="1"/>
      <c r="B1" s="1"/>
      <c r="D1" s="2"/>
    </row>
    <row r="2" spans="1:11" ht="13">
      <c r="A2" s="1"/>
      <c r="B2" s="1"/>
      <c r="D2" s="120" t="s">
        <v>29</v>
      </c>
    </row>
    <row r="3" spans="1:11" ht="13">
      <c r="A3" s="1"/>
      <c r="B3" s="1"/>
      <c r="D3" s="122" t="s">
        <v>268</v>
      </c>
    </row>
    <row r="4" spans="1:11" ht="13">
      <c r="A4" s="1"/>
      <c r="B4" s="1"/>
      <c r="D4" s="2"/>
    </row>
    <row r="5" spans="1:11" ht="2" customHeight="1"/>
    <row r="6" spans="1:11" ht="2" customHeight="1">
      <c r="C6" s="31"/>
      <c r="D6" s="31"/>
      <c r="E6" s="31"/>
      <c r="F6" s="31"/>
      <c r="G6" s="31"/>
      <c r="H6" s="31"/>
      <c r="I6" s="31"/>
      <c r="J6" s="31"/>
    </row>
    <row r="7" spans="1:11" s="55" customFormat="1" ht="13">
      <c r="A7" s="51"/>
      <c r="B7" s="51"/>
      <c r="C7" s="75" t="s">
        <v>21</v>
      </c>
      <c r="D7" s="75" t="s">
        <v>269</v>
      </c>
      <c r="E7" s="75"/>
      <c r="F7" s="75"/>
      <c r="G7" s="75"/>
      <c r="H7" s="75"/>
      <c r="I7" s="75"/>
      <c r="J7" s="75"/>
      <c r="K7" s="51"/>
    </row>
    <row r="8" spans="1:11" ht="2" customHeight="1"/>
    <row r="9" spans="1:11" ht="2" customHeight="1">
      <c r="C9" s="31"/>
      <c r="D9" s="31"/>
      <c r="E9" s="31"/>
      <c r="F9" s="31"/>
      <c r="G9" s="31"/>
      <c r="H9" s="31"/>
      <c r="I9" s="31"/>
      <c r="J9" s="31"/>
    </row>
    <row r="10" spans="1:11" ht="13">
      <c r="C10" s="2"/>
      <c r="D10" s="2"/>
      <c r="E10" s="14"/>
      <c r="F10" s="14"/>
      <c r="G10" s="14"/>
      <c r="H10" s="14"/>
    </row>
    <row r="11" spans="1:11" ht="13">
      <c r="C11" s="2"/>
      <c r="D11" s="2"/>
      <c r="E11" s="14"/>
      <c r="F11" s="14"/>
      <c r="G11" s="14"/>
      <c r="H11" s="14"/>
    </row>
    <row r="12" spans="1:11" ht="13">
      <c r="C12" s="2"/>
      <c r="D12" s="2"/>
      <c r="E12" s="14"/>
      <c r="F12" s="14"/>
      <c r="G12" s="14"/>
      <c r="H12" s="14"/>
    </row>
    <row r="13" spans="1:11" ht="13">
      <c r="C13" s="2"/>
      <c r="D13" s="2"/>
      <c r="E13" s="14"/>
      <c r="F13" s="14"/>
      <c r="G13" s="14"/>
      <c r="H13" s="14"/>
    </row>
    <row r="14" spans="1:11" ht="13">
      <c r="C14" s="2"/>
      <c r="D14" s="2"/>
      <c r="E14" s="14"/>
      <c r="F14" s="14"/>
      <c r="G14" s="14"/>
      <c r="H14" s="14"/>
    </row>
    <row r="15" spans="1:11" ht="13">
      <c r="C15" s="2"/>
      <c r="D15" s="2"/>
      <c r="E15" s="14"/>
      <c r="F15" s="14"/>
      <c r="G15" s="14"/>
      <c r="H15" s="14"/>
    </row>
    <row r="16" spans="1:11" ht="13">
      <c r="C16" s="2"/>
      <c r="D16" s="2"/>
      <c r="E16" s="14"/>
      <c r="F16" s="14"/>
      <c r="G16" s="14"/>
      <c r="H16" s="14"/>
    </row>
    <row r="17" spans="1:11" ht="13">
      <c r="C17" s="2"/>
      <c r="D17" s="2"/>
      <c r="E17" s="14"/>
      <c r="F17" s="14"/>
      <c r="G17" s="14"/>
      <c r="H17" s="14"/>
    </row>
    <row r="18" spans="1:11" ht="13">
      <c r="C18" s="2"/>
      <c r="D18" s="2"/>
      <c r="E18" s="14"/>
      <c r="F18" s="14"/>
      <c r="G18" s="14"/>
      <c r="H18" s="14"/>
    </row>
    <row r="19" spans="1:11" ht="13">
      <c r="C19" s="2"/>
      <c r="D19" s="2"/>
      <c r="E19" s="14"/>
      <c r="F19" s="14"/>
      <c r="G19" s="14"/>
      <c r="H19" s="14"/>
    </row>
    <row r="20" spans="1:11" ht="13">
      <c r="C20" s="2"/>
      <c r="D20" s="2"/>
      <c r="E20" s="14"/>
      <c r="F20" s="14"/>
      <c r="G20" s="14"/>
      <c r="H20" s="14"/>
    </row>
    <row r="21" spans="1:11" ht="13">
      <c r="C21" s="2"/>
      <c r="D21" s="2"/>
      <c r="E21" s="14"/>
      <c r="F21" s="14"/>
      <c r="G21" s="14"/>
      <c r="H21" s="14"/>
    </row>
    <row r="22" spans="1:11" ht="13">
      <c r="C22" s="2"/>
      <c r="D22" s="2"/>
      <c r="E22" s="14"/>
      <c r="F22" s="14"/>
      <c r="G22" s="14"/>
      <c r="H22" s="14"/>
    </row>
    <row r="23" spans="1:11" ht="13">
      <c r="C23" s="2"/>
      <c r="D23" s="2"/>
      <c r="E23" s="14"/>
      <c r="F23" s="14"/>
      <c r="G23" s="14"/>
      <c r="H23" s="14"/>
    </row>
    <row r="24" spans="1:11" ht="13">
      <c r="C24" s="2"/>
      <c r="D24" s="2"/>
      <c r="E24" s="14"/>
      <c r="F24" s="14"/>
      <c r="G24" s="14"/>
      <c r="H24" s="14"/>
    </row>
    <row r="25" spans="1:11" ht="13">
      <c r="C25" s="2"/>
      <c r="D25" s="2"/>
      <c r="E25" s="14"/>
      <c r="F25" s="14"/>
      <c r="G25" s="14"/>
      <c r="H25" s="14"/>
    </row>
    <row r="26" spans="1:11" ht="13">
      <c r="C26" s="2"/>
      <c r="D26" s="2"/>
      <c r="E26" s="14"/>
      <c r="F26" s="14"/>
      <c r="G26" s="14"/>
      <c r="H26" s="14"/>
    </row>
    <row r="27" spans="1:11" ht="2" customHeight="1"/>
    <row r="28" spans="1:11" ht="2" customHeight="1">
      <c r="C28" s="31"/>
      <c r="D28" s="31"/>
      <c r="E28" s="31"/>
      <c r="F28" s="31"/>
      <c r="G28" s="31"/>
      <c r="H28" s="31"/>
      <c r="I28" s="31"/>
      <c r="J28" s="31"/>
    </row>
    <row r="29" spans="1:11" s="55" customFormat="1" ht="13">
      <c r="A29" s="51"/>
      <c r="B29" s="51"/>
      <c r="C29" s="75" t="s">
        <v>23</v>
      </c>
      <c r="D29" s="75" t="s">
        <v>271</v>
      </c>
      <c r="E29" s="75"/>
      <c r="F29" s="75"/>
      <c r="G29" s="75"/>
      <c r="H29" s="75"/>
      <c r="I29" s="75"/>
      <c r="J29" s="75"/>
      <c r="K29" s="51"/>
    </row>
    <row r="30" spans="1:11" ht="2" customHeight="1"/>
    <row r="31" spans="1:11" ht="2" customHeight="1">
      <c r="C31" s="31"/>
      <c r="D31" s="31"/>
      <c r="E31" s="31"/>
      <c r="F31" s="31"/>
      <c r="G31" s="31"/>
      <c r="H31" s="31"/>
      <c r="I31" s="31"/>
      <c r="J31" s="31"/>
    </row>
    <row r="32" spans="1:11" s="50" customFormat="1" ht="13">
      <c r="A32" s="49"/>
      <c r="B32" s="49"/>
      <c r="C32" s="72"/>
      <c r="D32" s="2"/>
      <c r="E32" s="3"/>
      <c r="F32" s="3"/>
      <c r="G32" s="3"/>
      <c r="H32" s="3"/>
      <c r="I32" s="1"/>
      <c r="J32" s="1"/>
    </row>
    <row r="33" spans="1:10" s="50" customFormat="1" ht="13">
      <c r="A33" s="49"/>
      <c r="B33" s="49"/>
      <c r="C33" s="72"/>
      <c r="D33" s="2"/>
      <c r="E33" s="3"/>
      <c r="F33" s="3"/>
      <c r="G33" s="3"/>
      <c r="H33" s="3"/>
      <c r="I33" s="1"/>
      <c r="J33" s="1"/>
    </row>
    <row r="34" spans="1:10" s="50" customFormat="1" ht="13">
      <c r="A34" s="49"/>
      <c r="B34" s="49"/>
      <c r="C34" s="72"/>
      <c r="D34" s="2"/>
      <c r="E34" s="3"/>
      <c r="F34" s="3"/>
      <c r="G34" s="3"/>
      <c r="H34" s="3"/>
      <c r="I34" s="1"/>
      <c r="J34" s="1"/>
    </row>
    <row r="35" spans="1:10" s="50" customFormat="1" ht="13">
      <c r="A35" s="49"/>
      <c r="B35" s="49"/>
      <c r="C35" s="72"/>
      <c r="D35" s="2"/>
      <c r="E35" s="3"/>
      <c r="F35" s="3"/>
      <c r="G35" s="3"/>
      <c r="H35" s="3"/>
      <c r="I35" s="1"/>
      <c r="J35" s="1"/>
    </row>
    <row r="36" spans="1:10" s="50" customFormat="1" ht="13">
      <c r="A36" s="49"/>
      <c r="B36" s="49"/>
      <c r="C36" s="72"/>
      <c r="D36" s="2"/>
      <c r="E36" s="3"/>
      <c r="F36" s="3"/>
      <c r="G36" s="3"/>
      <c r="H36" s="3"/>
      <c r="I36" s="1"/>
      <c r="J36" s="1"/>
    </row>
    <row r="37" spans="1:10" s="50" customFormat="1" ht="13">
      <c r="A37" s="49"/>
      <c r="B37" s="49"/>
      <c r="C37" s="72"/>
      <c r="D37" s="2"/>
      <c r="E37" s="3"/>
      <c r="F37" s="3"/>
      <c r="G37" s="3"/>
      <c r="H37" s="3"/>
      <c r="I37" s="1"/>
      <c r="J37" s="1"/>
    </row>
    <row r="38" spans="1:10" s="50" customFormat="1" ht="13">
      <c r="A38" s="49"/>
      <c r="B38" s="49"/>
      <c r="C38" s="72"/>
      <c r="D38" s="2"/>
      <c r="E38" s="3"/>
      <c r="F38" s="3"/>
      <c r="G38" s="3"/>
      <c r="H38" s="3"/>
      <c r="I38" s="1"/>
      <c r="J38" s="1"/>
    </row>
    <row r="39" spans="1:10" s="50" customFormat="1" ht="13">
      <c r="A39" s="49"/>
      <c r="B39" s="49"/>
      <c r="C39" s="72"/>
      <c r="D39" s="2"/>
      <c r="E39" s="3"/>
      <c r="F39" s="3"/>
      <c r="G39" s="3"/>
      <c r="H39" s="3"/>
      <c r="I39" s="1"/>
      <c r="J39" s="1"/>
    </row>
    <row r="40" spans="1:10" s="50" customFormat="1" ht="13">
      <c r="A40" s="49"/>
      <c r="B40" s="49"/>
      <c r="C40" s="72"/>
      <c r="D40" s="2"/>
      <c r="E40" s="3"/>
      <c r="F40" s="3"/>
      <c r="G40" s="3"/>
      <c r="H40" s="3"/>
      <c r="I40" s="1"/>
      <c r="J40" s="1"/>
    </row>
    <row r="41" spans="1:10" s="50" customFormat="1" ht="13">
      <c r="A41" s="49"/>
      <c r="B41" s="49"/>
      <c r="C41" s="72"/>
      <c r="D41" s="2"/>
      <c r="E41" s="3"/>
      <c r="F41" s="3"/>
      <c r="G41" s="3"/>
      <c r="H41" s="3"/>
      <c r="I41" s="1"/>
      <c r="J41" s="1"/>
    </row>
    <row r="42" spans="1:10" s="50" customFormat="1" ht="13">
      <c r="A42" s="49"/>
      <c r="B42" s="49"/>
      <c r="C42" s="72"/>
      <c r="D42" s="2"/>
      <c r="E42" s="3"/>
      <c r="F42" s="3"/>
      <c r="G42" s="3"/>
      <c r="H42" s="3"/>
      <c r="I42" s="1"/>
      <c r="J42" s="1"/>
    </row>
    <row r="43" spans="1:10" s="50" customFormat="1" ht="13">
      <c r="A43" s="49"/>
      <c r="B43" s="49"/>
      <c r="C43" s="72"/>
      <c r="D43" s="2"/>
      <c r="E43" s="3"/>
      <c r="F43" s="3"/>
      <c r="G43" s="3"/>
      <c r="H43" s="3"/>
      <c r="I43" s="1"/>
      <c r="J43" s="1"/>
    </row>
    <row r="44" spans="1:10" s="50" customFormat="1" ht="13">
      <c r="A44" s="49"/>
      <c r="B44" s="49"/>
      <c r="C44" s="72"/>
      <c r="D44" s="2"/>
      <c r="E44" s="3"/>
      <c r="F44" s="3"/>
      <c r="G44" s="3"/>
      <c r="H44" s="3"/>
      <c r="I44" s="1"/>
      <c r="J44" s="1"/>
    </row>
    <row r="45" spans="1:10" s="50" customFormat="1" ht="13">
      <c r="A45" s="49"/>
      <c r="B45" s="49"/>
      <c r="C45" s="72"/>
      <c r="D45" s="2"/>
      <c r="E45" s="3"/>
      <c r="F45" s="3"/>
      <c r="G45" s="3"/>
      <c r="H45" s="3"/>
      <c r="I45" s="1"/>
      <c r="J45" s="1"/>
    </row>
    <row r="46" spans="1:10" s="50" customFormat="1" ht="13">
      <c r="A46" s="49"/>
      <c r="B46" s="49"/>
      <c r="C46" s="72"/>
      <c r="D46" s="2"/>
      <c r="E46" s="3"/>
      <c r="F46" s="3"/>
      <c r="G46" s="3"/>
      <c r="H46" s="3"/>
      <c r="I46" s="1"/>
      <c r="J46" s="1"/>
    </row>
    <row r="47" spans="1:10" s="50" customFormat="1" ht="13">
      <c r="A47" s="49"/>
      <c r="B47" s="49"/>
      <c r="C47" s="72"/>
      <c r="D47" s="2"/>
      <c r="E47" s="3"/>
      <c r="F47" s="3"/>
      <c r="G47" s="3"/>
      <c r="H47" s="3"/>
      <c r="I47" s="1"/>
      <c r="J47" s="1"/>
    </row>
    <row r="48" spans="1:10" s="50" customFormat="1" ht="13">
      <c r="A48" s="49"/>
      <c r="B48" s="49"/>
      <c r="C48" s="72"/>
      <c r="D48" s="2"/>
      <c r="E48" s="3"/>
      <c r="F48" s="3"/>
      <c r="G48" s="3"/>
      <c r="H48" s="3"/>
      <c r="I48" s="1"/>
      <c r="J48" s="1"/>
    </row>
    <row r="49" spans="1:10" s="50" customFormat="1" ht="13">
      <c r="A49" s="49"/>
      <c r="B49" s="49"/>
      <c r="C49" s="72"/>
      <c r="D49" s="2"/>
      <c r="E49" s="3"/>
      <c r="F49" s="3"/>
      <c r="G49" s="3"/>
      <c r="H49" s="3"/>
      <c r="I49" s="1"/>
      <c r="J49" s="1"/>
    </row>
    <row r="50" spans="1:10" s="50" customFormat="1" ht="13">
      <c r="A50" s="49"/>
      <c r="B50" s="49"/>
      <c r="C50" s="72"/>
      <c r="D50" s="2"/>
      <c r="E50" s="3"/>
      <c r="F50" s="3"/>
      <c r="G50" s="3"/>
      <c r="H50" s="3"/>
      <c r="I50" s="1"/>
      <c r="J50" s="1"/>
    </row>
    <row r="51" spans="1:10" s="50" customFormat="1" ht="13">
      <c r="A51" s="49"/>
      <c r="B51" s="49"/>
      <c r="C51" s="72"/>
      <c r="D51" s="2"/>
      <c r="E51" s="3"/>
      <c r="F51" s="3"/>
      <c r="G51" s="3"/>
      <c r="H51" s="3"/>
      <c r="I51" s="1"/>
      <c r="J51" s="1"/>
    </row>
    <row r="52" spans="1:10" s="50" customFormat="1" ht="13">
      <c r="A52" s="49"/>
      <c r="B52" s="49"/>
      <c r="C52" s="72"/>
      <c r="D52" s="2"/>
      <c r="E52" s="3"/>
      <c r="F52" s="3"/>
      <c r="G52" s="3"/>
      <c r="H52" s="3"/>
      <c r="I52" s="1"/>
      <c r="J52" s="1"/>
    </row>
    <row r="53" spans="1:10" s="50" customFormat="1" ht="13">
      <c r="A53" s="49"/>
      <c r="B53" s="49"/>
      <c r="C53" s="72"/>
      <c r="D53" s="2"/>
      <c r="E53" s="3"/>
      <c r="F53" s="3"/>
      <c r="G53" s="3"/>
      <c r="H53" s="3"/>
      <c r="I53" s="1"/>
      <c r="J53" s="1"/>
    </row>
    <row r="54" spans="1:10" s="50" customFormat="1" ht="13">
      <c r="A54" s="49"/>
      <c r="B54" s="49"/>
      <c r="C54" s="72"/>
      <c r="D54" s="2"/>
      <c r="E54" s="3"/>
      <c r="F54" s="3"/>
      <c r="G54" s="3"/>
      <c r="H54" s="3"/>
      <c r="I54" s="1"/>
      <c r="J54" s="1"/>
    </row>
    <row r="55" spans="1:10" s="50" customFormat="1" ht="13">
      <c r="A55" s="49"/>
      <c r="B55" s="49"/>
      <c r="C55" s="72"/>
      <c r="D55" s="2"/>
      <c r="E55" s="3"/>
      <c r="F55" s="3"/>
      <c r="G55" s="3"/>
      <c r="H55" s="3"/>
      <c r="I55" s="1"/>
      <c r="J55" s="1"/>
    </row>
    <row r="56" spans="1:10" s="50" customFormat="1" ht="13" hidden="1">
      <c r="A56" s="49"/>
      <c r="B56" s="49"/>
      <c r="C56" s="72"/>
      <c r="D56" s="2"/>
      <c r="E56" s="3"/>
      <c r="F56" s="3"/>
      <c r="G56" s="3"/>
      <c r="H56" s="3"/>
      <c r="I56" s="1"/>
      <c r="J56" s="1"/>
    </row>
    <row r="57" spans="1:10" s="50" customFormat="1" ht="13" hidden="1">
      <c r="A57" s="49"/>
      <c r="B57" s="49"/>
      <c r="C57" s="72"/>
      <c r="D57" s="2"/>
      <c r="E57" s="3"/>
      <c r="F57" s="3"/>
      <c r="G57" s="3"/>
      <c r="H57" s="3"/>
      <c r="I57" s="1"/>
      <c r="J57" s="1"/>
    </row>
    <row r="58" spans="1:10" s="50" customFormat="1" ht="13" hidden="1">
      <c r="A58" s="49"/>
      <c r="B58" s="49"/>
      <c r="C58" s="72"/>
      <c r="D58" s="2"/>
      <c r="E58" s="3"/>
      <c r="F58" s="3"/>
      <c r="G58" s="3"/>
      <c r="H58" s="3"/>
      <c r="I58" s="1"/>
      <c r="J58" s="1"/>
    </row>
    <row r="59" spans="1:10" s="50" customFormat="1" ht="13" hidden="1">
      <c r="A59" s="49"/>
      <c r="B59" s="49"/>
      <c r="C59" s="72"/>
      <c r="D59" s="2"/>
      <c r="E59" s="3"/>
      <c r="F59" s="3"/>
      <c r="G59" s="3"/>
      <c r="H59" s="3"/>
      <c r="I59" s="1"/>
      <c r="J59" s="1"/>
    </row>
    <row r="60" spans="1:10" s="50" customFormat="1" ht="13" hidden="1">
      <c r="A60" s="49"/>
      <c r="B60" s="49"/>
      <c r="C60" s="72"/>
      <c r="D60" s="2"/>
      <c r="E60" s="3"/>
      <c r="F60" s="3"/>
      <c r="G60" s="3"/>
      <c r="H60" s="3"/>
      <c r="I60" s="1"/>
      <c r="J60" s="1"/>
    </row>
    <row r="61" spans="1:10" s="50" customFormat="1" ht="13" hidden="1">
      <c r="A61" s="49"/>
      <c r="B61" s="49"/>
      <c r="C61" s="72"/>
      <c r="D61" s="2"/>
      <c r="E61" s="3"/>
      <c r="F61" s="3"/>
      <c r="G61" s="3"/>
      <c r="H61" s="3"/>
      <c r="I61" s="1"/>
      <c r="J61" s="1"/>
    </row>
    <row r="62" spans="1:10" s="50" customFormat="1" ht="13" hidden="1">
      <c r="A62" s="49"/>
      <c r="B62" s="49"/>
      <c r="C62" s="72"/>
      <c r="D62" s="2"/>
      <c r="E62" s="3"/>
      <c r="F62" s="3"/>
      <c r="G62" s="3"/>
      <c r="H62" s="3"/>
      <c r="I62" s="1"/>
      <c r="J62" s="1"/>
    </row>
    <row r="63" spans="1:10" s="50" customFormat="1" ht="13" hidden="1">
      <c r="A63" s="49"/>
      <c r="B63" s="49"/>
      <c r="C63" s="72"/>
      <c r="D63" s="2"/>
      <c r="E63" s="3"/>
      <c r="F63" s="3"/>
      <c r="G63" s="3"/>
      <c r="H63" s="3"/>
      <c r="I63" s="1"/>
      <c r="J63" s="1"/>
    </row>
    <row r="64" spans="1:10" s="50" customFormat="1" ht="13" hidden="1">
      <c r="A64" s="49"/>
      <c r="B64" s="49"/>
      <c r="C64" s="72"/>
      <c r="D64" s="2"/>
      <c r="E64" s="3"/>
      <c r="F64" s="3"/>
      <c r="G64" s="3"/>
      <c r="H64" s="3"/>
      <c r="I64" s="1"/>
      <c r="J64" s="1"/>
    </row>
    <row r="65" spans="1:10" s="50" customFormat="1" ht="13" hidden="1">
      <c r="A65" s="49"/>
      <c r="B65" s="49"/>
      <c r="C65" s="72"/>
      <c r="D65" s="2"/>
      <c r="E65" s="3"/>
      <c r="F65" s="3"/>
      <c r="G65" s="3"/>
      <c r="H65" s="3"/>
      <c r="I65" s="1"/>
      <c r="J65" s="1"/>
    </row>
    <row r="66" spans="1:10" s="50" customFormat="1" ht="13" hidden="1">
      <c r="A66" s="49"/>
      <c r="B66" s="49"/>
      <c r="C66" s="72"/>
      <c r="D66" s="2"/>
      <c r="E66" s="3"/>
      <c r="F66" s="3"/>
      <c r="G66" s="3"/>
      <c r="H66" s="3"/>
      <c r="I66" s="1"/>
      <c r="J66" s="1"/>
    </row>
    <row r="67" spans="1:10" s="50" customFormat="1" ht="13" hidden="1">
      <c r="A67" s="49"/>
      <c r="B67" s="49"/>
      <c r="C67" s="72"/>
      <c r="D67" s="2"/>
      <c r="E67" s="3"/>
      <c r="F67" s="3"/>
      <c r="G67" s="3"/>
      <c r="H67" s="3"/>
      <c r="I67" s="1"/>
      <c r="J67" s="1"/>
    </row>
    <row r="68" spans="1:10" s="50" customFormat="1" ht="13" hidden="1">
      <c r="A68" s="49"/>
      <c r="B68" s="49"/>
      <c r="C68" s="72"/>
      <c r="D68" s="2"/>
      <c r="E68" s="3"/>
      <c r="F68" s="3"/>
      <c r="G68" s="3"/>
      <c r="H68" s="3"/>
      <c r="I68" s="1"/>
      <c r="J68" s="1"/>
    </row>
    <row r="69" spans="1:10" s="50" customFormat="1" ht="13" hidden="1">
      <c r="A69" s="49"/>
      <c r="B69" s="49"/>
      <c r="C69" s="72"/>
      <c r="D69" s="2"/>
      <c r="E69" s="3"/>
      <c r="F69" s="3"/>
      <c r="G69" s="3"/>
      <c r="H69" s="3"/>
      <c r="I69" s="1"/>
      <c r="J69" s="1"/>
    </row>
    <row r="70" spans="1:10" s="50" customFormat="1" ht="13" hidden="1">
      <c r="A70" s="49"/>
      <c r="B70" s="49"/>
      <c r="C70" s="72"/>
      <c r="D70" s="2"/>
      <c r="E70" s="3"/>
      <c r="F70" s="3"/>
      <c r="G70" s="3"/>
      <c r="H70" s="3"/>
      <c r="I70" s="1"/>
      <c r="J70" s="1"/>
    </row>
    <row r="71" spans="1:10" s="50" customFormat="1" ht="13" hidden="1">
      <c r="A71" s="49"/>
      <c r="B71" s="49"/>
      <c r="C71" s="72"/>
      <c r="D71" s="2"/>
      <c r="E71" s="3"/>
      <c r="F71" s="3"/>
      <c r="G71" s="3"/>
      <c r="H71" s="3"/>
      <c r="I71" s="1"/>
      <c r="J71" s="1"/>
    </row>
    <row r="72" spans="1:10" s="50" customFormat="1" ht="13" hidden="1">
      <c r="A72" s="49"/>
      <c r="B72" s="49"/>
      <c r="C72" s="72"/>
      <c r="D72" s="2"/>
      <c r="E72" s="3"/>
      <c r="F72" s="3"/>
      <c r="G72" s="3"/>
      <c r="H72" s="3"/>
      <c r="I72" s="1"/>
      <c r="J72" s="1"/>
    </row>
    <row r="73" spans="1:10" s="50" customFormat="1" ht="13" hidden="1">
      <c r="A73" s="49"/>
      <c r="B73" s="49"/>
      <c r="C73" s="72"/>
      <c r="D73" s="2"/>
      <c r="E73" s="3"/>
      <c r="F73" s="3"/>
      <c r="G73" s="3"/>
      <c r="H73" s="3"/>
      <c r="I73" s="1"/>
      <c r="J73" s="1"/>
    </row>
    <row r="74" spans="1:10" s="50" customFormat="1" ht="13" hidden="1">
      <c r="A74" s="49"/>
      <c r="B74" s="49"/>
      <c r="C74" s="72"/>
      <c r="D74" s="2"/>
      <c r="E74" s="3"/>
      <c r="F74" s="3"/>
      <c r="G74" s="3"/>
      <c r="H74" s="3"/>
      <c r="I74" s="1"/>
      <c r="J74" s="1"/>
    </row>
    <row r="75" spans="1:10" s="50" customFormat="1" ht="13" hidden="1">
      <c r="A75" s="49"/>
      <c r="B75" s="49"/>
      <c r="C75" s="72"/>
      <c r="D75" s="2"/>
      <c r="E75" s="3"/>
      <c r="F75" s="3"/>
      <c r="G75" s="3"/>
      <c r="H75" s="3"/>
      <c r="I75" s="1"/>
      <c r="J75" s="1"/>
    </row>
    <row r="76" spans="1:10" s="50" customFormat="1" ht="13" hidden="1">
      <c r="A76" s="49"/>
      <c r="B76" s="49"/>
      <c r="C76" s="72"/>
      <c r="D76" s="2"/>
      <c r="E76" s="3"/>
      <c r="F76" s="3"/>
      <c r="G76" s="3"/>
      <c r="H76" s="3"/>
      <c r="I76" s="1"/>
      <c r="J76" s="1"/>
    </row>
    <row r="77" spans="1:10" s="50" customFormat="1" ht="13" hidden="1">
      <c r="A77" s="49"/>
      <c r="B77" s="49"/>
      <c r="C77" s="72"/>
      <c r="D77" s="2"/>
      <c r="E77" s="3"/>
      <c r="F77" s="3"/>
      <c r="G77" s="3"/>
      <c r="H77" s="3"/>
      <c r="I77" s="1"/>
      <c r="J77" s="1"/>
    </row>
    <row r="78" spans="1:10" s="50" customFormat="1" ht="13" hidden="1">
      <c r="A78" s="49"/>
      <c r="B78" s="49"/>
      <c r="C78" s="72"/>
      <c r="D78" s="2"/>
      <c r="E78" s="3"/>
      <c r="F78" s="3"/>
      <c r="G78" s="3"/>
      <c r="H78" s="3"/>
      <c r="I78" s="1"/>
      <c r="J78" s="1"/>
    </row>
    <row r="79" spans="1:10" s="50" customFormat="1" ht="13" hidden="1">
      <c r="A79" s="49"/>
      <c r="B79" s="49"/>
      <c r="C79" s="72"/>
      <c r="D79" s="2"/>
      <c r="E79" s="3"/>
      <c r="F79" s="3"/>
      <c r="G79" s="3"/>
      <c r="H79" s="3"/>
      <c r="I79" s="1"/>
      <c r="J79" s="1"/>
    </row>
    <row r="80" spans="1:10" s="50" customFormat="1" ht="13" hidden="1">
      <c r="A80" s="49"/>
      <c r="B80" s="49"/>
      <c r="C80" s="72"/>
      <c r="D80" s="2"/>
      <c r="E80" s="3"/>
      <c r="F80" s="3"/>
      <c r="G80" s="3"/>
      <c r="H80" s="3"/>
      <c r="I80" s="1"/>
      <c r="J80" s="1"/>
    </row>
    <row r="81" spans="1:10" s="50" customFormat="1" ht="13" hidden="1">
      <c r="A81" s="49"/>
      <c r="B81" s="49"/>
      <c r="C81" s="72"/>
      <c r="D81" s="2"/>
      <c r="E81" s="3"/>
      <c r="F81" s="3"/>
      <c r="G81" s="3"/>
      <c r="H81" s="3"/>
      <c r="I81" s="1"/>
      <c r="J81" s="1"/>
    </row>
    <row r="82" spans="1:10" s="50" customFormat="1" ht="13" hidden="1">
      <c r="A82" s="49"/>
      <c r="B82" s="49"/>
      <c r="C82" s="72"/>
      <c r="D82" s="2"/>
      <c r="E82" s="3"/>
      <c r="F82" s="3"/>
      <c r="G82" s="3"/>
      <c r="H82" s="3"/>
      <c r="I82" s="1"/>
      <c r="J82" s="1"/>
    </row>
    <row r="83" spans="1:10" s="50" customFormat="1" ht="13" hidden="1">
      <c r="A83" s="49"/>
      <c r="B83" s="49"/>
      <c r="C83" s="72"/>
      <c r="D83" s="2"/>
      <c r="E83" s="3"/>
      <c r="F83" s="3"/>
      <c r="G83" s="3"/>
      <c r="H83" s="3"/>
      <c r="I83" s="1"/>
      <c r="J83" s="1"/>
    </row>
    <row r="84" spans="1:10" s="50" customFormat="1" ht="13" hidden="1">
      <c r="A84" s="49"/>
      <c r="B84" s="49"/>
      <c r="C84" s="72"/>
      <c r="D84" s="2"/>
      <c r="E84" s="3"/>
      <c r="F84" s="3"/>
      <c r="G84" s="3"/>
      <c r="H84" s="3"/>
      <c r="I84" s="1"/>
      <c r="J84" s="1"/>
    </row>
    <row r="85" spans="1:10" s="50" customFormat="1" ht="13" hidden="1">
      <c r="A85" s="49"/>
      <c r="B85" s="49"/>
      <c r="C85" s="72"/>
      <c r="D85" s="2"/>
      <c r="E85" s="3"/>
      <c r="F85" s="3"/>
      <c r="G85" s="3"/>
      <c r="H85" s="3"/>
      <c r="I85" s="1"/>
      <c r="J85" s="1"/>
    </row>
    <row r="86" spans="1:10" s="50" customFormat="1" ht="13" hidden="1">
      <c r="A86" s="49"/>
      <c r="B86" s="49"/>
      <c r="C86" s="72"/>
      <c r="D86" s="2"/>
      <c r="E86" s="3"/>
      <c r="F86" s="3"/>
      <c r="G86" s="3"/>
      <c r="H86" s="3"/>
      <c r="I86" s="1"/>
      <c r="J86" s="1"/>
    </row>
    <row r="87" spans="1:10" s="50" customFormat="1" ht="13" hidden="1">
      <c r="A87" s="49"/>
      <c r="B87" s="49"/>
      <c r="C87" s="72"/>
      <c r="D87" s="2"/>
      <c r="E87" s="3"/>
      <c r="F87" s="3"/>
      <c r="G87" s="3"/>
      <c r="H87" s="3"/>
      <c r="I87" s="1"/>
      <c r="J87" s="1"/>
    </row>
    <row r="88" spans="1:10" s="50" customFormat="1" ht="13" hidden="1">
      <c r="A88" s="49"/>
      <c r="B88" s="49"/>
      <c r="C88" s="72"/>
      <c r="D88" s="2"/>
      <c r="E88" s="3"/>
      <c r="F88" s="3"/>
      <c r="G88" s="3"/>
      <c r="H88" s="3"/>
      <c r="I88" s="1"/>
      <c r="J88" s="1"/>
    </row>
    <row r="89" spans="1:10" s="50" customFormat="1" ht="13" hidden="1">
      <c r="A89" s="49"/>
      <c r="B89" s="49"/>
      <c r="C89" s="72"/>
      <c r="D89" s="2"/>
      <c r="E89" s="3"/>
      <c r="F89" s="3"/>
      <c r="G89" s="3"/>
      <c r="H89" s="3"/>
      <c r="I89" s="1"/>
      <c r="J89" s="1"/>
    </row>
    <row r="90" spans="1:10" s="50" customFormat="1" ht="13" hidden="1">
      <c r="A90" s="49"/>
      <c r="B90" s="49"/>
      <c r="C90" s="72"/>
      <c r="D90" s="2"/>
      <c r="E90" s="3"/>
      <c r="F90" s="3"/>
      <c r="G90" s="3"/>
      <c r="H90" s="3"/>
      <c r="I90" s="1"/>
      <c r="J90" s="1"/>
    </row>
    <row r="91" spans="1:10" s="50" customFormat="1" ht="13" hidden="1">
      <c r="A91" s="49"/>
      <c r="B91" s="49"/>
      <c r="C91" s="72"/>
      <c r="D91" s="2"/>
      <c r="E91" s="3"/>
      <c r="F91" s="3"/>
      <c r="G91" s="3"/>
      <c r="H91" s="3"/>
      <c r="I91" s="1"/>
      <c r="J91" s="1"/>
    </row>
    <row r="92" spans="1:10" s="50" customFormat="1" ht="13" hidden="1">
      <c r="A92" s="49"/>
      <c r="B92" s="49"/>
      <c r="C92" s="72"/>
      <c r="D92" s="2"/>
      <c r="E92" s="3"/>
      <c r="F92" s="3"/>
      <c r="G92" s="3"/>
      <c r="H92" s="3"/>
      <c r="I92" s="1"/>
      <c r="J92" s="1"/>
    </row>
    <row r="93" spans="1:10" s="50" customFormat="1" ht="13" hidden="1">
      <c r="A93" s="49"/>
      <c r="B93" s="49"/>
      <c r="C93" s="72"/>
      <c r="D93" s="2"/>
      <c r="E93" s="3"/>
      <c r="F93" s="3"/>
      <c r="G93" s="3"/>
      <c r="H93" s="3"/>
      <c r="I93" s="1"/>
      <c r="J93" s="1"/>
    </row>
    <row r="94" spans="1:10" s="50" customFormat="1" ht="13" hidden="1">
      <c r="A94" s="49"/>
      <c r="B94" s="49"/>
      <c r="C94" s="72"/>
      <c r="D94" s="2"/>
      <c r="E94" s="3"/>
      <c r="F94" s="3"/>
      <c r="G94" s="3"/>
      <c r="H94" s="3"/>
      <c r="I94" s="1"/>
      <c r="J94" s="1"/>
    </row>
    <row r="95" spans="1:10" s="50" customFormat="1" ht="13" hidden="1">
      <c r="A95" s="49"/>
      <c r="B95" s="49"/>
      <c r="C95" s="72"/>
      <c r="D95" s="2"/>
      <c r="E95" s="3"/>
      <c r="F95" s="3"/>
      <c r="G95" s="3"/>
      <c r="H95" s="3"/>
      <c r="I95" s="1"/>
      <c r="J95" s="1"/>
    </row>
    <row r="96" spans="1:10" s="50" customFormat="1" ht="13" hidden="1">
      <c r="A96" s="49"/>
      <c r="B96" s="49"/>
      <c r="C96" s="72"/>
      <c r="D96" s="2"/>
      <c r="E96" s="3"/>
      <c r="F96" s="3"/>
      <c r="G96" s="3"/>
      <c r="H96" s="3"/>
      <c r="I96" s="1"/>
      <c r="J96" s="1"/>
    </row>
    <row r="97" spans="1:10" s="50" customFormat="1" ht="13" hidden="1">
      <c r="A97" s="49"/>
      <c r="B97" s="49"/>
      <c r="C97" s="72"/>
      <c r="D97" s="2"/>
      <c r="E97" s="3"/>
      <c r="F97" s="3"/>
      <c r="G97" s="3"/>
      <c r="H97" s="3"/>
      <c r="I97" s="1"/>
      <c r="J97" s="1"/>
    </row>
    <row r="98" spans="1:10" ht="0" hidden="1" customHeight="1"/>
    <row r="99" spans="1:10" ht="0" hidden="1" customHeight="1"/>
    <row r="100" spans="1:10" ht="0" hidden="1" customHeight="1"/>
    <row r="101" spans="1:10" ht="0" hidden="1" customHeight="1"/>
    <row r="102" spans="1:10" ht="0" hidden="1" customHeight="1"/>
    <row r="103" spans="1:10" ht="0" hidden="1" customHeight="1"/>
    <row r="104" spans="1:10" ht="0" hidden="1" customHeight="1"/>
    <row r="105" spans="1:10" ht="0" hidden="1" customHeight="1"/>
    <row r="106" spans="1:10" ht="0" hidden="1" customHeight="1"/>
    <row r="107" spans="1:10" ht="0" hidden="1" customHeight="1"/>
    <row r="108" spans="1:10" ht="0" hidden="1" customHeight="1"/>
    <row r="109" spans="1:10" ht="0" hidden="1" customHeight="1"/>
    <row r="110" spans="1:10" ht="0" hidden="1" customHeight="1"/>
    <row r="111" spans="1:10" ht="0" hidden="1" customHeight="1"/>
    <row r="112" spans="1:10" ht="0" hidden="1" customHeight="1"/>
    <row r="113" ht="0" hidden="1" customHeight="1"/>
    <row r="114" ht="0" hidden="1" customHeight="1"/>
    <row r="115" ht="0" hidden="1" customHeight="1"/>
    <row r="116" ht="0" hidden="1" customHeight="1"/>
    <row r="117" ht="0" hidden="1" customHeight="1"/>
    <row r="118" ht="0" hidden="1" customHeight="1"/>
    <row r="119" ht="0" hidden="1" customHeight="1"/>
    <row r="120" ht="0" hidden="1" customHeight="1"/>
    <row r="121" ht="0" hidden="1" customHeight="1"/>
    <row r="122" ht="0" hidden="1" customHeight="1"/>
    <row r="123" ht="0" hidden="1" customHeight="1"/>
    <row r="124" ht="0" hidden="1" customHeight="1"/>
    <row r="125" ht="0" hidden="1" customHeight="1"/>
    <row r="126" ht="0" hidden="1" customHeight="1"/>
    <row r="127" ht="0" hidden="1" customHeight="1"/>
    <row r="128" ht="0" hidden="1" customHeight="1"/>
    <row r="129" ht="0" hidden="1" customHeight="1"/>
    <row r="130" ht="0" hidden="1" customHeight="1"/>
    <row r="131" ht="0" hidden="1" customHeight="1"/>
    <row r="132" ht="0" hidden="1" customHeight="1"/>
    <row r="133" ht="0" hidden="1" customHeight="1"/>
    <row r="134" ht="0" hidden="1" customHeight="1"/>
    <row r="135" ht="0" hidden="1" customHeight="1"/>
    <row r="136" ht="0" hidden="1" customHeight="1"/>
    <row r="137" ht="0" hidden="1" customHeight="1"/>
    <row r="138" ht="0" hidden="1" customHeight="1"/>
    <row r="139" ht="0" hidden="1" customHeight="1"/>
    <row r="140" ht="0" hidden="1" customHeight="1"/>
    <row r="141" ht="0" hidden="1" customHeight="1"/>
    <row r="142" ht="0" hidden="1" customHeight="1"/>
    <row r="143" ht="0" hidden="1" customHeight="1"/>
    <row r="144" ht="0" hidden="1" customHeight="1"/>
    <row r="145" ht="0" hidden="1" customHeight="1"/>
    <row r="146" ht="0" hidden="1" customHeight="1"/>
    <row r="147" ht="0" hidden="1" customHeight="1"/>
    <row r="148" ht="0" hidden="1" customHeight="1"/>
    <row r="149" ht="0" hidden="1" customHeight="1"/>
    <row r="150" ht="0" hidden="1" customHeight="1"/>
    <row r="151" ht="0" hidden="1" customHeight="1"/>
    <row r="152" ht="0" hidden="1" customHeight="1"/>
    <row r="153" ht="0" hidden="1" customHeight="1"/>
    <row r="154" ht="0" hidden="1" customHeight="1"/>
    <row r="155" ht="0" hidden="1" customHeight="1"/>
    <row r="156" ht="0" hidden="1" customHeight="1"/>
    <row r="157" ht="0" hidden="1" customHeight="1"/>
    <row r="158" ht="0" hidden="1" customHeight="1"/>
    <row r="159" ht="0" hidden="1" customHeight="1"/>
    <row r="160" ht="0" hidden="1" customHeight="1"/>
    <row r="161" ht="0" hidden="1" customHeight="1"/>
    <row r="162" ht="0" hidden="1" customHeight="1"/>
    <row r="163" ht="0" hidden="1" customHeight="1"/>
    <row r="164" ht="0" hidden="1" customHeight="1"/>
    <row r="165" ht="0" hidden="1" customHeight="1"/>
    <row r="166" ht="0" hidden="1" customHeight="1"/>
    <row r="167" ht="0" hidden="1" customHeight="1"/>
    <row r="168" ht="0" hidden="1" customHeight="1"/>
    <row r="169" ht="0" hidden="1" customHeight="1"/>
    <row r="170" ht="0" hidden="1" customHeight="1"/>
    <row r="171" ht="0" hidden="1" customHeight="1"/>
    <row r="172" ht="0" hidden="1" customHeight="1"/>
    <row r="173" ht="0" hidden="1" customHeight="1"/>
    <row r="174" ht="0" hidden="1" customHeight="1"/>
    <row r="175" ht="0" hidden="1" customHeight="1"/>
    <row r="176" ht="0" hidden="1" customHeight="1"/>
    <row r="177" ht="0" hidden="1" customHeight="1"/>
    <row r="178" ht="0" hidden="1" customHeight="1"/>
    <row r="179" ht="0" hidden="1" customHeight="1"/>
    <row r="180" ht="0" hidden="1" customHeight="1"/>
    <row r="181" ht="0" hidden="1" customHeight="1"/>
    <row r="182" ht="0" hidden="1" customHeight="1"/>
    <row r="183" ht="0" hidden="1" customHeight="1"/>
    <row r="184" ht="0" hidden="1" customHeight="1"/>
    <row r="185" ht="0" hidden="1" customHeight="1"/>
    <row r="186" ht="0" hidden="1" customHeight="1"/>
    <row r="187" ht="0" hidden="1" customHeight="1"/>
    <row r="188" ht="0" hidden="1" customHeight="1"/>
    <row r="189" ht="0" hidden="1" customHeight="1"/>
    <row r="190" ht="0" hidden="1" customHeight="1"/>
    <row r="191" ht="0" hidden="1" customHeight="1"/>
    <row r="192" ht="0" hidden="1" customHeight="1"/>
    <row r="193" ht="0" hidden="1" customHeight="1"/>
    <row r="194" ht="0" hidden="1" customHeight="1"/>
    <row r="195" ht="0" hidden="1" customHeight="1"/>
    <row r="196" ht="0" hidden="1" customHeight="1"/>
    <row r="197" ht="0" hidden="1" customHeight="1"/>
    <row r="198" ht="0" hidden="1" customHeight="1"/>
    <row r="199" ht="0" hidden="1" customHeight="1"/>
    <row r="200" ht="0" hidden="1" customHeight="1"/>
    <row r="201" ht="0" hidden="1" customHeight="1"/>
    <row r="202" ht="0" hidden="1" customHeight="1"/>
    <row r="203" ht="0" hidden="1" customHeight="1"/>
    <row r="204" ht="0" hidden="1" customHeight="1"/>
    <row r="205" ht="0" hidden="1" customHeight="1"/>
    <row r="206" ht="0" hidden="1" customHeight="1"/>
    <row r="207" ht="0" hidden="1" customHeight="1"/>
    <row r="208" ht="0" hidden="1" customHeight="1"/>
    <row r="209" ht="0" hidden="1" customHeight="1"/>
    <row r="210" ht="0" hidden="1" customHeight="1"/>
    <row r="211" ht="0" hidden="1" customHeight="1"/>
    <row r="212" ht="0" hidden="1" customHeight="1"/>
    <row r="213" ht="0" hidden="1" customHeight="1"/>
    <row r="214" ht="0" hidden="1" customHeight="1"/>
    <row r="215" ht="0" hidden="1" customHeight="1"/>
    <row r="216" ht="0" hidden="1" customHeight="1"/>
    <row r="217" ht="0" hidden="1" customHeight="1"/>
    <row r="218" ht="0" hidden="1" customHeight="1"/>
    <row r="219" ht="0" hidden="1" customHeight="1"/>
    <row r="220" ht="0" hidden="1" customHeight="1"/>
    <row r="221" ht="0" hidden="1" customHeight="1"/>
    <row r="222" ht="0" hidden="1" customHeight="1"/>
    <row r="223" ht="0" hidden="1" customHeight="1"/>
    <row r="224" ht="0" hidden="1" customHeight="1"/>
    <row r="225" ht="0" hidden="1" customHeight="1"/>
    <row r="226" ht="0" hidden="1" customHeight="1"/>
    <row r="227" ht="0" hidden="1" customHeight="1"/>
    <row r="228" ht="0" hidden="1" customHeight="1"/>
    <row r="229" ht="0" hidden="1" customHeight="1"/>
    <row r="230" ht="0" hidden="1" customHeight="1"/>
    <row r="231" ht="0" hidden="1" customHeight="1"/>
    <row r="232" ht="0" hidden="1" customHeight="1"/>
    <row r="233" ht="0" hidden="1" customHeight="1"/>
    <row r="234" ht="0" hidden="1" customHeight="1"/>
    <row r="235" ht="0" hidden="1" customHeight="1"/>
    <row r="236" ht="0" hidden="1" customHeight="1"/>
    <row r="237" ht="0" hidden="1" customHeight="1"/>
    <row r="238" ht="0" hidden="1" customHeight="1"/>
    <row r="239" ht="0" hidden="1" customHeight="1"/>
    <row r="240" ht="0" hidden="1" customHeight="1"/>
    <row r="241" ht="0" hidden="1" customHeight="1"/>
    <row r="242" ht="0" hidden="1" customHeight="1"/>
    <row r="243" ht="0" hidden="1" customHeight="1"/>
    <row r="244" ht="0" hidden="1" customHeight="1"/>
    <row r="245" ht="0" hidden="1" customHeight="1"/>
    <row r="246" ht="0" hidden="1" customHeight="1"/>
    <row r="247" ht="0" hidden="1" customHeight="1"/>
    <row r="248" ht="0" hidden="1" customHeight="1"/>
    <row r="249" ht="0" hidden="1" customHeight="1"/>
    <row r="250" ht="0" hidden="1" customHeight="1"/>
    <row r="251" ht="0" hidden="1" customHeight="1"/>
    <row r="252" ht="0" hidden="1" customHeight="1"/>
    <row r="253" ht="0" hidden="1" customHeight="1"/>
    <row r="254" ht="0" hidden="1" customHeight="1"/>
    <row r="255" ht="0" hidden="1" customHeight="1"/>
    <row r="256" ht="0" hidden="1" customHeight="1"/>
    <row r="257" ht="0" hidden="1" customHeight="1"/>
    <row r="258" ht="0" hidden="1" customHeight="1"/>
    <row r="259" ht="0" hidden="1" customHeight="1"/>
    <row r="260" ht="0" hidden="1" customHeight="1"/>
    <row r="261" ht="0" hidden="1" customHeight="1"/>
    <row r="262" ht="0" hidden="1" customHeight="1"/>
    <row r="263" ht="0" hidden="1" customHeight="1"/>
    <row r="264" ht="0" hidden="1" customHeight="1"/>
    <row r="265" ht="0" hidden="1" customHeight="1"/>
    <row r="266" ht="0" hidden="1" customHeight="1"/>
    <row r="267" ht="0" hidden="1" customHeight="1"/>
    <row r="268" ht="0" hidden="1" customHeight="1"/>
    <row r="269" ht="0" hidden="1" customHeight="1"/>
    <row r="270" ht="0" hidden="1" customHeight="1"/>
    <row r="271" ht="0" hidden="1" customHeight="1"/>
    <row r="272" ht="0" hidden="1" customHeight="1"/>
    <row r="273" ht="0" hidden="1" customHeight="1"/>
    <row r="274" ht="0" hidden="1" customHeight="1"/>
    <row r="275" ht="0" hidden="1" customHeight="1"/>
    <row r="276" ht="0" hidden="1" customHeight="1"/>
    <row r="277" ht="0" hidden="1" customHeight="1"/>
    <row r="278" ht="0" hidden="1" customHeight="1"/>
    <row r="279" ht="0" hidden="1" customHeight="1"/>
    <row r="280" ht="0" hidden="1" customHeight="1"/>
    <row r="281" ht="0" hidden="1" customHeight="1"/>
    <row r="282" ht="0" hidden="1" customHeight="1"/>
    <row r="283" ht="0" hidden="1" customHeight="1"/>
    <row r="284" ht="0" hidden="1" customHeight="1"/>
    <row r="285" ht="0" hidden="1" customHeight="1"/>
    <row r="286" ht="0" hidden="1" customHeight="1"/>
    <row r="287" ht="0" hidden="1" customHeight="1"/>
    <row r="288" ht="0" hidden="1" customHeight="1"/>
    <row r="289" ht="0" hidden="1" customHeight="1"/>
    <row r="290" ht="0" hidden="1" customHeight="1"/>
    <row r="291" ht="0" hidden="1" customHeight="1"/>
    <row r="292" ht="0" hidden="1" customHeight="1"/>
    <row r="293" ht="0" hidden="1" customHeight="1"/>
    <row r="294" ht="0" hidden="1" customHeight="1"/>
    <row r="295" ht="0" hidden="1" customHeight="1"/>
    <row r="296" ht="0" hidden="1" customHeight="1"/>
    <row r="297" ht="0" hidden="1" customHeight="1"/>
    <row r="298" ht="0" hidden="1" customHeight="1"/>
    <row r="299" ht="0" hidden="1" customHeight="1"/>
    <row r="300" ht="0" hidden="1" customHeight="1"/>
    <row r="301" ht="0" hidden="1" customHeight="1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CFA27634154B40B8102708C18DA844" ma:contentTypeVersion="7" ma:contentTypeDescription="Utwórz nowy dokument." ma:contentTypeScope="" ma:versionID="37a60ade6092efe2d59195f029661272">
  <xsd:schema xmlns:xsd="http://www.w3.org/2001/XMLSchema" xmlns:xs="http://www.w3.org/2001/XMLSchema" xmlns:p="http://schemas.microsoft.com/office/2006/metadata/properties" xmlns:ns2="77f03e4c-c2b3-413a-b8a7-5ee0243de917" xmlns:ns3="be2565ef-be19-4ba5-89e0-bb09d971aca2" targetNamespace="http://schemas.microsoft.com/office/2006/metadata/properties" ma:root="true" ma:fieldsID="768fe6b3ca6712c2063cce5f92c16fd7" ns2:_="" ns3:_="">
    <xsd:import namespace="77f03e4c-c2b3-413a-b8a7-5ee0243de917"/>
    <xsd:import namespace="be2565ef-be19-4ba5-89e0-bb09d971aca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03e4c-c2b3-413a-b8a7-5ee0243de9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565ef-be19-4ba5-89e0-bb09d971a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A14DB0-0673-45CB-96C6-55E0B4C45E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512E95-429C-4B7C-BD5D-002C3251F9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43AB0-4856-4654-903D-DA71D87AA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f03e4c-c2b3-413a-b8a7-5ee0243de917"/>
    <ds:schemaRef ds:uri="be2565ef-be19-4ba5-89e0-bb09d971a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basic</vt:lpstr>
      <vt:lpstr>kosztorys</vt:lpstr>
      <vt:lpstr>2. Harmonogram i budżet</vt:lpstr>
      <vt:lpstr>3. Inwestycja referencyjna_old</vt:lpstr>
      <vt:lpstr>zalozenia</vt:lpstr>
      <vt:lpstr>sprawozdanie</vt:lpstr>
      <vt:lpstr>6. Rachunek inwestycyjny</vt:lpstr>
      <vt:lpstr>7. Uniknięte emisje</vt:lpstr>
      <vt:lpstr>8. Wykresy</vt:lpstr>
      <vt:lpstr>8. Strategia aukcyjna</vt:lpstr>
      <vt:lpstr>kalkulator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Piotr Kwiatkowski</cp:lastModifiedBy>
  <dcterms:created xsi:type="dcterms:W3CDTF">2015-10-10T19:38:46Z</dcterms:created>
  <dcterms:modified xsi:type="dcterms:W3CDTF">2019-04-18T14:14:47Z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0x010100DCCFA27634154B40B8102708C18DA844</vt:lpwstr>
  </property>
</Properties>
</file>