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1" documentId="13_ncr:1_{B4843701-A45C-4D34-819A-7F21A3FFC0CC}" xr6:coauthVersionLast="47" xr6:coauthVersionMax="47" xr10:uidLastSave="{2895DFD3-E118-432B-A330-746053FC0AE5}"/>
  <bookViews>
    <workbookView xWindow="-108" yWindow="-108" windowWidth="23256" windowHeight="12456" firstSheet="4" activeTab="8" xr2:uid="{00000000-000D-0000-FFFF-FFFF00000000}"/>
  </bookViews>
  <sheets>
    <sheet name="The Data" sheetId="1" r:id="rId1"/>
    <sheet name="Nomadic (small)" sheetId="4" r:id="rId2"/>
    <sheet name="Integrated (small)" sheetId="5" r:id="rId3"/>
    <sheet name="Nomadic (extended)" sheetId="7" r:id="rId4"/>
    <sheet name="Integrated (extended)" sheetId="6" r:id="rId5"/>
    <sheet name="Frequencies" sheetId="8" r:id="rId6"/>
    <sheet name="Descriptive Stats" sheetId="3" r:id="rId7"/>
    <sheet name="Mean Comparisons" sheetId="2" r:id="rId8"/>
    <sheet name="Blad1" sheetId="9" r:id="rId9"/>
  </sheets>
  <definedNames>
    <definedName name="_xlnm._FilterDatabase" localSheetId="1" hidden="1">'Nomadic (small)'!$C$1:$C$29</definedName>
    <definedName name="_xlnm._FilterDatabase" localSheetId="0" hidden="1">'The Data'!$A$1:$H$1</definedName>
    <definedName name="distraction_awareness">'The Data'!$D:$D</definedName>
    <definedName name="distraction_glance_duration">'The Data'!$H:$H</definedName>
    <definedName name="distraction_glance_frequency">'The Data'!$G:$G</definedName>
    <definedName name="distraction_manual">'The Data'!$C:$C</definedName>
    <definedName name="distraction_mental_load">'The Data'!$F:$F</definedName>
    <definedName name="distraction_shift_focus">'The Data'!$E:$E</definedName>
    <definedName name="ie_distraction_awareness">'Integrated (extended)'!$D:$D</definedName>
    <definedName name="ie_distraction_glance_duration">'Integrated (extended)'!$H:$H</definedName>
    <definedName name="ie_distraction_glance_frequency">'Integrated (extended)'!$G:$G</definedName>
    <definedName name="ie_distraction_manual">'Integrated (extended)'!$C:$C</definedName>
    <definedName name="ie_distraction_mental_load">'Integrated (extended)'!$F:$F</definedName>
    <definedName name="ie_distraction_shift_focus">'Integrated (extended)'!$E:$E</definedName>
    <definedName name="is_distraction_awareness">'Integrated (small)'!$D:$D</definedName>
    <definedName name="is_distraction_glance_duration">'Integrated (small)'!$H:$H</definedName>
    <definedName name="is_distraction_glance_frequency">'Integrated (small)'!$G:$G</definedName>
    <definedName name="is_distraction_manual">'Integrated (small)'!$C:$C</definedName>
    <definedName name="is_distraction_mental_load">'Integrated (small)'!$F:$F</definedName>
    <definedName name="is_distraction_shift_focus">'Integrated (small)'!$E:$E</definedName>
    <definedName name="ne_distraction_awareness">'Nomadic (extended)'!$D:$D</definedName>
    <definedName name="ne_distraction_glance_duration">'Nomadic (extended)'!$H:$H</definedName>
    <definedName name="ne_distraction_glance_frequency">'Nomadic (extended)'!$G:$G</definedName>
    <definedName name="ne_distraction_manual">'Nomadic (extended)'!$C:$C</definedName>
    <definedName name="ne_distraction_mental_load">'Nomadic (extended)'!$F:$F</definedName>
    <definedName name="ne_distraction_shift_focus">'Nomadic (extended)'!$E:$E</definedName>
    <definedName name="ns_distraction_awareness">'Nomadic (small)'!$D:$D</definedName>
    <definedName name="ns_distraction_glance_duration">'Nomadic (small)'!$H:$H</definedName>
    <definedName name="ns_distraction_glance_frequency">'Nomadic (small)'!$G:$G</definedName>
    <definedName name="ns_distraction_manual">'Nomadic (small)'!$C:$C</definedName>
    <definedName name="ns_distraction_mental_load">'Nomadic (small)'!$F:$F</definedName>
    <definedName name="ns_distraction_shift_focus">'Nomadic (small)'!$E:$E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B8" i="2"/>
  <c r="B7" i="2"/>
  <c r="B6" i="2"/>
  <c r="B5" i="2"/>
  <c r="B4" i="2"/>
  <c r="B3" i="2"/>
  <c r="C3" i="2"/>
  <c r="C30" i="8" l="1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B35" i="8"/>
  <c r="B34" i="8"/>
  <c r="B33" i="8"/>
  <c r="B32" i="8"/>
  <c r="B31" i="8"/>
  <c r="B30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B28" i="8"/>
  <c r="B27" i="8"/>
  <c r="B26" i="8"/>
  <c r="B25" i="8"/>
  <c r="B24" i="8"/>
  <c r="B23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B21" i="8"/>
  <c r="B20" i="8"/>
  <c r="B19" i="8"/>
  <c r="B18" i="8"/>
  <c r="B17" i="8"/>
  <c r="B16" i="8"/>
  <c r="F11" i="8"/>
  <c r="C9" i="8"/>
  <c r="D9" i="8"/>
  <c r="E9" i="8"/>
  <c r="F9" i="8"/>
  <c r="C10" i="8"/>
  <c r="D10" i="8"/>
  <c r="E10" i="8"/>
  <c r="F10" i="8"/>
  <c r="C11" i="8"/>
  <c r="D11" i="8"/>
  <c r="E11" i="8"/>
  <c r="C12" i="8"/>
  <c r="D12" i="8"/>
  <c r="E12" i="8"/>
  <c r="F12" i="8"/>
  <c r="C13" i="8"/>
  <c r="D13" i="8"/>
  <c r="E13" i="8"/>
  <c r="F13" i="8"/>
  <c r="C14" i="8"/>
  <c r="D14" i="8"/>
  <c r="E14" i="8"/>
  <c r="F14" i="8"/>
  <c r="B14" i="8"/>
  <c r="B13" i="8"/>
  <c r="B12" i="8"/>
  <c r="B11" i="8"/>
  <c r="B10" i="8"/>
  <c r="B9" i="8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B7" i="8"/>
  <c r="B6" i="8"/>
  <c r="B5" i="8"/>
  <c r="B4" i="8"/>
  <c r="B3" i="8"/>
  <c r="C2" i="8"/>
  <c r="D2" i="8"/>
  <c r="E2" i="8"/>
  <c r="F2" i="8"/>
  <c r="B2" i="8"/>
  <c r="G28" i="3"/>
  <c r="G27" i="3"/>
  <c r="G26" i="3"/>
  <c r="G25" i="3"/>
  <c r="G24" i="3"/>
  <c r="G23" i="3"/>
  <c r="G14" i="3"/>
  <c r="G13" i="3"/>
  <c r="G12" i="3"/>
  <c r="G11" i="3"/>
  <c r="G10" i="3"/>
  <c r="G9" i="3"/>
  <c r="H9" i="3"/>
  <c r="E7" i="3"/>
  <c r="E6" i="3"/>
  <c r="E5" i="3"/>
  <c r="E4" i="3"/>
  <c r="E3" i="3"/>
  <c r="E2" i="3"/>
  <c r="D7" i="3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  <c r="H28" i="3"/>
  <c r="H27" i="3"/>
  <c r="H26" i="3"/>
  <c r="H25" i="3"/>
  <c r="H24" i="3"/>
  <c r="H23" i="3"/>
  <c r="H14" i="3"/>
  <c r="H13" i="3"/>
  <c r="H12" i="3"/>
  <c r="H11" i="3"/>
  <c r="H10" i="3"/>
  <c r="F23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F25" i="3" s="1"/>
  <c r="B32" i="3"/>
  <c r="E31" i="3"/>
  <c r="D31" i="3"/>
  <c r="C31" i="3"/>
  <c r="B31" i="3"/>
  <c r="E30" i="3"/>
  <c r="D30" i="3"/>
  <c r="C30" i="3"/>
  <c r="B30" i="3"/>
  <c r="E21" i="3"/>
  <c r="E20" i="3"/>
  <c r="E19" i="3"/>
  <c r="E18" i="3"/>
  <c r="E17" i="3"/>
  <c r="E16" i="3"/>
  <c r="E14" i="3"/>
  <c r="E13" i="3"/>
  <c r="E12" i="3"/>
  <c r="E11" i="3"/>
  <c r="E9" i="3"/>
  <c r="E10" i="3"/>
  <c r="D21" i="3"/>
  <c r="D20" i="3"/>
  <c r="D19" i="3"/>
  <c r="D18" i="3"/>
  <c r="D17" i="3"/>
  <c r="D16" i="3"/>
  <c r="D14" i="3"/>
  <c r="D13" i="3"/>
  <c r="D12" i="3"/>
  <c r="D11" i="3"/>
  <c r="D10" i="3"/>
  <c r="D9" i="3"/>
  <c r="C21" i="3"/>
  <c r="C20" i="3"/>
  <c r="C19" i="3"/>
  <c r="C18" i="3"/>
  <c r="C17" i="3"/>
  <c r="C16" i="3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B21" i="3"/>
  <c r="B20" i="3"/>
  <c r="B19" i="3"/>
  <c r="B18" i="3"/>
  <c r="B17" i="3"/>
  <c r="B16" i="3"/>
  <c r="B14" i="3"/>
  <c r="B13" i="3"/>
  <c r="B12" i="3"/>
  <c r="B11" i="3"/>
  <c r="B10" i="3"/>
  <c r="B9" i="3"/>
  <c r="F24" i="3" l="1"/>
  <c r="F26" i="3"/>
  <c r="F28" i="3"/>
  <c r="F27" i="3"/>
</calcChain>
</file>

<file path=xl/sharedStrings.xml><?xml version="1.0" encoding="utf-8"?>
<sst xmlns="http://schemas.openxmlformats.org/spreadsheetml/2006/main" count="499" uniqueCount="32">
  <si>
    <t>navigation_system_type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</si>
  <si>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</si>
  <si>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</si>
  <si>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</si>
  <si>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</si>
  <si>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</si>
  <si>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</si>
  <si>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</si>
  <si>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</si>
  <si>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</si>
  <si>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</si>
  <si>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</si>
  <si>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group</t>
  </si>
  <si>
    <t>nomadic</t>
  </si>
  <si>
    <t>integrated</t>
  </si>
  <si>
    <t>Mean</t>
  </si>
  <si>
    <t>Variance</t>
  </si>
  <si>
    <t>Sample size</t>
  </si>
  <si>
    <t>Standard Deviation</t>
  </si>
  <si>
    <t>Nomadic (small)</t>
  </si>
  <si>
    <t>Integrated (small)</t>
  </si>
  <si>
    <t>Nomadic (extended)</t>
  </si>
  <si>
    <t>Integrated (extended)</t>
  </si>
  <si>
    <t>Variance Difference</t>
  </si>
  <si>
    <t>Covariance</t>
  </si>
  <si>
    <t>F-test</t>
  </si>
  <si>
    <t>Total set</t>
  </si>
  <si>
    <t>p(Small)</t>
  </si>
  <si>
    <t>p(Extended)</t>
  </si>
  <si>
    <t>Variables</t>
  </si>
  <si>
    <t>T-Test</t>
  </si>
  <si>
    <t>Mann-Whitney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</si>
</sst>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2" fontId="0" fillId="3" borderId="1" xfId="0" applyNumberFormat="1" applyFill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2" borderId="5" xfId="0" applyFill="1" applyBorder="1"/>
    <xf numFmtId="164" fontId="0" fillId="0" borderId="1" xfId="0" applyNumberFormat="1" applyBorder="1"/>
    <xf numFmtId="0" fontId="0" fillId="4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Standaard" xfId="0" builtinId="0"/>
  </cellStyles>
  <dxfs count="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</a:t>
            </a:r>
            <a:r>
              <a:rPr lang="nl-NL" baseline="0"/>
              <a:t> Nomadic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Frequencies!$B$10:$F$10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1EE-8A62-8CEAFB92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266224"/>
        <c:axId val="1034268144"/>
      </c:barChart>
      <c:catAx>
        <c:axId val="10342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8144"/>
        <c:crosses val="autoZero"/>
        <c:auto val="1"/>
        <c:lblAlgn val="ctr"/>
        <c:lblOffset val="100"/>
        <c:noMultiLvlLbl val="0"/>
      </c:catAx>
      <c:valAx>
        <c:axId val="103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 Integrated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Frequencies!$B$17:$F$17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10F-87FC-625ADC62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95712"/>
        <c:axId val="1034198112"/>
      </c:barChart>
      <c:catAx>
        <c:axId val="10341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8112"/>
        <c:crosses val="autoZero"/>
        <c:auto val="1"/>
        <c:lblAlgn val="ctr"/>
        <c:lblOffset val="100"/>
        <c:noMultiLvlLbl val="0"/>
      </c:catAx>
      <c:valAx>
        <c:axId val="1034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80962</xdr:rowOff>
    </xdr:from>
    <xdr:to>
      <xdr:col>14</xdr:col>
      <xdr:colOff>228600</xdr:colOff>
      <xdr:row>16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AA68F20-381E-F7DD-99C9-D5C2E378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17</xdr:row>
      <xdr:rowOff>100012</xdr:rowOff>
    </xdr:from>
    <xdr:to>
      <xdr:col>14</xdr:col>
      <xdr:colOff>238125</xdr:colOff>
      <xdr:row>31</xdr:row>
      <xdr:rowOff>176212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5563EE4-781A-40B2-80D2-E48E4C6A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/>
  </sheetViews>
  <sheetFormatPr defaultRowHeight="14.4" x14ac:dyDescent="0.3"/>
  <cols>
    <col min="1" max="1" width="66.33203125" customWidth="1"/>
    <col min="2" max="2" width="15.88671875" customWidth="1"/>
    <col min="3" max="8" width="31.33203125" customWidth="1"/>
  </cols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3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3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3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3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3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3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3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3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3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3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3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3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3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3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3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3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3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3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3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3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3">
      <c r="A27" t="s">
        <v>8</v>
      </c>
      <c r="B27" t="s">
        <v>14</v>
      </c>
      <c r="C27">
        <v>1</v>
      </c>
      <c r="D27">
        <v>1</v>
      </c>
      <c r="E27">
        <v>1</v>
      </c>
      <c r="G27">
        <v>1</v>
      </c>
      <c r="H27">
        <v>1</v>
      </c>
    </row>
    <row r="28" spans="1:8" x14ac:dyDescent="0.3">
      <c r="A28" t="s">
        <v>8</v>
      </c>
      <c r="B28" t="s">
        <v>14</v>
      </c>
      <c r="C28">
        <v>0</v>
      </c>
      <c r="D28">
        <v>2</v>
      </c>
      <c r="E28">
        <v>1</v>
      </c>
      <c r="F28">
        <v>0</v>
      </c>
      <c r="G28">
        <v>2</v>
      </c>
      <c r="H28">
        <v>0</v>
      </c>
    </row>
    <row r="29" spans="1:8" x14ac:dyDescent="0.3">
      <c r="A29" t="s">
        <v>8</v>
      </c>
      <c r="B29" t="s">
        <v>14</v>
      </c>
      <c r="C29">
        <v>2</v>
      </c>
      <c r="D29">
        <v>4</v>
      </c>
      <c r="E29">
        <v>2</v>
      </c>
      <c r="F29">
        <v>2</v>
      </c>
      <c r="G29">
        <v>2</v>
      </c>
      <c r="H29">
        <v>3</v>
      </c>
    </row>
    <row r="30" spans="1:8" x14ac:dyDescent="0.3">
      <c r="A30" t="s">
        <v>8</v>
      </c>
      <c r="B30" t="s">
        <v>14</v>
      </c>
      <c r="C30">
        <v>3</v>
      </c>
      <c r="D30">
        <v>3</v>
      </c>
      <c r="E30">
        <v>3</v>
      </c>
      <c r="F30">
        <v>0</v>
      </c>
      <c r="G30">
        <v>2</v>
      </c>
      <c r="H30">
        <v>2</v>
      </c>
    </row>
    <row r="31" spans="1:8" x14ac:dyDescent="0.3">
      <c r="A31" t="s">
        <v>8</v>
      </c>
      <c r="B31" t="s">
        <v>14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</row>
    <row r="32" spans="1:8" x14ac:dyDescent="0.3">
      <c r="A32" t="s">
        <v>8</v>
      </c>
      <c r="B32" t="s">
        <v>14</v>
      </c>
      <c r="C32">
        <v>2</v>
      </c>
      <c r="D32">
        <v>1</v>
      </c>
      <c r="E32">
        <v>1</v>
      </c>
      <c r="F32">
        <v>1</v>
      </c>
      <c r="G32">
        <v>1</v>
      </c>
      <c r="H32">
        <v>2</v>
      </c>
    </row>
    <row r="33" spans="1:8" x14ac:dyDescent="0.3">
      <c r="A33" t="s">
        <v>9</v>
      </c>
      <c r="B33" t="s">
        <v>13</v>
      </c>
      <c r="C33">
        <v>1</v>
      </c>
      <c r="D33">
        <v>3</v>
      </c>
      <c r="E33">
        <v>1</v>
      </c>
      <c r="F33">
        <v>1</v>
      </c>
      <c r="G33">
        <v>1</v>
      </c>
      <c r="H33">
        <v>2</v>
      </c>
    </row>
    <row r="34" spans="1:8" x14ac:dyDescent="0.3">
      <c r="A34" t="s">
        <v>9</v>
      </c>
      <c r="B34" t="s">
        <v>13</v>
      </c>
      <c r="C34">
        <v>1</v>
      </c>
      <c r="D34">
        <v>2</v>
      </c>
      <c r="E34">
        <v>0</v>
      </c>
      <c r="F34">
        <v>1</v>
      </c>
      <c r="G34">
        <v>2</v>
      </c>
      <c r="H34">
        <v>0</v>
      </c>
    </row>
    <row r="35" spans="1:8" x14ac:dyDescent="0.3">
      <c r="A35" t="s">
        <v>9</v>
      </c>
      <c r="B35" t="s">
        <v>13</v>
      </c>
      <c r="C35">
        <v>0</v>
      </c>
      <c r="D35">
        <v>2</v>
      </c>
      <c r="E35">
        <v>1</v>
      </c>
      <c r="F35">
        <v>1</v>
      </c>
      <c r="G35">
        <v>1</v>
      </c>
      <c r="H35">
        <v>1</v>
      </c>
    </row>
    <row r="36" spans="1:8" x14ac:dyDescent="0.3">
      <c r="A36" t="s">
        <v>9</v>
      </c>
      <c r="B36" t="s">
        <v>13</v>
      </c>
      <c r="C36">
        <v>1</v>
      </c>
      <c r="D36">
        <v>3</v>
      </c>
      <c r="E36">
        <v>1</v>
      </c>
      <c r="F36">
        <v>2</v>
      </c>
      <c r="G36">
        <v>1</v>
      </c>
      <c r="H36">
        <v>1</v>
      </c>
    </row>
    <row r="37" spans="1:8" x14ac:dyDescent="0.3">
      <c r="A37" t="s">
        <v>9</v>
      </c>
      <c r="B37" t="s">
        <v>13</v>
      </c>
      <c r="C37">
        <v>0</v>
      </c>
      <c r="D37">
        <v>2</v>
      </c>
      <c r="E37">
        <v>0</v>
      </c>
      <c r="F37">
        <v>0</v>
      </c>
      <c r="G37">
        <v>0</v>
      </c>
      <c r="H37">
        <v>1</v>
      </c>
    </row>
    <row r="38" spans="1:8" x14ac:dyDescent="0.3">
      <c r="A38" t="s">
        <v>9</v>
      </c>
      <c r="B38" t="s">
        <v>13</v>
      </c>
      <c r="C38">
        <v>2</v>
      </c>
      <c r="D38">
        <v>3</v>
      </c>
      <c r="E38">
        <v>2</v>
      </c>
      <c r="F38">
        <v>2</v>
      </c>
      <c r="G38">
        <v>2</v>
      </c>
      <c r="H38">
        <v>2</v>
      </c>
    </row>
    <row r="39" spans="1:8" x14ac:dyDescent="0.3">
      <c r="A39" t="s">
        <v>9</v>
      </c>
      <c r="B39" t="s">
        <v>13</v>
      </c>
      <c r="C39">
        <v>2</v>
      </c>
      <c r="D39">
        <v>2</v>
      </c>
      <c r="E39">
        <v>2</v>
      </c>
      <c r="F39">
        <v>0</v>
      </c>
      <c r="G39">
        <v>2</v>
      </c>
      <c r="H39">
        <v>3</v>
      </c>
    </row>
    <row r="40" spans="1:8" x14ac:dyDescent="0.3">
      <c r="A40" t="s">
        <v>9</v>
      </c>
      <c r="B40" t="s">
        <v>13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3">
      <c r="A41" t="s">
        <v>9</v>
      </c>
      <c r="B41" t="s">
        <v>13</v>
      </c>
      <c r="C41">
        <v>1</v>
      </c>
      <c r="D41">
        <v>1</v>
      </c>
      <c r="E41">
        <v>1</v>
      </c>
      <c r="F41">
        <v>1</v>
      </c>
      <c r="G41">
        <v>1</v>
      </c>
      <c r="H41">
        <v>2</v>
      </c>
    </row>
    <row r="42" spans="1:8" x14ac:dyDescent="0.3">
      <c r="A42" t="s">
        <v>9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 x14ac:dyDescent="0.3">
      <c r="A43" t="s">
        <v>9</v>
      </c>
      <c r="B43" t="s">
        <v>13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9</v>
      </c>
      <c r="B44" t="s">
        <v>13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</row>
    <row r="45" spans="1:8" x14ac:dyDescent="0.3">
      <c r="A45" t="s">
        <v>9</v>
      </c>
      <c r="B45" t="s">
        <v>13</v>
      </c>
      <c r="C45">
        <v>1</v>
      </c>
      <c r="D45">
        <v>2</v>
      </c>
      <c r="E45">
        <v>1</v>
      </c>
      <c r="F45">
        <v>2</v>
      </c>
      <c r="G45">
        <v>1</v>
      </c>
      <c r="H45">
        <v>1</v>
      </c>
    </row>
    <row r="46" spans="1:8" x14ac:dyDescent="0.3">
      <c r="A46" t="s">
        <v>9</v>
      </c>
      <c r="B46" t="s">
        <v>13</v>
      </c>
      <c r="C46">
        <v>3</v>
      </c>
      <c r="D46">
        <v>3</v>
      </c>
      <c r="E46">
        <v>3</v>
      </c>
      <c r="F46">
        <v>1</v>
      </c>
      <c r="G46">
        <v>1</v>
      </c>
      <c r="H46">
        <v>1</v>
      </c>
    </row>
    <row r="47" spans="1:8" x14ac:dyDescent="0.3">
      <c r="A47" t="s">
        <v>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  <row r="48" spans="1:8" x14ac:dyDescent="0.3">
      <c r="A48" t="s">
        <v>9</v>
      </c>
      <c r="B48" t="s">
        <v>13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1:8" x14ac:dyDescent="0.3">
      <c r="A49" t="s">
        <v>9</v>
      </c>
      <c r="B49" t="s">
        <v>13</v>
      </c>
      <c r="C49">
        <v>1</v>
      </c>
      <c r="D49">
        <v>2</v>
      </c>
      <c r="E49">
        <v>2</v>
      </c>
      <c r="F49">
        <v>1</v>
      </c>
      <c r="G49">
        <v>3</v>
      </c>
      <c r="H49">
        <v>2</v>
      </c>
    </row>
    <row r="50" spans="1:8" x14ac:dyDescent="0.3">
      <c r="A50" t="s">
        <v>9</v>
      </c>
      <c r="B50" t="s">
        <v>13</v>
      </c>
      <c r="C50">
        <v>2</v>
      </c>
      <c r="D50">
        <v>1</v>
      </c>
      <c r="E50">
        <v>2</v>
      </c>
      <c r="F50">
        <v>0</v>
      </c>
      <c r="G50">
        <v>1</v>
      </c>
      <c r="H50">
        <v>2</v>
      </c>
    </row>
    <row r="51" spans="1:8" x14ac:dyDescent="0.3">
      <c r="A51" t="s">
        <v>9</v>
      </c>
      <c r="B51" t="s">
        <v>13</v>
      </c>
      <c r="C51">
        <v>0</v>
      </c>
      <c r="D51">
        <v>1</v>
      </c>
      <c r="E51">
        <v>2</v>
      </c>
      <c r="F51">
        <v>0</v>
      </c>
      <c r="G51">
        <v>2</v>
      </c>
      <c r="H51">
        <v>1</v>
      </c>
    </row>
    <row r="52" spans="1:8" x14ac:dyDescent="0.3">
      <c r="A52" t="s">
        <v>9</v>
      </c>
      <c r="B52" t="s">
        <v>13</v>
      </c>
      <c r="C52">
        <v>1</v>
      </c>
      <c r="D52">
        <v>2</v>
      </c>
      <c r="E52">
        <v>1</v>
      </c>
      <c r="F52">
        <v>0</v>
      </c>
      <c r="G52">
        <v>2</v>
      </c>
      <c r="H52">
        <v>1</v>
      </c>
    </row>
    <row r="53" spans="1:8" x14ac:dyDescent="0.3">
      <c r="A53" t="s">
        <v>9</v>
      </c>
      <c r="B53" t="s">
        <v>13</v>
      </c>
      <c r="C53">
        <v>2</v>
      </c>
      <c r="D53">
        <v>1</v>
      </c>
      <c r="E53">
        <v>1</v>
      </c>
      <c r="F53">
        <v>0</v>
      </c>
      <c r="G53">
        <v>3</v>
      </c>
      <c r="H53">
        <v>2</v>
      </c>
    </row>
    <row r="54" spans="1:8" x14ac:dyDescent="0.3">
      <c r="A54" t="s">
        <v>9</v>
      </c>
      <c r="B54" t="s">
        <v>13</v>
      </c>
      <c r="C54">
        <v>2</v>
      </c>
      <c r="D54">
        <v>1</v>
      </c>
      <c r="E54">
        <v>1</v>
      </c>
      <c r="F54">
        <v>1</v>
      </c>
      <c r="G54">
        <v>1</v>
      </c>
      <c r="H54">
        <v>2</v>
      </c>
    </row>
    <row r="55" spans="1:8" x14ac:dyDescent="0.3">
      <c r="A55" t="s">
        <v>9</v>
      </c>
      <c r="B55" t="s">
        <v>13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</row>
    <row r="56" spans="1:8" x14ac:dyDescent="0.3">
      <c r="A56" t="s">
        <v>9</v>
      </c>
      <c r="B56" t="s">
        <v>13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3">
      <c r="A57" t="s">
        <v>9</v>
      </c>
      <c r="B57" t="s">
        <v>13</v>
      </c>
      <c r="C57">
        <v>2</v>
      </c>
      <c r="D57">
        <v>2</v>
      </c>
      <c r="E57">
        <v>3</v>
      </c>
      <c r="F57">
        <v>2</v>
      </c>
      <c r="G57">
        <v>2</v>
      </c>
      <c r="H57">
        <v>1</v>
      </c>
    </row>
    <row r="58" spans="1:8" x14ac:dyDescent="0.3">
      <c r="A58" t="s">
        <v>9</v>
      </c>
      <c r="B58" t="s">
        <v>13</v>
      </c>
      <c r="C58">
        <v>1</v>
      </c>
      <c r="D58">
        <v>1</v>
      </c>
      <c r="E58">
        <v>2</v>
      </c>
      <c r="F58">
        <v>2</v>
      </c>
      <c r="G58">
        <v>1</v>
      </c>
      <c r="H58">
        <v>3</v>
      </c>
    </row>
    <row r="59" spans="1:8" x14ac:dyDescent="0.3">
      <c r="A59" t="s">
        <v>9</v>
      </c>
      <c r="B59" t="s">
        <v>13</v>
      </c>
      <c r="C59">
        <v>2</v>
      </c>
      <c r="D59">
        <v>3</v>
      </c>
      <c r="E59">
        <v>1</v>
      </c>
      <c r="F59">
        <v>1</v>
      </c>
      <c r="G59">
        <v>2</v>
      </c>
      <c r="H59">
        <v>1</v>
      </c>
    </row>
    <row r="60" spans="1:8" x14ac:dyDescent="0.3">
      <c r="A60" t="s">
        <v>9</v>
      </c>
      <c r="B60" t="s">
        <v>13</v>
      </c>
      <c r="C60">
        <v>2</v>
      </c>
      <c r="D60">
        <v>1</v>
      </c>
      <c r="E60">
        <v>1</v>
      </c>
      <c r="F60">
        <v>0</v>
      </c>
      <c r="G60">
        <v>1</v>
      </c>
      <c r="H60">
        <v>2</v>
      </c>
    </row>
    <row r="61" spans="1:8" x14ac:dyDescent="0.3">
      <c r="A61" t="s">
        <v>11</v>
      </c>
      <c r="B61" t="s">
        <v>13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3">
      <c r="A62" t="s">
        <v>11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</row>
  </sheetData>
  <autoFilter ref="A1:H1" xr:uid="{00000000-0001-0000-0000-000000000000}">
    <sortState xmlns:xlrd2="http://schemas.microsoft.com/office/spreadsheetml/2017/richdata2" ref="A2:H6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6006-4935-40AF-A189-300E83354B02}">
  <dimension ref="A1:H29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3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3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3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3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3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3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3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3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3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3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3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3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3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3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3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3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3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3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3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3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3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3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3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D182-C923-40BA-A221-AD22CEAB87C7}">
  <dimension ref="A1:H17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14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</row>
    <row r="3" spans="1:8" x14ac:dyDescent="0.3">
      <c r="A3" t="s">
        <v>7</v>
      </c>
      <c r="B3" t="s">
        <v>14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7</v>
      </c>
      <c r="B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7</v>
      </c>
      <c r="B5" t="s">
        <v>14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3">
      <c r="A6" t="s">
        <v>7</v>
      </c>
      <c r="B6" t="s">
        <v>14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8" x14ac:dyDescent="0.3">
      <c r="A7" t="s">
        <v>7</v>
      </c>
      <c r="B7" t="s">
        <v>14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</row>
    <row r="8" spans="1:8" x14ac:dyDescent="0.3">
      <c r="A8" t="s">
        <v>7</v>
      </c>
      <c r="B8" t="s">
        <v>14</v>
      </c>
      <c r="C8">
        <v>1</v>
      </c>
      <c r="D8">
        <v>1</v>
      </c>
      <c r="E8">
        <v>2</v>
      </c>
      <c r="F8">
        <v>1</v>
      </c>
      <c r="G8">
        <v>2</v>
      </c>
      <c r="H8">
        <v>2</v>
      </c>
    </row>
    <row r="9" spans="1:8" x14ac:dyDescent="0.3">
      <c r="A9" t="s">
        <v>7</v>
      </c>
      <c r="B9" t="s">
        <v>14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</row>
    <row r="10" spans="1:8" x14ac:dyDescent="0.3">
      <c r="A10" t="s">
        <v>7</v>
      </c>
      <c r="B10" t="s">
        <v>14</v>
      </c>
      <c r="C10">
        <v>2</v>
      </c>
      <c r="D10">
        <v>1</v>
      </c>
      <c r="E10">
        <v>1</v>
      </c>
      <c r="F10">
        <v>0</v>
      </c>
      <c r="G10">
        <v>1</v>
      </c>
      <c r="H10">
        <v>1</v>
      </c>
    </row>
    <row r="11" spans="1:8" x14ac:dyDescent="0.3">
      <c r="A11" t="s">
        <v>7</v>
      </c>
      <c r="B11" t="s">
        <v>14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7</v>
      </c>
      <c r="B12" t="s">
        <v>14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</row>
    <row r="13" spans="1:8" x14ac:dyDescent="0.3">
      <c r="A13" t="s">
        <v>7</v>
      </c>
      <c r="B13" t="s">
        <v>14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</row>
    <row r="14" spans="1:8" x14ac:dyDescent="0.3">
      <c r="A14" t="s">
        <v>7</v>
      </c>
      <c r="B14" t="s">
        <v>14</v>
      </c>
      <c r="C14">
        <v>0</v>
      </c>
      <c r="D14">
        <v>2</v>
      </c>
      <c r="E14">
        <v>1</v>
      </c>
      <c r="F14">
        <v>2</v>
      </c>
      <c r="G14">
        <v>1</v>
      </c>
      <c r="H14">
        <v>2</v>
      </c>
    </row>
    <row r="15" spans="1:8" x14ac:dyDescent="0.3">
      <c r="A15" t="s">
        <v>7</v>
      </c>
      <c r="B15" t="s">
        <v>14</v>
      </c>
      <c r="C15">
        <v>0</v>
      </c>
      <c r="D15">
        <v>2</v>
      </c>
      <c r="E15">
        <v>1</v>
      </c>
      <c r="F15">
        <v>1</v>
      </c>
      <c r="G15">
        <v>2</v>
      </c>
      <c r="H15">
        <v>2</v>
      </c>
    </row>
    <row r="16" spans="1:8" x14ac:dyDescent="0.3">
      <c r="A16" t="s">
        <v>7</v>
      </c>
      <c r="B16" t="s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</row>
    <row r="17" spans="1:8" x14ac:dyDescent="0.3">
      <c r="A17" t="s">
        <v>7</v>
      </c>
      <c r="B17" t="s">
        <v>14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CECA-61BE-44F7-BC2C-3075640E5FF3}">
  <dimension ref="A1:H31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3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3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3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3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3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3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3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3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3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3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3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3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3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3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3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3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3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3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3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3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3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3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3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  <row r="30" spans="1:8" x14ac:dyDescent="0.3">
      <c r="A30" t="s">
        <v>11</v>
      </c>
      <c r="B30" t="s">
        <v>13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3">
      <c r="A31" t="s">
        <v>11</v>
      </c>
      <c r="B31" t="s">
        <v>13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E6D-646C-409E-9837-913BFCF7EAAC}">
  <dimension ref="A1:H31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3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3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3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3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3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3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3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3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3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3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3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3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3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3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3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3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3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3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3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3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3">
      <c r="A27" t="s">
        <v>8</v>
      </c>
      <c r="B27" t="s">
        <v>14</v>
      </c>
      <c r="C27">
        <v>0</v>
      </c>
      <c r="D27">
        <v>2</v>
      </c>
      <c r="E27">
        <v>1</v>
      </c>
      <c r="F27">
        <v>0</v>
      </c>
      <c r="G27">
        <v>2</v>
      </c>
      <c r="H27">
        <v>0</v>
      </c>
    </row>
    <row r="28" spans="1:8" x14ac:dyDescent="0.3">
      <c r="A28" t="s">
        <v>8</v>
      </c>
      <c r="B28" t="s">
        <v>14</v>
      </c>
      <c r="C28">
        <v>2</v>
      </c>
      <c r="D28">
        <v>4</v>
      </c>
      <c r="E28">
        <v>2</v>
      </c>
      <c r="F28">
        <v>2</v>
      </c>
      <c r="G28">
        <v>2</v>
      </c>
      <c r="H28">
        <v>3</v>
      </c>
    </row>
    <row r="29" spans="1:8" x14ac:dyDescent="0.3">
      <c r="A29" t="s">
        <v>8</v>
      </c>
      <c r="B29" t="s">
        <v>14</v>
      </c>
      <c r="C29">
        <v>3</v>
      </c>
      <c r="D29">
        <v>3</v>
      </c>
      <c r="E29">
        <v>3</v>
      </c>
      <c r="F29">
        <v>0</v>
      </c>
      <c r="G29">
        <v>2</v>
      </c>
      <c r="H29">
        <v>2</v>
      </c>
    </row>
    <row r="30" spans="1:8" x14ac:dyDescent="0.3">
      <c r="A30" t="s">
        <v>8</v>
      </c>
      <c r="B30" t="s">
        <v>14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</row>
    <row r="31" spans="1:8" x14ac:dyDescent="0.3">
      <c r="A31" t="s">
        <v>8</v>
      </c>
      <c r="B31" t="s">
        <v>14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87B-ECAA-46A6-9C23-73F071B649D3}">
  <dimension ref="A1:F35"/>
  <sheetViews>
    <sheetView workbookViewId="0"/>
  </sheetViews>
  <sheetFormatPr defaultRowHeight="14.4" x14ac:dyDescent="0.3"/>
  <cols>
    <col min="1" max="1" width="27.6640625" bestFit="1" customWidth="1"/>
  </cols>
  <sheetData>
    <row r="1" spans="1:6" x14ac:dyDescent="0.3">
      <c r="A1" s="3" t="s">
        <v>26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3">
      <c r="A2" s="1" t="s">
        <v>1</v>
      </c>
      <c r="B2" s="1">
        <f>COUNTIF(distraction_manual,B1)</f>
        <v>24</v>
      </c>
      <c r="C2" s="1">
        <f>COUNTIF(distraction_manual,C1)</f>
        <v>14</v>
      </c>
      <c r="D2" s="1">
        <f>COUNTIF(distraction_manual,D1)</f>
        <v>2</v>
      </c>
      <c r="E2" s="1">
        <f>COUNTIF(distraction_manual,E1)</f>
        <v>0</v>
      </c>
      <c r="F2" s="1">
        <f>COUNTIF(distraction_manual,F1)</f>
        <v>0</v>
      </c>
    </row>
    <row r="3" spans="1:6" x14ac:dyDescent="0.3">
      <c r="A3" s="1" t="s">
        <v>2</v>
      </c>
      <c r="B3" s="1">
        <f>COUNTIF(distraction_awareness,B1)</f>
        <v>30</v>
      </c>
      <c r="C3" s="1">
        <f>COUNTIF(distraction_awareness,C1)</f>
        <v>15</v>
      </c>
      <c r="D3" s="1">
        <f>COUNTIF(distraction_awareness,D1)</f>
        <v>7</v>
      </c>
      <c r="E3" s="1">
        <f>COUNTIF(distraction_awareness,E1)</f>
        <v>1</v>
      </c>
      <c r="F3" s="1">
        <f>COUNTIF(distraction_awareness,F1)</f>
        <v>0</v>
      </c>
    </row>
    <row r="4" spans="1:6" x14ac:dyDescent="0.3">
      <c r="A4" s="1" t="s">
        <v>3</v>
      </c>
      <c r="B4" s="1">
        <f>COUNTIF(distraction_shift_focus,B1)</f>
        <v>32</v>
      </c>
      <c r="C4" s="1">
        <f>COUNTIF(distraction_shift_focus,C1)</f>
        <v>11</v>
      </c>
      <c r="D4" s="1">
        <f>COUNTIF(distraction_shift_focus,D1)</f>
        <v>4</v>
      </c>
      <c r="E4" s="1">
        <f>COUNTIF(distraction_shift_focus,E1)</f>
        <v>0</v>
      </c>
      <c r="F4" s="1">
        <f>COUNTIF(distraction_shift_focus,F1)</f>
        <v>0</v>
      </c>
    </row>
    <row r="5" spans="1:6" x14ac:dyDescent="0.3">
      <c r="A5" s="1" t="s">
        <v>4</v>
      </c>
      <c r="B5" s="1">
        <f>COUNTIF(distraction_mental_load,B1)</f>
        <v>27</v>
      </c>
      <c r="C5" s="1">
        <f>COUNTIF(distraction_mental_load,C1)</f>
        <v>8</v>
      </c>
      <c r="D5" s="1">
        <f>COUNTIF(distraction_mental_load,D1)</f>
        <v>1</v>
      </c>
      <c r="E5" s="1">
        <f>COUNTIF(distraction_mental_load,E1)</f>
        <v>0</v>
      </c>
      <c r="F5" s="1">
        <f>COUNTIF(distraction_mental_load,F1)</f>
        <v>0</v>
      </c>
    </row>
    <row r="6" spans="1:6" x14ac:dyDescent="0.3">
      <c r="A6" s="1" t="s">
        <v>5</v>
      </c>
      <c r="B6" s="1">
        <f>COUNTIF(distraction_glance_frequency,B1)</f>
        <v>30</v>
      </c>
      <c r="C6" s="1">
        <f>COUNTIF(distraction_glance_frequency,C1)</f>
        <v>15</v>
      </c>
      <c r="D6" s="1">
        <f>COUNTIF(distraction_glance_frequency,D1)</f>
        <v>3</v>
      </c>
      <c r="E6" s="1">
        <f>COUNTIF(distraction_glance_frequency,E1)</f>
        <v>0</v>
      </c>
      <c r="F6" s="1">
        <f>COUNTIF(distraction_glance_frequency,F1)</f>
        <v>0</v>
      </c>
    </row>
    <row r="7" spans="1:6" x14ac:dyDescent="0.3">
      <c r="A7" s="1" t="s">
        <v>6</v>
      </c>
      <c r="B7" s="1">
        <f>COUNTIF(distraction_glance_duration,B1)</f>
        <v>29</v>
      </c>
      <c r="C7" s="1">
        <f>COUNTIF(distraction_glance_duration,C1)</f>
        <v>16</v>
      </c>
      <c r="D7" s="1">
        <f>COUNTIF(distraction_glance_duration,D1)</f>
        <v>5</v>
      </c>
      <c r="E7" s="1">
        <f>COUNTIF(distraction_glance_duration,E1)</f>
        <v>0</v>
      </c>
      <c r="F7" s="1">
        <f>COUNTIF(distraction_glance_duration,F1)</f>
        <v>0</v>
      </c>
    </row>
    <row r="8" spans="1:6" x14ac:dyDescent="0.3">
      <c r="A8" s="3" t="s">
        <v>19</v>
      </c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6" x14ac:dyDescent="0.3">
      <c r="A9" s="1" t="s">
        <v>1</v>
      </c>
      <c r="B9" s="1">
        <f>COUNTIF(ns_distraction_manual,B8)</f>
        <v>10</v>
      </c>
      <c r="C9" s="1">
        <f>COUNTIF(ns_distraction_manual,C8)</f>
        <v>8</v>
      </c>
      <c r="D9" s="1">
        <f>COUNTIF(ns_distraction_manual,D8)</f>
        <v>1</v>
      </c>
      <c r="E9" s="1">
        <f>COUNTIF(ns_distraction_manual,E8)</f>
        <v>0</v>
      </c>
      <c r="F9" s="1">
        <f>COUNTIF(ns_distraction_manual,F8)</f>
        <v>0</v>
      </c>
    </row>
    <row r="10" spans="1:6" x14ac:dyDescent="0.3">
      <c r="A10" s="14" t="s">
        <v>2</v>
      </c>
      <c r="B10" s="14">
        <f>COUNTIF(ns_distraction_awareness,B8)</f>
        <v>12</v>
      </c>
      <c r="C10" s="14">
        <f>COUNTIF(ns_distraction_awareness,C8)</f>
        <v>9</v>
      </c>
      <c r="D10" s="14">
        <f>COUNTIF(ns_distraction_awareness,D8)</f>
        <v>5</v>
      </c>
      <c r="E10" s="14">
        <f>COUNTIF(ns_distraction_awareness,E8)</f>
        <v>0</v>
      </c>
      <c r="F10" s="14">
        <f>COUNTIF(ns_distraction_awareness,F8)</f>
        <v>0</v>
      </c>
    </row>
    <row r="11" spans="1:6" x14ac:dyDescent="0.3">
      <c r="A11" s="1" t="s">
        <v>3</v>
      </c>
      <c r="B11" s="1">
        <f>COUNTIF(ns_distraction_shift_focus,B8)</f>
        <v>13</v>
      </c>
      <c r="C11" s="1">
        <f>COUNTIF(ns_distraction_shift_focus,C8)</f>
        <v>6</v>
      </c>
      <c r="D11" s="1">
        <f>COUNTIF(ns_distraction_shift_focus,D8)</f>
        <v>2</v>
      </c>
      <c r="E11" s="1">
        <f>COUNTIF(ns_distraction_shift_focus,E8)</f>
        <v>0</v>
      </c>
      <c r="F11" s="1">
        <f>COUNTIF(ns_distraction_shift_focus,F8)</f>
        <v>0</v>
      </c>
    </row>
    <row r="12" spans="1:6" x14ac:dyDescent="0.3">
      <c r="A12" s="1" t="s">
        <v>4</v>
      </c>
      <c r="B12" s="1">
        <f>COUNTIF(ns_distraction_mental_load,B8)</f>
        <v>12</v>
      </c>
      <c r="C12" s="1">
        <f>COUNTIF(ns_distraction_mental_load,C8)</f>
        <v>5</v>
      </c>
      <c r="D12" s="1">
        <f>COUNTIF(ns_distraction_mental_load,D8)</f>
        <v>0</v>
      </c>
      <c r="E12" s="1">
        <f>COUNTIF(ns_distraction_mental_load,E8)</f>
        <v>0</v>
      </c>
      <c r="F12" s="1">
        <f>COUNTIF(ns_distraction_mental_load,F8)</f>
        <v>0</v>
      </c>
    </row>
    <row r="13" spans="1:6" x14ac:dyDescent="0.3">
      <c r="A13" s="1" t="s">
        <v>5</v>
      </c>
      <c r="B13" s="1">
        <f>COUNTIF(ns_distraction_glance_frequency,B8)</f>
        <v>14</v>
      </c>
      <c r="C13" s="1">
        <f>COUNTIF(ns_distraction_glance_frequency,C8)</f>
        <v>7</v>
      </c>
      <c r="D13" s="1">
        <f>COUNTIF(ns_distraction_glance_frequency,D8)</f>
        <v>2</v>
      </c>
      <c r="E13" s="1">
        <f>COUNTIF(ns_distraction_glance_frequency,E8)</f>
        <v>0</v>
      </c>
      <c r="F13" s="1">
        <f>COUNTIF(ns_distraction_glance_frequency,F8)</f>
        <v>0</v>
      </c>
    </row>
    <row r="14" spans="1:6" x14ac:dyDescent="0.3">
      <c r="A14" s="1" t="s">
        <v>6</v>
      </c>
      <c r="B14" s="1">
        <f>COUNTIF(ns_distraction_glance_duration,B8)</f>
        <v>14</v>
      </c>
      <c r="C14" s="1">
        <f>COUNTIF(ns_distraction_glance_duration,C8)</f>
        <v>8</v>
      </c>
      <c r="D14" s="1">
        <f>COUNTIF(ns_distraction_glance_duration,D8)</f>
        <v>2</v>
      </c>
      <c r="E14" s="1">
        <f>COUNTIF(ns_distraction_glance_duration,E8)</f>
        <v>0</v>
      </c>
      <c r="F14" s="1">
        <f>COUNTIF(ns_distraction_glance_duration,F8)</f>
        <v>0</v>
      </c>
    </row>
    <row r="15" spans="1:6" x14ac:dyDescent="0.3">
      <c r="A15" s="3" t="s">
        <v>20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</row>
    <row r="16" spans="1:6" x14ac:dyDescent="0.3">
      <c r="A16" s="1" t="s">
        <v>1</v>
      </c>
      <c r="B16" s="1">
        <f>COUNTIF(is_distraction_manual,B15)</f>
        <v>8</v>
      </c>
      <c r="C16" s="1">
        <f>COUNTIF(is_distraction_manual,C15)</f>
        <v>2</v>
      </c>
      <c r="D16" s="1">
        <f>COUNTIF(is_distraction_manual,D15)</f>
        <v>0</v>
      </c>
      <c r="E16" s="1">
        <f>COUNTIF(is_distraction_manual,E15)</f>
        <v>0</v>
      </c>
      <c r="F16" s="1">
        <f>COUNTIF(is_distraction_manual,F15)</f>
        <v>0</v>
      </c>
    </row>
    <row r="17" spans="1:6" x14ac:dyDescent="0.3">
      <c r="A17" s="14" t="s">
        <v>2</v>
      </c>
      <c r="B17" s="14">
        <f>COUNTIF(is_distraction_awareness,B15)</f>
        <v>9</v>
      </c>
      <c r="C17" s="14">
        <f>COUNTIF(is_distraction_awareness,C15)</f>
        <v>4</v>
      </c>
      <c r="D17" s="14">
        <f>COUNTIF(is_distraction_awareness,D15)</f>
        <v>0</v>
      </c>
      <c r="E17" s="14">
        <f>COUNTIF(is_distraction_awareness,E15)</f>
        <v>0</v>
      </c>
      <c r="F17" s="14">
        <f>COUNTIF(is_distraction_awareness,F15)</f>
        <v>0</v>
      </c>
    </row>
    <row r="18" spans="1:6" x14ac:dyDescent="0.3">
      <c r="A18" s="1" t="s">
        <v>3</v>
      </c>
      <c r="B18" s="1">
        <f>COUNTIF(is_distraction_shift_focus,B15)</f>
        <v>11</v>
      </c>
      <c r="C18" s="1">
        <f>COUNTIF(is_distraction_shift_focus,C15)</f>
        <v>1</v>
      </c>
      <c r="D18" s="1">
        <f>COUNTIF(is_distraction_shift_focus,D15)</f>
        <v>0</v>
      </c>
      <c r="E18" s="1">
        <f>COUNTIF(is_distraction_shift_focus,E15)</f>
        <v>0</v>
      </c>
      <c r="F18" s="1">
        <f>COUNTIF(is_distraction_shift_focus,F15)</f>
        <v>0</v>
      </c>
    </row>
    <row r="19" spans="1:6" x14ac:dyDescent="0.3">
      <c r="A19" s="1" t="s">
        <v>4</v>
      </c>
      <c r="B19" s="1">
        <f>COUNTIF(is_distraction_mental_load,B15)</f>
        <v>7</v>
      </c>
      <c r="C19" s="1">
        <f>COUNTIF(is_distraction_mental_load,C15)</f>
        <v>1</v>
      </c>
      <c r="D19" s="1">
        <f>COUNTIF(is_distraction_mental_load,D15)</f>
        <v>0</v>
      </c>
      <c r="E19" s="1">
        <f>COUNTIF(is_distraction_mental_load,E15)</f>
        <v>0</v>
      </c>
      <c r="F19" s="1">
        <f>COUNTIF(is_distraction_mental_load,F15)</f>
        <v>0</v>
      </c>
    </row>
    <row r="20" spans="1:6" x14ac:dyDescent="0.3">
      <c r="A20" s="1" t="s">
        <v>5</v>
      </c>
      <c r="B20" s="1">
        <f>COUNTIF(is_distraction_glance_frequency,B15)</f>
        <v>10</v>
      </c>
      <c r="C20" s="1">
        <f>COUNTIF(is_distraction_glance_frequency,C15)</f>
        <v>3</v>
      </c>
      <c r="D20" s="1">
        <f>COUNTIF(is_distraction_glance_frequency,D15)</f>
        <v>0</v>
      </c>
      <c r="E20" s="1">
        <f>COUNTIF(is_distraction_glance_frequency,E15)</f>
        <v>0</v>
      </c>
      <c r="F20" s="1">
        <f>COUNTIF(is_distraction_glance_frequency,F15)</f>
        <v>0</v>
      </c>
    </row>
    <row r="21" spans="1:6" x14ac:dyDescent="0.3">
      <c r="A21" s="1" t="s">
        <v>6</v>
      </c>
      <c r="B21" s="1">
        <f>COUNTIF(is_distraction_glance_duration,B15)</f>
        <v>8</v>
      </c>
      <c r="C21" s="1">
        <f>COUNTIF(is_distraction_glance_duration,C15)</f>
        <v>6</v>
      </c>
      <c r="D21" s="1">
        <f>COUNTIF(is_distraction_glance_duration,D15)</f>
        <v>0</v>
      </c>
      <c r="E21" s="1">
        <f>COUNTIF(is_distraction_glance_duration,E15)</f>
        <v>0</v>
      </c>
      <c r="F21" s="1">
        <f>COUNTIF(is_distraction_glance_duration,F15)</f>
        <v>0</v>
      </c>
    </row>
    <row r="22" spans="1:6" x14ac:dyDescent="0.3">
      <c r="A22" s="3" t="s">
        <v>21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</row>
    <row r="23" spans="1:6" x14ac:dyDescent="0.3">
      <c r="A23" s="1" t="s">
        <v>1</v>
      </c>
      <c r="B23" s="1">
        <f>COUNTIF(ne_distraction_manual,B22)</f>
        <v>12</v>
      </c>
      <c r="C23" s="1">
        <f>COUNTIF(ne_distraction_manual,C22)</f>
        <v>8</v>
      </c>
      <c r="D23" s="1">
        <f>COUNTIF(ne_distraction_manual,D22)</f>
        <v>1</v>
      </c>
      <c r="E23" s="1">
        <f>COUNTIF(ne_distraction_manual,E22)</f>
        <v>0</v>
      </c>
      <c r="F23" s="1">
        <f>COUNTIF(ne_distraction_manual,F22)</f>
        <v>0</v>
      </c>
    </row>
    <row r="24" spans="1:6" x14ac:dyDescent="0.3">
      <c r="A24" s="1" t="s">
        <v>2</v>
      </c>
      <c r="B24" s="1">
        <f>COUNTIF(ne_distraction_awareness,B22)</f>
        <v>14</v>
      </c>
      <c r="C24" s="1">
        <f>COUNTIF(ne_distraction_awareness,C22)</f>
        <v>9</v>
      </c>
      <c r="D24" s="1">
        <f>COUNTIF(ne_distraction_awareness,D22)</f>
        <v>5</v>
      </c>
      <c r="E24" s="1">
        <f>COUNTIF(ne_distraction_awareness,E22)</f>
        <v>0</v>
      </c>
      <c r="F24" s="1">
        <f>COUNTIF(ne_distraction_awareness,F22)</f>
        <v>0</v>
      </c>
    </row>
    <row r="25" spans="1:6" x14ac:dyDescent="0.3">
      <c r="A25" s="1" t="s">
        <v>3</v>
      </c>
      <c r="B25" s="1">
        <f>COUNTIF(ne_distraction_shift_focus,B22)</f>
        <v>14</v>
      </c>
      <c r="C25" s="1">
        <f>COUNTIF(ne_distraction_shift_focus,C22)</f>
        <v>7</v>
      </c>
      <c r="D25" s="1">
        <f>COUNTIF(ne_distraction_shift_focus,D22)</f>
        <v>2</v>
      </c>
      <c r="E25" s="1">
        <f>COUNTIF(ne_distraction_shift_focus,E22)</f>
        <v>0</v>
      </c>
      <c r="F25" s="1">
        <f>COUNTIF(ne_distraction_shift_focus,F22)</f>
        <v>0</v>
      </c>
    </row>
    <row r="26" spans="1:6" x14ac:dyDescent="0.3">
      <c r="A26" s="1" t="s">
        <v>4</v>
      </c>
      <c r="B26" s="1">
        <f>COUNTIF(ne_distraction_mental_load,B22)</f>
        <v>14</v>
      </c>
      <c r="C26" s="1">
        <f>COUNTIF(ne_distraction_mental_load,C22)</f>
        <v>5</v>
      </c>
      <c r="D26" s="1">
        <f>COUNTIF(ne_distraction_mental_load,D22)</f>
        <v>0</v>
      </c>
      <c r="E26" s="1">
        <f>COUNTIF(ne_distraction_mental_load,E22)</f>
        <v>0</v>
      </c>
      <c r="F26" s="1">
        <f>COUNTIF(ne_distraction_mental_load,F22)</f>
        <v>0</v>
      </c>
    </row>
    <row r="27" spans="1:6" x14ac:dyDescent="0.3">
      <c r="A27" s="1" t="s">
        <v>5</v>
      </c>
      <c r="B27" s="1">
        <f>COUNTIF(ne_distraction_glance_frequency,B22)</f>
        <v>16</v>
      </c>
      <c r="C27" s="1">
        <f>COUNTIF(ne_distraction_glance_frequency,C22)</f>
        <v>7</v>
      </c>
      <c r="D27" s="1">
        <f>COUNTIF(ne_distraction_glance_frequency,D22)</f>
        <v>2</v>
      </c>
      <c r="E27" s="1">
        <f>COUNTIF(ne_distraction_glance_frequency,E22)</f>
        <v>0</v>
      </c>
      <c r="F27" s="1">
        <f>COUNTIF(ne_distraction_glance_frequency,F22)</f>
        <v>0</v>
      </c>
    </row>
    <row r="28" spans="1:6" x14ac:dyDescent="0.3">
      <c r="A28" s="1" t="s">
        <v>6</v>
      </c>
      <c r="B28" s="1">
        <f>COUNTIF(ne_distraction_glance_duration,B22)</f>
        <v>16</v>
      </c>
      <c r="C28" s="1">
        <f>COUNTIF(ne_distraction_glance_duration,C22)</f>
        <v>8</v>
      </c>
      <c r="D28" s="1">
        <f>COUNTIF(ne_distraction_glance_duration,D22)</f>
        <v>2</v>
      </c>
      <c r="E28" s="1">
        <f>COUNTIF(ne_distraction_glance_duration,E22)</f>
        <v>0</v>
      </c>
      <c r="F28" s="1">
        <f>COUNTIF(ne_distraction_glance_duration,F22)</f>
        <v>0</v>
      </c>
    </row>
    <row r="29" spans="1:6" x14ac:dyDescent="0.3">
      <c r="A29" s="3" t="s">
        <v>22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</row>
    <row r="30" spans="1:6" x14ac:dyDescent="0.3">
      <c r="A30" s="1" t="s">
        <v>1</v>
      </c>
      <c r="B30" s="1">
        <f>COUNTIF(ie_distraction_manual,B29)</f>
        <v>11</v>
      </c>
      <c r="C30" s="1">
        <f>COUNTIF(ie_distraction_manual,C29)</f>
        <v>6</v>
      </c>
      <c r="D30" s="1">
        <f>COUNTIF(ie_distraction_manual,D29)</f>
        <v>1</v>
      </c>
      <c r="E30" s="1">
        <f>COUNTIF(ie_distraction_manual,E29)</f>
        <v>0</v>
      </c>
      <c r="F30" s="1">
        <f>COUNTIF(ie_distraction_manual,F29)</f>
        <v>0</v>
      </c>
    </row>
    <row r="31" spans="1:6" x14ac:dyDescent="0.3">
      <c r="A31" s="1" t="s">
        <v>2</v>
      </c>
      <c r="B31" s="1">
        <f>COUNTIF(ie_distraction_awareness,B29)</f>
        <v>15</v>
      </c>
      <c r="C31" s="1">
        <f>COUNTIF(ie_distraction_awareness,C29)</f>
        <v>6</v>
      </c>
      <c r="D31" s="1">
        <f>COUNTIF(ie_distraction_awareness,D29)</f>
        <v>2</v>
      </c>
      <c r="E31" s="1">
        <f>COUNTIF(ie_distraction_awareness,E29)</f>
        <v>1</v>
      </c>
      <c r="F31" s="1">
        <f>COUNTIF(ie_distraction_awareness,F29)</f>
        <v>0</v>
      </c>
    </row>
    <row r="32" spans="1:6" x14ac:dyDescent="0.3">
      <c r="A32" s="1" t="s">
        <v>3</v>
      </c>
      <c r="B32" s="1">
        <f>COUNTIF(ie_distraction_shift_focus,B29)</f>
        <v>17</v>
      </c>
      <c r="C32" s="1">
        <f>COUNTIF(ie_distraction_shift_focus,C29)</f>
        <v>4</v>
      </c>
      <c r="D32" s="1">
        <f>COUNTIF(ie_distraction_shift_focus,D29)</f>
        <v>2</v>
      </c>
      <c r="E32" s="1">
        <f>COUNTIF(ie_distraction_shift_focus,E29)</f>
        <v>0</v>
      </c>
      <c r="F32" s="1">
        <f>COUNTIF(ie_distraction_shift_focus,F29)</f>
        <v>0</v>
      </c>
    </row>
    <row r="33" spans="1:6" x14ac:dyDescent="0.3">
      <c r="A33" s="1" t="s">
        <v>4</v>
      </c>
      <c r="B33" s="1">
        <f>COUNTIF(ie_distraction_mental_load,B29)</f>
        <v>13</v>
      </c>
      <c r="C33" s="1">
        <f>COUNTIF(ie_distraction_mental_load,C29)</f>
        <v>3</v>
      </c>
      <c r="D33" s="1">
        <f>COUNTIF(ie_distraction_mental_load,D29)</f>
        <v>1</v>
      </c>
      <c r="E33" s="1">
        <f>COUNTIF(ie_distraction_mental_load,E29)</f>
        <v>0</v>
      </c>
      <c r="F33" s="1">
        <f>COUNTIF(ie_distraction_mental_load,F29)</f>
        <v>0</v>
      </c>
    </row>
    <row r="34" spans="1:6" x14ac:dyDescent="0.3">
      <c r="A34" s="1" t="s">
        <v>5</v>
      </c>
      <c r="B34" s="1">
        <f>COUNTIF(ie_distraction_glance_frequency,B29)</f>
        <v>13</v>
      </c>
      <c r="C34" s="1">
        <f>COUNTIF(ie_distraction_glance_frequency,C29)</f>
        <v>8</v>
      </c>
      <c r="D34" s="1">
        <f>COUNTIF(ie_distraction_glance_frequency,D29)</f>
        <v>1</v>
      </c>
      <c r="E34" s="1">
        <f>COUNTIF(ie_distraction_glance_frequency,E29)</f>
        <v>0</v>
      </c>
      <c r="F34" s="1">
        <f>COUNTIF(ie_distraction_glance_frequency,F29)</f>
        <v>0</v>
      </c>
    </row>
    <row r="35" spans="1:6" x14ac:dyDescent="0.3">
      <c r="A35" s="1" t="s">
        <v>6</v>
      </c>
      <c r="B35" s="1">
        <f>COUNTIF(ie_distraction_glance_duration,B29)</f>
        <v>12</v>
      </c>
      <c r="C35" s="1">
        <f>COUNTIF(ie_distraction_glance_duration,C29)</f>
        <v>8</v>
      </c>
      <c r="D35" s="1">
        <f>COUNTIF(ie_distraction_glance_duration,D29)</f>
        <v>3</v>
      </c>
      <c r="E35" s="1">
        <f>COUNTIF(ie_distraction_glance_duration,E29)</f>
        <v>0</v>
      </c>
      <c r="F35" s="1">
        <f>COUNTIF(ie_distraction_glance_duration,F29)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6FF4-2580-402C-9156-01416F1F7F3B}">
  <dimension ref="A1:H35"/>
  <sheetViews>
    <sheetView workbookViewId="0">
      <selection activeCell="J11" sqref="J11"/>
    </sheetView>
  </sheetViews>
  <sheetFormatPr defaultRowHeight="14.4" x14ac:dyDescent="0.3"/>
  <cols>
    <col min="1" max="1" width="30.6640625" customWidth="1"/>
    <col min="2" max="5" width="21.6640625" style="7" customWidth="1"/>
    <col min="6" max="8" width="21.6640625" customWidth="1"/>
  </cols>
  <sheetData>
    <row r="1" spans="1:8" x14ac:dyDescent="0.3">
      <c r="A1" s="3" t="s">
        <v>26</v>
      </c>
      <c r="B1" s="4" t="s">
        <v>15</v>
      </c>
      <c r="C1" s="4" t="s">
        <v>16</v>
      </c>
      <c r="D1" s="4" t="s">
        <v>18</v>
      </c>
      <c r="E1" s="4" t="s">
        <v>17</v>
      </c>
      <c r="F1" s="4" t="s">
        <v>23</v>
      </c>
      <c r="G1" s="4" t="s">
        <v>24</v>
      </c>
      <c r="H1" s="4" t="s">
        <v>25</v>
      </c>
    </row>
    <row r="2" spans="1:8" x14ac:dyDescent="0.3">
      <c r="A2" s="1" t="s">
        <v>1</v>
      </c>
      <c r="B2" s="5">
        <f>AVERAGE(distraction_manual)</f>
        <v>0.95081967213114749</v>
      </c>
      <c r="C2" s="5">
        <f>_xlfn.VAR.S(distraction_manual)</f>
        <v>0.71420765027322397</v>
      </c>
      <c r="D2" s="5">
        <f>_xlfn.STDEV.S(distraction_manual)</f>
        <v>0.84510807017400091</v>
      </c>
      <c r="E2" s="6">
        <f>COUNT(distraction_manual)</f>
        <v>61</v>
      </c>
      <c r="F2" s="9"/>
      <c r="G2" s="8"/>
      <c r="H2" s="8"/>
    </row>
    <row r="3" spans="1:8" x14ac:dyDescent="0.3">
      <c r="A3" s="1" t="s">
        <v>2</v>
      </c>
      <c r="B3" s="5">
        <f>AVERAGE(distraction_awareness)</f>
        <v>1.3934426229508197</v>
      </c>
      <c r="C3" s="5">
        <f>_xlfn.VAR.S(distraction_awareness)</f>
        <v>0.8426229508196722</v>
      </c>
      <c r="D3" s="5">
        <f>_xlfn.STDEV.S(distraction_awareness)</f>
        <v>0.91794496067012221</v>
      </c>
      <c r="E3" s="6">
        <f>COUNT(distraction_awareness)</f>
        <v>61</v>
      </c>
      <c r="F3" s="9"/>
      <c r="G3" s="8"/>
      <c r="H3" s="8"/>
    </row>
    <row r="4" spans="1:8" x14ac:dyDescent="0.3">
      <c r="A4" s="1" t="s">
        <v>3</v>
      </c>
      <c r="B4" s="5">
        <f>AVERAGE(distraction_shift_focus)</f>
        <v>1.0819672131147542</v>
      </c>
      <c r="C4" s="5">
        <f>_xlfn.VAR.S(distraction_shift_focus)</f>
        <v>0.67650273224043711</v>
      </c>
      <c r="D4" s="5">
        <f>_xlfn.STDEV.S(distraction_shift_focus)</f>
        <v>0.82249786154155868</v>
      </c>
      <c r="E4" s="6">
        <f>COUNT(distraction_shift_focus)</f>
        <v>61</v>
      </c>
      <c r="F4" s="9"/>
      <c r="G4" s="8"/>
      <c r="H4" s="8"/>
    </row>
    <row r="5" spans="1:8" x14ac:dyDescent="0.3">
      <c r="A5" s="1" t="s">
        <v>4</v>
      </c>
      <c r="B5" s="5">
        <f>AVERAGE(distraction_mental_load)</f>
        <v>0.76666666666666672</v>
      </c>
      <c r="C5" s="5">
        <f>_xlfn.VAR.S(distraction_mental_load)</f>
        <v>0.55480225988700571</v>
      </c>
      <c r="D5" s="5">
        <f>_xlfn.STDEV.S(distraction_mental_load)</f>
        <v>0.7448504949901058</v>
      </c>
      <c r="E5" s="6">
        <f>COUNT(distraction_mental_load)</f>
        <v>60</v>
      </c>
      <c r="F5" s="9"/>
      <c r="G5" s="8"/>
      <c r="H5" s="8"/>
    </row>
    <row r="6" spans="1:8" x14ac:dyDescent="0.3">
      <c r="A6" s="1" t="s">
        <v>5</v>
      </c>
      <c r="B6" s="5">
        <f>AVERAGE(distraction_glance_frequency)</f>
        <v>1.1311475409836065</v>
      </c>
      <c r="C6" s="5">
        <f>_xlfn.VAR.S(distraction_glance_frequency)</f>
        <v>0.64918032786885249</v>
      </c>
      <c r="D6" s="5">
        <f>_xlfn.STDEV.S(distraction_glance_frequency)</f>
        <v>0.8057172753943237</v>
      </c>
      <c r="E6" s="6">
        <f>COUNT(distraction_glance_frequency)</f>
        <v>61</v>
      </c>
      <c r="F6" s="9"/>
      <c r="G6" s="8"/>
      <c r="H6" s="8"/>
    </row>
    <row r="7" spans="1:8" x14ac:dyDescent="0.3">
      <c r="A7" s="1" t="s">
        <v>6</v>
      </c>
      <c r="B7" s="5">
        <f>AVERAGE(distraction_glance_duration)</f>
        <v>1.2459016393442623</v>
      </c>
      <c r="C7" s="5">
        <f>_xlfn.VAR.S(distraction_glance_duration)</f>
        <v>0.72185792349726774</v>
      </c>
      <c r="D7" s="5">
        <f>_xlfn.STDEV.S(distraction_glance_duration)</f>
        <v>0.84962222398973752</v>
      </c>
      <c r="E7" s="6">
        <f>COUNT(distraction_glance_duration)</f>
        <v>61</v>
      </c>
      <c r="F7" s="9"/>
      <c r="G7" s="8"/>
      <c r="H7" s="8"/>
    </row>
    <row r="8" spans="1:8" x14ac:dyDescent="0.3">
      <c r="A8" s="3" t="s">
        <v>19</v>
      </c>
      <c r="B8" s="4" t="s">
        <v>15</v>
      </c>
      <c r="C8" s="4" t="s">
        <v>16</v>
      </c>
      <c r="D8" s="4" t="s">
        <v>18</v>
      </c>
      <c r="E8" s="4" t="s">
        <v>17</v>
      </c>
      <c r="F8" s="4" t="s">
        <v>23</v>
      </c>
      <c r="G8" s="4" t="s">
        <v>24</v>
      </c>
      <c r="H8" s="4" t="s">
        <v>25</v>
      </c>
    </row>
    <row r="9" spans="1:8" x14ac:dyDescent="0.3">
      <c r="A9" s="1" t="s">
        <v>1</v>
      </c>
      <c r="B9" s="5">
        <f>AVERAGE(ns_distraction_manual)</f>
        <v>1.0357142857142858</v>
      </c>
      <c r="C9" s="5">
        <f>_xlfn.VAR.S(ns_distraction_manual)</f>
        <v>0.77645502645502651</v>
      </c>
      <c r="D9" s="5">
        <f>_xlfn.STDEV.S(ns_distraction_manual)</f>
        <v>0.88116685505925973</v>
      </c>
      <c r="E9" s="6">
        <f>COUNT(ns_distraction_manual)</f>
        <v>28</v>
      </c>
      <c r="F9" s="2">
        <f>C9-C16</f>
        <v>0.30978835978835984</v>
      </c>
      <c r="G9" s="1">
        <f>_xlfn.COVARIANCE.S(ns_distraction_manual,is_distraction_manual)</f>
        <v>-0.1</v>
      </c>
      <c r="H9" s="2">
        <f>_xlfn.F.TEST(ns_distraction_manual,is_distraction_manual)</f>
        <v>0.30317247562390248</v>
      </c>
    </row>
    <row r="10" spans="1:8" x14ac:dyDescent="0.3">
      <c r="A10" s="1" t="s">
        <v>2</v>
      </c>
      <c r="B10" s="5">
        <f>AVERAGE(ns_distraction_awareness)</f>
        <v>1.6071428571428572</v>
      </c>
      <c r="C10" s="5">
        <f>_xlfn.VAR.S(ns_distraction_awareness)</f>
        <v>0.76587301587301593</v>
      </c>
      <c r="D10" s="5">
        <f>_xlfn.STDEV.S(ns_distraction_awareness)</f>
        <v>0.87514171188043366</v>
      </c>
      <c r="E10" s="6">
        <f>COUNT(ns_distraction_awareness)</f>
        <v>28</v>
      </c>
      <c r="F10" s="2">
        <f>C10-C17</f>
        <v>0.30337301587301591</v>
      </c>
      <c r="G10" s="2">
        <f>_xlfn.COVARIANCE.S(ns_distraction_awareness,is_distraction_awareness)</f>
        <v>1.6666666666666666E-2</v>
      </c>
      <c r="H10" s="2">
        <f>_xlfn.F.TEST(ns_distraction_awareness,is_distraction_awareness)</f>
        <v>0.30775143089872248</v>
      </c>
    </row>
    <row r="11" spans="1:8" x14ac:dyDescent="0.3">
      <c r="A11" s="1" t="s">
        <v>3</v>
      </c>
      <c r="B11" s="5">
        <f>AVERAGE(ns_distraction_shift_focus)</f>
        <v>1.1071428571428572</v>
      </c>
      <c r="C11" s="5">
        <f>_xlfn.VAR.S(ns_distraction_shift_focus)</f>
        <v>0.76587301587301593</v>
      </c>
      <c r="D11" s="5">
        <f>_xlfn.STDEV.S(ns_distraction_shift_focus)</f>
        <v>0.87514171188043366</v>
      </c>
      <c r="E11" s="6">
        <f>COUNT(ns_distraction_shift_focus)</f>
        <v>28</v>
      </c>
      <c r="F11" s="2">
        <f t="shared" ref="F11:F14" si="0">C11-C18</f>
        <v>0.47003968253968259</v>
      </c>
      <c r="G11" s="2">
        <f>_xlfn.COVARIANCE.S(ns_distraction_shift_focus,is_distraction_shift_focus)</f>
        <v>0.24166666666666667</v>
      </c>
      <c r="H11" s="2">
        <f>_xlfn.F.TEST(ns_distraction_shift_focus,is_distraction_shift_focus)</f>
        <v>5.7181201990141289E-2</v>
      </c>
    </row>
    <row r="12" spans="1:8" x14ac:dyDescent="0.3">
      <c r="A12" s="1" t="s">
        <v>4</v>
      </c>
      <c r="B12" s="5">
        <f>AVERAGE(ns_distraction_mental_load)</f>
        <v>0.7857142857142857</v>
      </c>
      <c r="C12" s="5">
        <f>_xlfn.VAR.S(ns_distraction_mental_load)</f>
        <v>0.544973544973545</v>
      </c>
      <c r="D12" s="5">
        <f>_xlfn.STDEV.S(ns_distraction_mental_load)</f>
        <v>0.73822323518942767</v>
      </c>
      <c r="E12" s="6">
        <f>COUNT(ns_distraction_mental_load)</f>
        <v>28</v>
      </c>
      <c r="F12" s="2">
        <f t="shared" si="0"/>
        <v>0.14914021164021168</v>
      </c>
      <c r="G12" s="2">
        <f>_xlfn.COVARIANCE.S(ns_distraction_mental_load,is_distraction_mental_load)</f>
        <v>0.17916666666666667</v>
      </c>
      <c r="H12" s="2">
        <f>_xlfn.F.TEST(ns_distraction_mental_load,is_distraction_mental_load)</f>
        <v>0.5233528867895737</v>
      </c>
    </row>
    <row r="13" spans="1:8" x14ac:dyDescent="0.3">
      <c r="A13" s="1" t="s">
        <v>5</v>
      </c>
      <c r="B13" s="5">
        <f>AVERAGE(ns_distraction_glance_frequency)</f>
        <v>1.2142857142857142</v>
      </c>
      <c r="C13" s="5">
        <f>_xlfn.VAR.S(ns_distraction_glance_frequency)</f>
        <v>0.69312169312169314</v>
      </c>
      <c r="D13" s="5">
        <f>_xlfn.STDEV.S(ns_distraction_glance_frequency)</f>
        <v>0.83253930425037181</v>
      </c>
      <c r="E13" s="6">
        <f>COUNT(ns_distraction_glance_frequency)</f>
        <v>28</v>
      </c>
      <c r="F13" s="2">
        <f t="shared" si="0"/>
        <v>0.29312169312169312</v>
      </c>
      <c r="G13" s="2">
        <f>_xlfn.COVARIANCE.S(ns_distraction_glance_frequency,is_distraction_glance_frequency)</f>
        <v>0.2</v>
      </c>
      <c r="H13" s="2">
        <f>_xlfn.F.TEST(ns_distraction_glance_frequency,is_distraction_glance_frequency)</f>
        <v>0.26601496543034803</v>
      </c>
    </row>
    <row r="14" spans="1:8" x14ac:dyDescent="0.3">
      <c r="A14" s="1" t="s">
        <v>6</v>
      </c>
      <c r="B14" s="5">
        <f>AVERAGE(ns_distraction_glance_duration)</f>
        <v>1.2857142857142858</v>
      </c>
      <c r="C14" s="5">
        <f>_xlfn.VAR.S(ns_distraction_glance_duration)</f>
        <v>0.65608465608465616</v>
      </c>
      <c r="D14" s="5">
        <f>_xlfn.STDEV.S(ns_distraction_glance_duration)</f>
        <v>0.80999052839194119</v>
      </c>
      <c r="E14" s="6">
        <f>COUNT(ns_distraction_glance_duration)</f>
        <v>28</v>
      </c>
      <c r="F14" s="2">
        <f t="shared" si="0"/>
        <v>0.18941798941798949</v>
      </c>
      <c r="G14" s="2">
        <f>_xlfn.COVARIANCE.S(ns_distraction_glance_duration,is_distraction_glance_duration)</f>
        <v>0.3</v>
      </c>
      <c r="H14" s="2">
        <f>_xlfn.F.TEST(ns_distraction_glance_duration,is_distraction_glance_duration)</f>
        <v>0.49527907730143628</v>
      </c>
    </row>
    <row r="15" spans="1:8" x14ac:dyDescent="0.3">
      <c r="A15" s="3" t="s">
        <v>20</v>
      </c>
      <c r="B15" s="4" t="s">
        <v>15</v>
      </c>
      <c r="C15" s="4" t="s">
        <v>16</v>
      </c>
      <c r="D15" s="4" t="s">
        <v>18</v>
      </c>
      <c r="E15" s="4" t="s">
        <v>17</v>
      </c>
      <c r="F15" s="4" t="s">
        <v>23</v>
      </c>
      <c r="G15" s="4" t="s">
        <v>24</v>
      </c>
      <c r="H15" s="4" t="s">
        <v>25</v>
      </c>
    </row>
    <row r="16" spans="1:8" x14ac:dyDescent="0.3">
      <c r="A16" s="1" t="s">
        <v>1</v>
      </c>
      <c r="B16" s="5">
        <f>AVERAGE(is_distraction_manual)</f>
        <v>0.75</v>
      </c>
      <c r="C16" s="5">
        <f>_xlfn.VAR.S(is_distraction_manual)</f>
        <v>0.46666666666666667</v>
      </c>
      <c r="D16" s="5">
        <f>_xlfn.STDEV.S(is_distraction_manual)</f>
        <v>0.68313005106397318</v>
      </c>
      <c r="E16" s="6">
        <f>COUNT(is_distraction_manual)</f>
        <v>16</v>
      </c>
      <c r="F16" s="8"/>
      <c r="G16" s="8"/>
      <c r="H16" s="8"/>
    </row>
    <row r="17" spans="1:8" x14ac:dyDescent="0.3">
      <c r="A17" s="1" t="s">
        <v>2</v>
      </c>
      <c r="B17" s="5">
        <f>AVERAGE(is_distraction_awareness)</f>
        <v>1.0625</v>
      </c>
      <c r="C17" s="5">
        <f>_xlfn.VAR.S(is_distraction_awareness)</f>
        <v>0.46250000000000002</v>
      </c>
      <c r="D17" s="5">
        <f>_xlfn.STDEV.S(is_distraction_awareness)</f>
        <v>0.68007352543677213</v>
      </c>
      <c r="E17" s="6">
        <f>COUNT(is_distraction_awareness)</f>
        <v>16</v>
      </c>
      <c r="F17" s="8"/>
      <c r="G17" s="8"/>
      <c r="H17" s="8"/>
    </row>
    <row r="18" spans="1:8" x14ac:dyDescent="0.3">
      <c r="A18" s="1" t="s">
        <v>3</v>
      </c>
      <c r="B18" s="5">
        <f>AVERAGE(is_distraction_shift_focus)</f>
        <v>0.8125</v>
      </c>
      <c r="C18" s="5">
        <f>_xlfn.VAR.S(is_distraction_shift_focus)</f>
        <v>0.29583333333333334</v>
      </c>
      <c r="D18" s="5">
        <f>_xlfn.STDEV.S(is_distraction_shift_focus)</f>
        <v>0.54390562906935735</v>
      </c>
      <c r="E18" s="6">
        <f>COUNT(is_distraction_shift_focus)</f>
        <v>16</v>
      </c>
      <c r="F18" s="8"/>
      <c r="G18" s="8"/>
      <c r="H18" s="8"/>
    </row>
    <row r="19" spans="1:8" x14ac:dyDescent="0.3">
      <c r="A19" s="1" t="s">
        <v>4</v>
      </c>
      <c r="B19" s="5">
        <f>AVERAGE(is_distraction_mental_load)</f>
        <v>0.5625</v>
      </c>
      <c r="C19" s="5">
        <f>_xlfn.VAR.S(is_distraction_mental_load)</f>
        <v>0.39583333333333331</v>
      </c>
      <c r="D19" s="5">
        <f>_xlfn.STDEV.S(is_distraction_mental_load)</f>
        <v>0.62915286960589578</v>
      </c>
      <c r="E19" s="6">
        <f>COUNT(is_distraction_mental_load)</f>
        <v>16</v>
      </c>
      <c r="F19" s="8"/>
      <c r="G19" s="8"/>
      <c r="H19" s="8"/>
    </row>
    <row r="20" spans="1:8" x14ac:dyDescent="0.3">
      <c r="A20" s="1" t="s">
        <v>5</v>
      </c>
      <c r="B20" s="5">
        <f>AVERAGE(is_distraction_glance_frequency)</f>
        <v>1</v>
      </c>
      <c r="C20" s="5">
        <f>_xlfn.VAR.S(is_distraction_glance_frequency)</f>
        <v>0.4</v>
      </c>
      <c r="D20" s="5">
        <f>_xlfn.STDEV.S(is_distraction_glance_frequency)</f>
        <v>0.63245553203367588</v>
      </c>
      <c r="E20" s="6">
        <f>COUNT(is_distraction_glance_frequency)</f>
        <v>16</v>
      </c>
      <c r="F20" s="8"/>
      <c r="G20" s="8"/>
      <c r="H20" s="8"/>
    </row>
    <row r="21" spans="1:8" x14ac:dyDescent="0.3">
      <c r="A21" s="1" t="s">
        <v>6</v>
      </c>
      <c r="B21" s="5">
        <f>AVERAGE(is_distraction_glance_duration)</f>
        <v>1.25</v>
      </c>
      <c r="C21" s="5">
        <f>_xlfn.VAR.S(is_distraction_glance_duration)</f>
        <v>0.46666666666666667</v>
      </c>
      <c r="D21" s="5">
        <f>_xlfn.STDEV.S(is_distraction_glance_duration)</f>
        <v>0.68313005106397318</v>
      </c>
      <c r="E21" s="6">
        <f>COUNT(is_distraction_glance_duration)</f>
        <v>16</v>
      </c>
      <c r="F21" s="8"/>
      <c r="G21" s="8"/>
      <c r="H21" s="8"/>
    </row>
    <row r="22" spans="1:8" x14ac:dyDescent="0.3">
      <c r="A22" s="3" t="s">
        <v>21</v>
      </c>
      <c r="B22" s="4" t="s">
        <v>15</v>
      </c>
      <c r="C22" s="4" t="s">
        <v>16</v>
      </c>
      <c r="D22" s="4" t="s">
        <v>18</v>
      </c>
      <c r="E22" s="4" t="s">
        <v>17</v>
      </c>
      <c r="F22" s="4" t="s">
        <v>23</v>
      </c>
      <c r="G22" s="4" t="s">
        <v>24</v>
      </c>
      <c r="H22" s="4" t="s">
        <v>25</v>
      </c>
    </row>
    <row r="23" spans="1:8" x14ac:dyDescent="0.3">
      <c r="A23" s="1" t="s">
        <v>1</v>
      </c>
      <c r="B23" s="5">
        <f>AVERAGE(ne_distraction_manual)</f>
        <v>1.0333333333333334</v>
      </c>
      <c r="C23" s="5">
        <f>_xlfn.VAR.S(ne_distraction_manual)</f>
        <v>0.72298850574712648</v>
      </c>
      <c r="D23" s="5">
        <f>_xlfn.STDEV.S(ne_distraction_manual)</f>
        <v>0.85028730776551431</v>
      </c>
      <c r="E23" s="6">
        <f>COUNT(ne_distraction_manual)</f>
        <v>30</v>
      </c>
      <c r="F23" s="2">
        <f>C23-C30</f>
        <v>-1.7241379310344751E-2</v>
      </c>
      <c r="G23" s="2">
        <f>_xlfn.COVARIANCE.S(ne_distraction_manual,ie_distraction_manual)</f>
        <v>0.21149425287356324</v>
      </c>
      <c r="H23" s="2">
        <f>_xlfn.F.TEST(ne_distraction_manual,ie_distraction_manual)</f>
        <v>0.94983654395567885</v>
      </c>
    </row>
    <row r="24" spans="1:8" x14ac:dyDescent="0.3">
      <c r="A24" s="1" t="s">
        <v>2</v>
      </c>
      <c r="B24" s="5">
        <f>AVERAGE(ne_distraction_awareness)</f>
        <v>1.5666666666666667</v>
      </c>
      <c r="C24" s="5">
        <f>_xlfn.VAR.S(ne_distraction_awareness)</f>
        <v>0.73678160919540203</v>
      </c>
      <c r="D24" s="5">
        <f>_xlfn.STDEV.S(ne_distraction_awareness)</f>
        <v>0.85835983666257476</v>
      </c>
      <c r="E24" s="6">
        <f>COUNT(ne_distraction_awareness)</f>
        <v>30</v>
      </c>
      <c r="F24" s="2">
        <f t="shared" ref="F24:F28" si="1">C24-C31</f>
        <v>0.27428160919540201</v>
      </c>
      <c r="G24" s="2">
        <f>_xlfn.COVARIANCE.S(ne_distraction_awareness,ie_distraction_awareness)</f>
        <v>-3.3333333333333312E-2</v>
      </c>
      <c r="H24" s="2">
        <f>_xlfn.F.TEST(ne_distraction_awareness,ie_distraction_awareness)</f>
        <v>0.50935315528295411</v>
      </c>
    </row>
    <row r="25" spans="1:8" x14ac:dyDescent="0.3">
      <c r="A25" s="1" t="s">
        <v>3</v>
      </c>
      <c r="B25" s="5">
        <f>AVERAGE(ne_distraction_shift_focus)</f>
        <v>1.1333333333333333</v>
      </c>
      <c r="C25" s="5">
        <f>_xlfn.VAR.S(ne_distraction_shift_focus)</f>
        <v>0.74022988505747134</v>
      </c>
      <c r="D25" s="5">
        <f>_xlfn.STDEV.S(ne_distraction_shift_focus)</f>
        <v>0.86036613430415276</v>
      </c>
      <c r="E25" s="6">
        <f>COUNT(ne_distraction_shift_focus)</f>
        <v>30</v>
      </c>
      <c r="F25" s="2">
        <f t="shared" si="1"/>
        <v>8.6206896551724199E-2</v>
      </c>
      <c r="G25" s="2">
        <f>_xlfn.COVARIANCE.S(ne_distraction_shift_focus,ie_distraction_shift_focus)</f>
        <v>2.9885057471264367E-2</v>
      </c>
      <c r="H25" s="2">
        <f>_xlfn.F.TEST(ne_distraction_shift_focus,ie_distraction_shift_focus)</f>
        <v>0.74107866017895563</v>
      </c>
    </row>
    <row r="26" spans="1:8" x14ac:dyDescent="0.3">
      <c r="A26" s="1" t="s">
        <v>4</v>
      </c>
      <c r="B26" s="5">
        <f>AVERAGE(ne_distraction_mental_load)</f>
        <v>0.8</v>
      </c>
      <c r="C26" s="5">
        <f>_xlfn.VAR.S(ne_distraction_mental_load)</f>
        <v>0.51034482758620692</v>
      </c>
      <c r="D26" s="5">
        <f>_xlfn.STDEV.S(ne_distraction_mental_load)</f>
        <v>0.71438422965950676</v>
      </c>
      <c r="E26" s="6">
        <f>COUNT(ne_distraction_mental_load)</f>
        <v>30</v>
      </c>
      <c r="F26" s="2">
        <f t="shared" si="1"/>
        <v>-0.10574712643678164</v>
      </c>
      <c r="G26" s="2">
        <f>_xlfn.COVARIANCE.S(ne_distraction_mental_load,ie_distraction_mental_load)</f>
        <v>8.2758620689655157E-2</v>
      </c>
      <c r="H26" s="2">
        <f>_xlfn.F.TEST(ne_distraction_mental_load,ie_distraction_mental_load)</f>
        <v>0.61544219657804355</v>
      </c>
    </row>
    <row r="27" spans="1:8" x14ac:dyDescent="0.3">
      <c r="A27" s="1" t="s">
        <v>5</v>
      </c>
      <c r="B27" s="5">
        <f>AVERAGE(ne_distraction_glance_frequency)</f>
        <v>1.2</v>
      </c>
      <c r="C27" s="5">
        <f>_xlfn.VAR.S(ne_distraction_glance_frequency)</f>
        <v>0.64827586206896537</v>
      </c>
      <c r="D27" s="5">
        <f>_xlfn.STDEV.S(ne_distraction_glance_frequency)</f>
        <v>0.80515579987289754</v>
      </c>
      <c r="E27" s="6">
        <f>COUNT(ne_distraction_glance_frequency)</f>
        <v>30</v>
      </c>
      <c r="F27" s="2">
        <f t="shared" si="1"/>
        <v>-3.6781609195402409E-2</v>
      </c>
      <c r="G27" s="2">
        <f>_xlfn.COVARIANCE.S(ne_distraction_glance_frequency,ie_distraction_glance_frequency)</f>
        <v>-1.3793103448275834E-2</v>
      </c>
      <c r="H27" s="2">
        <f>_xlfn.F.TEST(ne_distraction_glance_frequency,ie_distraction_glance_frequency)</f>
        <v>0.88288774837129791</v>
      </c>
    </row>
    <row r="28" spans="1:8" x14ac:dyDescent="0.3">
      <c r="A28" s="1" t="s">
        <v>6</v>
      </c>
      <c r="B28" s="5">
        <f>AVERAGE(ne_distraction_glance_duration)</f>
        <v>1.2666666666666666</v>
      </c>
      <c r="C28" s="5">
        <f>_xlfn.VAR.S(ne_distraction_glance_duration)</f>
        <v>0.61609195402298855</v>
      </c>
      <c r="D28" s="5">
        <f>_xlfn.STDEV.S(ne_distraction_glance_duration)</f>
        <v>0.78491525276490104</v>
      </c>
      <c r="E28" s="6">
        <f>COUNT(ne_distraction_glance_duration)</f>
        <v>30</v>
      </c>
      <c r="F28" s="2">
        <f t="shared" si="1"/>
        <v>-0.25862068965517238</v>
      </c>
      <c r="G28" s="2">
        <f>_xlfn.COVARIANCE.S(ne_distraction_glance_duration,ie_distraction_glance_duration)</f>
        <v>0.10804597701149421</v>
      </c>
      <c r="H28" s="2">
        <f>_xlfn.F.TEST(ne_distraction_glance_duration,ie_distraction_glance_duration)</f>
        <v>0.35066956333188054</v>
      </c>
    </row>
    <row r="29" spans="1:8" x14ac:dyDescent="0.3">
      <c r="A29" s="3" t="s">
        <v>22</v>
      </c>
      <c r="B29" s="4" t="s">
        <v>15</v>
      </c>
      <c r="C29" s="4" t="s">
        <v>16</v>
      </c>
      <c r="D29" s="4" t="s">
        <v>18</v>
      </c>
      <c r="E29" s="4" t="s">
        <v>17</v>
      </c>
      <c r="F29" s="4" t="s">
        <v>23</v>
      </c>
      <c r="G29" s="4" t="s">
        <v>24</v>
      </c>
      <c r="H29" s="4" t="s">
        <v>25</v>
      </c>
    </row>
    <row r="30" spans="1:8" x14ac:dyDescent="0.3">
      <c r="A30" s="1" t="s">
        <v>1</v>
      </c>
      <c r="B30" s="5">
        <f>AVERAGE(ie_distraction_manual)</f>
        <v>0.8666666666666667</v>
      </c>
      <c r="C30" s="5">
        <f>_xlfn.VAR.S(ie_distraction_manual)</f>
        <v>0.74022988505747123</v>
      </c>
      <c r="D30" s="5">
        <f>_xlfn.STDEV.S(ie_distraction_manual)</f>
        <v>0.86036613430415265</v>
      </c>
      <c r="E30" s="6">
        <f>COUNT(ie_distraction_manual)</f>
        <v>30</v>
      </c>
      <c r="F30" s="9"/>
      <c r="G30" s="8"/>
      <c r="H30" s="8"/>
    </row>
    <row r="31" spans="1:8" x14ac:dyDescent="0.3">
      <c r="A31" s="1" t="s">
        <v>2</v>
      </c>
      <c r="B31" s="5">
        <f>AVERAGE(ie_distraction_awareness)</f>
        <v>1.2333333333333334</v>
      </c>
      <c r="C31" s="5">
        <f>_xlfn.VAR.S(is_distraction_awareness)</f>
        <v>0.46250000000000002</v>
      </c>
      <c r="D31" s="5">
        <f>_xlfn.STDEV.S(ie_distraction_awareness)</f>
        <v>0.97143098618457724</v>
      </c>
      <c r="E31" s="6">
        <f>COUNT(ie_distraction_awareness)</f>
        <v>30</v>
      </c>
      <c r="F31" s="9"/>
      <c r="G31" s="8"/>
      <c r="H31" s="8"/>
    </row>
    <row r="32" spans="1:8" x14ac:dyDescent="0.3">
      <c r="A32" s="1" t="s">
        <v>3</v>
      </c>
      <c r="B32" s="5">
        <f>AVERAGE(ie_distraction_shift_focus)</f>
        <v>1.0333333333333334</v>
      </c>
      <c r="C32" s="5">
        <f>_xlfn.VAR.S(ie_distraction_shift_focus)</f>
        <v>0.65402298850574714</v>
      </c>
      <c r="D32" s="5">
        <f>_xlfn.STDEV.S(ie_distraction_shift_focus)</f>
        <v>0.8087168778415269</v>
      </c>
      <c r="E32" s="6">
        <f>COUNT(ie_distraction_shift_focus)</f>
        <v>30</v>
      </c>
      <c r="F32" s="9"/>
      <c r="G32" s="8"/>
      <c r="H32" s="8"/>
    </row>
    <row r="33" spans="1:8" x14ac:dyDescent="0.3">
      <c r="A33" s="1" t="s">
        <v>4</v>
      </c>
      <c r="B33" s="5">
        <f>AVERAGE(ie_distraction_mental_load)</f>
        <v>0.73333333333333328</v>
      </c>
      <c r="C33" s="5">
        <f>_xlfn.VAR.S(ie_distraction_mental_load)</f>
        <v>0.61609195402298855</v>
      </c>
      <c r="D33" s="5">
        <f>_xlfn.STDEV.S(ie_distraction_mental_load)</f>
        <v>0.78491525276490104</v>
      </c>
      <c r="E33" s="6">
        <f>COUNT(ie_distraction_mental_load)</f>
        <v>30</v>
      </c>
      <c r="F33" s="9"/>
      <c r="G33" s="8"/>
      <c r="H33" s="8"/>
    </row>
    <row r="34" spans="1:8" x14ac:dyDescent="0.3">
      <c r="A34" s="1" t="s">
        <v>5</v>
      </c>
      <c r="B34" s="5">
        <f>AVERAGE(ie_distraction_glance_frequency)</f>
        <v>1.0666666666666667</v>
      </c>
      <c r="C34" s="5">
        <f>_xlfn.VAR.S(ie_distraction_glance_frequency)</f>
        <v>0.68505747126436778</v>
      </c>
      <c r="D34" s="5">
        <f>_xlfn.STDEV.S(ie_distraction_glance_frequency)</f>
        <v>0.82768198679466731</v>
      </c>
      <c r="E34" s="6">
        <f>COUNT(ie_distraction_glance_frequency)</f>
        <v>30</v>
      </c>
      <c r="F34" s="9"/>
      <c r="G34" s="8"/>
      <c r="H34" s="8"/>
    </row>
    <row r="35" spans="1:8" x14ac:dyDescent="0.3">
      <c r="A35" s="1" t="s">
        <v>6</v>
      </c>
      <c r="B35" s="5">
        <f>AVERAGE(ie_distraction_glance_duration)</f>
        <v>1.2333333333333334</v>
      </c>
      <c r="C35" s="5">
        <f>_xlfn.VAR.S(ie_distraction_glance_duration)</f>
        <v>0.87471264367816093</v>
      </c>
      <c r="D35" s="5">
        <f>_xlfn.STDEV.S(ie_distraction_glance_duration)</f>
        <v>0.93526073566581469</v>
      </c>
      <c r="E35" s="6">
        <f>COUNT(ie_distraction_glance_duration)</f>
        <v>30</v>
      </c>
      <c r="F35" s="9"/>
      <c r="G35" s="8"/>
      <c r="H3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13BC-5B50-4470-8B95-4E38DB19724A}">
  <dimension ref="A1:E8"/>
  <sheetViews>
    <sheetView workbookViewId="0">
      <selection sqref="A1:E8"/>
    </sheetView>
  </sheetViews>
  <sheetFormatPr defaultRowHeight="14.4" x14ac:dyDescent="0.3"/>
  <cols>
    <col min="1" max="1" width="30.6640625" customWidth="1"/>
    <col min="2" max="5" width="13" customWidth="1"/>
    <col min="6" max="7" width="30.6640625" customWidth="1"/>
    <col min="8" max="8" width="28.44140625" customWidth="1"/>
  </cols>
  <sheetData>
    <row r="1" spans="1:5" ht="15" thickBot="1" x14ac:dyDescent="0.35">
      <c r="A1" s="12"/>
      <c r="B1" s="17" t="s">
        <v>30</v>
      </c>
      <c r="C1" s="18"/>
      <c r="D1" s="19" t="s">
        <v>31</v>
      </c>
      <c r="E1" s="18"/>
    </row>
    <row r="2" spans="1:5" x14ac:dyDescent="0.3">
      <c r="A2" s="10" t="s">
        <v>29</v>
      </c>
      <c r="B2" s="11" t="s">
        <v>27</v>
      </c>
      <c r="C2" s="11" t="s">
        <v>28</v>
      </c>
      <c r="D2" s="11" t="s">
        <v>27</v>
      </c>
      <c r="E2" s="11" t="s">
        <v>28</v>
      </c>
    </row>
    <row r="3" spans="1:5" x14ac:dyDescent="0.3">
      <c r="A3" s="1" t="s">
        <v>1</v>
      </c>
      <c r="B3" s="2">
        <f>_xlfn.T.TEST(is_distraction_manual,ns_distraction_manual,2,2)</f>
        <v>0.27021950336065231</v>
      </c>
      <c r="C3" s="2">
        <f>_xlfn.T.TEST(ie_distraction_manual,ne_distraction_manual,2,2)</f>
        <v>0.45350281393694303</v>
      </c>
      <c r="D3" s="2">
        <v>0.31685165691573702</v>
      </c>
      <c r="E3" s="2">
        <v>0.42370626652508497</v>
      </c>
    </row>
    <row r="4" spans="1:5" x14ac:dyDescent="0.3">
      <c r="A4" s="1" t="s">
        <v>2</v>
      </c>
      <c r="B4" s="13">
        <f>_xlfn.T.TEST(is_distraction_awareness,ns_distraction_awareness,2,2)</f>
        <v>3.7932730511482445E-2</v>
      </c>
      <c r="C4" s="2">
        <f>_xlfn.T.TEST(ie_distraction_awareness,ne_distraction_awareness,2,2)</f>
        <v>0.16435144345258376</v>
      </c>
      <c r="D4" s="13">
        <v>5.0397879697461297E-2</v>
      </c>
      <c r="E4" s="2">
        <v>0.110700117067249</v>
      </c>
    </row>
    <row r="5" spans="1:5" x14ac:dyDescent="0.3">
      <c r="A5" s="1" t="s">
        <v>3</v>
      </c>
      <c r="B5" s="2">
        <f>_xlfn.T.TEST(is_distraction_shift_focus,ns_distraction_shift_focus,2,2)</f>
        <v>0.23085578505847301</v>
      </c>
      <c r="C5" s="2">
        <f>_xlfn.T.TEST(ie_distraction_shift_focus,ne_distraction_shift_focus,2,2)</f>
        <v>0.6444820715447579</v>
      </c>
      <c r="D5" s="2">
        <v>0.30544774000094299</v>
      </c>
      <c r="E5" s="2">
        <v>0.61768794735231503</v>
      </c>
    </row>
    <row r="6" spans="1:5" x14ac:dyDescent="0.3">
      <c r="A6" s="1" t="s">
        <v>4</v>
      </c>
      <c r="B6" s="2">
        <f>_xlfn.T.TEST(is_distraction_mental_load,ns_distraction_mental_load,2,2)</f>
        <v>0.31557132986417286</v>
      </c>
      <c r="C6" s="2">
        <f>_xlfn.T.TEST(ie_distraction_mental_load,ne_distraction_mental_load,2,2)</f>
        <v>0.7320562571028344</v>
      </c>
      <c r="D6" s="2">
        <v>0.35059129990976901</v>
      </c>
      <c r="E6" s="2">
        <v>0.611940355547264</v>
      </c>
    </row>
    <row r="7" spans="1:5" x14ac:dyDescent="0.3">
      <c r="A7" s="1" t="s">
        <v>5</v>
      </c>
      <c r="B7" s="2">
        <f>_xlfn.T.TEST(is_distraction_glance_frequency,ns_distraction_glance_frequency,2,2)</f>
        <v>0.37781060489887619</v>
      </c>
      <c r="C7" s="2">
        <f>_xlfn.T.TEST(ie_distraction_glance_frequency,ne_distraction_glance_frequency,2,2)</f>
        <v>0.52957475897350093</v>
      </c>
      <c r="D7" s="2">
        <v>0.442651374875068</v>
      </c>
      <c r="E7" s="2">
        <v>0.57173703399356002</v>
      </c>
    </row>
    <row r="8" spans="1:5" x14ac:dyDescent="0.3">
      <c r="A8" s="1" t="s">
        <v>6</v>
      </c>
      <c r="B8" s="2">
        <f>_xlfn.T.TEST(is_distraction_glance_duration,ns_distraction_glance_duration,2,2)</f>
        <v>0.88261093507369759</v>
      </c>
      <c r="C8" s="2">
        <f>_xlfn.T.TEST(ie_distraction_glance_duration,ne_distraction_glance_duration,2,2)</f>
        <v>0.88165400455011045</v>
      </c>
      <c r="D8" s="2">
        <v>1</v>
      </c>
      <c r="E8" s="2">
        <v>0.84320024341492095</v>
      </c>
    </row>
  </sheetData>
  <mergeCells count="2">
    <mergeCell ref="B1:C1"/>
    <mergeCell ref="D1:E1"/>
  </mergeCells>
  <conditionalFormatting sqref="B3:E8">
    <cfRule type="cellIs" dxfId="1" priority="1" operator="lessThan">
      <formula>0.06</formula>
    </cfRule>
    <cfRule type="expression" dxfId="0" priority="2">
      <formula>"&lt;=0,05"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F8A-2146-429F-8456-325D34D41221}">
  <dimension ref="A1:C8"/>
  <sheetViews>
    <sheetView tabSelected="1" workbookViewId="0">
      <selection activeCell="C8" sqref="A1:C8"/>
    </sheetView>
  </sheetViews>
  <sheetFormatPr defaultRowHeight="14.4" x14ac:dyDescent="0.3"/>
  <cols>
    <col min="1" max="1" width="27.6640625" bestFit="1" customWidth="1"/>
  </cols>
  <sheetData>
    <row r="1" spans="1:3" x14ac:dyDescent="0.3">
      <c r="A1" s="15"/>
      <c r="B1" s="15" t="s">
        <v>30</v>
      </c>
      <c r="C1" s="15" t="s">
        <v>31</v>
      </c>
    </row>
    <row r="2" spans="1:3" x14ac:dyDescent="0.3">
      <c r="A2" s="15" t="s">
        <v>29</v>
      </c>
      <c r="B2" s="15" t="s">
        <v>27</v>
      </c>
      <c r="C2" s="15" t="s">
        <v>27</v>
      </c>
    </row>
    <row r="3" spans="1:3" x14ac:dyDescent="0.3">
      <c r="A3" s="15" t="s">
        <v>1</v>
      </c>
      <c r="B3" s="16">
        <v>0.27021950336065231</v>
      </c>
      <c r="C3" s="16">
        <v>0.31685165691573702</v>
      </c>
    </row>
    <row r="4" spans="1:3" x14ac:dyDescent="0.3">
      <c r="A4" s="15" t="s">
        <v>2</v>
      </c>
      <c r="B4" s="16">
        <v>3.7932730511482445E-2</v>
      </c>
      <c r="C4" s="16">
        <v>5.0397879697461297E-2</v>
      </c>
    </row>
    <row r="5" spans="1:3" x14ac:dyDescent="0.3">
      <c r="A5" s="15" t="s">
        <v>3</v>
      </c>
      <c r="B5" s="16">
        <v>0.23085578505847301</v>
      </c>
      <c r="C5" s="16">
        <v>0.30544774000094299</v>
      </c>
    </row>
    <row r="6" spans="1:3" x14ac:dyDescent="0.3">
      <c r="A6" s="15" t="s">
        <v>4</v>
      </c>
      <c r="B6" s="16">
        <v>0.31557132986417286</v>
      </c>
      <c r="C6" s="16">
        <v>0.35059129990976901</v>
      </c>
    </row>
    <row r="7" spans="1:3" x14ac:dyDescent="0.3">
      <c r="A7" s="15" t="s">
        <v>5</v>
      </c>
      <c r="B7" s="16">
        <v>0.37781060489887619</v>
      </c>
      <c r="C7" s="16">
        <v>0.442651374875068</v>
      </c>
    </row>
    <row r="8" spans="1:3" x14ac:dyDescent="0.3">
      <c r="A8" s="15" t="s">
        <v>6</v>
      </c>
      <c r="B8" s="16">
        <v>0.88261093507369759</v>
      </c>
      <c r="C8" s="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15270-ADF3-40FA-99EB-96A6E55C947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A63BA899-8385-45F0-B91C-E0158614C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A8C84F-8AE4-4C31-8378-6D120FA7D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30</vt:i4>
      </vt:variant>
    </vt:vector>
  </HeadingPairs>
  <TitlesOfParts>
    <vt:vector size="39" baseType="lpstr">
      <vt:lpstr>The Data</vt:lpstr>
      <vt:lpstr>Nomadic (small)</vt:lpstr>
      <vt:lpstr>Integrated (small)</vt:lpstr>
      <vt:lpstr>Nomadic (extended)</vt:lpstr>
      <vt:lpstr>Integrated (extended)</vt:lpstr>
      <vt:lpstr>Frequencies</vt:lpstr>
      <vt:lpstr>Descriptive Stats</vt:lpstr>
      <vt:lpstr>Mean Comparisons</vt:lpstr>
      <vt:lpstr>Blad1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ie_distraction_awareness</vt:lpstr>
      <vt:lpstr>ie_distraction_glance_duration</vt:lpstr>
      <vt:lpstr>ie_distraction_glance_frequency</vt:lpstr>
      <vt:lpstr>ie_distraction_manual</vt:lpstr>
      <vt:lpstr>ie_distraction_mental_load</vt:lpstr>
      <vt:lpstr>ie_distraction_shift_focus</vt:lpstr>
      <vt:lpstr>is_distraction_awareness</vt:lpstr>
      <vt:lpstr>is_distraction_glance_duration</vt:lpstr>
      <vt:lpstr>is_distraction_glance_frequency</vt:lpstr>
      <vt:lpstr>is_distraction_manual</vt:lpstr>
      <vt:lpstr>is_distraction_mental_load</vt:lpstr>
      <vt:lpstr>is_distraction_shift_focus</vt:lpstr>
      <vt:lpstr>ne_distraction_awareness</vt:lpstr>
      <vt:lpstr>ne_distraction_glance_duration</vt:lpstr>
      <vt:lpstr>ne_distraction_glance_frequency</vt:lpstr>
      <vt:lpstr>ne_distraction_manual</vt:lpstr>
      <vt:lpstr>ne_distraction_mental_load</vt:lpstr>
      <vt:lpstr>ne_distraction_shift_focus</vt:lpstr>
      <vt:lpstr>ns_distraction_awareness</vt:lpstr>
      <vt:lpstr>ns_distraction_glance_duration</vt:lpstr>
      <vt:lpstr>ns_distraction_glance_frequency</vt:lpstr>
      <vt:lpstr>ns_distraction_manual</vt:lpstr>
      <vt:lpstr>ns_distraction_mental_load</vt:lpstr>
      <vt:lpstr>ns_distraction_shift_focus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2023-07-21T20:37:15Z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