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028" documentId="8_{0E91EF87-D3F1-4CF4-B918-3E43661BECA8}" xr6:coauthVersionLast="47" xr6:coauthVersionMax="47" xr10:uidLastSave="{32E94C8E-28DD-4971-99B1-23E9FE074330}"/>
  <bookViews>
    <workbookView xWindow="-108" yWindow="-108" windowWidth="23256" windowHeight="12456" tabRatio="691" activeTab="2" xr2:uid="{A2D2436F-6D82-4857-960A-E615779F51BD}"/>
  </bookViews>
  <sheets>
    <sheet name="All" sheetId="2" r:id="rId1"/>
    <sheet name="Chi-square p-values" sheetId="10" r:id="rId2"/>
    <sheet name="Overview" sheetId="12" r:id="rId3"/>
    <sheet name="Chi-Square one way" sheetId="8" r:id="rId4"/>
    <sheet name="Streaming" sheetId="1" r:id="rId5"/>
    <sheet name="Smartphone" sheetId="3" r:id="rId6"/>
    <sheet name="Integrated" sheetId="4" r:id="rId7"/>
    <sheet name="vars" sheetId="11" r:id="rId8"/>
  </sheets>
  <definedNames>
    <definedName name="_xlnm._FilterDatabase" localSheetId="0" hidden="1">All!$A$1:$Q$1</definedName>
    <definedName name="count_integrated">Integrated!$B:$B</definedName>
    <definedName name="count_smartphone">Smartphone!$B:$B</definedName>
    <definedName name="count_streaming">Streaming!$B:$B</definedName>
    <definedName name="relative_count_integrated">Integrated!$C:$C</definedName>
    <definedName name="relative_count_smartphone">Smartphone!$C:$C</definedName>
    <definedName name="relative_count_streaming">Streaming!$C:$C</definedName>
    <definedName name="relative_salience_integrated">Integrated!#REF!</definedName>
    <definedName name="relative_salience_smartphone">Smartphone!#REF!</definedName>
    <definedName name="relative_salience_streaming">Streaming!#REF!</definedName>
    <definedName name="salience_integrated">Integrated!#REF!</definedName>
    <definedName name="salience_smartphone">Smartphone!#REF!</definedName>
    <definedName name="salience_streaming">Streaming!#REF!</definedName>
    <definedName name="sample_size_weighting_factor">vars!$B$1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8" l="1"/>
  <c r="G44" i="8"/>
  <c r="G35" i="8"/>
  <c r="G26" i="8"/>
  <c r="G17" i="8"/>
  <c r="G8" i="8"/>
  <c r="G107" i="8"/>
  <c r="G98" i="8"/>
  <c r="G89" i="8"/>
  <c r="G80" i="8"/>
  <c r="G71" i="8"/>
  <c r="G62" i="8"/>
  <c r="G25" i="8"/>
  <c r="G24" i="8"/>
  <c r="G22" i="8"/>
  <c r="G21" i="8"/>
  <c r="G13" i="8"/>
  <c r="G12" i="8"/>
  <c r="G4" i="8"/>
  <c r="G3" i="8"/>
  <c r="C13" i="8"/>
  <c r="C12" i="8"/>
  <c r="C4" i="8"/>
  <c r="C3" i="8"/>
  <c r="G103" i="8"/>
  <c r="G102" i="8"/>
  <c r="G94" i="8"/>
  <c r="G93" i="8"/>
  <c r="G85" i="8"/>
  <c r="G84" i="8"/>
  <c r="G76" i="8"/>
  <c r="G75" i="8"/>
  <c r="G67" i="8"/>
  <c r="G66" i="8"/>
  <c r="G58" i="8"/>
  <c r="G57" i="8"/>
  <c r="G49" i="8"/>
  <c r="G48" i="8"/>
  <c r="G40" i="8"/>
  <c r="G39" i="8"/>
  <c r="G31" i="8"/>
  <c r="G30" i="8"/>
  <c r="B103" i="8"/>
  <c r="B102" i="8"/>
  <c r="B94" i="8"/>
  <c r="B93" i="8"/>
  <c r="B85" i="8"/>
  <c r="B84" i="8"/>
  <c r="B76" i="8"/>
  <c r="B75" i="8"/>
  <c r="B67" i="8"/>
  <c r="B66" i="8"/>
  <c r="B58" i="8"/>
  <c r="B57" i="8"/>
  <c r="B49" i="8"/>
  <c r="B48" i="8"/>
  <c r="B40" i="8"/>
  <c r="B39" i="8"/>
  <c r="B31" i="8"/>
  <c r="B30" i="8"/>
  <c r="B22" i="8"/>
  <c r="B21" i="8"/>
  <c r="C103" i="8"/>
  <c r="C102" i="8"/>
  <c r="C94" i="8"/>
  <c r="C93" i="8"/>
  <c r="C85" i="8"/>
  <c r="C84" i="8"/>
  <c r="C76" i="8"/>
  <c r="C75" i="8"/>
  <c r="C67" i="8"/>
  <c r="C66" i="8"/>
  <c r="C58" i="8"/>
  <c r="C57" i="8"/>
  <c r="C49" i="8"/>
  <c r="C48" i="8"/>
  <c r="C40" i="8"/>
  <c r="C39" i="8"/>
  <c r="C31" i="8"/>
  <c r="C30" i="8"/>
  <c r="C22" i="8"/>
  <c r="C21" i="8"/>
  <c r="B12" i="8" l="1"/>
  <c r="B3" i="8"/>
  <c r="B13" i="8"/>
  <c r="I4" i="2" l="1"/>
  <c r="K4" i="2" s="1"/>
  <c r="E6" i="12" s="1"/>
  <c r="J4" i="2"/>
  <c r="C4" i="2"/>
  <c r="D4" i="2"/>
  <c r="F4" i="2"/>
  <c r="H4" i="2" s="1"/>
  <c r="G4" i="2"/>
  <c r="N4" i="2" l="1"/>
  <c r="D6" i="12"/>
  <c r="E4" i="2"/>
  <c r="C4" i="4"/>
  <c r="C3" i="4"/>
  <c r="C2" i="4"/>
  <c r="B4" i="8"/>
  <c r="G16" i="8"/>
  <c r="L4" i="2" l="1"/>
  <c r="C6" i="12"/>
  <c r="M4" i="2"/>
  <c r="O4" i="2"/>
  <c r="P4" i="2"/>
  <c r="Q4" i="2" s="1"/>
  <c r="G15" i="8"/>
  <c r="G60" i="8" l="1"/>
  <c r="G106" i="8"/>
  <c r="G97" i="8"/>
  <c r="G88" i="8"/>
  <c r="G79" i="8"/>
  <c r="G70" i="8"/>
  <c r="G61" i="8"/>
  <c r="G52" i="8"/>
  <c r="G43" i="8"/>
  <c r="G34" i="8"/>
  <c r="G7" i="8"/>
  <c r="G51" i="8" l="1"/>
  <c r="G42" i="8"/>
  <c r="G105" i="8"/>
  <c r="G87" i="8"/>
  <c r="G96" i="8"/>
  <c r="G78" i="8"/>
  <c r="G69" i="8"/>
  <c r="G6" i="8"/>
  <c r="G33" i="8"/>
  <c r="F2" i="2" l="1"/>
  <c r="H2" i="2" s="1"/>
  <c r="G2" i="2"/>
  <c r="F5" i="2"/>
  <c r="H5" i="2" s="1"/>
  <c r="G5" i="2"/>
  <c r="G3" i="2"/>
  <c r="F3" i="2"/>
  <c r="H3" i="2" s="1"/>
  <c r="C2" i="2"/>
  <c r="D2" i="2"/>
  <c r="C5" i="2"/>
  <c r="D5" i="2"/>
  <c r="D3" i="2"/>
  <c r="C3" i="2"/>
  <c r="J3" i="2"/>
  <c r="I3" i="2"/>
  <c r="K3" i="2" s="1"/>
  <c r="E3" i="12" s="1"/>
  <c r="J2" i="2"/>
  <c r="J5" i="2"/>
  <c r="I2" i="2"/>
  <c r="K2" i="2" s="1"/>
  <c r="E4" i="12" s="1"/>
  <c r="I5" i="2"/>
  <c r="K5" i="2" s="1"/>
  <c r="E5" i="12" s="1"/>
  <c r="N5" i="2" l="1"/>
  <c r="D5" i="12"/>
  <c r="D3" i="12"/>
  <c r="N3" i="2"/>
  <c r="D4" i="12"/>
  <c r="N2" i="2"/>
  <c r="E2" i="2"/>
  <c r="F6" i="12"/>
  <c r="B6" i="12" s="1"/>
  <c r="E5" i="2"/>
  <c r="E3" i="2"/>
  <c r="C4" i="12" l="1"/>
  <c r="O2" i="2"/>
  <c r="F4" i="12" s="1"/>
  <c r="B4" i="12" s="1"/>
  <c r="M2" i="2"/>
  <c r="L2" i="2"/>
  <c r="L3" i="2"/>
  <c r="P3" i="2" s="1"/>
  <c r="Q3" i="2" s="1"/>
  <c r="C3" i="12"/>
  <c r="O3" i="2"/>
  <c r="F3" i="12" s="1"/>
  <c r="B3" i="12" s="1"/>
  <c r="M3" i="2"/>
  <c r="L5" i="2"/>
  <c r="M5" i="2"/>
  <c r="O5" i="2"/>
  <c r="F5" i="12" s="1"/>
  <c r="B5" i="12" s="1"/>
  <c r="C5" i="12"/>
  <c r="P2" i="2"/>
  <c r="Q2" i="2" s="1"/>
  <c r="P5" i="2" l="1"/>
  <c r="Q5" i="2" s="1"/>
</calcChain>
</file>

<file path=xl/sharedStrings.xml><?xml version="1.0" encoding="utf-8"?>
<sst xmlns="http://schemas.openxmlformats.org/spreadsheetml/2006/main" count="181" uniqueCount="55">
  <si>
    <t>count_rel</t>
  </si>
  <si>
    <t>codes6</t>
  </si>
  <si>
    <t>counts6</t>
  </si>
  <si>
    <t>code</t>
  </si>
  <si>
    <t>count_streaming</t>
  </si>
  <si>
    <t>count_smartphone</t>
  </si>
  <si>
    <t>count_integrated</t>
  </si>
  <si>
    <t>smartphone</t>
  </si>
  <si>
    <t>integrated</t>
  </si>
  <si>
    <t>f</t>
  </si>
  <si>
    <t>e</t>
  </si>
  <si>
    <t>X^2</t>
  </si>
  <si>
    <t>DF</t>
  </si>
  <si>
    <t>p</t>
  </si>
  <si>
    <t>streaming</t>
  </si>
  <si>
    <t>Code</t>
  </si>
  <si>
    <t>p(S,I)</t>
  </si>
  <si>
    <t>Z=</t>
  </si>
  <si>
    <t>S=</t>
  </si>
  <si>
    <t>I=</t>
  </si>
  <si>
    <t>Smartphone</t>
  </si>
  <si>
    <t>Integrated</t>
  </si>
  <si>
    <t>Streaming</t>
  </si>
  <si>
    <t>p(S,Z)</t>
  </si>
  <si>
    <t>p(I,Z)</t>
  </si>
  <si>
    <t>confusing or conflicting</t>
  </si>
  <si>
    <t>bad timing or bad data</t>
  </si>
  <si>
    <t>unnecessary or redundant</t>
  </si>
  <si>
    <t>codes1</t>
  </si>
  <si>
    <t>counts1</t>
  </si>
  <si>
    <t>undesirable route suggestion</t>
  </si>
  <si>
    <t>f/n</t>
  </si>
  <si>
    <t>n</t>
  </si>
  <si>
    <t>f(S)</t>
  </si>
  <si>
    <t>f(I)</t>
  </si>
  <si>
    <t>f(Z)</t>
  </si>
  <si>
    <t>f/n(S)</t>
  </si>
  <si>
    <t>f/n(I)</t>
  </si>
  <si>
    <t>f/n(Z)</t>
  </si>
  <si>
    <t>(w(f))(S)</t>
  </si>
  <si>
    <t>(w(f))(I)</t>
  </si>
  <si>
    <t>(w(f))(Z)</t>
  </si>
  <si>
    <t>sample_size_weighting_factor</t>
  </si>
  <si>
    <t>#</t>
  </si>
  <si>
    <t>S,I</t>
  </si>
  <si>
    <t>S,Z</t>
  </si>
  <si>
    <t>I,Z</t>
  </si>
  <si>
    <t>tot(f)</t>
  </si>
  <si>
    <t>tot(diff)</t>
  </si>
  <si>
    <t>w_tot(diff)</t>
  </si>
  <si>
    <t>w(f)</t>
  </si>
  <si>
    <t>Relative count</t>
  </si>
  <si>
    <t>S</t>
  </si>
  <si>
    <t>I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</si>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</sst>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164" fontId="3" fillId="0" borderId="1" xfId="0" applyNumberFormat="1" applyFont="1" applyBorder="1"/>
    <xf numFmtId="164" fontId="3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/>
    <xf numFmtId="165" fontId="0" fillId="0" borderId="0" xfId="0" applyNumberFormat="1"/>
    <xf numFmtId="0" fontId="0" fillId="0" borderId="1" xfId="0" applyBorder="1"/>
    <xf numFmtId="0" fontId="4" fillId="0" borderId="1" xfId="0" applyFont="1" applyBorder="1"/>
    <xf numFmtId="166" fontId="0" fillId="0" borderId="1" xfId="0" applyNumberFormat="1" applyBorder="1"/>
  </cellXfs>
  <cellStyles count="1">
    <cellStyle name="Standaard" xfId="0" builtinId="0"/>
  </cellStyles>
  <dxfs count="3">
    <dxf>
      <font>
        <color theme="2"/>
      </font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Overview!$B$3:$B$6</c:f>
              <c:strCache>
                <c:ptCount val="4"/>
                <c:pt idx="0">
                  <c:v>confusing or conflicting w(f)=15,3</c:v>
                </c:pt>
                <c:pt idx="1">
                  <c:v>bad timing or bad data w(f)=11,3</c:v>
                </c:pt>
                <c:pt idx="2">
                  <c:v>unnecessary or redundant w(f)=8,2</c:v>
                </c:pt>
                <c:pt idx="3">
                  <c:v>undesirable route suggestion w(f)=7,5</c:v>
                </c:pt>
              </c:strCache>
            </c:strRef>
          </c:cat>
          <c:val>
            <c:numRef>
              <c:f>Overview!$C$3:$C$6</c:f>
              <c:numCache>
                <c:formatCode>0.00</c:formatCode>
                <c:ptCount val="4"/>
                <c:pt idx="0">
                  <c:v>2.7272727272727275</c:v>
                </c:pt>
                <c:pt idx="1">
                  <c:v>1.8181818181818183</c:v>
                </c:pt>
                <c:pt idx="2">
                  <c:v>1.3636363636363638</c:v>
                </c:pt>
                <c:pt idx="3">
                  <c:v>5.454545454545455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070-B1F0-69F85582C069}"/>
            </c:ext>
          </c:extLst>
        </c:ser>
        <c:ser>
          <c:idx val="1"/>
          <c:order val="1"/>
          <c:tx>
            <c:strRef>
              <c:f>Overview!$D$2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Overview!$B$3:$B$6</c:f>
              <c:strCache>
                <c:ptCount val="4"/>
                <c:pt idx="0">
                  <c:v>confusing or conflicting w(f)=15,3</c:v>
                </c:pt>
                <c:pt idx="1">
                  <c:v>bad timing or bad data w(f)=11,3</c:v>
                </c:pt>
                <c:pt idx="2">
                  <c:v>unnecessary or redundant w(f)=8,2</c:v>
                </c:pt>
                <c:pt idx="3">
                  <c:v>undesirable route suggestion w(f)=7,5</c:v>
                </c:pt>
              </c:strCache>
            </c:strRef>
          </c:cat>
          <c:val>
            <c:numRef>
              <c:f>Overview!$D$3:$D$6</c:f>
              <c:numCache>
                <c:formatCode>0.00</c:formatCode>
                <c:ptCount val="4"/>
                <c:pt idx="0">
                  <c:v>6.5625</c:v>
                </c:pt>
                <c:pt idx="1">
                  <c:v>8.4375</c:v>
                </c:pt>
                <c:pt idx="2">
                  <c:v>2.8125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070-B1F0-69F85582C069}"/>
            </c:ext>
          </c:extLst>
        </c:ser>
        <c:ser>
          <c:idx val="2"/>
          <c:order val="2"/>
          <c:tx>
            <c:strRef>
              <c:f>Overview!$E$2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nl-N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Overview!$B$3:$B$6</c:f>
              <c:strCache>
                <c:ptCount val="4"/>
                <c:pt idx="0">
                  <c:v>confusing or conflicting w(f)=15,3</c:v>
                </c:pt>
                <c:pt idx="1">
                  <c:v>bad timing or bad data w(f)=11,3</c:v>
                </c:pt>
                <c:pt idx="2">
                  <c:v>unnecessary or redundant w(f)=8,2</c:v>
                </c:pt>
                <c:pt idx="3">
                  <c:v>undesirable route suggestion w(f)=7,5</c:v>
                </c:pt>
              </c:strCache>
            </c:strRef>
          </c:cat>
          <c:val>
            <c:numRef>
              <c:f>Overview!$E$3:$E$6</c:f>
              <c:numCache>
                <c:formatCode>0.00</c:formatCode>
                <c:ptCount val="4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070-B1F0-69F85582C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361407"/>
        <c:axId val="2078371007"/>
      </c:barChart>
      <c:catAx>
        <c:axId val="20783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2078371007"/>
        <c:crosses val="autoZero"/>
        <c:auto val="1"/>
        <c:lblAlgn val="ctr"/>
        <c:lblOffset val="100"/>
        <c:noMultiLvlLbl val="0"/>
      </c:catAx>
      <c:valAx>
        <c:axId val="20783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20783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</xdr:row>
      <xdr:rowOff>87630</xdr:rowOff>
    </xdr:from>
    <xdr:to>
      <xdr:col>9</xdr:col>
      <xdr:colOff>577215</xdr:colOff>
      <xdr:row>20</xdr:row>
      <xdr:rowOff>100965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7CF4CFF-8AD9-C536-2458-87DA722C3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213360</xdr:colOff>
      <xdr:row>6</xdr:row>
      <xdr:rowOff>7620</xdr:rowOff>
    </xdr:from>
    <xdr:to>
      <xdr:col>18</xdr:col>
      <xdr:colOff>155485</xdr:colOff>
      <xdr:row>17</xdr:row>
      <xdr:rowOff>38277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506C68E6-ED31-6DB3-5199-3603059D5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8760" y="1104900"/>
          <a:ext cx="4828450" cy="20423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FF08-AA26-4461-B7D8-00FB6D524295}">
  <dimension ref="A1:Q5"/>
  <sheetViews>
    <sheetView workbookViewId="0">
      <selection activeCell="Q3" sqref="Q3"/>
    </sheetView>
  </sheetViews>
  <sheetFormatPr defaultRowHeight="14.4" x14ac:dyDescent="0.3"/>
  <cols>
    <col min="1" max="1" width="4.33203125" style="13" bestFit="1" customWidth="1"/>
    <col min="2" max="2" width="26.6640625" bestFit="1" customWidth="1"/>
    <col min="3" max="3" width="4" style="1" bestFit="1" customWidth="1"/>
    <col min="4" max="4" width="6" style="1" bestFit="1" customWidth="1"/>
    <col min="5" max="5" width="8.33203125" style="1" bestFit="1" customWidth="1"/>
    <col min="6" max="6" width="3.5546875" style="1" bestFit="1" customWidth="1"/>
    <col min="7" max="7" width="5.5546875" style="1" bestFit="1" customWidth="1"/>
    <col min="8" max="8" width="7.88671875" style="1" bestFit="1" customWidth="1"/>
    <col min="9" max="9" width="4" style="1" bestFit="1" customWidth="1"/>
    <col min="10" max="10" width="6" style="1" bestFit="1" customWidth="1"/>
    <col min="11" max="11" width="8.33203125" bestFit="1" customWidth="1"/>
    <col min="12" max="12" width="7.44140625" bestFit="1" customWidth="1"/>
    <col min="13" max="13" width="7.88671875" bestFit="1" customWidth="1"/>
    <col min="14" max="14" width="7.44140625" bestFit="1" customWidth="1"/>
    <col min="15" max="15" width="10" bestFit="1" customWidth="1"/>
    <col min="16" max="16" width="12.33203125" bestFit="1" customWidth="1"/>
    <col min="17" max="17" width="14.88671875" bestFit="1" customWidth="1"/>
  </cols>
  <sheetData>
    <row r="1" spans="1:17" x14ac:dyDescent="0.3">
      <c r="A1" s="13" t="s">
        <v>43</v>
      </c>
      <c r="B1" t="s">
        <v>3</v>
      </c>
      <c r="C1" s="1" t="s">
        <v>33</v>
      </c>
      <c r="D1" s="1" t="s">
        <v>36</v>
      </c>
      <c r="E1" s="1" t="s">
        <v>39</v>
      </c>
      <c r="F1" s="1" t="s">
        <v>34</v>
      </c>
      <c r="G1" s="1" t="s">
        <v>37</v>
      </c>
      <c r="H1" s="1" t="s">
        <v>40</v>
      </c>
      <c r="I1" s="1" t="s">
        <v>35</v>
      </c>
      <c r="J1" s="1" t="s">
        <v>38</v>
      </c>
      <c r="K1" s="1" t="s">
        <v>41</v>
      </c>
      <c r="L1" s="14" t="s">
        <v>44</v>
      </c>
      <c r="M1" s="14" t="s">
        <v>45</v>
      </c>
      <c r="N1" s="14" t="s">
        <v>46</v>
      </c>
      <c r="O1" s="14" t="s">
        <v>47</v>
      </c>
      <c r="P1" s="14" t="s">
        <v>48</v>
      </c>
      <c r="Q1" s="14" t="s">
        <v>49</v>
      </c>
    </row>
    <row r="2" spans="1:17" x14ac:dyDescent="0.3">
      <c r="A2" s="13">
        <v>2</v>
      </c>
      <c r="B2" t="s">
        <v>26</v>
      </c>
      <c r="C2" s="1">
        <f>IFERROR(VLOOKUP($B2,Smartphone!A:C,2,FALSE),0)</f>
        <v>4</v>
      </c>
      <c r="D2" s="2">
        <f>IFERROR(VLOOKUP($B2,Smartphone!A:C,3,FALSE),0)</f>
        <v>0.16</v>
      </c>
      <c r="E2" s="2">
        <f>C2/33*sample_size_weighting_factor</f>
        <v>1.8181818181818183</v>
      </c>
      <c r="F2" s="1">
        <f>IFERROR(VLOOKUP($B2,Integrated!A:C,2,FALSE),0)</f>
        <v>9</v>
      </c>
      <c r="G2" s="2">
        <f>IFERROR(VLOOKUP($B2,Integrated!A:C,3,FALSE),0)</f>
        <v>0.47368421052631576</v>
      </c>
      <c r="H2" s="2">
        <f>F2/16*sample_size_weighting_factor</f>
        <v>8.4375</v>
      </c>
      <c r="I2" s="1">
        <f>IFERROR(VLOOKUP(B2,Streaming!A:C,2,FALSE),0)</f>
        <v>1</v>
      </c>
      <c r="J2" s="2">
        <f>IFERROR(VLOOKUP(B2,Streaming!A:C,3,FALSE),0)</f>
        <v>7.6923076923076927E-2</v>
      </c>
      <c r="K2" s="2">
        <f>I2/15*sample_size_weighting_factor</f>
        <v>1</v>
      </c>
      <c r="L2" s="15">
        <f>IF(E2-H2&lt;0,(E2-H2)*-1,E2-H2)</f>
        <v>6.6193181818181817</v>
      </c>
      <c r="M2" s="15">
        <f>IF(E2-K2&lt;0,(E2-K2)*-1,E2-K2)</f>
        <v>0.81818181818181834</v>
      </c>
      <c r="N2" s="15">
        <f>IF(H2-K2&lt;0,(H2-K2)*-1,H2-K2)</f>
        <v>7.4375</v>
      </c>
      <c r="O2" s="16">
        <f>E2+H2+K2</f>
        <v>11.255681818181818</v>
      </c>
      <c r="P2" s="15">
        <f>L2+M2+N2</f>
        <v>14.875</v>
      </c>
      <c r="Q2" s="15">
        <f>P2*O2^2</f>
        <v>1884.5193012332129</v>
      </c>
    </row>
    <row r="3" spans="1:17" x14ac:dyDescent="0.3">
      <c r="A3" s="13">
        <v>1</v>
      </c>
      <c r="B3" t="s">
        <v>25</v>
      </c>
      <c r="C3" s="1">
        <f>IFERROR(VLOOKUP($B3,Smartphone!A:C,2,FALSE),0)</f>
        <v>6</v>
      </c>
      <c r="D3" s="2">
        <f>IFERROR(VLOOKUP($B3,Smartphone!A:C,3,FALSE),0)</f>
        <v>0.24</v>
      </c>
      <c r="E3" s="2">
        <f>C3/33*sample_size_weighting_factor</f>
        <v>2.7272727272727275</v>
      </c>
      <c r="F3" s="1">
        <f>IFERROR(VLOOKUP($B3,Integrated!A:C,2,FALSE),0)</f>
        <v>7</v>
      </c>
      <c r="G3" s="2">
        <f>IFERROR(VLOOKUP($B3,Integrated!A:C,3,FALSE),0)</f>
        <v>0.36842105263157893</v>
      </c>
      <c r="H3" s="2">
        <f>F3/16*sample_size_weighting_factor</f>
        <v>6.5625</v>
      </c>
      <c r="I3" s="1">
        <f>IFERROR(VLOOKUP($B3,Streaming!A:C,2,FALSE),0)</f>
        <v>6</v>
      </c>
      <c r="J3" s="2">
        <f>IFERROR(VLOOKUP($B3,Streaming!A:C,3,FALSE),0)</f>
        <v>0.46153846153846156</v>
      </c>
      <c r="K3" s="2">
        <f>I3/15*sample_size_weighting_factor</f>
        <v>6</v>
      </c>
      <c r="L3" s="15">
        <f>IF(E3-H3&lt;0,(E3-H3)*-1,E3-H3)</f>
        <v>3.8352272727272725</v>
      </c>
      <c r="M3" s="15">
        <f>IF(E3-K3&lt;0,(E3-K3)*-1,E3-K3)</f>
        <v>3.2727272727272725</v>
      </c>
      <c r="N3" s="15">
        <f>IF(H3-K3&lt;0,(H3-K3)*-1,H3-K3)</f>
        <v>0.5625</v>
      </c>
      <c r="O3" s="16">
        <f>E3+H3+K3</f>
        <v>15.289772727272727</v>
      </c>
      <c r="P3" s="15">
        <f>L3+M3+N3</f>
        <v>7.670454545454545</v>
      </c>
      <c r="Q3" s="15">
        <f>P3*O3^2</f>
        <v>1793.1770032371101</v>
      </c>
    </row>
    <row r="4" spans="1:17" x14ac:dyDescent="0.3">
      <c r="A4" s="13">
        <v>4</v>
      </c>
      <c r="B4" t="s">
        <v>30</v>
      </c>
      <c r="C4" s="1">
        <f>IFERROR(VLOOKUP($B4,Smartphone!A:C,2,FALSE),0)</f>
        <v>12</v>
      </c>
      <c r="D4" s="2">
        <f>IFERROR(VLOOKUP($B4,Smartphone!A:C,3,FALSE),0)</f>
        <v>0.48</v>
      </c>
      <c r="E4" s="2">
        <f>C4/33*sample_size_weighting_factor</f>
        <v>5.454545454545455</v>
      </c>
      <c r="F4" s="1">
        <f>IFERROR(VLOOKUP($B4,Integrated!A:C,2,FALSE),0)</f>
        <v>0</v>
      </c>
      <c r="G4" s="2">
        <f>IFERROR(VLOOKUP($B4,Integrated!A:C,3,FALSE),0)</f>
        <v>0</v>
      </c>
      <c r="H4" s="2">
        <f>F4/16*sample_size_weighting_factor</f>
        <v>0</v>
      </c>
      <c r="I4" s="1">
        <f>IFERROR(VLOOKUP(B4,Streaming!A:C,2,FALSE),0)</f>
        <v>2</v>
      </c>
      <c r="J4" s="2">
        <f>IFERROR(VLOOKUP(B4,Streaming!A:C,3,FALSE),0)</f>
        <v>0.15384615384615385</v>
      </c>
      <c r="K4" s="2">
        <f>I4/15*sample_size_weighting_factor</f>
        <v>2</v>
      </c>
      <c r="L4" s="15">
        <f>IF(E4-H4&lt;0,(E4-H4)*-1,E4-H4)</f>
        <v>5.454545454545455</v>
      </c>
      <c r="M4" s="15">
        <f>IF(E4-K4&lt;0,(E4-K4)*-1,E4-K4)</f>
        <v>3.454545454545455</v>
      </c>
      <c r="N4" s="15">
        <f>IF(H4-K4&lt;0,(H4-K4)*-1,H4-K4)</f>
        <v>2</v>
      </c>
      <c r="O4" s="16">
        <f>E4+H4+K4</f>
        <v>7.454545454545455</v>
      </c>
      <c r="P4" s="15">
        <f>L4+M4+N4</f>
        <v>10.90909090909091</v>
      </c>
      <c r="Q4" s="15">
        <f>P4*O4^2</f>
        <v>606.22088655146513</v>
      </c>
    </row>
    <row r="5" spans="1:17" x14ac:dyDescent="0.3">
      <c r="A5" s="13">
        <v>3</v>
      </c>
      <c r="B5" t="s">
        <v>27</v>
      </c>
      <c r="C5" s="1">
        <f>IFERROR(VLOOKUP($B5,Smartphone!A:C,2,FALSE),0)</f>
        <v>3</v>
      </c>
      <c r="D5" s="2">
        <f>IFERROR(VLOOKUP($B5,Smartphone!A:C,3,FALSE),0)</f>
        <v>0.12</v>
      </c>
      <c r="E5" s="2">
        <f>C5/33*sample_size_weighting_factor</f>
        <v>1.3636363636363638</v>
      </c>
      <c r="F5" s="1">
        <f>IFERROR(VLOOKUP($B5,Integrated!A:C,2,FALSE),0)</f>
        <v>3</v>
      </c>
      <c r="G5" s="2">
        <f>IFERROR(VLOOKUP($B5,Integrated!A:C,3,FALSE),0)</f>
        <v>0.15789473684210525</v>
      </c>
      <c r="H5" s="2">
        <f>F5/16*sample_size_weighting_factor</f>
        <v>2.8125</v>
      </c>
      <c r="I5" s="1">
        <f>IFERROR(VLOOKUP(B5,Streaming!A:C,2,FALSE),0)</f>
        <v>4</v>
      </c>
      <c r="J5" s="2">
        <f>IFERROR(VLOOKUP(B5,Streaming!A:C,3,FALSE),0)</f>
        <v>0.30769230769230771</v>
      </c>
      <c r="K5" s="2">
        <f>I5/15*sample_size_weighting_factor</f>
        <v>4</v>
      </c>
      <c r="L5" s="15">
        <f>IF(E5-H5&lt;0,(E5-H5)*-1,E5-H5)</f>
        <v>1.4488636363636362</v>
      </c>
      <c r="M5" s="15">
        <f>IF(E5-K5&lt;0,(E5-K5)*-1,E5-K5)</f>
        <v>2.6363636363636362</v>
      </c>
      <c r="N5" s="15">
        <f>IF(H5-K5&lt;0,(H5-K5)*-1,H5-K5)</f>
        <v>1.1875</v>
      </c>
      <c r="O5" s="16">
        <f>E5+H5+K5</f>
        <v>8.1761363636363633</v>
      </c>
      <c r="P5" s="15">
        <f>L5+M5+N5</f>
        <v>5.2727272727272725</v>
      </c>
      <c r="Q5" s="15">
        <f>P5*O5^2</f>
        <v>352.47763077573251</v>
      </c>
    </row>
  </sheetData>
  <autoFilter ref="A1:Q1" xr:uid="{431DFF08-AA26-4461-B7D8-00FB6D524295}">
    <sortState xmlns:xlrd2="http://schemas.microsoft.com/office/spreadsheetml/2017/richdata2" ref="A2:Q5">
      <sortCondition descending="1" ref="Q1"/>
    </sortState>
  </autoFilter>
  <conditionalFormatting sqref="L2:N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FA3E-BAAA-418C-B323-3B5EFF737E24}">
  <dimension ref="A1:G11"/>
  <sheetViews>
    <sheetView workbookViewId="0">
      <selection activeCell="B3" sqref="B3"/>
    </sheetView>
  </sheetViews>
  <sheetFormatPr defaultRowHeight="14.4" x14ac:dyDescent="0.3"/>
  <cols>
    <col min="1" max="1" width="20.5546875" bestFit="1" customWidth="1"/>
    <col min="2" max="4" width="6.6640625" customWidth="1"/>
  </cols>
  <sheetData>
    <row r="1" spans="1:7" x14ac:dyDescent="0.3">
      <c r="A1" s="8" t="s">
        <v>15</v>
      </c>
      <c r="B1" s="9" t="s">
        <v>16</v>
      </c>
      <c r="C1" s="9" t="s">
        <v>23</v>
      </c>
      <c r="D1" s="9" t="s">
        <v>24</v>
      </c>
      <c r="F1" s="7" t="s">
        <v>18</v>
      </c>
      <c r="G1" s="7" t="s">
        <v>20</v>
      </c>
    </row>
    <row r="2" spans="1:7" x14ac:dyDescent="0.3">
      <c r="A2" s="10" t="s">
        <v>25</v>
      </c>
      <c r="B2" s="11"/>
      <c r="C2" s="11"/>
      <c r="D2" s="12">
        <v>0.87390306076343005</v>
      </c>
      <c r="F2" s="7" t="s">
        <v>19</v>
      </c>
      <c r="G2" s="7" t="s">
        <v>21</v>
      </c>
    </row>
    <row r="3" spans="1:7" x14ac:dyDescent="0.3">
      <c r="A3" s="10" t="s">
        <v>26</v>
      </c>
      <c r="B3" s="11">
        <v>3.8738409360042483E-2</v>
      </c>
      <c r="C3" s="12"/>
      <c r="D3" s="12"/>
      <c r="F3" s="7" t="s">
        <v>17</v>
      </c>
      <c r="G3" s="7" t="s">
        <v>22</v>
      </c>
    </row>
    <row r="4" spans="1:7" x14ac:dyDescent="0.3">
      <c r="A4" s="10" t="s">
        <v>27</v>
      </c>
      <c r="B4" s="11"/>
      <c r="C4" s="11"/>
      <c r="D4" s="12"/>
    </row>
    <row r="5" spans="1:7" x14ac:dyDescent="0.3">
      <c r="A5" s="10" t="s">
        <v>30</v>
      </c>
      <c r="B5" s="11"/>
      <c r="C5" s="11"/>
      <c r="D5" s="12"/>
    </row>
    <row r="6" spans="1:7" x14ac:dyDescent="0.3">
      <c r="A6" s="10"/>
      <c r="B6" s="11"/>
      <c r="C6" s="11"/>
      <c r="D6" s="12"/>
    </row>
    <row r="7" spans="1:7" x14ac:dyDescent="0.3">
      <c r="A7" s="10"/>
      <c r="B7" s="12"/>
      <c r="C7" s="11"/>
      <c r="D7" s="12"/>
    </row>
    <row r="8" spans="1:7" x14ac:dyDescent="0.3">
      <c r="A8" s="10"/>
      <c r="B8" s="12"/>
      <c r="C8" s="12"/>
      <c r="D8" s="12"/>
    </row>
    <row r="9" spans="1:7" x14ac:dyDescent="0.3">
      <c r="A9" s="10"/>
      <c r="B9" s="12"/>
      <c r="C9" s="12"/>
      <c r="D9" s="12"/>
    </row>
    <row r="10" spans="1:7" x14ac:dyDescent="0.3">
      <c r="A10" s="10"/>
      <c r="B10" s="12"/>
      <c r="C10" s="12"/>
      <c r="D10" s="12"/>
    </row>
    <row r="11" spans="1:7" x14ac:dyDescent="0.3">
      <c r="A11" s="10"/>
      <c r="B11" s="12"/>
      <c r="C11" s="12"/>
      <c r="D11" s="12"/>
    </row>
  </sheetData>
  <conditionalFormatting sqref="B2:D11">
    <cfRule type="cellIs" dxfId="2" priority="1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8E27-F595-43E8-B788-C67B075FDB60}">
  <dimension ref="A1:F6"/>
  <sheetViews>
    <sheetView tabSelected="1" workbookViewId="0">
      <selection activeCell="B16" sqref="B16"/>
    </sheetView>
  </sheetViews>
  <sheetFormatPr defaultRowHeight="14.4" x14ac:dyDescent="0.3"/>
  <cols>
    <col min="1" max="1" width="26.6640625" bestFit="1" customWidth="1"/>
    <col min="2" max="2" width="32.33203125" bestFit="1" customWidth="1"/>
  </cols>
  <sheetData>
    <row r="1" spans="1:6" x14ac:dyDescent="0.3">
      <c r="A1" t="s">
        <v>51</v>
      </c>
    </row>
    <row r="2" spans="1:6" x14ac:dyDescent="0.3">
      <c r="A2" s="19" t="s">
        <v>3</v>
      </c>
      <c r="B2" s="19"/>
      <c r="C2" s="19" t="s">
        <v>52</v>
      </c>
      <c r="D2" s="19" t="s">
        <v>53</v>
      </c>
      <c r="E2" s="19" t="s">
        <v>54</v>
      </c>
      <c r="F2" s="19" t="s">
        <v>9</v>
      </c>
    </row>
    <row r="3" spans="1:6" x14ac:dyDescent="0.3">
      <c r="A3" s="18" t="s">
        <v>25</v>
      </c>
      <c r="B3" s="18" t="str">
        <f>A3&amp;" w(f)="&amp;ROUND(F3,1)&amp;""</f>
        <v>confusing or conflicting w(f)=15,3</v>
      </c>
      <c r="C3" s="15">
        <f>VLOOKUP(A3,All!B:Q,4,FALSE)</f>
        <v>2.7272727272727275</v>
      </c>
      <c r="D3" s="15">
        <f>VLOOKUP(A3,All!B:Q,7,FALSE)</f>
        <v>6.5625</v>
      </c>
      <c r="E3" s="15">
        <f>VLOOKUP(A3,All!B:Q,10,FALSE)</f>
        <v>6</v>
      </c>
      <c r="F3" s="20">
        <f>VLOOKUP(A3,All!B:Q,14,FALSE)</f>
        <v>15.289772727272727</v>
      </c>
    </row>
    <row r="4" spans="1:6" x14ac:dyDescent="0.3">
      <c r="A4" s="18" t="s">
        <v>26</v>
      </c>
      <c r="B4" s="18" t="str">
        <f t="shared" ref="B4:B6" si="0">A4&amp;" w(f)="&amp;ROUND(F4,1)&amp;""</f>
        <v>bad timing or bad data w(f)=11,3</v>
      </c>
      <c r="C4" s="15">
        <f>VLOOKUP(A4,All!B:Q,4,FALSE)</f>
        <v>1.8181818181818183</v>
      </c>
      <c r="D4" s="15">
        <f>VLOOKUP(A4,All!B:Q,7,FALSE)</f>
        <v>8.4375</v>
      </c>
      <c r="E4" s="15">
        <f>VLOOKUP(A4,All!B:Q,10,FALSE)</f>
        <v>1</v>
      </c>
      <c r="F4" s="20">
        <f>VLOOKUP(A4,All!B:Q,14,FALSE)</f>
        <v>11.255681818181818</v>
      </c>
    </row>
    <row r="5" spans="1:6" x14ac:dyDescent="0.3">
      <c r="A5" s="18" t="s">
        <v>27</v>
      </c>
      <c r="B5" s="18" t="str">
        <f>A5&amp;" w(f)="&amp;ROUND(F5,1)&amp;""</f>
        <v>unnecessary or redundant w(f)=8,2</v>
      </c>
      <c r="C5" s="15">
        <f>VLOOKUP(A5,All!B:Q,4,FALSE)</f>
        <v>1.3636363636363638</v>
      </c>
      <c r="D5" s="15">
        <f>VLOOKUP(A5,All!B:Q,7,FALSE)</f>
        <v>2.8125</v>
      </c>
      <c r="E5" s="15">
        <f>VLOOKUP(A5,All!B:Q,10,FALSE)</f>
        <v>4</v>
      </c>
      <c r="F5" s="20">
        <f>VLOOKUP(A5,All!B:Q,14,FALSE)</f>
        <v>8.1761363636363633</v>
      </c>
    </row>
    <row r="6" spans="1:6" x14ac:dyDescent="0.3">
      <c r="A6" s="18" t="s">
        <v>30</v>
      </c>
      <c r="B6" s="18" t="str">
        <f t="shared" si="0"/>
        <v>undesirable route suggestion w(f)=7,5</v>
      </c>
      <c r="C6" s="15">
        <f>VLOOKUP(A6,All!B:Q,4,FALSE)</f>
        <v>5.454545454545455</v>
      </c>
      <c r="D6" s="15">
        <f>VLOOKUP(A6,All!B:Q,7,FALSE)</f>
        <v>0</v>
      </c>
      <c r="E6" s="15">
        <f>VLOOKUP(A6,All!B:Q,10,FALSE)</f>
        <v>2</v>
      </c>
      <c r="F6" s="20">
        <f>VLOOKUP(A6,All!B:Q,14,FALSE)</f>
        <v>7.454545454545455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D036-8BED-49D0-B611-8DA1DF11D4FE}">
  <dimension ref="A1:L107"/>
  <sheetViews>
    <sheetView workbookViewId="0">
      <selection activeCell="C3" sqref="C3:C4"/>
    </sheetView>
  </sheetViews>
  <sheetFormatPr defaultRowHeight="14.4" x14ac:dyDescent="0.3"/>
  <cols>
    <col min="1" max="1" width="17.88671875" customWidth="1"/>
    <col min="2" max="2" width="16.88671875" bestFit="1" customWidth="1"/>
    <col min="3" max="3" width="10.5546875" style="1" bestFit="1" customWidth="1"/>
    <col min="4" max="6" width="10.5546875" style="1" customWidth="1"/>
    <col min="7" max="7" width="16.33203125" bestFit="1" customWidth="1"/>
    <col min="8" max="8" width="10" customWidth="1"/>
    <col min="9" max="9" width="51" customWidth="1"/>
    <col min="10" max="12" width="30.6640625" customWidth="1"/>
    <col min="13" max="13" width="16.44140625" bestFit="1" customWidth="1"/>
  </cols>
  <sheetData>
    <row r="1" spans="1:12" x14ac:dyDescent="0.3">
      <c r="A1" s="7" t="s">
        <v>25</v>
      </c>
      <c r="B1" s="7"/>
      <c r="C1" s="7"/>
      <c r="D1" s="7"/>
      <c r="E1" s="7"/>
      <c r="F1" s="7"/>
      <c r="G1" s="7"/>
      <c r="I1" t="s">
        <v>3</v>
      </c>
      <c r="J1" t="s">
        <v>5</v>
      </c>
      <c r="K1" t="s">
        <v>6</v>
      </c>
      <c r="L1" t="s">
        <v>4</v>
      </c>
    </row>
    <row r="2" spans="1:12" x14ac:dyDescent="0.3">
      <c r="B2" s="1" t="s">
        <v>10</v>
      </c>
      <c r="C2" s="2" t="s">
        <v>50</v>
      </c>
      <c r="D2" s="1" t="s">
        <v>9</v>
      </c>
      <c r="E2" s="1" t="s">
        <v>32</v>
      </c>
      <c r="F2" s="1" t="s">
        <v>31</v>
      </c>
      <c r="I2" t="s">
        <v>25</v>
      </c>
      <c r="J2" s="4">
        <v>6</v>
      </c>
      <c r="K2" s="2">
        <v>7</v>
      </c>
      <c r="L2" s="4">
        <v>6</v>
      </c>
    </row>
    <row r="3" spans="1:12" x14ac:dyDescent="0.3">
      <c r="A3" t="s">
        <v>7</v>
      </c>
      <c r="B3" s="4">
        <f>AVERAGE(C3:C4)</f>
        <v>4.6448863636363633</v>
      </c>
      <c r="C3" s="2">
        <f>D3/E3*sample_size_weighting_factor</f>
        <v>2.7272727272727275</v>
      </c>
      <c r="D3" s="1">
        <v>6</v>
      </c>
      <c r="E3" s="2">
        <v>33</v>
      </c>
      <c r="F3" s="2">
        <v>0.24</v>
      </c>
      <c r="G3" s="4">
        <f>((B3-C3)^2)/B3</f>
        <v>0.79167535446205128</v>
      </c>
      <c r="I3" t="s">
        <v>26</v>
      </c>
      <c r="J3" s="4">
        <v>4</v>
      </c>
      <c r="K3" s="2">
        <v>9</v>
      </c>
      <c r="L3" s="4">
        <v>1</v>
      </c>
    </row>
    <row r="4" spans="1:12" x14ac:dyDescent="0.3">
      <c r="A4" t="s">
        <v>8</v>
      </c>
      <c r="B4" s="4">
        <f>AVERAGE(C3:C4)</f>
        <v>4.6448863636363633</v>
      </c>
      <c r="C4" s="2">
        <f>D4/E4*sample_size_weighting_factor</f>
        <v>6.5625</v>
      </c>
      <c r="D4" s="1">
        <v>7</v>
      </c>
      <c r="E4" s="2">
        <v>16</v>
      </c>
      <c r="F4" s="4">
        <v>0.36842105263157893</v>
      </c>
      <c r="G4" s="4">
        <f>((B4-C4)^2)/B4</f>
        <v>0.79167535446205206</v>
      </c>
      <c r="I4" t="s">
        <v>27</v>
      </c>
      <c r="J4" s="4">
        <v>3</v>
      </c>
      <c r="K4" s="2">
        <v>3</v>
      </c>
      <c r="L4" s="4">
        <v>4</v>
      </c>
    </row>
    <row r="5" spans="1:12" x14ac:dyDescent="0.3">
      <c r="I5" t="s">
        <v>30</v>
      </c>
      <c r="J5" s="4">
        <v>12</v>
      </c>
      <c r="K5" s="2">
        <v>0</v>
      </c>
      <c r="L5" s="4">
        <v>2</v>
      </c>
    </row>
    <row r="6" spans="1:12" x14ac:dyDescent="0.3">
      <c r="F6" s="1" t="s">
        <v>11</v>
      </c>
      <c r="G6" s="4">
        <f>SUM(G3:G4)</f>
        <v>1.5833507089241032</v>
      </c>
    </row>
    <row r="7" spans="1:12" x14ac:dyDescent="0.3">
      <c r="F7" s="1" t="s">
        <v>12</v>
      </c>
      <c r="G7">
        <f>2-1</f>
        <v>1</v>
      </c>
    </row>
    <row r="8" spans="1:12" x14ac:dyDescent="0.3">
      <c r="F8" s="1" t="s">
        <v>13</v>
      </c>
      <c r="G8" s="3">
        <f>_xlfn.CHISQ.TEST(C3:C4,B3:B4)</f>
        <v>0.20827871037261947</v>
      </c>
    </row>
    <row r="10" spans="1:12" x14ac:dyDescent="0.3">
      <c r="A10" s="7" t="s">
        <v>25</v>
      </c>
      <c r="B10" s="7"/>
      <c r="C10" s="7"/>
      <c r="D10" s="7"/>
      <c r="E10" s="7"/>
      <c r="F10" s="7"/>
      <c r="G10" s="7"/>
    </row>
    <row r="11" spans="1:12" x14ac:dyDescent="0.3">
      <c r="B11" s="1" t="s">
        <v>10</v>
      </c>
      <c r="C11" s="2" t="s">
        <v>50</v>
      </c>
    </row>
    <row r="12" spans="1:12" x14ac:dyDescent="0.3">
      <c r="A12" t="s">
        <v>7</v>
      </c>
      <c r="B12" s="4">
        <f>AVERAGE(C12:C13)</f>
        <v>4.3636363636363633</v>
      </c>
      <c r="C12" s="2">
        <f>D12/E12*sample_size_weighting_factor</f>
        <v>2.7272727272727275</v>
      </c>
      <c r="D12" s="1">
        <v>6</v>
      </c>
      <c r="E12" s="1">
        <v>33</v>
      </c>
      <c r="G12" s="4">
        <f>((B12-C12)^2)/B12</f>
        <v>0.61363636363636331</v>
      </c>
    </row>
    <row r="13" spans="1:12" x14ac:dyDescent="0.3">
      <c r="A13" t="s">
        <v>14</v>
      </c>
      <c r="B13" s="4">
        <f>AVERAGE(C12:C13)</f>
        <v>4.3636363636363633</v>
      </c>
      <c r="C13" s="2">
        <f>D13/E13*sample_size_weighting_factor</f>
        <v>6</v>
      </c>
      <c r="D13" s="1">
        <v>6</v>
      </c>
      <c r="E13" s="1">
        <v>15</v>
      </c>
      <c r="G13" s="4">
        <f>((B13-C13)^2)/B13</f>
        <v>0.61363636363636387</v>
      </c>
    </row>
    <row r="14" spans="1:12" x14ac:dyDescent="0.3">
      <c r="G14" s="5"/>
    </row>
    <row r="15" spans="1:12" x14ac:dyDescent="0.3">
      <c r="F15" s="1" t="s">
        <v>11</v>
      </c>
      <c r="G15" s="4">
        <f>SUM(G12:G13)</f>
        <v>1.2272727272727271</v>
      </c>
    </row>
    <row r="16" spans="1:12" x14ac:dyDescent="0.3">
      <c r="F16" s="1" t="s">
        <v>12</v>
      </c>
      <c r="G16" s="5">
        <f>2-1</f>
        <v>1</v>
      </c>
      <c r="I16" t="s">
        <v>15</v>
      </c>
      <c r="J16" t="s">
        <v>16</v>
      </c>
      <c r="K16" t="s">
        <v>23</v>
      </c>
      <c r="L16" t="s">
        <v>24</v>
      </c>
    </row>
    <row r="17" spans="1:12" x14ac:dyDescent="0.3">
      <c r="F17" s="1" t="s">
        <v>13</v>
      </c>
      <c r="G17" s="3">
        <f>_xlfn.CHISQ.TEST(C12:C13,B12:B13)</f>
        <v>0.26793808403417968</v>
      </c>
      <c r="I17" t="s">
        <v>25</v>
      </c>
      <c r="J17" s="17"/>
      <c r="K17" s="17"/>
      <c r="L17" s="17">
        <v>0.87390306076343005</v>
      </c>
    </row>
    <row r="18" spans="1:12" x14ac:dyDescent="0.3">
      <c r="I18" t="s">
        <v>26</v>
      </c>
      <c r="J18" s="17">
        <v>3.8738409360042483E-2</v>
      </c>
      <c r="K18" s="17"/>
      <c r="L18" s="17"/>
    </row>
    <row r="19" spans="1:12" x14ac:dyDescent="0.3">
      <c r="A19" s="7" t="s">
        <v>25</v>
      </c>
      <c r="B19" s="7"/>
      <c r="C19" s="7"/>
      <c r="D19" s="7"/>
      <c r="E19" s="7"/>
      <c r="G19" s="7"/>
      <c r="I19" t="s">
        <v>27</v>
      </c>
    </row>
    <row r="20" spans="1:12" x14ac:dyDescent="0.3">
      <c r="B20" s="1" t="s">
        <v>10</v>
      </c>
      <c r="C20" s="2" t="s">
        <v>50</v>
      </c>
      <c r="I20" t="s">
        <v>30</v>
      </c>
    </row>
    <row r="21" spans="1:12" x14ac:dyDescent="0.3">
      <c r="A21" t="s">
        <v>8</v>
      </c>
      <c r="B21" s="4">
        <f>AVERAGE(C21:C22)</f>
        <v>6.28125</v>
      </c>
      <c r="C21" s="2">
        <f>D21/E21*sample_size_weighting_factor</f>
        <v>6.5625</v>
      </c>
      <c r="D21" s="1">
        <v>7</v>
      </c>
      <c r="E21" s="1">
        <v>16</v>
      </c>
      <c r="G21" s="4">
        <f>((B21-C21)^2)/B21</f>
        <v>1.2593283582089552E-2</v>
      </c>
    </row>
    <row r="22" spans="1:12" x14ac:dyDescent="0.3">
      <c r="A22" t="s">
        <v>14</v>
      </c>
      <c r="B22" s="4">
        <f>AVERAGE(C21:C22)</f>
        <v>6.28125</v>
      </c>
      <c r="C22" s="2">
        <f>D22/E22*sample_size_weighting_factor</f>
        <v>6</v>
      </c>
      <c r="D22" s="1">
        <v>6</v>
      </c>
      <c r="E22" s="1">
        <v>15</v>
      </c>
      <c r="G22" s="4">
        <f>((B22-C22)^2)/B22</f>
        <v>1.2593283582089552E-2</v>
      </c>
    </row>
    <row r="24" spans="1:12" x14ac:dyDescent="0.3">
      <c r="F24" s="1" t="s">
        <v>11</v>
      </c>
      <c r="G24" s="4">
        <f>SUM(G21:G22)</f>
        <v>2.5186567164179104E-2</v>
      </c>
    </row>
    <row r="25" spans="1:12" x14ac:dyDescent="0.3">
      <c r="F25" s="1" t="s">
        <v>12</v>
      </c>
      <c r="G25">
        <f>2-1</f>
        <v>1</v>
      </c>
    </row>
    <row r="26" spans="1:12" x14ac:dyDescent="0.3">
      <c r="F26" s="1" t="s">
        <v>13</v>
      </c>
      <c r="G26" s="3">
        <f>_xlfn.CHISQ.TEST(C21:C22,B21:B22)</f>
        <v>0.87390306076343005</v>
      </c>
    </row>
    <row r="28" spans="1:12" x14ac:dyDescent="0.3">
      <c r="A28" s="7" t="s">
        <v>26</v>
      </c>
      <c r="B28" s="7"/>
      <c r="C28" s="7"/>
      <c r="D28" s="7"/>
      <c r="E28" s="7"/>
      <c r="F28" s="7"/>
      <c r="G28" s="7"/>
    </row>
    <row r="29" spans="1:12" x14ac:dyDescent="0.3">
      <c r="B29" s="1" t="s">
        <v>10</v>
      </c>
      <c r="C29" s="2" t="s">
        <v>50</v>
      </c>
      <c r="L29" s="6"/>
    </row>
    <row r="30" spans="1:12" x14ac:dyDescent="0.3">
      <c r="A30" t="s">
        <v>7</v>
      </c>
      <c r="B30" s="4">
        <f>AVERAGE(C30:C31)</f>
        <v>5.1278409090909092</v>
      </c>
      <c r="C30" s="2">
        <f>D30/E30*sample_size_weighting_factor</f>
        <v>1.8181818181818183</v>
      </c>
      <c r="D30" s="1">
        <v>4</v>
      </c>
      <c r="E30" s="2">
        <v>33</v>
      </c>
      <c r="G30" s="4">
        <f>((B30-C30)^2)/B30</f>
        <v>2.1361511583983881</v>
      </c>
      <c r="K30" s="6"/>
      <c r="L30" s="6"/>
    </row>
    <row r="31" spans="1:12" x14ac:dyDescent="0.3">
      <c r="A31" t="s">
        <v>8</v>
      </c>
      <c r="B31" s="4">
        <f>AVERAGE(C30:C31)</f>
        <v>5.1278409090909092</v>
      </c>
      <c r="C31" s="2">
        <f>D31/E31*sample_size_weighting_factor</f>
        <v>8.4375</v>
      </c>
      <c r="D31" s="1">
        <v>9</v>
      </c>
      <c r="E31" s="2">
        <v>16</v>
      </c>
      <c r="G31" s="4">
        <f>((B31-C31)^2)/B31</f>
        <v>2.1361511583983881</v>
      </c>
    </row>
    <row r="33" spans="1:7" x14ac:dyDescent="0.3">
      <c r="F33" s="1" t="s">
        <v>11</v>
      </c>
      <c r="G33">
        <f>SUM(G30:G31)</f>
        <v>4.2723023167967762</v>
      </c>
    </row>
    <row r="34" spans="1:7" x14ac:dyDescent="0.3">
      <c r="F34" s="1" t="s">
        <v>12</v>
      </c>
      <c r="G34">
        <f>2-1</f>
        <v>1</v>
      </c>
    </row>
    <row r="35" spans="1:7" x14ac:dyDescent="0.3">
      <c r="F35" s="1" t="s">
        <v>13</v>
      </c>
      <c r="G35" s="3">
        <f>_xlfn.CHISQ.TEST(C30:C31,B30:B31)</f>
        <v>3.8738409360042483E-2</v>
      </c>
    </row>
    <row r="37" spans="1:7" x14ac:dyDescent="0.3">
      <c r="A37" s="7" t="s">
        <v>26</v>
      </c>
      <c r="B37" s="7"/>
      <c r="C37" s="7"/>
      <c r="D37" s="7"/>
      <c r="E37" s="7"/>
      <c r="F37" s="7"/>
      <c r="G37" s="7"/>
    </row>
    <row r="38" spans="1:7" x14ac:dyDescent="0.3">
      <c r="B38" s="1" t="s">
        <v>10</v>
      </c>
      <c r="C38" s="2" t="s">
        <v>50</v>
      </c>
    </row>
    <row r="39" spans="1:7" x14ac:dyDescent="0.3">
      <c r="A39" t="s">
        <v>7</v>
      </c>
      <c r="B39" s="4">
        <f>AVERAGE(C39:C40)</f>
        <v>1.4090909090909092</v>
      </c>
      <c r="C39" s="2">
        <f>D39/E39*sample_size_weighting_factor</f>
        <v>1.8181818181818183</v>
      </c>
      <c r="D39" s="1">
        <v>4</v>
      </c>
      <c r="E39" s="1">
        <v>33</v>
      </c>
      <c r="G39" s="4">
        <f>((B39-C39)^2)/B39</f>
        <v>0.11876832844574783</v>
      </c>
    </row>
    <row r="40" spans="1:7" x14ac:dyDescent="0.3">
      <c r="A40" t="s">
        <v>14</v>
      </c>
      <c r="B40" s="4">
        <f>AVERAGE(C39:C40)</f>
        <v>1.4090909090909092</v>
      </c>
      <c r="C40" s="2">
        <f>D40/E40*sample_size_weighting_factor</f>
        <v>1</v>
      </c>
      <c r="D40" s="1">
        <v>1</v>
      </c>
      <c r="E40" s="1">
        <v>15</v>
      </c>
      <c r="G40" s="4">
        <f>((B40-C40)^2)/B40</f>
        <v>0.11876832844574783</v>
      </c>
    </row>
    <row r="41" spans="1:7" x14ac:dyDescent="0.3">
      <c r="G41" s="5"/>
    </row>
    <row r="42" spans="1:7" x14ac:dyDescent="0.3">
      <c r="F42" s="1" t="s">
        <v>11</v>
      </c>
      <c r="G42" s="4">
        <f>SUM(G39:G40)</f>
        <v>0.23753665689149567</v>
      </c>
    </row>
    <row r="43" spans="1:7" x14ac:dyDescent="0.3">
      <c r="F43" s="1" t="s">
        <v>12</v>
      </c>
      <c r="G43" s="5">
        <f>2-1</f>
        <v>1</v>
      </c>
    </row>
    <row r="44" spans="1:7" x14ac:dyDescent="0.3">
      <c r="F44" s="1" t="s">
        <v>13</v>
      </c>
      <c r="G44" s="3">
        <f>_xlfn.CHISQ.TEST(C39:C40,B39:B40)</f>
        <v>0.62599095945654315</v>
      </c>
    </row>
    <row r="46" spans="1:7" x14ac:dyDescent="0.3">
      <c r="A46" s="7" t="s">
        <v>26</v>
      </c>
      <c r="B46" s="7"/>
      <c r="C46" s="7"/>
      <c r="D46" s="7"/>
      <c r="E46" s="7"/>
      <c r="F46" s="7"/>
      <c r="G46" s="7"/>
    </row>
    <row r="47" spans="1:7" x14ac:dyDescent="0.3">
      <c r="B47" s="1" t="s">
        <v>10</v>
      </c>
      <c r="C47" s="2" t="s">
        <v>50</v>
      </c>
    </row>
    <row r="48" spans="1:7" x14ac:dyDescent="0.3">
      <c r="A48" t="s">
        <v>8</v>
      </c>
      <c r="B48" s="4">
        <f>AVERAGE(C48:C49)</f>
        <v>4.71875</v>
      </c>
      <c r="C48" s="2">
        <f>D48/E48*sample_size_weighting_factor</f>
        <v>8.4375</v>
      </c>
      <c r="D48" s="1">
        <v>9</v>
      </c>
      <c r="E48" s="1">
        <v>16</v>
      </c>
      <c r="G48" s="4">
        <f>((B48-C48)^2)/B48</f>
        <v>2.9306705298013247</v>
      </c>
    </row>
    <row r="49" spans="1:7" x14ac:dyDescent="0.3">
      <c r="A49" t="s">
        <v>14</v>
      </c>
      <c r="B49" s="4">
        <f>AVERAGE(C48:C49)</f>
        <v>4.71875</v>
      </c>
      <c r="C49" s="2">
        <f>D49/E49*sample_size_weighting_factor</f>
        <v>1</v>
      </c>
      <c r="D49" s="1">
        <v>1</v>
      </c>
      <c r="E49" s="1">
        <v>15</v>
      </c>
      <c r="G49" s="4">
        <f>((B49-C49)^2)/B49</f>
        <v>2.9306705298013247</v>
      </c>
    </row>
    <row r="51" spans="1:7" x14ac:dyDescent="0.3">
      <c r="F51" s="1" t="s">
        <v>11</v>
      </c>
      <c r="G51" s="4">
        <f>SUM(G48:G49)</f>
        <v>5.8613410596026494</v>
      </c>
    </row>
    <row r="52" spans="1:7" x14ac:dyDescent="0.3">
      <c r="F52" s="1" t="s">
        <v>12</v>
      </c>
      <c r="G52">
        <f>2-1</f>
        <v>1</v>
      </c>
    </row>
    <row r="53" spans="1:7" x14ac:dyDescent="0.3">
      <c r="F53" s="1" t="s">
        <v>13</v>
      </c>
      <c r="G53" s="3">
        <f>_xlfn.CHISQ.TEST(C48:C49,B48:B49)</f>
        <v>1.5476997430527616E-2</v>
      </c>
    </row>
    <row r="55" spans="1:7" x14ac:dyDescent="0.3">
      <c r="A55" s="7" t="s">
        <v>27</v>
      </c>
      <c r="B55" s="7"/>
      <c r="C55" s="7"/>
      <c r="D55" s="7"/>
      <c r="E55" s="7"/>
      <c r="F55" s="7"/>
      <c r="G55" s="7"/>
    </row>
    <row r="56" spans="1:7" x14ac:dyDescent="0.3">
      <c r="B56" s="1" t="s">
        <v>10</v>
      </c>
      <c r="C56" s="2" t="s">
        <v>50</v>
      </c>
    </row>
    <row r="57" spans="1:7" x14ac:dyDescent="0.3">
      <c r="A57" t="s">
        <v>7</v>
      </c>
      <c r="B57" s="4">
        <f>AVERAGE(C57:C58)</f>
        <v>2.0880681818181817</v>
      </c>
      <c r="C57" s="2">
        <f>D57/E57*sample_size_weighting_factor</f>
        <v>1.3636363636363638</v>
      </c>
      <c r="D57" s="1">
        <v>3</v>
      </c>
      <c r="E57" s="2">
        <v>33</v>
      </c>
      <c r="G57" s="4">
        <f>((B57-C57)^2)/B57</f>
        <v>0.25133348794063065</v>
      </c>
    </row>
    <row r="58" spans="1:7" x14ac:dyDescent="0.3">
      <c r="A58" t="s">
        <v>8</v>
      </c>
      <c r="B58" s="4">
        <f>AVERAGE(C57:C58)</f>
        <v>2.0880681818181817</v>
      </c>
      <c r="C58" s="2">
        <f>D58/E58*sample_size_weighting_factor</f>
        <v>2.8125</v>
      </c>
      <c r="D58" s="1">
        <v>3</v>
      </c>
      <c r="E58" s="2">
        <v>16</v>
      </c>
      <c r="G58" s="4">
        <f>((B58-C58)^2)/B58</f>
        <v>0.25133348794063093</v>
      </c>
    </row>
    <row r="60" spans="1:7" x14ac:dyDescent="0.3">
      <c r="F60" s="1" t="s">
        <v>11</v>
      </c>
      <c r="G60">
        <f>SUM(G57:G58)</f>
        <v>0.50266697588126164</v>
      </c>
    </row>
    <row r="61" spans="1:7" x14ac:dyDescent="0.3">
      <c r="F61" s="1" t="s">
        <v>12</v>
      </c>
      <c r="G61">
        <f>2-1</f>
        <v>1</v>
      </c>
    </row>
    <row r="62" spans="1:7" x14ac:dyDescent="0.3">
      <c r="F62" s="1" t="s">
        <v>13</v>
      </c>
      <c r="G62" s="3">
        <f>_xlfn.CHISQ.TEST(C57:C58,B57:B58)</f>
        <v>0.47833061429401574</v>
      </c>
    </row>
    <row r="64" spans="1:7" x14ac:dyDescent="0.3">
      <c r="A64" s="7" t="s">
        <v>27</v>
      </c>
      <c r="B64" s="7"/>
      <c r="C64" s="7"/>
      <c r="D64" s="7"/>
      <c r="E64" s="7"/>
      <c r="F64" s="7"/>
      <c r="G64" s="7"/>
    </row>
    <row r="65" spans="1:7" x14ac:dyDescent="0.3">
      <c r="B65" s="1" t="s">
        <v>10</v>
      </c>
      <c r="C65" s="2" t="s">
        <v>50</v>
      </c>
    </row>
    <row r="66" spans="1:7" x14ac:dyDescent="0.3">
      <c r="A66" t="s">
        <v>7</v>
      </c>
      <c r="B66" s="4">
        <f>AVERAGE(C66:C67)</f>
        <v>2.6818181818181817</v>
      </c>
      <c r="C66" s="2">
        <f>D66/E66*sample_size_weighting_factor</f>
        <v>1.3636363636363638</v>
      </c>
      <c r="D66" s="1">
        <v>3</v>
      </c>
      <c r="E66" s="1">
        <v>33</v>
      </c>
      <c r="G66" s="4">
        <f>((B66-C66)^2)/B66</f>
        <v>0.64791987673343587</v>
      </c>
    </row>
    <row r="67" spans="1:7" x14ac:dyDescent="0.3">
      <c r="A67" t="s">
        <v>14</v>
      </c>
      <c r="B67" s="4">
        <f>AVERAGE(C66:C67)</f>
        <v>2.6818181818181817</v>
      </c>
      <c r="C67" s="2">
        <f>D67/E67*sample_size_weighting_factor</f>
        <v>4</v>
      </c>
      <c r="D67" s="1">
        <v>4</v>
      </c>
      <c r="E67" s="1">
        <v>15</v>
      </c>
      <c r="G67" s="4">
        <f>((B67-C67)^2)/B67</f>
        <v>0.64791987673343621</v>
      </c>
    </row>
    <row r="68" spans="1:7" x14ac:dyDescent="0.3">
      <c r="G68" s="5"/>
    </row>
    <row r="69" spans="1:7" x14ac:dyDescent="0.3">
      <c r="F69" s="1" t="s">
        <v>11</v>
      </c>
      <c r="G69" s="5">
        <f>SUM(G66:G67)</f>
        <v>1.295839753466872</v>
      </c>
    </row>
    <row r="70" spans="1:7" x14ac:dyDescent="0.3">
      <c r="F70" s="1" t="s">
        <v>12</v>
      </c>
      <c r="G70" s="5">
        <f>2-1</f>
        <v>1</v>
      </c>
    </row>
    <row r="71" spans="1:7" x14ac:dyDescent="0.3">
      <c r="F71" s="1" t="s">
        <v>13</v>
      </c>
      <c r="G71" s="3">
        <f>_xlfn.CHISQ.TEST(C66:C67,B66:B67)</f>
        <v>0.25497454109844853</v>
      </c>
    </row>
    <row r="73" spans="1:7" x14ac:dyDescent="0.3">
      <c r="A73" s="7" t="s">
        <v>27</v>
      </c>
      <c r="B73" s="7"/>
      <c r="C73" s="7"/>
      <c r="D73" s="7"/>
      <c r="E73" s="7"/>
      <c r="F73" s="7"/>
      <c r="G73" s="7"/>
    </row>
    <row r="74" spans="1:7" x14ac:dyDescent="0.3">
      <c r="B74" s="1" t="s">
        <v>10</v>
      </c>
      <c r="C74" s="2" t="s">
        <v>50</v>
      </c>
    </row>
    <row r="75" spans="1:7" x14ac:dyDescent="0.3">
      <c r="A75" t="s">
        <v>8</v>
      </c>
      <c r="B75" s="4">
        <f>AVERAGE(C75:C76)</f>
        <v>3.40625</v>
      </c>
      <c r="C75" s="2">
        <f>D75/E75*sample_size_weighting_factor</f>
        <v>2.8125</v>
      </c>
      <c r="D75" s="1">
        <v>3</v>
      </c>
      <c r="E75" s="1">
        <v>16</v>
      </c>
      <c r="G75" s="4">
        <f>((B75-C75)^2)/B75</f>
        <v>0.10349770642201835</v>
      </c>
    </row>
    <row r="76" spans="1:7" x14ac:dyDescent="0.3">
      <c r="A76" t="s">
        <v>14</v>
      </c>
      <c r="B76" s="4">
        <f>AVERAGE(C75:C76)</f>
        <v>3.40625</v>
      </c>
      <c r="C76" s="2">
        <f>D76/E76*sample_size_weighting_factor</f>
        <v>4</v>
      </c>
      <c r="D76" s="1">
        <v>4</v>
      </c>
      <c r="E76" s="1">
        <v>15</v>
      </c>
      <c r="G76" s="4">
        <f>((B76-C76)^2)/B76</f>
        <v>0.10349770642201835</v>
      </c>
    </row>
    <row r="78" spans="1:7" x14ac:dyDescent="0.3">
      <c r="F78" s="1" t="s">
        <v>11</v>
      </c>
      <c r="G78">
        <f>SUM(G75:G76)</f>
        <v>0.20699541284403669</v>
      </c>
    </row>
    <row r="79" spans="1:7" x14ac:dyDescent="0.3">
      <c r="F79" s="1" t="s">
        <v>12</v>
      </c>
      <c r="G79">
        <f>2-1</f>
        <v>1</v>
      </c>
    </row>
    <row r="80" spans="1:7" x14ac:dyDescent="0.3">
      <c r="F80" s="1" t="s">
        <v>13</v>
      </c>
      <c r="G80" s="3">
        <f>_xlfn.CHISQ.TEST(C75:C76,B75:B76)</f>
        <v>0.64913263074742134</v>
      </c>
    </row>
    <row r="82" spans="1:7" x14ac:dyDescent="0.3">
      <c r="A82" s="7" t="s">
        <v>30</v>
      </c>
      <c r="B82" s="7"/>
      <c r="C82" s="7"/>
      <c r="D82" s="7"/>
      <c r="E82" s="7"/>
      <c r="F82" s="7"/>
      <c r="G82" s="7"/>
    </row>
    <row r="83" spans="1:7" x14ac:dyDescent="0.3">
      <c r="B83" s="1" t="s">
        <v>10</v>
      </c>
      <c r="C83" s="2" t="s">
        <v>50</v>
      </c>
    </row>
    <row r="84" spans="1:7" x14ac:dyDescent="0.3">
      <c r="A84" t="s">
        <v>7</v>
      </c>
      <c r="B84" s="4">
        <f>AVERAGE(C84:C85)</f>
        <v>2.7272727272727275</v>
      </c>
      <c r="C84" s="2">
        <f>D84/E84*sample_size_weighting_factor</f>
        <v>5.454545454545455</v>
      </c>
      <c r="D84" s="1">
        <v>12</v>
      </c>
      <c r="E84" s="2">
        <v>33</v>
      </c>
      <c r="G84" s="4">
        <f>((B84-C84)^2)/B84</f>
        <v>2.7272727272727275</v>
      </c>
    </row>
    <row r="85" spans="1:7" x14ac:dyDescent="0.3">
      <c r="A85" t="s">
        <v>8</v>
      </c>
      <c r="B85" s="4">
        <f>AVERAGE(C84:C85)</f>
        <v>2.7272727272727275</v>
      </c>
      <c r="C85" s="2">
        <f>D85/E85*sample_size_weighting_factor</f>
        <v>0</v>
      </c>
      <c r="D85" s="1">
        <v>0</v>
      </c>
      <c r="E85" s="2">
        <v>16</v>
      </c>
      <c r="G85" s="4">
        <f>((B85-C85)^2)/B85</f>
        <v>2.7272727272727275</v>
      </c>
    </row>
    <row r="87" spans="1:7" x14ac:dyDescent="0.3">
      <c r="F87" s="1" t="s">
        <v>11</v>
      </c>
      <c r="G87">
        <f>SUM(G84:G85)</f>
        <v>5.454545454545455</v>
      </c>
    </row>
    <row r="88" spans="1:7" x14ac:dyDescent="0.3">
      <c r="F88" s="1" t="s">
        <v>12</v>
      </c>
      <c r="G88">
        <f>2-1</f>
        <v>1</v>
      </c>
    </row>
    <row r="89" spans="1:7" x14ac:dyDescent="0.3">
      <c r="F89" s="1" t="s">
        <v>13</v>
      </c>
      <c r="G89" s="3">
        <f>_xlfn.CHISQ.TEST(C84:C85,B84:B85)</f>
        <v>1.9517481182177748E-2</v>
      </c>
    </row>
    <row r="91" spans="1:7" x14ac:dyDescent="0.3">
      <c r="A91" s="7" t="s">
        <v>30</v>
      </c>
      <c r="B91" s="7"/>
      <c r="C91" s="7"/>
      <c r="D91" s="7"/>
      <c r="E91" s="7"/>
      <c r="F91" s="7"/>
      <c r="G91" s="7"/>
    </row>
    <row r="92" spans="1:7" x14ac:dyDescent="0.3">
      <c r="B92" s="1" t="s">
        <v>10</v>
      </c>
      <c r="C92" s="2" t="s">
        <v>50</v>
      </c>
    </row>
    <row r="93" spans="1:7" x14ac:dyDescent="0.3">
      <c r="A93" t="s">
        <v>7</v>
      </c>
      <c r="B93" s="4">
        <f>AVERAGE(C93:C94)</f>
        <v>3.7272727272727275</v>
      </c>
      <c r="C93" s="2">
        <f>D93/E93*sample_size_weighting_factor</f>
        <v>5.454545454545455</v>
      </c>
      <c r="D93" s="1">
        <v>12</v>
      </c>
      <c r="E93" s="1">
        <v>33</v>
      </c>
      <c r="G93" s="4">
        <f>((B93-C93)^2)/B93</f>
        <v>0.80044345898004454</v>
      </c>
    </row>
    <row r="94" spans="1:7" x14ac:dyDescent="0.3">
      <c r="A94" t="s">
        <v>14</v>
      </c>
      <c r="B94" s="4">
        <f>AVERAGE(C93:C94)</f>
        <v>3.7272727272727275</v>
      </c>
      <c r="C94" s="2">
        <f>D94/E94*sample_size_weighting_factor</f>
        <v>2</v>
      </c>
      <c r="D94" s="1">
        <v>2</v>
      </c>
      <c r="E94" s="1">
        <v>15</v>
      </c>
      <c r="G94" s="4">
        <f>((B94-C94)^2)/B94</f>
        <v>0.80044345898004454</v>
      </c>
    </row>
    <row r="95" spans="1:7" x14ac:dyDescent="0.3">
      <c r="G95" s="5"/>
    </row>
    <row r="96" spans="1:7" x14ac:dyDescent="0.3">
      <c r="F96" s="1" t="s">
        <v>11</v>
      </c>
      <c r="G96" s="5">
        <f>SUM(G93:G94)</f>
        <v>1.6008869179600891</v>
      </c>
    </row>
    <row r="97" spans="1:7" x14ac:dyDescent="0.3">
      <c r="F97" s="1" t="s">
        <v>12</v>
      </c>
      <c r="G97" s="5">
        <f>2-1</f>
        <v>1</v>
      </c>
    </row>
    <row r="98" spans="1:7" x14ac:dyDescent="0.3">
      <c r="F98" s="1" t="s">
        <v>13</v>
      </c>
      <c r="G98" s="3">
        <f>_xlfn.CHISQ.TEST(C93:C94,B93:B94)</f>
        <v>0.20577756681192602</v>
      </c>
    </row>
    <row r="100" spans="1:7" x14ac:dyDescent="0.3">
      <c r="A100" s="7" t="s">
        <v>30</v>
      </c>
      <c r="B100" s="7"/>
      <c r="C100" s="7"/>
      <c r="D100" s="7"/>
      <c r="E100" s="7"/>
      <c r="F100" s="7"/>
      <c r="G100" s="7"/>
    </row>
    <row r="101" spans="1:7" x14ac:dyDescent="0.3">
      <c r="B101" s="1" t="s">
        <v>10</v>
      </c>
      <c r="C101" s="2" t="s">
        <v>50</v>
      </c>
    </row>
    <row r="102" spans="1:7" x14ac:dyDescent="0.3">
      <c r="A102" t="s">
        <v>8</v>
      </c>
      <c r="B102" s="4">
        <f>AVERAGE(C102:C103)</f>
        <v>1</v>
      </c>
      <c r="C102" s="2">
        <f>D102/E102*sample_size_weighting_factor</f>
        <v>0</v>
      </c>
      <c r="D102" s="1">
        <v>0</v>
      </c>
      <c r="E102" s="1">
        <v>16</v>
      </c>
      <c r="G102" s="4">
        <f>((B102-C102)^2)/B102</f>
        <v>1</v>
      </c>
    </row>
    <row r="103" spans="1:7" x14ac:dyDescent="0.3">
      <c r="A103" t="s">
        <v>14</v>
      </c>
      <c r="B103" s="4">
        <f>AVERAGE(C102:C103)</f>
        <v>1</v>
      </c>
      <c r="C103" s="2">
        <f>D103/E103*sample_size_weighting_factor</f>
        <v>2</v>
      </c>
      <c r="D103" s="1">
        <v>2</v>
      </c>
      <c r="E103" s="1">
        <v>15</v>
      </c>
      <c r="G103" s="4">
        <f>((B103-C103)^2)/B103</f>
        <v>1</v>
      </c>
    </row>
    <row r="105" spans="1:7" x14ac:dyDescent="0.3">
      <c r="F105" s="1" t="s">
        <v>11</v>
      </c>
      <c r="G105">
        <f>SUM(G102:G103)</f>
        <v>2</v>
      </c>
    </row>
    <row r="106" spans="1:7" x14ac:dyDescent="0.3">
      <c r="F106" s="1" t="s">
        <v>12</v>
      </c>
      <c r="G106">
        <f>2-1</f>
        <v>1</v>
      </c>
    </row>
    <row r="107" spans="1:7" x14ac:dyDescent="0.3">
      <c r="F107" s="1" t="s">
        <v>13</v>
      </c>
      <c r="G107" s="3">
        <f>_xlfn.CHISQ.TEST(C102:C103,B102:B103)</f>
        <v>0.15729920705028513</v>
      </c>
    </row>
  </sheetData>
  <conditionalFormatting sqref="B3:B4 B12:B13 B21:B22 B30:B31 B39:B40 B48:B49 B57:B58 B66:B67 B75:B76 B84:B85 B93:B94 B102:B103">
    <cfRule type="cellIs" dxfId="1" priority="3" operator="greaterThanOrEqual">
      <formula>5</formula>
    </cfRule>
  </conditionalFormatting>
  <conditionalFormatting sqref="G8 G17 G26 G35 G44 G53 G62 G71 G80 G89 G98 G107">
    <cfRule type="cellIs" dxfId="0" priority="1" operator="lessThanOrEqual">
      <formula>0.05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486B-C523-402C-883E-B7E8F0E660CF}">
  <dimension ref="A1:C14"/>
  <sheetViews>
    <sheetView workbookViewId="0">
      <selection sqref="A1:C5"/>
    </sheetView>
  </sheetViews>
  <sheetFormatPr defaultRowHeight="14.4" x14ac:dyDescent="0.3"/>
  <cols>
    <col min="1" max="1" width="44" bestFit="1" customWidth="1"/>
    <col min="2" max="3" width="9.109375" style="1"/>
  </cols>
  <sheetData>
    <row r="1" spans="1:3" x14ac:dyDescent="0.3">
      <c r="A1" t="s">
        <v>28</v>
      </c>
      <c r="B1" s="1" t="s">
        <v>29</v>
      </c>
      <c r="C1" s="1" t="s">
        <v>0</v>
      </c>
    </row>
    <row r="2" spans="1:3" x14ac:dyDescent="0.3">
      <c r="A2" t="s">
        <v>30</v>
      </c>
      <c r="B2" s="1">
        <v>2</v>
      </c>
      <c r="C2" s="1">
        <v>0.15384615384615385</v>
      </c>
    </row>
    <row r="3" spans="1:3" x14ac:dyDescent="0.3">
      <c r="A3" t="s">
        <v>26</v>
      </c>
      <c r="B3" s="1">
        <v>1</v>
      </c>
      <c r="C3" s="1">
        <v>7.6923076923076927E-2</v>
      </c>
    </row>
    <row r="4" spans="1:3" x14ac:dyDescent="0.3">
      <c r="A4" t="s">
        <v>27</v>
      </c>
      <c r="B4" s="1">
        <v>4</v>
      </c>
      <c r="C4" s="1">
        <v>0.30769230769230771</v>
      </c>
    </row>
    <row r="5" spans="1:3" x14ac:dyDescent="0.3">
      <c r="A5" t="s">
        <v>25</v>
      </c>
      <c r="B5" s="1">
        <v>6</v>
      </c>
      <c r="C5" s="1">
        <v>0.46153846153846156</v>
      </c>
    </row>
    <row r="14" spans="1:3" x14ac:dyDescent="0.3">
      <c r="A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D2A8-17AF-4861-964C-55FD6E53B5B6}">
  <dimension ref="A1:C15"/>
  <sheetViews>
    <sheetView workbookViewId="0">
      <selection activeCell="A2" sqref="A2:A5"/>
    </sheetView>
  </sheetViews>
  <sheetFormatPr defaultRowHeight="14.4" x14ac:dyDescent="0.3"/>
  <cols>
    <col min="1" max="1" width="24.88671875" customWidth="1"/>
  </cols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 t="s">
        <v>30</v>
      </c>
      <c r="B2">
        <v>12</v>
      </c>
      <c r="C2">
        <v>0.48</v>
      </c>
    </row>
    <row r="3" spans="1:3" x14ac:dyDescent="0.3">
      <c r="A3" t="s">
        <v>25</v>
      </c>
      <c r="B3">
        <v>6</v>
      </c>
      <c r="C3">
        <v>0.24</v>
      </c>
    </row>
    <row r="4" spans="1:3" x14ac:dyDescent="0.3">
      <c r="A4" t="s">
        <v>26</v>
      </c>
      <c r="B4">
        <v>4</v>
      </c>
      <c r="C4">
        <v>0.16</v>
      </c>
    </row>
    <row r="5" spans="1:3" x14ac:dyDescent="0.3">
      <c r="A5" t="s">
        <v>27</v>
      </c>
      <c r="B5">
        <v>3</v>
      </c>
      <c r="C5">
        <v>0.12</v>
      </c>
    </row>
    <row r="15" spans="1:3" x14ac:dyDescent="0.3">
      <c r="A15" s="1"/>
      <c r="B15" s="1"/>
      <c r="C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6FD0-42F7-4E68-AF42-C5EE6695ED72}">
  <dimension ref="A1:C12"/>
  <sheetViews>
    <sheetView workbookViewId="0">
      <selection activeCell="B27" sqref="B27"/>
    </sheetView>
  </sheetViews>
  <sheetFormatPr defaultRowHeight="14.4" x14ac:dyDescent="0.3"/>
  <sheetData>
    <row r="1" spans="1:3" x14ac:dyDescent="0.3">
      <c r="A1" t="s">
        <v>28</v>
      </c>
      <c r="B1" t="s">
        <v>29</v>
      </c>
      <c r="C1" t="s">
        <v>0</v>
      </c>
    </row>
    <row r="2" spans="1:3" x14ac:dyDescent="0.3">
      <c r="A2" t="s">
        <v>25</v>
      </c>
      <c r="B2">
        <v>7</v>
      </c>
      <c r="C2" s="4">
        <f>B2/SUM(B$2:B$8)</f>
        <v>0.36842105263157893</v>
      </c>
    </row>
    <row r="3" spans="1:3" x14ac:dyDescent="0.3">
      <c r="A3" t="s">
        <v>26</v>
      </c>
      <c r="B3">
        <v>9</v>
      </c>
      <c r="C3" s="4">
        <f t="shared" ref="C3:C4" si="0">B3/SUM(B$2:B$8)</f>
        <v>0.47368421052631576</v>
      </c>
    </row>
    <row r="4" spans="1:3" x14ac:dyDescent="0.3">
      <c r="A4" t="s">
        <v>27</v>
      </c>
      <c r="B4">
        <v>3</v>
      </c>
      <c r="C4" s="4">
        <f t="shared" si="0"/>
        <v>0.15789473684210525</v>
      </c>
    </row>
    <row r="5" spans="1:3" x14ac:dyDescent="0.3">
      <c r="C5" s="4"/>
    </row>
    <row r="12" spans="1:3" x14ac:dyDescent="0.3">
      <c r="B12" s="1"/>
      <c r="C1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C634-D5C1-4452-974D-FB981E255F26}"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42</v>
      </c>
      <c r="B1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4" ma:contentTypeDescription="Een nieuw document maken." ma:contentTypeScope="" ma:versionID="618a17aee6fe21829d83342cfb0aeda2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f381c43000bb8a88d8a6b5bfc4c73959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a03bd9-b31b-493a-b31e-bb4432e88c75" xsi:nil="true"/>
    <lcf76f155ced4ddcb4097134ff3c332f xmlns="0e881998-9419-4d13-b84d-721ac971c70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66B04D-75AB-41AF-9A9D-F3B57BF69A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2789AB-4FE8-4189-AD37-E469DA170DEF}">
  <ds:schemaRefs>
    <ds:schemaRef ds:uri="http://schemas.microsoft.com/office/2006/metadata/properties"/>
    <ds:schemaRef ds:uri="http://schemas.microsoft.com/office/infopath/2007/PartnerControls"/>
    <ds:schemaRef ds:uri="d6a03bd9-b31b-493a-b31e-bb4432e88c75"/>
    <ds:schemaRef ds:uri="0e881998-9419-4d13-b84d-721ac971c709"/>
  </ds:schemaRefs>
</ds:datastoreItem>
</file>

<file path=customXml/itemProps3.xml><?xml version="1.0" encoding="utf-8"?>
<ds:datastoreItem xmlns:ds="http://schemas.openxmlformats.org/officeDocument/2006/customXml" ds:itemID="{43CFD971-D88C-4B47-9F7E-6E2AE41AD0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7</vt:i4>
      </vt:variant>
    </vt:vector>
  </HeadingPairs>
  <TitlesOfParts>
    <vt:vector size="15" baseType="lpstr">
      <vt:lpstr>All</vt:lpstr>
      <vt:lpstr>Chi-square p-values</vt:lpstr>
      <vt:lpstr>Overview</vt:lpstr>
      <vt:lpstr>Chi-Square one way</vt:lpstr>
      <vt:lpstr>Streaming</vt:lpstr>
      <vt:lpstr>Smartphone</vt:lpstr>
      <vt:lpstr>Integrated</vt:lpstr>
      <vt:lpstr>vars</vt:lpstr>
      <vt:lpstr>count_integrated</vt:lpstr>
      <vt:lpstr>count_smartphone</vt:lpstr>
      <vt:lpstr>count_streaming</vt:lpstr>
      <vt:lpstr>relative_count_integrated</vt:lpstr>
      <vt:lpstr>relative_count_smartphone</vt:lpstr>
      <vt:lpstr>relative_count_streaming</vt:lpstr>
      <vt:lpstr>sample_size_weighting_factor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2023-06-15T20:13:32Z</dcterms:created>
  <dcterms:modified xsi:type="dcterms:W3CDTF">2023-07-31T15:16:28Z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0x0101004C9F4F6ABB567045B93F1D0C638A57F9</vt:lpwstr>
  </property>
  <property fmtid="{D5CDD505-2E9C-101B-9397-08002B2CF9AE}" pid="3" name="MediaServiceImageTags">
    <vt:lpwstr/>
  </property>
</Properties>
</file>