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994" documentId="8_{0E91EF87-D3F1-4CF4-B918-3E43661BECA8}" xr6:coauthVersionLast="47" xr6:coauthVersionMax="47" xr10:uidLastSave="{4A6888F6-6A13-49D6-9812-06E62F053B48}"/>
  <bookViews>
    <workbookView xWindow="-96" yWindow="-96" windowWidth="23232" windowHeight="12432" tabRatio="691" activeTab="2" xr2:uid="{A2D2436F-6D82-4857-960A-E615779F51BD}"/>
  </bookViews>
  <sheets>
    <sheet name="All" sheetId="2" r:id="rId1"/>
    <sheet name="Chi-square p-values" sheetId="10" r:id="rId2"/>
    <sheet name="Overview" sheetId="13" r:id="rId3"/>
    <sheet name="Chi-Square one way" sheetId="8" r:id="rId4"/>
    <sheet name="Streaming" sheetId="1" r:id="rId5"/>
    <sheet name="Smartphone" sheetId="3" r:id="rId6"/>
    <sheet name="Integrated" sheetId="4" r:id="rId7"/>
    <sheet name="vars" sheetId="11" r:id="rId8"/>
  </sheets>
  <externalReferences>
    <externalReference r:id="rId9"/>
  </externalReferences>
  <definedNames>
    <definedName name="_xlnm._FilterDatabase" localSheetId="0" hidden="1">All!$A$1:$T$1</definedName>
    <definedName name="count_integrated">Integrated!$B:$B</definedName>
    <definedName name="count_smartphone">Smartphone!$B:$B</definedName>
    <definedName name="count_streaming">Streaming!$B:$B</definedName>
    <definedName name="relative_count_integrated">Integrated!$C:$C</definedName>
    <definedName name="relative_count_smartphone">Smartphone!$C:$C</definedName>
    <definedName name="relative_count_streaming">Streaming!$C:$C</definedName>
    <definedName name="relative_salience_integrated" localSheetId="2">[1]Integrated!#REF!</definedName>
    <definedName name="relative_salience_integrated" localSheetId="7">[1]Integrated!#REF!</definedName>
    <definedName name="relative_salience_integrated">Integrated!$E:$E</definedName>
    <definedName name="relative_salience_smartphone" localSheetId="2">[1]Smartphone!#REF!</definedName>
    <definedName name="relative_salience_smartphone" localSheetId="7">[1]Smartphone!#REF!</definedName>
    <definedName name="relative_salience_smartphone">Smartphone!$E:$E</definedName>
    <definedName name="relative_salience_streaming" localSheetId="2">[1]Streaming!#REF!</definedName>
    <definedName name="relative_salience_streaming" localSheetId="7">[1]Streaming!#REF!</definedName>
    <definedName name="relative_salience_streaming">Streaming!$E:$E</definedName>
    <definedName name="salience_integrated" localSheetId="2">[1]Integrated!#REF!</definedName>
    <definedName name="salience_integrated" localSheetId="7">[1]Integrated!#REF!</definedName>
    <definedName name="salience_integrated">Integrated!$D:$D</definedName>
    <definedName name="salience_smartphone" localSheetId="2">[1]Smartphone!#REF!</definedName>
    <definedName name="salience_smartphone" localSheetId="7">[1]Smartphone!#REF!</definedName>
    <definedName name="salience_smartphone">Smartphone!$D:$D</definedName>
    <definedName name="salience_streaming" localSheetId="2">[1]Streaming!#REF!</definedName>
    <definedName name="salience_streaming" localSheetId="7">[1]Streaming!#REF!</definedName>
    <definedName name="salience_streaming">Streaming!$D:$D</definedName>
    <definedName name="sample_size_weighting_factor" localSheetId="2">[1]vars!$B$1</definedName>
    <definedName name="sample_size_weighting_factor">vars!$B$1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C3" i="13" s="1"/>
  <c r="D2" i="2"/>
  <c r="D4" i="13"/>
  <c r="E4" i="13"/>
  <c r="D5" i="13"/>
  <c r="E5" i="13"/>
  <c r="D6" i="13"/>
  <c r="E6" i="13"/>
  <c r="D3" i="13"/>
  <c r="E3" i="13"/>
  <c r="O2" i="2"/>
  <c r="I2" i="2"/>
  <c r="J5" i="2" s="1"/>
  <c r="N5" i="2"/>
  <c r="N4" i="2"/>
  <c r="N3" i="2"/>
  <c r="N2" i="2"/>
  <c r="J2" i="2" l="1"/>
  <c r="J4" i="2"/>
  <c r="J3" i="2"/>
  <c r="M5" i="2" l="1"/>
  <c r="M4" i="2"/>
  <c r="M3" i="2"/>
  <c r="M2" i="2"/>
  <c r="I5" i="2"/>
  <c r="I4" i="2"/>
  <c r="I3" i="2"/>
  <c r="E5" i="2"/>
  <c r="E4" i="2"/>
  <c r="E3" i="2"/>
  <c r="L5" i="2"/>
  <c r="L4" i="2"/>
  <c r="L3" i="2"/>
  <c r="L2" i="2"/>
  <c r="D5" i="2"/>
  <c r="D4" i="2"/>
  <c r="D3" i="2"/>
  <c r="H2" i="2"/>
  <c r="H3" i="2"/>
  <c r="H4" i="2"/>
  <c r="H5" i="2"/>
  <c r="C3" i="8"/>
  <c r="B4" i="8" s="1"/>
  <c r="B30" i="8"/>
  <c r="B22" i="8"/>
  <c r="B21" i="8"/>
  <c r="B13" i="8"/>
  <c r="B12" i="8"/>
  <c r="C103" i="8"/>
  <c r="C102" i="8"/>
  <c r="C94" i="8"/>
  <c r="C93" i="8"/>
  <c r="C85" i="8"/>
  <c r="C84" i="8"/>
  <c r="C76" i="8"/>
  <c r="C75" i="8"/>
  <c r="C67" i="8"/>
  <c r="C66" i="8"/>
  <c r="C58" i="8"/>
  <c r="C57" i="8"/>
  <c r="C49" i="8"/>
  <c r="C48" i="8"/>
  <c r="C40" i="8"/>
  <c r="C39" i="8"/>
  <c r="C31" i="8"/>
  <c r="C30" i="8"/>
  <c r="C22" i="8"/>
  <c r="C21" i="8"/>
  <c r="C13" i="8"/>
  <c r="C12" i="8"/>
  <c r="C4" i="8"/>
  <c r="F3" i="2" l="1"/>
  <c r="C4" i="13" s="1"/>
  <c r="F4" i="2"/>
  <c r="C5" i="13" s="1"/>
  <c r="F5" i="2"/>
  <c r="C6" i="13" s="1"/>
  <c r="B3" i="8"/>
  <c r="B94" i="8" l="1"/>
  <c r="G94" i="8" s="1"/>
  <c r="B85" i="8"/>
  <c r="G21" i="8"/>
  <c r="G52" i="8"/>
  <c r="B49" i="8"/>
  <c r="G49" i="8" s="1"/>
  <c r="B48" i="8"/>
  <c r="G53" i="8" s="1"/>
  <c r="G43" i="8"/>
  <c r="B40" i="8"/>
  <c r="G40" i="8" s="1"/>
  <c r="B39" i="8"/>
  <c r="G39" i="8" s="1"/>
  <c r="G34" i="8"/>
  <c r="B31" i="8"/>
  <c r="G31" i="8" s="1"/>
  <c r="G30" i="8"/>
  <c r="G33" i="8" s="1"/>
  <c r="G25" i="8"/>
  <c r="G16" i="8"/>
  <c r="G13" i="8"/>
  <c r="G12" i="8"/>
  <c r="G7" i="8"/>
  <c r="R4" i="2"/>
  <c r="Q4" i="2"/>
  <c r="F5" i="13" s="1"/>
  <c r="B5" i="13" s="1"/>
  <c r="P4" i="2"/>
  <c r="O4" i="2"/>
  <c r="R3" i="2"/>
  <c r="P3" i="2"/>
  <c r="R2" i="2"/>
  <c r="P2" i="2"/>
  <c r="R5" i="2"/>
  <c r="P5" i="2"/>
  <c r="O3" i="2"/>
  <c r="Q5" i="2"/>
  <c r="G97" i="8"/>
  <c r="F6" i="13" l="1"/>
  <c r="B6" i="13" s="1"/>
  <c r="G3" i="8"/>
  <c r="G8" i="8"/>
  <c r="B93" i="8"/>
  <c r="G93" i="8" s="1"/>
  <c r="G96" i="8" s="1"/>
  <c r="B84" i="8"/>
  <c r="G22" i="8"/>
  <c r="G24" i="8" s="1"/>
  <c r="G15" i="8"/>
  <c r="G44" i="8"/>
  <c r="G35" i="8"/>
  <c r="G17" i="8"/>
  <c r="G42" i="8"/>
  <c r="G48" i="8"/>
  <c r="G51" i="8" s="1"/>
  <c r="G4" i="8"/>
  <c r="G98" i="8"/>
  <c r="O5" i="2"/>
  <c r="S5" i="2" s="1"/>
  <c r="T5" i="2" s="1"/>
  <c r="S4" i="2"/>
  <c r="T4" i="2" s="1"/>
  <c r="Q2" i="2"/>
  <c r="Q3" i="2"/>
  <c r="S2" i="2" l="1"/>
  <c r="T2" i="2" s="1"/>
  <c r="F3" i="13"/>
  <c r="B3" i="13" s="1"/>
  <c r="S3" i="2"/>
  <c r="T3" i="2" s="1"/>
  <c r="F4" i="13"/>
  <c r="B4" i="13" s="1"/>
  <c r="G6" i="8"/>
  <c r="G26" i="8"/>
  <c r="B76" i="8"/>
  <c r="G76" i="8" s="1"/>
  <c r="B75" i="8"/>
  <c r="G75" i="8" s="1"/>
  <c r="B67" i="8"/>
  <c r="G67" i="8" s="1"/>
  <c r="B66" i="8"/>
  <c r="G71" i="8" s="1"/>
  <c r="B58" i="8"/>
  <c r="G58" i="8" s="1"/>
  <c r="B57" i="8"/>
  <c r="G57" i="8" s="1"/>
  <c r="B103" i="8"/>
  <c r="G107" i="8" s="1"/>
  <c r="B102" i="8"/>
  <c r="G102" i="8" s="1"/>
  <c r="G89" i="8"/>
  <c r="G79" i="8"/>
  <c r="G70" i="8"/>
  <c r="G61" i="8"/>
  <c r="G106" i="8"/>
  <c r="G88" i="8"/>
  <c r="G85" i="8"/>
  <c r="G84" i="8"/>
  <c r="G103" i="8" l="1"/>
  <c r="G105" i="8" s="1"/>
  <c r="G60" i="8"/>
  <c r="G62" i="8"/>
  <c r="G80" i="8"/>
  <c r="G78" i="8"/>
  <c r="G66" i="8"/>
  <c r="G69" i="8" s="1"/>
  <c r="G87" i="8"/>
</calcChain>
</file>

<file path=xl/sharedStrings.xml><?xml version="1.0" encoding="utf-8"?>
<sst xmlns="http://schemas.openxmlformats.org/spreadsheetml/2006/main" count="219" uniqueCount="61">
  <si>
    <t>codes5</t>
  </si>
  <si>
    <t>counts5</t>
  </si>
  <si>
    <t>count_rel</t>
  </si>
  <si>
    <t>Conflict between other system and navigation</t>
  </si>
  <si>
    <t>code</t>
  </si>
  <si>
    <t>count_streaming</t>
  </si>
  <si>
    <t>count_smartphone</t>
  </si>
  <si>
    <t>count_integrated</t>
  </si>
  <si>
    <t>smartphone</t>
  </si>
  <si>
    <t>integrated</t>
  </si>
  <si>
    <t>f</t>
  </si>
  <si>
    <t>e</t>
  </si>
  <si>
    <t>X^2</t>
  </si>
  <si>
    <t>DF</t>
  </si>
  <si>
    <t>p</t>
  </si>
  <si>
    <t>streaming</t>
  </si>
  <si>
    <t>Code</t>
  </si>
  <si>
    <t>p(S,I)</t>
  </si>
  <si>
    <t>Z=</t>
  </si>
  <si>
    <t>S=</t>
  </si>
  <si>
    <t>I=</t>
  </si>
  <si>
    <t>Smartphone</t>
  </si>
  <si>
    <t>Integrated</t>
  </si>
  <si>
    <t>Streaming</t>
  </si>
  <si>
    <t>p(S,Z)</t>
  </si>
  <si>
    <t>p(I,Z)</t>
  </si>
  <si>
    <t>codes1</t>
  </si>
  <si>
    <t>counts1</t>
  </si>
  <si>
    <t>Sudden failure</t>
  </si>
  <si>
    <t>Connection issue</t>
  </si>
  <si>
    <t>rel</t>
  </si>
  <si>
    <t>Call or message</t>
  </si>
  <si>
    <t>#</t>
  </si>
  <si>
    <t>f(Z)</t>
  </si>
  <si>
    <t>f/n(Z)</t>
  </si>
  <si>
    <t>f(S)</t>
  </si>
  <si>
    <t>f/n(S)</t>
  </si>
  <si>
    <t>f(I)</t>
  </si>
  <si>
    <t>f/n(I)</t>
  </si>
  <si>
    <t>S,I</t>
  </si>
  <si>
    <t>S,Z</t>
  </si>
  <si>
    <t>I,Z</t>
  </si>
  <si>
    <t>tot(f)</t>
  </si>
  <si>
    <t>tot(diff)</t>
  </si>
  <si>
    <t>w_tot(diff)</t>
  </si>
  <si>
    <t>(w(f))(S)</t>
  </si>
  <si>
    <t>(w(f))(I)</t>
  </si>
  <si>
    <t>(w(f))(Z)</t>
  </si>
  <si>
    <t>sample_size_weighting_factor</t>
  </si>
  <si>
    <t>w(f)</t>
  </si>
  <si>
    <t>n</t>
  </si>
  <si>
    <t>f/n</t>
  </si>
  <si>
    <t>Z</t>
  </si>
  <si>
    <t>I</t>
  </si>
  <si>
    <t>S</t>
  </si>
  <si>
    <t>Relative count</t>
  </si>
  <si>
    <t>(w(f))(S)/w(f)</t>
  </si>
  <si>
    <t>(w(f))(I)/w(f)</t>
  </si>
  <si>
    <t>(w(f))(Z)/w(f)</t>
  </si>
  <si>
    <t>Relative frequencies inside groups</t>
  </si>
  <si>
    <t>Weighted 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</si>
</sst>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2" fontId="0" fillId="0" borderId="1" xfId="0" applyNumberFormat="1" applyBorder="1"/>
    <xf numFmtId="0" fontId="1" fillId="0" borderId="0" xfId="0" applyFont="1" applyAlignment="1"/>
    <xf numFmtId="1" fontId="1" fillId="0" borderId="0" xfId="0" applyNumberFormat="1" applyFont="1" applyAlignment="1"/>
    <xf numFmtId="1" fontId="0" fillId="0" borderId="0" xfId="0" applyNumberFormat="1" applyAlignment="1">
      <alignment horizontal="right"/>
    </xf>
    <xf numFmtId="2" fontId="1" fillId="0" borderId="0" xfId="0" applyNumberFormat="1" applyFont="1" applyAlignment="1"/>
    <xf numFmtId="0" fontId="0" fillId="0" borderId="1" xfId="0" applyBorder="1"/>
    <xf numFmtId="0" fontId="4" fillId="0" borderId="1" xfId="0" applyFont="1" applyBorder="1"/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</cellXfs>
  <cellStyles count="1">
    <cellStyle name="Standaard" xfId="0" builtinId="0"/>
  </cellStyles>
  <dxfs count="3">
    <dxf>
      <font>
        <color theme="2"/>
      </font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Overview!$B$3:$B$6</c:f>
              <c:strCache>
                <c:ptCount val="4"/>
                <c:pt idx="0">
                  <c:v>Conflict between other system and navigation (f=0,0977443609022556)</c:v>
                </c:pt>
                <c:pt idx="1">
                  <c:v>Connection issue (f=0,0902255639097744)</c:v>
                </c:pt>
                <c:pt idx="2">
                  <c:v>Call or message (f=0,263157894736842)</c:v>
                </c:pt>
                <c:pt idx="3">
                  <c:v>Sudden failure (f=0,075187969924812)</c:v>
                </c:pt>
              </c:strCache>
            </c:strRef>
          </c:cat>
          <c:val>
            <c:numRef>
              <c:f>Overview!$C$3:$C$6</c:f>
              <c:numCache>
                <c:formatCode>0.00</c:formatCode>
                <c:ptCount val="4"/>
                <c:pt idx="0">
                  <c:v>0.47368421052631576</c:v>
                </c:pt>
                <c:pt idx="1">
                  <c:v>5.2631578947368425E-2</c:v>
                </c:pt>
                <c:pt idx="2">
                  <c:v>0.26315789473684215</c:v>
                </c:pt>
                <c:pt idx="3">
                  <c:v>0.2105263157894737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8-40F3-BCC2-4EF47F154118}"/>
            </c:ext>
          </c:extLst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Overview!$B$3:$B$6</c:f>
              <c:strCache>
                <c:ptCount val="4"/>
                <c:pt idx="0">
                  <c:v>Conflict between other system and navigation (f=0,0977443609022556)</c:v>
                </c:pt>
                <c:pt idx="1">
                  <c:v>Connection issue (f=0,0902255639097744)</c:v>
                </c:pt>
                <c:pt idx="2">
                  <c:v>Call or message (f=0,263157894736842)</c:v>
                </c:pt>
                <c:pt idx="3">
                  <c:v>Sudden failure (f=0,075187969924812)</c:v>
                </c:pt>
              </c:strCache>
            </c:strRef>
          </c:cat>
          <c:val>
            <c:numRef>
              <c:f>Overview!$D$3:$D$6</c:f>
              <c:numCache>
                <c:formatCode>0.00</c:formatCode>
                <c:ptCount val="4"/>
                <c:pt idx="0">
                  <c:v>0.5714285714285714</c:v>
                </c:pt>
                <c:pt idx="1">
                  <c:v>0.14285714285714285</c:v>
                </c:pt>
                <c:pt idx="2">
                  <c:v>0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8-40F3-BCC2-4EF47F154118}"/>
            </c:ext>
          </c:extLst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Overview!$B$3:$B$6</c:f>
              <c:strCache>
                <c:ptCount val="4"/>
                <c:pt idx="0">
                  <c:v>Conflict between other system and navigation (f=0,0977443609022556)</c:v>
                </c:pt>
                <c:pt idx="1">
                  <c:v>Connection issue (f=0,0902255639097744)</c:v>
                </c:pt>
                <c:pt idx="2">
                  <c:v>Call or message (f=0,263157894736842)</c:v>
                </c:pt>
                <c:pt idx="3">
                  <c:v>Sudden failure (f=0,075187969924812)</c:v>
                </c:pt>
              </c:strCache>
            </c:strRef>
          </c:cat>
          <c:val>
            <c:numRef>
              <c:f>Overview!$E$3:$E$6</c:f>
              <c:numCache>
                <c:formatCode>0.00</c:formatCode>
                <c:ptCount val="4"/>
                <c:pt idx="0">
                  <c:v>0.125</c:v>
                </c:pt>
                <c:pt idx="1">
                  <c:v>0.5</c:v>
                </c:pt>
                <c:pt idx="2">
                  <c:v>0.125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8-40F3-BCC2-4EF47F154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361407"/>
        <c:axId val="2078371007"/>
      </c:barChart>
      <c:catAx>
        <c:axId val="20783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2078371007"/>
        <c:crosses val="autoZero"/>
        <c:auto val="1"/>
        <c:lblAlgn val="ctr"/>
        <c:lblOffset val="100"/>
        <c:noMultiLvlLbl val="0"/>
      </c:catAx>
      <c:valAx>
        <c:axId val="20783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20783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501015</xdr:colOff>
      <xdr:row>1</xdr:row>
      <xdr:rowOff>112395</xdr:rowOff>
    </xdr:from>
    <xdr:to>
      <xdr:col>17</xdr:col>
      <xdr:colOff>426720</xdr:colOff>
      <xdr:row>12</xdr:row>
      <xdr:rowOff>120015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1E6C49E-5F76-4FF6-AD29-B3496B34D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607695</xdr:colOff>
      <xdr:row>17</xdr:row>
      <xdr:rowOff>15240</xdr:rowOff>
    </xdr:from>
    <xdr:to>
      <xdr:col>17</xdr:col>
      <xdr:colOff>516672</xdr:colOff>
      <xdr:row>28</xdr:row>
      <xdr:rowOff>22653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65F92752-5D35-FE20-F60B-F2889890C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3495" y="3091815"/>
          <a:ext cx="4793397" cy="199432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17</xdr:col>
      <xdr:colOff>552867</xdr:colOff>
      <xdr:row>42</xdr:row>
      <xdr:rowOff>17701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F9BED8BE-6FDE-034D-2DF0-8EED5A3A5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5610225"/>
          <a:ext cx="4816257" cy="20179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ucasjohnston.sharepoint.com/sites/Personal/Gedeelde%20documenten/Studie/%5b15%5d%20Master%20Thesis/%5bH%5d%20Requirements%20Elicitation/Analysis/Codes%20bad_instructions_1-5%20Comparisons.xlsx" TargetMode="External"/><Relationship Id="rId1" Type="http://schemas.openxmlformats.org/officeDocument/2006/relationships/externalLinkPath" Target="Codes%20bad_instructions_1-5%20Comparis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Chi-square p-values"/>
      <sheetName val="Overview"/>
      <sheetName val="Chi-Square one way"/>
      <sheetName val="Streaming"/>
      <sheetName val="Smartphone"/>
      <sheetName val="Integrated"/>
      <sheetName val="vars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>
        <row r="1">
          <cell r="B1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FF08-AA26-4461-B7D8-00FB6D524295}">
  <dimension ref="A1:T11"/>
  <sheetViews>
    <sheetView workbookViewId="0">
      <selection activeCell="F2" sqref="F2"/>
    </sheetView>
  </sheetViews>
  <sheetFormatPr defaultRowHeight="14.4" x14ac:dyDescent="0.3"/>
  <cols>
    <col min="1" max="1" width="4.21875" style="14" bestFit="1" customWidth="1"/>
    <col min="2" max="2" width="41.6640625" bestFit="1" customWidth="1"/>
    <col min="3" max="20" width="7.5546875" style="13" customWidth="1"/>
  </cols>
  <sheetData>
    <row r="1" spans="1:20" x14ac:dyDescent="0.3">
      <c r="A1" s="14" t="s">
        <v>32</v>
      </c>
      <c r="B1" t="s">
        <v>4</v>
      </c>
      <c r="C1" s="13" t="s">
        <v>35</v>
      </c>
      <c r="D1" s="13" t="s">
        <v>36</v>
      </c>
      <c r="E1" s="13" t="s">
        <v>45</v>
      </c>
      <c r="F1" s="13" t="s">
        <v>56</v>
      </c>
      <c r="G1" s="13" t="s">
        <v>37</v>
      </c>
      <c r="H1" s="13" t="s">
        <v>38</v>
      </c>
      <c r="I1" s="13" t="s">
        <v>46</v>
      </c>
      <c r="J1" s="13" t="s">
        <v>57</v>
      </c>
      <c r="K1" s="13" t="s">
        <v>33</v>
      </c>
      <c r="L1" s="13" t="s">
        <v>34</v>
      </c>
      <c r="M1" s="13" t="s">
        <v>47</v>
      </c>
      <c r="N1" s="13" t="s">
        <v>58</v>
      </c>
      <c r="O1" s="13" t="s">
        <v>39</v>
      </c>
      <c r="P1" s="13" t="s">
        <v>40</v>
      </c>
      <c r="Q1" s="13" t="s">
        <v>41</v>
      </c>
      <c r="R1" s="13" t="s">
        <v>42</v>
      </c>
      <c r="S1" s="13" t="s">
        <v>43</v>
      </c>
      <c r="T1" s="13" t="s">
        <v>44</v>
      </c>
    </row>
    <row r="2" spans="1:20" x14ac:dyDescent="0.3">
      <c r="A2" s="14">
        <v>2</v>
      </c>
      <c r="B2" t="s">
        <v>3</v>
      </c>
      <c r="C2" s="13">
        <v>9</v>
      </c>
      <c r="D2" s="22">
        <f>C2/SUM(C$2:C$5)</f>
        <v>0.47368421052631576</v>
      </c>
      <c r="E2" s="22">
        <f>C2/33*sample_size_weighting_factor</f>
        <v>4.0909090909090908</v>
      </c>
      <c r="F2" s="22">
        <f>E2/SUM(E$2:E$5)</f>
        <v>0.47368421052631576</v>
      </c>
      <c r="G2" s="13">
        <v>4</v>
      </c>
      <c r="H2" s="22">
        <f>G2/SUM(G$2:G$5)</f>
        <v>0.5714285714285714</v>
      </c>
      <c r="I2" s="22">
        <f>G2/16*sample_size_weighting_factor</f>
        <v>3.75</v>
      </c>
      <c r="J2" s="22">
        <f>I2/SUM(I$2:I$5)</f>
        <v>0.5714285714285714</v>
      </c>
      <c r="K2" s="13">
        <v>1</v>
      </c>
      <c r="L2" s="22">
        <f>K2/SUM(K$2:K$5)</f>
        <v>0.125</v>
      </c>
      <c r="M2" s="22">
        <f>K2/15*sample_size_weighting_factor</f>
        <v>1</v>
      </c>
      <c r="N2" s="22">
        <f>M2/SUM(M$2:M$5)</f>
        <v>0.125</v>
      </c>
      <c r="O2" s="23">
        <f>IF(D2-H2&lt;0,(D2-H2)*-1,D2-H2)</f>
        <v>9.7744360902255634E-2</v>
      </c>
      <c r="P2" s="23">
        <f>IF(D2-L2&lt;0,(D2-L2)*-1,D2-L2)</f>
        <v>0.34868421052631576</v>
      </c>
      <c r="Q2" s="23">
        <f>IF(H2-L2&lt;0,(H2-L2)*-1,H2-L2)</f>
        <v>0.4464285714285714</v>
      </c>
      <c r="R2" s="24">
        <f>C2+G2+K2</f>
        <v>14</v>
      </c>
      <c r="S2" s="23">
        <f>O2+P2+Q2</f>
        <v>0.89285714285714279</v>
      </c>
      <c r="T2" s="23">
        <f>S2*R2^2</f>
        <v>175</v>
      </c>
    </row>
    <row r="3" spans="1:20" x14ac:dyDescent="0.3">
      <c r="A3" s="14">
        <v>3</v>
      </c>
      <c r="B3" t="s">
        <v>29</v>
      </c>
      <c r="C3" s="13">
        <v>1</v>
      </c>
      <c r="D3" s="22">
        <f t="shared" ref="D3:F5" si="0">C3/SUM(C$2:C$5)</f>
        <v>5.2631578947368418E-2</v>
      </c>
      <c r="E3" s="22">
        <f>C3/33*sample_size_weighting_factor</f>
        <v>0.45454545454545459</v>
      </c>
      <c r="F3" s="22">
        <f t="shared" si="0"/>
        <v>5.2631578947368425E-2</v>
      </c>
      <c r="G3" s="13">
        <v>1</v>
      </c>
      <c r="H3" s="22">
        <f t="shared" ref="H3:H5" si="1">G3/SUM(G$2:G$5)</f>
        <v>0.14285714285714285</v>
      </c>
      <c r="I3" s="22">
        <f>G3/16*sample_size_weighting_factor</f>
        <v>0.9375</v>
      </c>
      <c r="J3" s="22">
        <f t="shared" ref="J3" si="2">I3/SUM(I$2:I$5)</f>
        <v>0.14285714285714285</v>
      </c>
      <c r="K3" s="13">
        <v>4</v>
      </c>
      <c r="L3" s="22">
        <f t="shared" ref="L3:L5" si="3">K3/SUM(K$2:K$5)</f>
        <v>0.5</v>
      </c>
      <c r="M3" s="22">
        <f>K3/15*sample_size_weighting_factor</f>
        <v>4</v>
      </c>
      <c r="N3" s="22">
        <f t="shared" ref="N3" si="4">M3/SUM(M$2:M$5)</f>
        <v>0.5</v>
      </c>
      <c r="O3" s="23">
        <f>IF(D3-H3&lt;0,(D3-H3)*-1,D3-H3)</f>
        <v>9.0225563909774431E-2</v>
      </c>
      <c r="P3" s="23">
        <f>IF(D3-L3&lt;0,(D3-L3)*-1,D3-L3)</f>
        <v>0.44736842105263158</v>
      </c>
      <c r="Q3" s="23">
        <f>IF(H3-L3&lt;0,(H3-L3)*-1,H3-L3)</f>
        <v>0.35714285714285715</v>
      </c>
      <c r="R3" s="24">
        <f>C3+G3+K3</f>
        <v>6</v>
      </c>
      <c r="S3" s="23">
        <f>O3+P3+Q3</f>
        <v>0.89473684210526327</v>
      </c>
      <c r="T3" s="23">
        <f>S3*R3^2</f>
        <v>32.21052631578948</v>
      </c>
    </row>
    <row r="4" spans="1:20" x14ac:dyDescent="0.3">
      <c r="A4" s="14">
        <v>4</v>
      </c>
      <c r="B4" s="13" t="s">
        <v>31</v>
      </c>
      <c r="C4" s="13">
        <v>5</v>
      </c>
      <c r="D4" s="22">
        <f t="shared" si="0"/>
        <v>0.26315789473684209</v>
      </c>
      <c r="E4" s="22">
        <f>C4/33*sample_size_weighting_factor</f>
        <v>2.2727272727272729</v>
      </c>
      <c r="F4" s="22">
        <f t="shared" si="0"/>
        <v>0.26315789473684215</v>
      </c>
      <c r="G4" s="13">
        <v>0</v>
      </c>
      <c r="H4" s="22">
        <f t="shared" si="1"/>
        <v>0</v>
      </c>
      <c r="I4" s="22">
        <f>G4/16*sample_size_weighting_factor</f>
        <v>0</v>
      </c>
      <c r="J4" s="22">
        <f t="shared" ref="J4" si="5">I4/SUM(I$2:I$5)</f>
        <v>0</v>
      </c>
      <c r="K4" s="13">
        <v>1</v>
      </c>
      <c r="L4" s="22">
        <f t="shared" si="3"/>
        <v>0.125</v>
      </c>
      <c r="M4" s="22">
        <f>K4/15*sample_size_weighting_factor</f>
        <v>1</v>
      </c>
      <c r="N4" s="22">
        <f t="shared" ref="N4" si="6">M4/SUM(M$2:M$5)</f>
        <v>0.125</v>
      </c>
      <c r="O4" s="23">
        <f>IF(D4-H4&lt;0,(D4-H4)*-1,D4-H4)</f>
        <v>0.26315789473684209</v>
      </c>
      <c r="P4" s="23">
        <f>IF(D4-L4&lt;0,(D4-L4)*-1,D4-L4)</f>
        <v>0.13815789473684209</v>
      </c>
      <c r="Q4" s="23">
        <f>IF(H4-L4&lt;0,(H4-L4)*-1,H4-L4)</f>
        <v>0.125</v>
      </c>
      <c r="R4" s="24">
        <f>C4+G4+K4</f>
        <v>6</v>
      </c>
      <c r="S4" s="23">
        <f>O4+P4+Q4</f>
        <v>0.52631578947368418</v>
      </c>
      <c r="T4" s="23">
        <f>S4*R4^2</f>
        <v>18.94736842105263</v>
      </c>
    </row>
    <row r="5" spans="1:20" x14ac:dyDescent="0.3">
      <c r="A5" s="14">
        <v>1</v>
      </c>
      <c r="B5" t="s">
        <v>28</v>
      </c>
      <c r="C5" s="13">
        <v>4</v>
      </c>
      <c r="D5" s="22">
        <f t="shared" si="0"/>
        <v>0.21052631578947367</v>
      </c>
      <c r="E5" s="22">
        <f>C5/33*sample_size_weighting_factor</f>
        <v>1.8181818181818183</v>
      </c>
      <c r="F5" s="22">
        <f t="shared" si="0"/>
        <v>0.2105263157894737</v>
      </c>
      <c r="G5" s="13">
        <v>2</v>
      </c>
      <c r="H5" s="22">
        <f t="shared" si="1"/>
        <v>0.2857142857142857</v>
      </c>
      <c r="I5" s="22">
        <f>G5/16*sample_size_weighting_factor</f>
        <v>1.875</v>
      </c>
      <c r="J5" s="22">
        <f t="shared" ref="J5" si="7">I5/SUM(I$2:I$5)</f>
        <v>0.2857142857142857</v>
      </c>
      <c r="K5" s="13">
        <v>2</v>
      </c>
      <c r="L5" s="22">
        <f t="shared" si="3"/>
        <v>0.25</v>
      </c>
      <c r="M5" s="22">
        <f>K5/15*sample_size_weighting_factor</f>
        <v>2</v>
      </c>
      <c r="N5" s="22">
        <f t="shared" ref="N5" si="8">M5/SUM(M$2:M$5)</f>
        <v>0.25</v>
      </c>
      <c r="O5" s="23">
        <f>IF(D5-H5&lt;0,(D5-H5)*-1,D5-H5)</f>
        <v>7.5187969924812026E-2</v>
      </c>
      <c r="P5" s="23">
        <f>IF(D5-L5&lt;0,(D5-L5)*-1,D5-L5)</f>
        <v>3.9473684210526327E-2</v>
      </c>
      <c r="Q5" s="23">
        <f>IF(H5-L5&lt;0,(H5-L5)*-1,H5-L5)</f>
        <v>3.5714285714285698E-2</v>
      </c>
      <c r="R5" s="24">
        <f>C5+G5+K5</f>
        <v>8</v>
      </c>
      <c r="S5" s="23">
        <f>O5+P5+Q5</f>
        <v>0.15037593984962405</v>
      </c>
      <c r="T5" s="23">
        <f>S5*R5^2</f>
        <v>9.6240601503759393</v>
      </c>
    </row>
    <row r="6" spans="1:20" x14ac:dyDescent="0.3">
      <c r="D6" s="22"/>
      <c r="E6" s="22"/>
      <c r="F6" s="22"/>
      <c r="H6" s="22"/>
      <c r="I6" s="22"/>
      <c r="J6" s="22"/>
      <c r="L6" s="22"/>
      <c r="M6" s="22"/>
      <c r="N6" s="22"/>
    </row>
    <row r="7" spans="1:20" x14ac:dyDescent="0.3">
      <c r="D7" s="22"/>
      <c r="E7" s="22"/>
      <c r="F7" s="22"/>
      <c r="H7" s="22"/>
      <c r="I7" s="22"/>
      <c r="J7" s="22"/>
      <c r="L7" s="22"/>
      <c r="M7" s="22"/>
      <c r="N7" s="22"/>
    </row>
    <row r="8" spans="1:20" x14ac:dyDescent="0.3">
      <c r="D8" s="22"/>
      <c r="E8" s="22"/>
      <c r="F8" s="22"/>
      <c r="H8" s="22"/>
      <c r="I8" s="22"/>
      <c r="J8" s="22"/>
      <c r="L8" s="22"/>
      <c r="M8" s="22"/>
      <c r="N8" s="22"/>
    </row>
    <row r="9" spans="1:20" x14ac:dyDescent="0.3">
      <c r="D9" s="22"/>
      <c r="E9" s="22"/>
      <c r="F9" s="22"/>
      <c r="H9" s="22"/>
      <c r="I9" s="22"/>
      <c r="J9" s="22"/>
      <c r="L9" s="22"/>
      <c r="M9" s="22"/>
      <c r="N9" s="22"/>
    </row>
    <row r="10" spans="1:20" x14ac:dyDescent="0.3">
      <c r="D10" s="22"/>
      <c r="E10" s="22"/>
      <c r="F10" s="22"/>
      <c r="H10" s="22"/>
      <c r="I10" s="22"/>
      <c r="J10" s="22"/>
      <c r="L10" s="22"/>
      <c r="M10" s="22"/>
      <c r="N10" s="22"/>
    </row>
    <row r="11" spans="1:20" x14ac:dyDescent="0.3">
      <c r="D11" s="22"/>
      <c r="E11" s="22"/>
      <c r="F11" s="22"/>
      <c r="H11" s="22"/>
      <c r="I11" s="22"/>
      <c r="J11" s="22"/>
      <c r="L11" s="22"/>
      <c r="M11" s="22"/>
      <c r="N11" s="22"/>
    </row>
  </sheetData>
  <autoFilter ref="A1:T1" xr:uid="{431DFF08-AA26-4461-B7D8-00FB6D524295}">
    <sortState xmlns:xlrd2="http://schemas.microsoft.com/office/spreadsheetml/2017/richdata2" ref="A2:T5">
      <sortCondition descending="1" ref="T1"/>
    </sortState>
  </autoFilter>
  <conditionalFormatting sqref="O2:Q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FA3E-BAAA-418C-B323-3B5EFF737E24}">
  <dimension ref="A1:G11"/>
  <sheetViews>
    <sheetView workbookViewId="0">
      <selection activeCell="F4" sqref="F4"/>
    </sheetView>
  </sheetViews>
  <sheetFormatPr defaultRowHeight="14.4" x14ac:dyDescent="0.3"/>
  <cols>
    <col min="1" max="1" width="12.33203125" customWidth="1"/>
    <col min="2" max="4" width="6.6640625" customWidth="1"/>
  </cols>
  <sheetData>
    <row r="1" spans="1:7" x14ac:dyDescent="0.3">
      <c r="A1" s="8" t="s">
        <v>16</v>
      </c>
      <c r="B1" s="9" t="s">
        <v>17</v>
      </c>
      <c r="C1" s="9" t="s">
        <v>24</v>
      </c>
      <c r="D1" s="9" t="s">
        <v>25</v>
      </c>
      <c r="F1" s="7" t="s">
        <v>19</v>
      </c>
      <c r="G1" s="7" t="s">
        <v>21</v>
      </c>
    </row>
    <row r="2" spans="1:7" x14ac:dyDescent="0.3">
      <c r="A2" s="10" t="s">
        <v>3</v>
      </c>
      <c r="B2" s="11"/>
      <c r="C2" s="11"/>
      <c r="D2" s="12"/>
      <c r="F2" s="7" t="s">
        <v>20</v>
      </c>
      <c r="G2" s="7" t="s">
        <v>22</v>
      </c>
    </row>
    <row r="3" spans="1:7" x14ac:dyDescent="0.3">
      <c r="A3" s="10" t="s">
        <v>29</v>
      </c>
      <c r="B3" s="11"/>
      <c r="C3" s="12"/>
      <c r="D3" s="12"/>
      <c r="F3" s="7" t="s">
        <v>18</v>
      </c>
      <c r="G3" s="7" t="s">
        <v>23</v>
      </c>
    </row>
    <row r="4" spans="1:7" x14ac:dyDescent="0.3">
      <c r="A4" s="10" t="s">
        <v>31</v>
      </c>
      <c r="B4" s="11"/>
      <c r="C4" s="11"/>
      <c r="D4" s="12"/>
    </row>
    <row r="5" spans="1:7" x14ac:dyDescent="0.3">
      <c r="A5" s="10" t="s">
        <v>28</v>
      </c>
      <c r="B5" s="11"/>
      <c r="C5" s="11"/>
      <c r="D5" s="12"/>
    </row>
    <row r="6" spans="1:7" x14ac:dyDescent="0.3">
      <c r="A6" s="10"/>
      <c r="B6" s="11"/>
      <c r="C6" s="11"/>
      <c r="D6" s="12"/>
    </row>
    <row r="7" spans="1:7" x14ac:dyDescent="0.3">
      <c r="A7" s="10"/>
      <c r="B7" s="12"/>
      <c r="C7" s="11"/>
      <c r="D7" s="12"/>
    </row>
    <row r="8" spans="1:7" x14ac:dyDescent="0.3">
      <c r="A8" s="10"/>
      <c r="B8" s="12"/>
      <c r="C8" s="12"/>
      <c r="D8" s="12"/>
    </row>
    <row r="9" spans="1:7" x14ac:dyDescent="0.3">
      <c r="A9" s="10"/>
      <c r="B9" s="12"/>
      <c r="C9" s="12"/>
      <c r="D9" s="12"/>
    </row>
    <row r="10" spans="1:7" x14ac:dyDescent="0.3">
      <c r="A10" s="10"/>
      <c r="B10" s="12"/>
      <c r="C10" s="12"/>
      <c r="D10" s="12"/>
    </row>
    <row r="11" spans="1:7" x14ac:dyDescent="0.3">
      <c r="A11" s="10"/>
      <c r="B11" s="12"/>
      <c r="C11" s="12"/>
      <c r="D11" s="12"/>
    </row>
  </sheetData>
  <conditionalFormatting sqref="B2:D11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6AB3-903E-4786-9317-415B0AC626A7}">
  <dimension ref="A1:K31"/>
  <sheetViews>
    <sheetView tabSelected="1" workbookViewId="0">
      <selection activeCell="C3" sqref="C3"/>
    </sheetView>
  </sheetViews>
  <sheetFormatPr defaultRowHeight="14.4" x14ac:dyDescent="0.3"/>
  <cols>
    <col min="1" max="1" width="26.6640625" bestFit="1" customWidth="1"/>
    <col min="2" max="2" width="32.21875" bestFit="1" customWidth="1"/>
  </cols>
  <sheetData>
    <row r="1" spans="1:6" x14ac:dyDescent="0.3">
      <c r="A1" t="s">
        <v>55</v>
      </c>
    </row>
    <row r="2" spans="1:6" x14ac:dyDescent="0.3">
      <c r="A2" s="21" t="s">
        <v>4</v>
      </c>
      <c r="B2" s="21"/>
      <c r="C2" s="21" t="s">
        <v>54</v>
      </c>
      <c r="D2" s="21" t="s">
        <v>53</v>
      </c>
      <c r="E2" s="21" t="s">
        <v>52</v>
      </c>
      <c r="F2" s="21" t="s">
        <v>10</v>
      </c>
    </row>
    <row r="3" spans="1:6" x14ac:dyDescent="0.3">
      <c r="A3" s="20" t="s">
        <v>3</v>
      </c>
      <c r="B3" s="20" t="str">
        <f>A3&amp;" (f="&amp;F3&amp;")"</f>
        <v>Conflict between other system and navigation (f=0,0977443609022556)</v>
      </c>
      <c r="C3" s="15">
        <f>VLOOKUP(A3,All!B:T,5,FALSE)</f>
        <v>0.47368421052631576</v>
      </c>
      <c r="D3" s="15">
        <f>VLOOKUP(A3,All!B:T,7,FALSE)</f>
        <v>0.5714285714285714</v>
      </c>
      <c r="E3" s="15">
        <f>VLOOKUP(A3,All!B:T,11,FALSE)</f>
        <v>0.125</v>
      </c>
      <c r="F3" s="15">
        <f>VLOOKUP(A3,All!B:T,14,FALSE)</f>
        <v>9.7744360902255634E-2</v>
      </c>
    </row>
    <row r="4" spans="1:6" x14ac:dyDescent="0.3">
      <c r="A4" s="20" t="s">
        <v>29</v>
      </c>
      <c r="B4" s="20" t="str">
        <f>A4&amp;" (f="&amp;F4&amp;")"</f>
        <v>Connection issue (f=0,0902255639097744)</v>
      </c>
      <c r="C4" s="15">
        <f>VLOOKUP(A4,All!B:T,5,FALSE)</f>
        <v>5.2631578947368425E-2</v>
      </c>
      <c r="D4" s="15">
        <f>VLOOKUP(A4,All!B:T,7,FALSE)</f>
        <v>0.14285714285714285</v>
      </c>
      <c r="E4" s="15">
        <f>VLOOKUP(A4,All!B:T,11,FALSE)</f>
        <v>0.5</v>
      </c>
      <c r="F4" s="15">
        <f>VLOOKUP(A4,All!B:T,14,FALSE)</f>
        <v>9.0225563909774431E-2</v>
      </c>
    </row>
    <row r="5" spans="1:6" x14ac:dyDescent="0.3">
      <c r="A5" s="20" t="s">
        <v>31</v>
      </c>
      <c r="B5" s="20" t="str">
        <f>A5&amp;" (f="&amp;F5&amp;")"</f>
        <v>Call or message (f=0,263157894736842)</v>
      </c>
      <c r="C5" s="15">
        <f>VLOOKUP(A5,All!B:T,5,FALSE)</f>
        <v>0.26315789473684215</v>
      </c>
      <c r="D5" s="15">
        <f>VLOOKUP(A5,All!B:T,7,FALSE)</f>
        <v>0</v>
      </c>
      <c r="E5" s="15">
        <f>VLOOKUP(A5,All!B:T,11,FALSE)</f>
        <v>0.125</v>
      </c>
      <c r="F5" s="15">
        <f>VLOOKUP(A5,All!B:T,14,FALSE)</f>
        <v>0.26315789473684209</v>
      </c>
    </row>
    <row r="6" spans="1:6" x14ac:dyDescent="0.3">
      <c r="A6" s="20" t="s">
        <v>28</v>
      </c>
      <c r="B6" s="20" t="str">
        <f>A6&amp;" (f="&amp;F6&amp;")"</f>
        <v>Sudden failure (f=0,075187969924812)</v>
      </c>
      <c r="C6" s="15">
        <f>VLOOKUP(A6,All!B:T,5,FALSE)</f>
        <v>0.2105263157894737</v>
      </c>
      <c r="D6" s="15">
        <f>VLOOKUP(A6,All!B:T,7,FALSE)</f>
        <v>0.2857142857142857</v>
      </c>
      <c r="E6" s="15">
        <f>VLOOKUP(A6,All!B:T,11,FALSE)</f>
        <v>0.25</v>
      </c>
      <c r="F6" s="15">
        <f>VLOOKUP(A6,All!B:T,14,FALSE)</f>
        <v>7.5187969924812026E-2</v>
      </c>
    </row>
    <row r="17" spans="11:11" x14ac:dyDescent="0.3">
      <c r="K17" t="s">
        <v>59</v>
      </c>
    </row>
    <row r="31" spans="11:11" x14ac:dyDescent="0.3">
      <c r="K31" t="s">
        <v>60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D036-8BED-49D0-B611-8DA1DF11D4FE}">
  <dimension ref="A1:M107"/>
  <sheetViews>
    <sheetView workbookViewId="0">
      <selection activeCell="C3" sqref="C3"/>
    </sheetView>
  </sheetViews>
  <sheetFormatPr defaultRowHeight="14.4" x14ac:dyDescent="0.3"/>
  <cols>
    <col min="1" max="1" width="17.88671875" customWidth="1"/>
    <col min="2" max="2" width="16.6640625" bestFit="1" customWidth="1"/>
    <col min="3" max="3" width="8.88671875" style="4"/>
    <col min="5" max="5" width="8.88671875" style="5"/>
    <col min="7" max="7" width="9.5546875" bestFit="1" customWidth="1"/>
    <col min="10" max="10" width="51" customWidth="1"/>
    <col min="11" max="13" width="30.6640625" customWidth="1"/>
    <col min="14" max="14" width="16.44140625" bestFit="1" customWidth="1"/>
  </cols>
  <sheetData>
    <row r="1" spans="1:13" x14ac:dyDescent="0.3">
      <c r="A1" s="16" t="s">
        <v>3</v>
      </c>
      <c r="B1" s="16"/>
      <c r="C1" s="19"/>
      <c r="D1" s="16"/>
      <c r="E1" s="17"/>
      <c r="F1" s="16"/>
      <c r="G1" s="16"/>
      <c r="J1" t="s">
        <v>4</v>
      </c>
      <c r="K1" t="s">
        <v>6</v>
      </c>
      <c r="L1" t="s">
        <v>7</v>
      </c>
      <c r="M1" t="s">
        <v>5</v>
      </c>
    </row>
    <row r="2" spans="1:13" x14ac:dyDescent="0.3">
      <c r="B2" s="1" t="s">
        <v>11</v>
      </c>
      <c r="C2" s="2" t="s">
        <v>49</v>
      </c>
      <c r="D2" s="1" t="s">
        <v>10</v>
      </c>
      <c r="E2" s="18" t="s">
        <v>50</v>
      </c>
      <c r="F2" s="1" t="s">
        <v>51</v>
      </c>
      <c r="J2" t="s">
        <v>3</v>
      </c>
      <c r="K2" s="1">
        <v>9</v>
      </c>
      <c r="L2" s="1">
        <v>4</v>
      </c>
      <c r="M2">
        <v>1</v>
      </c>
    </row>
    <row r="3" spans="1:13" x14ac:dyDescent="0.3">
      <c r="A3" t="s">
        <v>8</v>
      </c>
      <c r="B3" s="4">
        <f>AVERAGE(C3:C4)</f>
        <v>3.9204545454545454</v>
      </c>
      <c r="C3" s="4">
        <f>D3/E3*sample_size_weighting_factor</f>
        <v>4.0909090909090908</v>
      </c>
      <c r="D3">
        <v>9</v>
      </c>
      <c r="E3" s="18">
        <v>33</v>
      </c>
      <c r="G3" s="4">
        <f>((B3-C3)^2)/B3</f>
        <v>7.4110671936758856E-3</v>
      </c>
      <c r="J3" t="s">
        <v>29</v>
      </c>
      <c r="K3" s="1">
        <v>1</v>
      </c>
      <c r="L3" s="1">
        <v>1</v>
      </c>
      <c r="M3">
        <v>4</v>
      </c>
    </row>
    <row r="4" spans="1:13" x14ac:dyDescent="0.3">
      <c r="A4" t="s">
        <v>9</v>
      </c>
      <c r="B4" s="4">
        <f>AVERAGE(C3:C4)</f>
        <v>3.9204545454545454</v>
      </c>
      <c r="C4" s="4">
        <f>D4/E4*sample_size_weighting_factor</f>
        <v>3.75</v>
      </c>
      <c r="D4">
        <v>4</v>
      </c>
      <c r="E4" s="18">
        <v>16</v>
      </c>
      <c r="G4" s="4">
        <f>((B4-C4)^2)/B4</f>
        <v>7.4110671936758856E-3</v>
      </c>
      <c r="J4" s="13" t="s">
        <v>31</v>
      </c>
      <c r="K4" s="1">
        <v>5</v>
      </c>
      <c r="L4" s="1">
        <v>0</v>
      </c>
      <c r="M4">
        <v>1</v>
      </c>
    </row>
    <row r="5" spans="1:13" x14ac:dyDescent="0.3">
      <c r="E5" s="1"/>
      <c r="J5" t="s">
        <v>28</v>
      </c>
      <c r="K5" s="1">
        <v>4</v>
      </c>
      <c r="L5" s="1">
        <v>2</v>
      </c>
      <c r="M5">
        <v>2</v>
      </c>
    </row>
    <row r="6" spans="1:13" x14ac:dyDescent="0.3">
      <c r="C6" s="4" t="s">
        <v>12</v>
      </c>
      <c r="E6" s="1"/>
      <c r="G6" s="4">
        <f>SUM(G3:G4)</f>
        <v>1.4822134387351771E-2</v>
      </c>
    </row>
    <row r="7" spans="1:13" x14ac:dyDescent="0.3">
      <c r="C7" s="4" t="s">
        <v>13</v>
      </c>
      <c r="E7" s="1"/>
      <c r="G7">
        <f>2-1</f>
        <v>1</v>
      </c>
    </row>
    <row r="8" spans="1:13" x14ac:dyDescent="0.3">
      <c r="C8" s="4" t="s">
        <v>14</v>
      </c>
      <c r="E8" s="1"/>
      <c r="G8" s="3">
        <f>_xlfn.CHISQ.TEST(C3:C4,B3:B4)</f>
        <v>0.9031000322434346</v>
      </c>
    </row>
    <row r="9" spans="1:13" x14ac:dyDescent="0.3">
      <c r="E9" s="1"/>
    </row>
    <row r="10" spans="1:13" x14ac:dyDescent="0.3">
      <c r="A10" s="16" t="s">
        <v>3</v>
      </c>
      <c r="B10" s="16"/>
      <c r="C10" s="19"/>
      <c r="D10" s="16"/>
      <c r="E10" s="7"/>
      <c r="F10" s="16"/>
      <c r="G10" s="16"/>
    </row>
    <row r="11" spans="1:13" x14ac:dyDescent="0.3">
      <c r="B11" s="1" t="s">
        <v>11</v>
      </c>
      <c r="C11" s="2" t="s">
        <v>49</v>
      </c>
      <c r="D11" s="1" t="s">
        <v>10</v>
      </c>
      <c r="E11" s="18" t="s">
        <v>50</v>
      </c>
      <c r="F11" s="1" t="s">
        <v>51</v>
      </c>
    </row>
    <row r="12" spans="1:13" x14ac:dyDescent="0.3">
      <c r="A12" t="s">
        <v>8</v>
      </c>
      <c r="B12" s="4">
        <f>AVERAGE(C12:C13)</f>
        <v>2.5454545454545454</v>
      </c>
      <c r="C12" s="4">
        <f>D12/E12*sample_size_weighting_factor</f>
        <v>4.0909090909090908</v>
      </c>
      <c r="D12">
        <v>9</v>
      </c>
      <c r="E12" s="1">
        <v>33</v>
      </c>
      <c r="G12" s="4">
        <f>((B12-C12)^2)/B12</f>
        <v>0.93831168831168821</v>
      </c>
    </row>
    <row r="13" spans="1:13" x14ac:dyDescent="0.3">
      <c r="A13" t="s">
        <v>15</v>
      </c>
      <c r="B13" s="4">
        <f>AVERAGE(C12:C13)</f>
        <v>2.5454545454545454</v>
      </c>
      <c r="C13" s="4">
        <f>D13/E13*sample_size_weighting_factor</f>
        <v>1</v>
      </c>
      <c r="D13">
        <v>1</v>
      </c>
      <c r="E13" s="1">
        <v>15</v>
      </c>
      <c r="G13" s="4">
        <f>((B13-C13)^2)/B13</f>
        <v>0.93831168831168821</v>
      </c>
    </row>
    <row r="14" spans="1:13" x14ac:dyDescent="0.3">
      <c r="E14" s="1"/>
      <c r="G14" s="5"/>
    </row>
    <row r="15" spans="1:13" x14ac:dyDescent="0.3">
      <c r="C15" s="4" t="s">
        <v>12</v>
      </c>
      <c r="E15" s="1"/>
      <c r="G15" s="4">
        <f>SUM(G12:G13)</f>
        <v>1.8766233766233764</v>
      </c>
    </row>
    <row r="16" spans="1:13" x14ac:dyDescent="0.3">
      <c r="C16" s="4" t="s">
        <v>13</v>
      </c>
      <c r="E16" s="1"/>
      <c r="G16" s="5">
        <f>2-1</f>
        <v>1</v>
      </c>
      <c r="J16" t="s">
        <v>16</v>
      </c>
      <c r="K16" s="1" t="s">
        <v>17</v>
      </c>
      <c r="L16" s="1" t="s">
        <v>24</v>
      </c>
      <c r="M16" s="1" t="s">
        <v>25</v>
      </c>
    </row>
    <row r="17" spans="1:13" x14ac:dyDescent="0.3">
      <c r="C17" s="4" t="s">
        <v>14</v>
      </c>
      <c r="E17" s="1"/>
      <c r="G17" s="3">
        <f>_xlfn.CHISQ.TEST(C12:C13,B12:B13)</f>
        <v>0.17071841979682523</v>
      </c>
      <c r="J17" t="s">
        <v>3</v>
      </c>
    </row>
    <row r="18" spans="1:13" x14ac:dyDescent="0.3">
      <c r="E18" s="1"/>
      <c r="J18" t="s">
        <v>29</v>
      </c>
    </row>
    <row r="19" spans="1:13" x14ac:dyDescent="0.3">
      <c r="A19" s="16" t="s">
        <v>3</v>
      </c>
      <c r="B19" s="16"/>
      <c r="C19" s="19"/>
      <c r="D19" s="16"/>
      <c r="E19" s="7"/>
      <c r="F19" s="16"/>
      <c r="G19" s="16"/>
      <c r="J19" s="13" t="s">
        <v>31</v>
      </c>
    </row>
    <row r="20" spans="1:13" x14ac:dyDescent="0.3">
      <c r="B20" s="1" t="s">
        <v>11</v>
      </c>
      <c r="C20" s="2" t="s">
        <v>49</v>
      </c>
      <c r="D20" s="1" t="s">
        <v>10</v>
      </c>
      <c r="E20" s="18" t="s">
        <v>50</v>
      </c>
      <c r="F20" s="1" t="s">
        <v>51</v>
      </c>
      <c r="J20" t="s">
        <v>28</v>
      </c>
    </row>
    <row r="21" spans="1:13" x14ac:dyDescent="0.3">
      <c r="A21" t="s">
        <v>9</v>
      </c>
      <c r="B21" s="4">
        <f>AVERAGE(C21:C22)</f>
        <v>2.375</v>
      </c>
      <c r="C21" s="4">
        <f>D21/E21*sample_size_weighting_factor</f>
        <v>3.75</v>
      </c>
      <c r="D21">
        <v>4</v>
      </c>
      <c r="E21" s="1">
        <v>16</v>
      </c>
      <c r="G21" s="4">
        <f>((B21-C21)^2)/B21</f>
        <v>0.79605263157894735</v>
      </c>
    </row>
    <row r="22" spans="1:13" x14ac:dyDescent="0.3">
      <c r="A22" t="s">
        <v>15</v>
      </c>
      <c r="B22" s="4">
        <f>AVERAGE(C21:C22)</f>
        <v>2.375</v>
      </c>
      <c r="C22" s="4">
        <f>D22/E22*sample_size_weighting_factor</f>
        <v>1</v>
      </c>
      <c r="D22">
        <v>1</v>
      </c>
      <c r="E22" s="1">
        <v>15</v>
      </c>
      <c r="G22" s="4">
        <f>((B22-C22)^2)/B22</f>
        <v>0.79605263157894735</v>
      </c>
    </row>
    <row r="24" spans="1:13" x14ac:dyDescent="0.3">
      <c r="C24" s="4" t="s">
        <v>12</v>
      </c>
      <c r="G24" s="4">
        <f>SUM(G21:G22)</f>
        <v>1.5921052631578947</v>
      </c>
    </row>
    <row r="25" spans="1:13" x14ac:dyDescent="0.3">
      <c r="C25" s="4" t="s">
        <v>13</v>
      </c>
      <c r="G25">
        <f>2-1</f>
        <v>1</v>
      </c>
    </row>
    <row r="26" spans="1:13" x14ac:dyDescent="0.3">
      <c r="C26" s="4" t="s">
        <v>14</v>
      </c>
      <c r="G26" s="3">
        <f>_xlfn.CHISQ.TEST(C21:C22,B21:B22)</f>
        <v>0.20702560815693516</v>
      </c>
    </row>
    <row r="28" spans="1:13" x14ac:dyDescent="0.3">
      <c r="A28" s="16" t="s">
        <v>29</v>
      </c>
      <c r="B28" s="16"/>
      <c r="C28" s="19"/>
      <c r="D28" s="16"/>
      <c r="E28" s="17"/>
      <c r="F28" s="16"/>
      <c r="G28" s="16"/>
    </row>
    <row r="29" spans="1:13" x14ac:dyDescent="0.3">
      <c r="B29" s="1" t="s">
        <v>11</v>
      </c>
      <c r="C29" s="2" t="s">
        <v>49</v>
      </c>
      <c r="D29" s="1" t="s">
        <v>10</v>
      </c>
      <c r="E29" s="18" t="s">
        <v>50</v>
      </c>
      <c r="F29" s="1" t="s">
        <v>51</v>
      </c>
      <c r="M29" s="6"/>
    </row>
    <row r="30" spans="1:13" x14ac:dyDescent="0.3">
      <c r="A30" t="s">
        <v>8</v>
      </c>
      <c r="B30">
        <f>AVERAGE(D30:D31)</f>
        <v>1</v>
      </c>
      <c r="C30" s="4">
        <f>D30/E30*sample_size_weighting_factor</f>
        <v>0.45454545454545459</v>
      </c>
      <c r="D30" s="1">
        <v>1</v>
      </c>
      <c r="E30" s="18">
        <v>33</v>
      </c>
      <c r="G30">
        <f>((B30-D30)^2)/B30</f>
        <v>0</v>
      </c>
      <c r="L30" s="6"/>
      <c r="M30" s="6"/>
    </row>
    <row r="31" spans="1:13" x14ac:dyDescent="0.3">
      <c r="A31" t="s">
        <v>9</v>
      </c>
      <c r="B31">
        <f>AVERAGE(D30:D31)</f>
        <v>1</v>
      </c>
      <c r="C31" s="4">
        <f>D31/E31*sample_size_weighting_factor</f>
        <v>0.9375</v>
      </c>
      <c r="D31" s="1">
        <v>1</v>
      </c>
      <c r="E31" s="18">
        <v>16</v>
      </c>
      <c r="G31">
        <f>((B31-D31)^2)/B31</f>
        <v>0</v>
      </c>
    </row>
    <row r="32" spans="1:13" x14ac:dyDescent="0.3">
      <c r="E32" s="1"/>
    </row>
    <row r="33" spans="1:7" x14ac:dyDescent="0.3">
      <c r="C33" s="4" t="s">
        <v>12</v>
      </c>
      <c r="E33" s="1"/>
      <c r="G33">
        <f>SUM(G30:G31)</f>
        <v>0</v>
      </c>
    </row>
    <row r="34" spans="1:7" x14ac:dyDescent="0.3">
      <c r="C34" s="4" t="s">
        <v>13</v>
      </c>
      <c r="E34" s="1"/>
      <c r="G34">
        <f>2-1</f>
        <v>1</v>
      </c>
    </row>
    <row r="35" spans="1:7" x14ac:dyDescent="0.3">
      <c r="C35" s="4" t="s">
        <v>14</v>
      </c>
      <c r="E35" s="1"/>
      <c r="G35" s="3">
        <f>_xlfn.CHISQ.TEST(D30:D31,B30:B31)</f>
        <v>1</v>
      </c>
    </row>
    <row r="36" spans="1:7" x14ac:dyDescent="0.3">
      <c r="E36" s="1"/>
    </row>
    <row r="37" spans="1:7" x14ac:dyDescent="0.3">
      <c r="A37" s="16" t="s">
        <v>29</v>
      </c>
      <c r="B37" s="16"/>
      <c r="C37" s="19"/>
      <c r="D37" s="16"/>
      <c r="E37" s="7"/>
      <c r="F37" s="16"/>
      <c r="G37" s="16"/>
    </row>
    <row r="38" spans="1:7" x14ac:dyDescent="0.3">
      <c r="B38" s="1" t="s">
        <v>11</v>
      </c>
      <c r="C38" s="2" t="s">
        <v>49</v>
      </c>
      <c r="D38" s="1" t="s">
        <v>10</v>
      </c>
      <c r="E38" s="18" t="s">
        <v>50</v>
      </c>
      <c r="F38" s="1" t="s">
        <v>51</v>
      </c>
    </row>
    <row r="39" spans="1:7" x14ac:dyDescent="0.3">
      <c r="A39" t="s">
        <v>8</v>
      </c>
      <c r="B39">
        <f>AVERAGE(D39:D40)</f>
        <v>2.5</v>
      </c>
      <c r="C39" s="4">
        <f>D39/E39*sample_size_weighting_factor</f>
        <v>0.45454545454545459</v>
      </c>
      <c r="D39" s="1">
        <v>1</v>
      </c>
      <c r="E39" s="1">
        <v>33</v>
      </c>
      <c r="G39" s="5">
        <f>((B39-D39)^2)/B39</f>
        <v>0.9</v>
      </c>
    </row>
    <row r="40" spans="1:7" x14ac:dyDescent="0.3">
      <c r="A40" t="s">
        <v>15</v>
      </c>
      <c r="B40">
        <f>AVERAGE(D39:D40)</f>
        <v>2.5</v>
      </c>
      <c r="C40" s="4">
        <f>D40/E40*sample_size_weighting_factor</f>
        <v>4</v>
      </c>
      <c r="D40">
        <v>4</v>
      </c>
      <c r="E40" s="1">
        <v>15</v>
      </c>
      <c r="G40" s="5">
        <f>((B40-D40)^2)/B40</f>
        <v>0.9</v>
      </c>
    </row>
    <row r="41" spans="1:7" x14ac:dyDescent="0.3">
      <c r="E41" s="1"/>
      <c r="G41" s="5"/>
    </row>
    <row r="42" spans="1:7" x14ac:dyDescent="0.3">
      <c r="C42" s="4" t="s">
        <v>12</v>
      </c>
      <c r="E42" s="1"/>
      <c r="G42" s="5">
        <f>SUM(G39:G40)</f>
        <v>1.8</v>
      </c>
    </row>
    <row r="43" spans="1:7" x14ac:dyDescent="0.3">
      <c r="C43" s="4" t="s">
        <v>13</v>
      </c>
      <c r="E43" s="1"/>
      <c r="G43" s="5">
        <f>2-1</f>
        <v>1</v>
      </c>
    </row>
    <row r="44" spans="1:7" x14ac:dyDescent="0.3">
      <c r="C44" s="4" t="s">
        <v>14</v>
      </c>
      <c r="E44" s="1"/>
      <c r="G44" s="3">
        <f>_xlfn.CHISQ.TEST(D39:D40,B39:B40)</f>
        <v>0.17971249487899987</v>
      </c>
    </row>
    <row r="45" spans="1:7" x14ac:dyDescent="0.3">
      <c r="E45" s="1"/>
    </row>
    <row r="46" spans="1:7" x14ac:dyDescent="0.3">
      <c r="A46" s="16" t="s">
        <v>29</v>
      </c>
      <c r="B46" s="16"/>
      <c r="C46" s="19"/>
      <c r="D46" s="16"/>
      <c r="E46" s="7"/>
      <c r="F46" s="16"/>
      <c r="G46" s="16"/>
    </row>
    <row r="47" spans="1:7" x14ac:dyDescent="0.3">
      <c r="B47" s="1" t="s">
        <v>11</v>
      </c>
      <c r="C47" s="2" t="s">
        <v>49</v>
      </c>
      <c r="D47" s="1" t="s">
        <v>10</v>
      </c>
      <c r="E47" s="18" t="s">
        <v>50</v>
      </c>
      <c r="F47" s="1" t="s">
        <v>51</v>
      </c>
    </row>
    <row r="48" spans="1:7" x14ac:dyDescent="0.3">
      <c r="A48" t="s">
        <v>9</v>
      </c>
      <c r="B48">
        <f>AVERAGE(D48:D49)</f>
        <v>2.5</v>
      </c>
      <c r="C48" s="4">
        <f>D48/E48*sample_size_weighting_factor</f>
        <v>0.9375</v>
      </c>
      <c r="D48" s="1">
        <v>1</v>
      </c>
      <c r="E48" s="1">
        <v>16</v>
      </c>
      <c r="G48">
        <f>((B48-D48)^2)/B48</f>
        <v>0.9</v>
      </c>
    </row>
    <row r="49" spans="1:7" x14ac:dyDescent="0.3">
      <c r="A49" t="s">
        <v>15</v>
      </c>
      <c r="B49">
        <f>AVERAGE(D48:D49)</f>
        <v>2.5</v>
      </c>
      <c r="C49" s="4">
        <f>D49/E49*sample_size_weighting_factor</f>
        <v>4</v>
      </c>
      <c r="D49">
        <v>4</v>
      </c>
      <c r="E49" s="1">
        <v>15</v>
      </c>
      <c r="G49">
        <f>((B49-D49)^2)/B49</f>
        <v>0.9</v>
      </c>
    </row>
    <row r="51" spans="1:7" x14ac:dyDescent="0.3">
      <c r="C51" s="4" t="s">
        <v>12</v>
      </c>
      <c r="G51">
        <f>SUM(G48:G49)</f>
        <v>1.8</v>
      </c>
    </row>
    <row r="52" spans="1:7" x14ac:dyDescent="0.3">
      <c r="C52" s="4" t="s">
        <v>13</v>
      </c>
      <c r="G52">
        <f>2-1</f>
        <v>1</v>
      </c>
    </row>
    <row r="53" spans="1:7" x14ac:dyDescent="0.3">
      <c r="C53" s="4" t="s">
        <v>14</v>
      </c>
      <c r="G53" s="3">
        <f>_xlfn.CHISQ.TEST(D48:D49,B48:B49)</f>
        <v>0.17971249487899987</v>
      </c>
    </row>
    <row r="55" spans="1:7" x14ac:dyDescent="0.3">
      <c r="A55" s="16" t="s">
        <v>31</v>
      </c>
      <c r="B55" s="16"/>
      <c r="C55" s="19"/>
      <c r="D55" s="16"/>
      <c r="E55" s="17"/>
      <c r="F55" s="16"/>
      <c r="G55" s="16"/>
    </row>
    <row r="56" spans="1:7" x14ac:dyDescent="0.3">
      <c r="B56" s="1" t="s">
        <v>11</v>
      </c>
      <c r="C56" s="2" t="s">
        <v>49</v>
      </c>
      <c r="D56" s="1" t="s">
        <v>10</v>
      </c>
      <c r="E56" s="18" t="s">
        <v>50</v>
      </c>
      <c r="F56" s="1" t="s">
        <v>51</v>
      </c>
    </row>
    <row r="57" spans="1:7" x14ac:dyDescent="0.3">
      <c r="A57" t="s">
        <v>8</v>
      </c>
      <c r="B57">
        <f>AVERAGE(C57:C58)</f>
        <v>1.1363636363636365</v>
      </c>
      <c r="C57" s="4">
        <f>D57/E57*sample_size_weighting_factor</f>
        <v>2.2727272727272729</v>
      </c>
      <c r="D57" s="1">
        <v>5</v>
      </c>
      <c r="E57" s="18">
        <v>33</v>
      </c>
      <c r="G57">
        <f>((B57-D57)^2)/B57</f>
        <v>13.136363636363633</v>
      </c>
    </row>
    <row r="58" spans="1:7" x14ac:dyDescent="0.3">
      <c r="A58" t="s">
        <v>9</v>
      </c>
      <c r="B58">
        <f>AVERAGE(C57:C58)</f>
        <v>1.1363636363636365</v>
      </c>
      <c r="C58" s="4">
        <f>D58/E58*sample_size_weighting_factor</f>
        <v>0</v>
      </c>
      <c r="D58" s="1">
        <v>0</v>
      </c>
      <c r="E58" s="18">
        <v>16</v>
      </c>
      <c r="G58">
        <f>((B58-C58)^2)/B58</f>
        <v>1.1363636363636365</v>
      </c>
    </row>
    <row r="59" spans="1:7" x14ac:dyDescent="0.3">
      <c r="E59" s="1"/>
    </row>
    <row r="60" spans="1:7" x14ac:dyDescent="0.3">
      <c r="C60" s="4" t="s">
        <v>12</v>
      </c>
      <c r="E60" s="1"/>
      <c r="G60">
        <f>SUM(G57:G58)</f>
        <v>14.27272727272727</v>
      </c>
    </row>
    <row r="61" spans="1:7" x14ac:dyDescent="0.3">
      <c r="C61" s="4" t="s">
        <v>13</v>
      </c>
      <c r="E61" s="1"/>
      <c r="G61">
        <f>2-1</f>
        <v>1</v>
      </c>
    </row>
    <row r="62" spans="1:7" x14ac:dyDescent="0.3">
      <c r="C62" s="4" t="s">
        <v>14</v>
      </c>
      <c r="E62" s="1"/>
      <c r="G62" s="3">
        <f>_xlfn.CHISQ.TEST(C57:C58,B57:B58)</f>
        <v>0.13166801602281419</v>
      </c>
    </row>
    <row r="63" spans="1:7" x14ac:dyDescent="0.3">
      <c r="E63" s="1"/>
    </row>
    <row r="64" spans="1:7" x14ac:dyDescent="0.3">
      <c r="A64" s="16" t="s">
        <v>31</v>
      </c>
      <c r="B64" s="16"/>
      <c r="C64" s="19"/>
      <c r="D64" s="16"/>
      <c r="E64" s="7"/>
      <c r="F64" s="16"/>
      <c r="G64" s="16"/>
    </row>
    <row r="65" spans="1:7" x14ac:dyDescent="0.3">
      <c r="B65" s="1" t="s">
        <v>11</v>
      </c>
      <c r="C65" s="2" t="s">
        <v>49</v>
      </c>
      <c r="D65" s="1" t="s">
        <v>10</v>
      </c>
      <c r="E65" s="18" t="s">
        <v>50</v>
      </c>
      <c r="F65" s="1" t="s">
        <v>51</v>
      </c>
    </row>
    <row r="66" spans="1:7" x14ac:dyDescent="0.3">
      <c r="A66" t="s">
        <v>8</v>
      </c>
      <c r="B66">
        <f>AVERAGE(C66:C67)</f>
        <v>1.6363636363636365</v>
      </c>
      <c r="C66" s="4">
        <f>D66/E66*sample_size_weighting_factor</f>
        <v>2.2727272727272729</v>
      </c>
      <c r="D66" s="1">
        <v>5</v>
      </c>
      <c r="E66" s="1">
        <v>33</v>
      </c>
      <c r="G66" s="5">
        <f>((B66-D66)^2)/B66</f>
        <v>6.9141414141414126</v>
      </c>
    </row>
    <row r="67" spans="1:7" x14ac:dyDescent="0.3">
      <c r="A67" t="s">
        <v>15</v>
      </c>
      <c r="B67">
        <f>AVERAGE(C66:C67)</f>
        <v>1.6363636363636365</v>
      </c>
      <c r="C67" s="4">
        <f>D67/E67*sample_size_weighting_factor</f>
        <v>1</v>
      </c>
      <c r="D67">
        <v>1</v>
      </c>
      <c r="E67" s="1">
        <v>15</v>
      </c>
      <c r="G67" s="5">
        <f>((B67-C67)^2)/B67</f>
        <v>0.24747474747474754</v>
      </c>
    </row>
    <row r="68" spans="1:7" x14ac:dyDescent="0.3">
      <c r="E68" s="1"/>
      <c r="G68" s="5"/>
    </row>
    <row r="69" spans="1:7" x14ac:dyDescent="0.3">
      <c r="C69" s="4" t="s">
        <v>12</v>
      </c>
      <c r="E69" s="1"/>
      <c r="G69" s="5">
        <f>SUM(G66:G67)</f>
        <v>7.16161616161616</v>
      </c>
    </row>
    <row r="70" spans="1:7" x14ac:dyDescent="0.3">
      <c r="C70" s="4" t="s">
        <v>13</v>
      </c>
      <c r="E70" s="1"/>
      <c r="G70" s="5">
        <f>2-1</f>
        <v>1</v>
      </c>
    </row>
    <row r="71" spans="1:7" x14ac:dyDescent="0.3">
      <c r="C71" s="4" t="s">
        <v>14</v>
      </c>
      <c r="E71" s="1"/>
      <c r="G71" s="3">
        <f>_xlfn.CHISQ.TEST(C66:C67,B66:B67)</f>
        <v>0.48172771631662625</v>
      </c>
    </row>
    <row r="72" spans="1:7" x14ac:dyDescent="0.3">
      <c r="E72" s="1"/>
    </row>
    <row r="73" spans="1:7" x14ac:dyDescent="0.3">
      <c r="A73" s="16" t="s">
        <v>31</v>
      </c>
      <c r="B73" s="16"/>
      <c r="C73" s="19"/>
      <c r="D73" s="16"/>
      <c r="E73" s="7"/>
      <c r="F73" s="16"/>
      <c r="G73" s="16"/>
    </row>
    <row r="74" spans="1:7" x14ac:dyDescent="0.3">
      <c r="B74" s="1" t="s">
        <v>11</v>
      </c>
      <c r="C74" s="2" t="s">
        <v>49</v>
      </c>
      <c r="D74" s="1" t="s">
        <v>10</v>
      </c>
      <c r="E74" s="18" t="s">
        <v>50</v>
      </c>
      <c r="F74" s="1" t="s">
        <v>51</v>
      </c>
    </row>
    <row r="75" spans="1:7" x14ac:dyDescent="0.3">
      <c r="A75" t="s">
        <v>9</v>
      </c>
      <c r="B75">
        <f>AVERAGE(C75:C76)</f>
        <v>0.5</v>
      </c>
      <c r="C75" s="4">
        <f>D75/E75*sample_size_weighting_factor</f>
        <v>0</v>
      </c>
      <c r="D75" s="1">
        <v>0</v>
      </c>
      <c r="E75" s="1">
        <v>16</v>
      </c>
      <c r="G75">
        <f>((B75-C75)^2)/B75</f>
        <v>0.5</v>
      </c>
    </row>
    <row r="76" spans="1:7" x14ac:dyDescent="0.3">
      <c r="A76" t="s">
        <v>15</v>
      </c>
      <c r="B76">
        <f>AVERAGE(C75:C76)</f>
        <v>0.5</v>
      </c>
      <c r="C76" s="4">
        <f>D76/E76*sample_size_weighting_factor</f>
        <v>1</v>
      </c>
      <c r="D76">
        <v>1</v>
      </c>
      <c r="E76" s="1">
        <v>15</v>
      </c>
      <c r="G76">
        <f>((B76-C76)^2)/B76</f>
        <v>0.5</v>
      </c>
    </row>
    <row r="78" spans="1:7" x14ac:dyDescent="0.3">
      <c r="C78" s="4" t="s">
        <v>12</v>
      </c>
      <c r="G78">
        <f>SUM(G75:G76)</f>
        <v>1</v>
      </c>
    </row>
    <row r="79" spans="1:7" x14ac:dyDescent="0.3">
      <c r="C79" s="4" t="s">
        <v>13</v>
      </c>
      <c r="G79">
        <f>2-1</f>
        <v>1</v>
      </c>
    </row>
    <row r="80" spans="1:7" x14ac:dyDescent="0.3">
      <c r="C80" s="4" t="s">
        <v>14</v>
      </c>
      <c r="G80" s="3">
        <f>_xlfn.CHISQ.TEST(C75:C76,B75:B76)</f>
        <v>0.31731050786291398</v>
      </c>
    </row>
    <row r="82" spans="1:7" x14ac:dyDescent="0.3">
      <c r="A82" s="16" t="s">
        <v>28</v>
      </c>
      <c r="B82" s="16"/>
      <c r="C82" s="19"/>
      <c r="D82" s="16"/>
      <c r="E82" s="17"/>
      <c r="F82" s="16"/>
      <c r="G82" s="16"/>
    </row>
    <row r="83" spans="1:7" x14ac:dyDescent="0.3">
      <c r="B83" s="1" t="s">
        <v>11</v>
      </c>
      <c r="C83" s="2" t="s">
        <v>49</v>
      </c>
      <c r="D83" s="1" t="s">
        <v>10</v>
      </c>
      <c r="E83" s="18" t="s">
        <v>50</v>
      </c>
      <c r="F83" s="1" t="s">
        <v>51</v>
      </c>
    </row>
    <row r="84" spans="1:7" x14ac:dyDescent="0.3">
      <c r="A84" t="s">
        <v>8</v>
      </c>
      <c r="B84">
        <f>AVERAGE(C84:C85)</f>
        <v>1.8465909090909092</v>
      </c>
      <c r="C84" s="4">
        <f>D84/E84*sample_size_weighting_factor</f>
        <v>1.8181818181818183</v>
      </c>
      <c r="D84" s="1">
        <v>4</v>
      </c>
      <c r="E84" s="18">
        <v>33</v>
      </c>
      <c r="F84" s="1"/>
      <c r="G84" s="4">
        <f>((B84-C84)^2)/B84</f>
        <v>4.3706293706293451E-4</v>
      </c>
    </row>
    <row r="85" spans="1:7" x14ac:dyDescent="0.3">
      <c r="A85" t="s">
        <v>9</v>
      </c>
      <c r="B85">
        <f>AVERAGE(C84:C85)</f>
        <v>1.8465909090909092</v>
      </c>
      <c r="C85" s="4">
        <f>D85/E85*sample_size_weighting_factor</f>
        <v>1.875</v>
      </c>
      <c r="D85" s="1">
        <v>2</v>
      </c>
      <c r="E85" s="18">
        <v>16</v>
      </c>
      <c r="G85" s="4">
        <f>((B85-C85)^2)/B85</f>
        <v>4.3706293706293451E-4</v>
      </c>
    </row>
    <row r="86" spans="1:7" x14ac:dyDescent="0.3">
      <c r="E86" s="1"/>
    </row>
    <row r="87" spans="1:7" x14ac:dyDescent="0.3">
      <c r="C87" s="4" t="s">
        <v>12</v>
      </c>
      <c r="E87" s="1"/>
      <c r="G87" s="4">
        <f>SUM(G84:G85)</f>
        <v>8.7412587412586903E-4</v>
      </c>
    </row>
    <row r="88" spans="1:7" x14ac:dyDescent="0.3">
      <c r="C88" s="4" t="s">
        <v>13</v>
      </c>
      <c r="E88" s="1"/>
      <c r="G88">
        <f>2-1</f>
        <v>1</v>
      </c>
    </row>
    <row r="89" spans="1:7" x14ac:dyDescent="0.3">
      <c r="C89" s="4" t="s">
        <v>14</v>
      </c>
      <c r="E89" s="1"/>
      <c r="G89" s="3">
        <f>_xlfn.CHISQ.TEST(C84:C85,B84:B85)</f>
        <v>0.97641348474537615</v>
      </c>
    </row>
    <row r="90" spans="1:7" x14ac:dyDescent="0.3">
      <c r="E90" s="1"/>
    </row>
    <row r="91" spans="1:7" x14ac:dyDescent="0.3">
      <c r="A91" s="16" t="s">
        <v>28</v>
      </c>
      <c r="B91" s="16"/>
      <c r="C91" s="19"/>
      <c r="D91" s="16"/>
      <c r="E91" s="7"/>
      <c r="F91" s="16"/>
      <c r="G91" s="16"/>
    </row>
    <row r="92" spans="1:7" x14ac:dyDescent="0.3">
      <c r="B92" s="1" t="s">
        <v>11</v>
      </c>
      <c r="C92" s="2" t="s">
        <v>49</v>
      </c>
      <c r="D92" s="1" t="s">
        <v>10</v>
      </c>
      <c r="E92" s="18" t="s">
        <v>50</v>
      </c>
      <c r="F92" s="1" t="s">
        <v>51</v>
      </c>
    </row>
    <row r="93" spans="1:7" x14ac:dyDescent="0.3">
      <c r="A93" t="s">
        <v>8</v>
      </c>
      <c r="B93">
        <f>AVERAGE(C93:C94)</f>
        <v>1.9090909090909092</v>
      </c>
      <c r="C93" s="4">
        <f>D93/E93*sample_size_weighting_factor</f>
        <v>1.8181818181818183</v>
      </c>
      <c r="D93" s="1">
        <v>4</v>
      </c>
      <c r="E93" s="1">
        <v>33</v>
      </c>
      <c r="F93" s="1"/>
      <c r="G93" s="4">
        <f>((B93-C93)^2)/B93</f>
        <v>4.3290043290043212E-3</v>
      </c>
    </row>
    <row r="94" spans="1:7" x14ac:dyDescent="0.3">
      <c r="A94" t="s">
        <v>15</v>
      </c>
      <c r="B94">
        <f>AVERAGE(C93:C94)</f>
        <v>1.9090909090909092</v>
      </c>
      <c r="C94" s="4">
        <f>D94/E94*sample_size_weighting_factor</f>
        <v>2</v>
      </c>
      <c r="D94" s="1">
        <v>2</v>
      </c>
      <c r="E94" s="1">
        <v>15</v>
      </c>
      <c r="F94" s="1"/>
      <c r="G94" s="4">
        <f>((B94-C94)^2)/B94</f>
        <v>4.3290043290043212E-3</v>
      </c>
    </row>
    <row r="95" spans="1:7" x14ac:dyDescent="0.3">
      <c r="E95" s="1"/>
      <c r="G95" s="5"/>
    </row>
    <row r="96" spans="1:7" x14ac:dyDescent="0.3">
      <c r="C96" s="4" t="s">
        <v>12</v>
      </c>
      <c r="E96" s="1"/>
      <c r="G96" s="4">
        <f>SUM(G93:G94)</f>
        <v>8.6580086580086424E-3</v>
      </c>
    </row>
    <row r="97" spans="1:7" x14ac:dyDescent="0.3">
      <c r="C97" s="4" t="s">
        <v>13</v>
      </c>
      <c r="E97" s="1"/>
      <c r="G97" s="5">
        <f>2-1</f>
        <v>1</v>
      </c>
    </row>
    <row r="98" spans="1:7" x14ac:dyDescent="0.3">
      <c r="C98" s="4" t="s">
        <v>14</v>
      </c>
      <c r="E98" s="1"/>
      <c r="G98" s="3">
        <f>_xlfn.CHISQ.TEST(C93:C94,B93:B94)</f>
        <v>0.92586509362386615</v>
      </c>
    </row>
    <row r="99" spans="1:7" x14ac:dyDescent="0.3">
      <c r="E99" s="1"/>
    </row>
    <row r="100" spans="1:7" x14ac:dyDescent="0.3">
      <c r="A100" s="16" t="s">
        <v>28</v>
      </c>
      <c r="B100" s="16"/>
      <c r="C100" s="19"/>
      <c r="D100" s="16"/>
      <c r="E100" s="7"/>
      <c r="F100" s="16"/>
      <c r="G100" s="16"/>
    </row>
    <row r="101" spans="1:7" x14ac:dyDescent="0.3">
      <c r="B101" s="1" t="s">
        <v>11</v>
      </c>
      <c r="C101" s="2" t="s">
        <v>49</v>
      </c>
      <c r="D101" s="1" t="s">
        <v>10</v>
      </c>
      <c r="E101" s="18" t="s">
        <v>50</v>
      </c>
      <c r="F101" s="1" t="s">
        <v>51</v>
      </c>
    </row>
    <row r="102" spans="1:7" x14ac:dyDescent="0.3">
      <c r="A102" t="s">
        <v>9</v>
      </c>
      <c r="B102">
        <f>AVERAGE(C102:C103)</f>
        <v>1.9375</v>
      </c>
      <c r="C102" s="4">
        <f>D102/E102*sample_size_weighting_factor</f>
        <v>1.875</v>
      </c>
      <c r="D102" s="1">
        <v>2</v>
      </c>
      <c r="E102" s="1">
        <v>16</v>
      </c>
      <c r="G102" s="4">
        <f>((B102-C102)^2)/B102</f>
        <v>2.0161290322580645E-3</v>
      </c>
    </row>
    <row r="103" spans="1:7" x14ac:dyDescent="0.3">
      <c r="A103" t="s">
        <v>15</v>
      </c>
      <c r="B103">
        <f>AVERAGE(C102:C103)</f>
        <v>1.9375</v>
      </c>
      <c r="C103" s="4">
        <f>D103/E103*sample_size_weighting_factor</f>
        <v>2</v>
      </c>
      <c r="D103" s="1">
        <v>2</v>
      </c>
      <c r="E103" s="1">
        <v>15</v>
      </c>
      <c r="F103" s="1"/>
      <c r="G103" s="4">
        <f>((B103-C103)^2)/B103</f>
        <v>2.0161290322580645E-3</v>
      </c>
    </row>
    <row r="105" spans="1:7" x14ac:dyDescent="0.3">
      <c r="C105" s="4" t="s">
        <v>12</v>
      </c>
      <c r="G105" s="4">
        <f>SUM(G102:G103)</f>
        <v>4.0322580645161289E-3</v>
      </c>
    </row>
    <row r="106" spans="1:7" x14ac:dyDescent="0.3">
      <c r="C106" s="4" t="s">
        <v>13</v>
      </c>
      <c r="G106">
        <f>2-1</f>
        <v>1</v>
      </c>
    </row>
    <row r="107" spans="1:7" x14ac:dyDescent="0.3">
      <c r="C107" s="4" t="s">
        <v>14</v>
      </c>
      <c r="G107" s="3">
        <f>_xlfn.CHISQ.TEST(C102:C103,B102:B103)</f>
        <v>0.9493683086818695</v>
      </c>
    </row>
  </sheetData>
  <conditionalFormatting sqref="B84:B85 B93:B94 B102:B103 B57:B58 B66:B67 B75:B76 B3:B4 B12:B13 B21:B22 B30:B31 B39:B40 B48:B49">
    <cfRule type="cellIs" dxfId="1" priority="3" operator="greaterThanOrEqual">
      <formula>5</formula>
    </cfRule>
  </conditionalFormatting>
  <conditionalFormatting sqref="G89 G98 G107 G62 G71 G80 G8 G17 G26 G35 G44 G53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486B-C523-402C-883E-B7E8F0E660CF}">
  <dimension ref="A1:E14"/>
  <sheetViews>
    <sheetView workbookViewId="0">
      <selection activeCell="C3" sqref="C3"/>
    </sheetView>
  </sheetViews>
  <sheetFormatPr defaultRowHeight="14.4" x14ac:dyDescent="0.3"/>
  <cols>
    <col min="1" max="1" width="44" bestFit="1" customWidth="1"/>
    <col min="2" max="5" width="9.109375" style="1"/>
  </cols>
  <sheetData>
    <row r="1" spans="1:3" x14ac:dyDescent="0.3">
      <c r="A1" t="s">
        <v>0</v>
      </c>
      <c r="B1" s="1" t="s">
        <v>1</v>
      </c>
      <c r="C1" s="1" t="s">
        <v>2</v>
      </c>
    </row>
    <row r="2" spans="1:3" x14ac:dyDescent="0.3">
      <c r="A2" t="s">
        <v>29</v>
      </c>
      <c r="B2" s="1">
        <v>4</v>
      </c>
      <c r="C2" s="1">
        <v>0.5</v>
      </c>
    </row>
    <row r="3" spans="1:3" x14ac:dyDescent="0.3">
      <c r="A3" t="s">
        <v>31</v>
      </c>
      <c r="B3" s="1">
        <v>1</v>
      </c>
      <c r="C3" s="1">
        <v>0.125</v>
      </c>
    </row>
    <row r="4" spans="1:3" x14ac:dyDescent="0.3">
      <c r="A4" t="s">
        <v>28</v>
      </c>
      <c r="B4" s="1">
        <v>2</v>
      </c>
      <c r="C4" s="1">
        <v>0.25</v>
      </c>
    </row>
    <row r="5" spans="1:3" x14ac:dyDescent="0.3">
      <c r="A5" t="s">
        <v>3</v>
      </c>
      <c r="B5" s="1">
        <v>1</v>
      </c>
      <c r="C5" s="1">
        <v>0.125</v>
      </c>
    </row>
    <row r="14" spans="1:3" x14ac:dyDescent="0.3">
      <c r="A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D2A8-17AF-4861-964C-55FD6E53B5B6}">
  <dimension ref="A1:D15"/>
  <sheetViews>
    <sheetView workbookViewId="0">
      <selection activeCell="A2" sqref="A2:C5"/>
    </sheetView>
  </sheetViews>
  <sheetFormatPr defaultRowHeight="14.4" x14ac:dyDescent="0.3"/>
  <cols>
    <col min="1" max="1" width="24.88671875" customWidth="1"/>
  </cols>
  <sheetData>
    <row r="1" spans="1:4" x14ac:dyDescent="0.3">
      <c r="A1" t="s">
        <v>26</v>
      </c>
      <c r="B1" t="s">
        <v>27</v>
      </c>
      <c r="C1" t="s">
        <v>2</v>
      </c>
    </row>
    <row r="2" spans="1:4" x14ac:dyDescent="0.3">
      <c r="A2" t="s">
        <v>29</v>
      </c>
      <c r="B2">
        <v>1</v>
      </c>
      <c r="C2">
        <v>5.2631578947368418E-2</v>
      </c>
    </row>
    <row r="3" spans="1:4" x14ac:dyDescent="0.3">
      <c r="A3" t="s">
        <v>28</v>
      </c>
      <c r="B3">
        <v>4</v>
      </c>
      <c r="C3">
        <v>0.21052631578947367</v>
      </c>
    </row>
    <row r="4" spans="1:4" x14ac:dyDescent="0.3">
      <c r="A4" t="s">
        <v>31</v>
      </c>
      <c r="B4">
        <v>5</v>
      </c>
      <c r="C4">
        <v>0.26315789473684209</v>
      </c>
    </row>
    <row r="5" spans="1:4" x14ac:dyDescent="0.3">
      <c r="A5" t="s">
        <v>3</v>
      </c>
      <c r="B5">
        <v>9</v>
      </c>
      <c r="C5">
        <v>0.47368421052631576</v>
      </c>
    </row>
    <row r="15" spans="1:4" x14ac:dyDescent="0.3">
      <c r="A15" s="1"/>
      <c r="B15" s="1"/>
      <c r="C15" s="1"/>
      <c r="D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6FD0-42F7-4E68-AF42-C5EE6695ED72}">
  <dimension ref="A1:E12"/>
  <sheetViews>
    <sheetView workbookViewId="0">
      <selection activeCell="A9" sqref="A9"/>
    </sheetView>
  </sheetViews>
  <sheetFormatPr defaultRowHeight="14.4" x14ac:dyDescent="0.3"/>
  <cols>
    <col min="1" max="1" width="41.6640625" bestFit="1" customWidth="1"/>
  </cols>
  <sheetData>
    <row r="1" spans="1:5" x14ac:dyDescent="0.3">
      <c r="A1" t="s">
        <v>26</v>
      </c>
      <c r="B1" t="s">
        <v>27</v>
      </c>
      <c r="C1" t="s">
        <v>30</v>
      </c>
    </row>
    <row r="2" spans="1:5" x14ac:dyDescent="0.3">
      <c r="A2" t="s">
        <v>28</v>
      </c>
      <c r="B2">
        <v>2</v>
      </c>
    </row>
    <row r="3" spans="1:5" x14ac:dyDescent="0.3">
      <c r="A3" t="s">
        <v>3</v>
      </c>
      <c r="B3">
        <v>4</v>
      </c>
    </row>
    <row r="4" spans="1:5" x14ac:dyDescent="0.3">
      <c r="A4" t="s">
        <v>29</v>
      </c>
      <c r="B4">
        <v>1</v>
      </c>
    </row>
    <row r="12" spans="1:5" x14ac:dyDescent="0.3">
      <c r="B12" s="1"/>
      <c r="C12" s="1"/>
      <c r="D12" s="1"/>
      <c r="E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5081-D0CB-4100-BDBA-12E4D8960F70}">
  <dimension ref="A1:B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48</v>
      </c>
      <c r="B1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4" ma:contentTypeDescription="Een nieuw document maken." ma:contentTypeScope="" ma:versionID="618a17aee6fe21829d83342cfb0aeda2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f381c43000bb8a88d8a6b5bfc4c73959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a03bd9-b31b-493a-b31e-bb4432e88c75" xsi:nil="true"/>
    <lcf76f155ced4ddcb4097134ff3c332f xmlns="0e881998-9419-4d13-b84d-721ac971c70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5557A2-CABC-47F5-B18E-D5EFD7A19C89}"/>
</file>

<file path=customXml/itemProps2.xml><?xml version="1.0" encoding="utf-8"?>
<ds:datastoreItem xmlns:ds="http://schemas.openxmlformats.org/officeDocument/2006/customXml" ds:itemID="{562789AB-4FE8-4189-AD37-E469DA170DE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3.xml><?xml version="1.0" encoding="utf-8"?>
<ds:datastoreItem xmlns:ds="http://schemas.openxmlformats.org/officeDocument/2006/customXml" ds:itemID="{43CFD971-D88C-4B47-9F7E-6E2AE41AD0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13</vt:i4>
      </vt:variant>
    </vt:vector>
  </HeadingPairs>
  <TitlesOfParts>
    <vt:vector size="21" baseType="lpstr">
      <vt:lpstr>All</vt:lpstr>
      <vt:lpstr>Chi-square p-values</vt:lpstr>
      <vt:lpstr>Overview</vt:lpstr>
      <vt:lpstr>Chi-Square one way</vt:lpstr>
      <vt:lpstr>Streaming</vt:lpstr>
      <vt:lpstr>Smartphone</vt:lpstr>
      <vt:lpstr>Integrated</vt:lpstr>
      <vt:lpstr>vars</vt:lpstr>
      <vt:lpstr>count_integrated</vt:lpstr>
      <vt:lpstr>count_smartphone</vt:lpstr>
      <vt:lpstr>count_streaming</vt:lpstr>
      <vt:lpstr>relative_count_integrated</vt:lpstr>
      <vt:lpstr>relative_count_smartphone</vt:lpstr>
      <vt:lpstr>relative_count_streaming</vt:lpstr>
      <vt:lpstr>relative_salience_integrated</vt:lpstr>
      <vt:lpstr>relative_salience_smartphone</vt:lpstr>
      <vt:lpstr>relative_salience_streaming</vt:lpstr>
      <vt:lpstr>salience_integrated</vt:lpstr>
      <vt:lpstr>salience_smartphone</vt:lpstr>
      <vt:lpstr>salience_streaming</vt:lpstr>
      <vt:lpstr>sample_size_weighting_factor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2023-06-15T20:13:32Z</dcterms:created>
  <dcterms:modified xsi:type="dcterms:W3CDTF">2023-07-28T21:49:03Z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