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148" documentId="13_ncr:1_{7062A9F7-4324-44AF-BAED-F231CC6B7155}" xr6:coauthVersionLast="47" xr6:coauthVersionMax="47" xr10:uidLastSave="{ACCB4343-736C-4F5A-AFB6-6DE25A2F9127}"/>
  <bookViews>
    <workbookView xWindow="-108" yWindow="-108" windowWidth="23256" windowHeight="12456" activeTab="1" xr2:uid="{AA7D1B8E-8831-4893-8797-D816D84882B1}"/>
  </bookViews>
  <sheets>
    <sheet name="The Data" sheetId="1" r:id="rId1"/>
    <sheet name="Overall Correlations" sheetId="3" r:id="rId2"/>
    <sheet name="Sample Sizes" sheetId="4" r:id="rId3"/>
    <sheet name="CIs" sheetId="6" r:id="rId4"/>
  </sheets>
  <definedNames>
    <definedName name="bad_instructions">'The Data'!$N:$N</definedName>
    <definedName name="behavior_lane_position">'The Data'!$J:$J</definedName>
    <definedName name="behavior_less_speed">'The Data'!$H:$H</definedName>
    <definedName name="behavior_more_speed">'The Data'!$G:$G</definedName>
    <definedName name="behavior_operating_errors">'The Data'!$M:$M</definedName>
    <definedName name="behavior_reaction_time">'The Data'!$K:$K</definedName>
    <definedName name="behavior_speed_control">'The Data'!$I:$I</definedName>
    <definedName name="behavior_wrong_turns">'The Data'!$L:$L</definedName>
    <definedName name="distraction_awareness">'The Data'!$B:$B</definedName>
    <definedName name="distraction_glance_duration">'The Data'!$F:$F</definedName>
    <definedName name="distraction_glance_frequency">'The Data'!$E:$E</definedName>
    <definedName name="distraction_manual">'The Data'!$A:$A</definedName>
    <definedName name="distraction_mental_load">'The Data'!$D:$D</definedName>
    <definedName name="distraction_shift_focus">'The Data'!$C:$C</definedName>
    <definedName name="interruptions">'The Data'!$O:$O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3" l="1"/>
  <c r="N13" i="3"/>
  <c r="O14" i="3"/>
  <c r="O12" i="3"/>
  <c r="N12" i="3"/>
  <c r="M12" i="3"/>
  <c r="O11" i="3"/>
  <c r="N11" i="3"/>
  <c r="M11" i="3"/>
  <c r="L11" i="3"/>
  <c r="O10" i="3"/>
  <c r="N10" i="3"/>
  <c r="M10" i="3"/>
  <c r="L10" i="3"/>
  <c r="K10" i="3"/>
  <c r="O9" i="3"/>
  <c r="N9" i="3"/>
  <c r="M9" i="3"/>
  <c r="L9" i="3"/>
  <c r="K9" i="3"/>
  <c r="J9" i="3"/>
  <c r="O8" i="3"/>
  <c r="N8" i="3"/>
  <c r="M8" i="3"/>
  <c r="L8" i="3"/>
  <c r="K8" i="3"/>
  <c r="J8" i="3"/>
  <c r="I8" i="3"/>
  <c r="O7" i="3"/>
  <c r="N7" i="3"/>
  <c r="M7" i="3"/>
  <c r="L7" i="3"/>
  <c r="K7" i="3"/>
  <c r="J7" i="3"/>
  <c r="I7" i="3"/>
  <c r="H7" i="3"/>
  <c r="O6" i="3"/>
  <c r="N6" i="3"/>
  <c r="M6" i="3"/>
  <c r="L6" i="3"/>
  <c r="K6" i="3"/>
  <c r="J6" i="3"/>
  <c r="I6" i="3"/>
  <c r="H6" i="3"/>
  <c r="G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E4" i="3"/>
  <c r="O3" i="3"/>
  <c r="N3" i="3"/>
  <c r="M3" i="3"/>
  <c r="L3" i="3"/>
  <c r="K3" i="3"/>
  <c r="J3" i="3"/>
  <c r="I3" i="3"/>
  <c r="H3" i="3"/>
  <c r="G3" i="3"/>
  <c r="F3" i="3"/>
  <c r="E3" i="3"/>
  <c r="D3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O14" i="4"/>
  <c r="L11" i="4"/>
  <c r="O9" i="4"/>
  <c r="M8" i="4"/>
  <c r="J7" i="4"/>
  <c r="G6" i="4"/>
  <c r="H5" i="4"/>
  <c r="M4" i="4"/>
  <c r="K4" i="4"/>
  <c r="L3" i="4"/>
  <c r="P4" i="4"/>
  <c r="P8" i="4"/>
  <c r="L2" i="4"/>
  <c r="C2" i="4"/>
  <c r="K9" i="4"/>
  <c r="H7" i="4"/>
  <c r="L6" i="4"/>
  <c r="G4" i="4"/>
  <c r="J3" i="4"/>
  <c r="P2" i="4"/>
  <c r="N5" i="4"/>
  <c r="I3" i="4"/>
  <c r="N2" i="4"/>
  <c r="N13" i="4"/>
  <c r="N11" i="4"/>
  <c r="L9" i="4"/>
  <c r="O8" i="4"/>
  <c r="L7" i="4"/>
  <c r="J6" i="4"/>
  <c r="J5" i="4"/>
  <c r="F4" i="4"/>
  <c r="L4" i="4"/>
  <c r="M3" i="4"/>
  <c r="P12" i="4"/>
  <c r="P10" i="4"/>
  <c r="G2" i="4"/>
  <c r="N8" i="4"/>
  <c r="G3" i="4"/>
  <c r="O13" i="4"/>
  <c r="M10" i="4"/>
  <c r="J9" i="4"/>
  <c r="I8" i="4"/>
  <c r="N7" i="4"/>
  <c r="O6" i="4"/>
  <c r="O5" i="4"/>
  <c r="N4" i="4"/>
  <c r="D3" i="4"/>
  <c r="N3" i="4"/>
  <c r="P5" i="4"/>
  <c r="P9" i="4"/>
  <c r="O2" i="4"/>
  <c r="N10" i="4"/>
  <c r="K5" i="4"/>
  <c r="P13" i="4"/>
  <c r="H2" i="4"/>
  <c r="P11" i="4"/>
  <c r="M12" i="4"/>
  <c r="O12" i="4"/>
  <c r="O10" i="4"/>
  <c r="M9" i="4"/>
  <c r="I7" i="4"/>
  <c r="H6" i="4"/>
  <c r="M6" i="4"/>
  <c r="L5" i="4"/>
  <c r="O4" i="4"/>
  <c r="O3" i="4"/>
  <c r="K3" i="4"/>
  <c r="P6" i="4"/>
  <c r="E2" i="4"/>
  <c r="D2" i="4"/>
  <c r="N12" i="4"/>
  <c r="L10" i="4"/>
  <c r="J8" i="4"/>
  <c r="K7" i="4"/>
  <c r="I6" i="4"/>
  <c r="F5" i="4"/>
  <c r="M5" i="4"/>
  <c r="H4" i="4"/>
  <c r="E3" i="4"/>
  <c r="F3" i="4"/>
  <c r="P14" i="4"/>
  <c r="M2" i="4"/>
  <c r="I2" i="4"/>
  <c r="K10" i="4"/>
  <c r="K8" i="4"/>
  <c r="M7" i="4"/>
  <c r="K6" i="4"/>
  <c r="I5" i="4"/>
  <c r="G5" i="4"/>
  <c r="I4" i="4"/>
  <c r="H3" i="4"/>
  <c r="P3" i="4"/>
  <c r="P7" i="4"/>
  <c r="F2" i="4"/>
  <c r="J2" i="4"/>
  <c r="M11" i="4"/>
  <c r="N9" i="4"/>
  <c r="L8" i="4"/>
  <c r="O7" i="4"/>
  <c r="N6" i="4"/>
  <c r="E4" i="4"/>
  <c r="J4" i="4"/>
  <c r="P15" i="4"/>
  <c r="K2" i="4"/>
  <c r="O11" i="4"/>
</calcChain>
</file>

<file path=xl/sharedStrings.xml><?xml version="1.0" encoding="utf-8"?>
<sst xmlns="http://schemas.openxmlformats.org/spreadsheetml/2006/main" count="570" uniqueCount="105">
  <si>
    <t>distraction_manual</t>
  </si>
  <si>
    <t>behavior_more_speed</t>
  </si>
  <si>
    <t>distraction_awareness</t>
  </si>
  <si>
    <t>distraction_shift_focus</t>
  </si>
  <si>
    <t>distraction_mental_load</t>
  </si>
  <si>
    <t>distraction_glance_frequency</t>
  </si>
  <si>
    <t>distraction_glance_duration</t>
  </si>
  <si>
    <t>behavior_less_speed</t>
  </si>
  <si>
    <t>behavior_speed_control</t>
  </si>
  <si>
    <t>behavior_lane_position</t>
  </si>
  <si>
    <t>behavior_reaction_time</t>
  </si>
  <si>
    <t>behavior_wrong_turns</t>
  </si>
  <si>
    <t>behavior_operating_errors</t>
  </si>
  <si>
    <t>interruptions</t>
  </si>
  <si>
    <t>bad_instructions</t>
  </si>
  <si>
    <t>X</t>
  </si>
  <si>
    <t>[0,1, 0,7]</t>
  </si>
  <si>
    <t>[0,25, 0,77]</t>
  </si>
  <si>
    <t>[-0,2, 0,51]</t>
  </si>
  <si>
    <t>[0,18, 0,74]</t>
  </si>
  <si>
    <t>[0,03, 0,66]</t>
  </si>
  <si>
    <t>[-0,07, 0,62]</t>
  </si>
  <si>
    <t>[-0,11, 0,6]</t>
  </si>
  <si>
    <t>[-0,23, 0,51]</t>
  </si>
  <si>
    <t>[-0,1, 0,6]</t>
  </si>
  <si>
    <t>[0,13, 0,74]</t>
  </si>
  <si>
    <t>[-0,02, 0,66]</t>
  </si>
  <si>
    <t>[-0,14, 0,58]</t>
  </si>
  <si>
    <t>[-0,48, 0,29]</t>
  </si>
  <si>
    <t>[-0,31, 0,47]</t>
  </si>
  <si>
    <t>[-0,18, 0,57]</t>
  </si>
  <si>
    <t>[-0,27, 0,51]</t>
  </si>
  <si>
    <t>[0,04, 0,71]</t>
  </si>
  <si>
    <t>[-0,6, 0,15]</t>
  </si>
  <si>
    <t>[-0,33, 0,46]</t>
  </si>
  <si>
    <t>[-0,34, 0,45]</t>
  </si>
  <si>
    <t>[-0,36, 0,43]</t>
  </si>
  <si>
    <t>[-0,13, 0,61]</t>
  </si>
  <si>
    <t>[-0,31, 0,48]</t>
  </si>
  <si>
    <t>[-0,45, 0,33]</t>
  </si>
  <si>
    <t>[-0,39, 0,4]</t>
  </si>
  <si>
    <t>[-0,44, 0,34]</t>
  </si>
  <si>
    <t>[0,09, 0,69]</t>
  </si>
  <si>
    <t>[0,19, 0,75]</t>
  </si>
  <si>
    <t>[0,02, 0,66]</t>
  </si>
  <si>
    <t>[-0,23, 0,49]</t>
  </si>
  <si>
    <t>[0,27, 0,79]</t>
  </si>
  <si>
    <t>[-0,31, 0,45]</t>
  </si>
  <si>
    <t>[0,08, 0,71]</t>
  </si>
  <si>
    <t>[0,07, 0,7]</t>
  </si>
  <si>
    <t>[0,02, 0,68]</t>
  </si>
  <si>
    <t>[0, 0,68]</t>
  </si>
  <si>
    <t>[-0,16, 0,57]</t>
  </si>
  <si>
    <t>[-0,41, 0,36]</t>
  </si>
  <si>
    <t>[-0,39, 0,38]</t>
  </si>
  <si>
    <t>[-0,11, 0,61]</t>
  </si>
  <si>
    <t>[-0,44, 0,33]</t>
  </si>
  <si>
    <t>[-0,45, 0,32]</t>
  </si>
  <si>
    <t>[-0,47, 0,3]</t>
  </si>
  <si>
    <t>[-0,08, 0,63]</t>
  </si>
  <si>
    <t>[-0,31, 0,46]</t>
  </si>
  <si>
    <t>[-0,12, 0,61]</t>
  </si>
  <si>
    <t>[-0,27, 0,49]</t>
  </si>
  <si>
    <t>[-0,12, 0,6]</t>
  </si>
  <si>
    <t>[-0,24, 0,52]</t>
  </si>
  <si>
    <t>[-0,17, 0,57]</t>
  </si>
  <si>
    <t>[-0,28, 0,47]</t>
  </si>
  <si>
    <t>[0,17, 0,75]</t>
  </si>
  <si>
    <t>[-0,02, 0,65]</t>
  </si>
  <si>
    <t>[0,01, 0,67]</t>
  </si>
  <si>
    <t>[-0,19, 0,54]</t>
  </si>
  <si>
    <t>[-0,09, 0,61]</t>
  </si>
  <si>
    <t>[0,09, 0,72]</t>
  </si>
  <si>
    <t>[-0,36, 0,41]</t>
  </si>
  <si>
    <t>[-0,15, 0,58]</t>
  </si>
  <si>
    <t>[-0,21, 0,54]</t>
  </si>
  <si>
    <t>[0,03, 0,69]</t>
  </si>
  <si>
    <t>[-0,05, 0,65]</t>
  </si>
  <si>
    <t>[-0,07, 0,63]</t>
  </si>
  <si>
    <t>[0,16, 0,75]</t>
  </si>
  <si>
    <t>[-0,09, 0,62]</t>
  </si>
  <si>
    <t>[0,18, 0,76]</t>
  </si>
  <si>
    <t>[-0,04, 0,65]</t>
  </si>
  <si>
    <t>[-0,26, 0,5]</t>
  </si>
  <si>
    <t>[0,06, 0,71]</t>
  </si>
  <si>
    <t>[-0,04, 0,64]</t>
  </si>
  <si>
    <t>[-0,15, 0,57]</t>
  </si>
  <si>
    <t>[0,4, 0,84]</t>
  </si>
  <si>
    <t>[0,37, 0,83]</t>
  </si>
  <si>
    <t>[0,12, 0,72]</t>
  </si>
  <si>
    <t>[0,25, 0,78]</t>
  </si>
  <si>
    <t>[-0,53, 0,2]</t>
  </si>
  <si>
    <t>[-0,49, 0,25]</t>
  </si>
  <si>
    <t>[-0,03, 0,64]</t>
  </si>
  <si>
    <t>[-0,21, 0,53]</t>
  </si>
  <si>
    <t>[-0,32, 0,43]</t>
  </si>
  <si>
    <t>[-0,06, 0,63]</t>
  </si>
  <si>
    <t>[-0,33, 0,43]</t>
  </si>
  <si>
    <t>[0,05, 0,69]</t>
  </si>
  <si>
    <t>[0,08, 0,7]</t>
  </si>
  <si>
    <t>[-0,22, 0,49]</t>
  </si>
  <si>
    <t>[-0,25, 0,47]</t>
  </si>
  <si>
    <t>[0,02, 0,65]</t>
  </si>
  <si>
    <t>[0,17, 0,73]</t>
  </si>
  <si>
    <t>[0,05, 0,67]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</si>
</sst>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textRotation="180"/>
    </xf>
    <xf numFmtId="0" fontId="1" fillId="0" borderId="4" xfId="0" applyFont="1" applyBorder="1" applyAlignment="1">
      <alignment horizontal="center" textRotation="180"/>
    </xf>
    <xf numFmtId="0" fontId="1" fillId="0" borderId="1" xfId="0" applyFont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9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9031-161F-4469-823E-4440F0CCFDAA}">
  <sheetPr codeName="Blad1"/>
  <dimension ref="A1:O34"/>
  <sheetViews>
    <sheetView topLeftCell="I28" workbookViewId="0">
      <selection activeCell="O2" sqref="O2:O34"/>
    </sheetView>
  </sheetViews>
  <sheetFormatPr defaultRowHeight="14.4" x14ac:dyDescent="0.3"/>
  <cols>
    <col min="1" max="15" width="25.6640625" style="1" customWidth="1"/>
  </cols>
  <sheetData>
    <row r="1" spans="1:15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13</v>
      </c>
    </row>
    <row r="2" spans="1:15" x14ac:dyDescent="0.3">
      <c r="A2" s="1">
        <v>1</v>
      </c>
      <c r="B2" s="1">
        <v>3</v>
      </c>
      <c r="C2" s="1">
        <v>1</v>
      </c>
      <c r="D2" s="1">
        <v>1</v>
      </c>
      <c r="E2" s="1">
        <v>1</v>
      </c>
      <c r="F2" s="1">
        <v>2</v>
      </c>
    </row>
    <row r="3" spans="1:15" x14ac:dyDescent="0.3">
      <c r="A3" s="1">
        <v>1</v>
      </c>
      <c r="B3" s="1">
        <v>2</v>
      </c>
      <c r="C3" s="1">
        <v>0</v>
      </c>
      <c r="D3" s="1">
        <v>1</v>
      </c>
      <c r="E3" s="1">
        <v>2</v>
      </c>
      <c r="F3" s="1">
        <v>0</v>
      </c>
      <c r="G3" s="1">
        <v>0</v>
      </c>
      <c r="H3" s="1">
        <v>2</v>
      </c>
      <c r="I3" s="1">
        <v>1</v>
      </c>
      <c r="J3" s="1">
        <v>1</v>
      </c>
      <c r="K3" s="1">
        <v>3</v>
      </c>
      <c r="L3" s="1">
        <v>3</v>
      </c>
      <c r="M3" s="1">
        <v>1</v>
      </c>
      <c r="N3" s="1">
        <v>2</v>
      </c>
      <c r="O3" s="1">
        <v>4</v>
      </c>
    </row>
    <row r="4" spans="1:15" x14ac:dyDescent="0.3">
      <c r="A4" s="1">
        <v>0</v>
      </c>
      <c r="B4" s="1">
        <v>2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0</v>
      </c>
      <c r="I4" s="1">
        <v>1</v>
      </c>
      <c r="J4" s="1">
        <v>2</v>
      </c>
      <c r="K4" s="1">
        <v>2</v>
      </c>
      <c r="L4" s="1">
        <v>2</v>
      </c>
      <c r="M4" s="1">
        <v>0</v>
      </c>
      <c r="N4" s="1">
        <v>2</v>
      </c>
      <c r="O4" s="1">
        <v>2</v>
      </c>
    </row>
    <row r="5" spans="1:15" x14ac:dyDescent="0.3">
      <c r="A5" s="1">
        <v>1</v>
      </c>
      <c r="B5" s="1">
        <v>3</v>
      </c>
      <c r="C5" s="1">
        <v>1</v>
      </c>
      <c r="D5" s="1">
        <v>2</v>
      </c>
      <c r="E5" s="1">
        <v>1</v>
      </c>
      <c r="F5" s="1">
        <v>1</v>
      </c>
      <c r="G5" s="1">
        <v>1</v>
      </c>
      <c r="H5" s="1">
        <v>3</v>
      </c>
      <c r="I5" s="1">
        <v>1</v>
      </c>
      <c r="J5" s="1">
        <v>1</v>
      </c>
      <c r="M5" s="1">
        <v>1</v>
      </c>
    </row>
    <row r="6" spans="1:15" x14ac:dyDescent="0.3">
      <c r="A6" s="1">
        <v>0</v>
      </c>
      <c r="B6" s="1">
        <v>2</v>
      </c>
      <c r="C6" s="1">
        <v>0</v>
      </c>
      <c r="D6" s="1">
        <v>0</v>
      </c>
      <c r="E6" s="1">
        <v>0</v>
      </c>
      <c r="F6" s="1">
        <v>1</v>
      </c>
      <c r="G6" s="1">
        <v>2</v>
      </c>
      <c r="H6" s="1">
        <v>3</v>
      </c>
      <c r="I6" s="1">
        <v>3</v>
      </c>
      <c r="J6" s="1">
        <v>2</v>
      </c>
      <c r="K6" s="1">
        <v>1</v>
      </c>
      <c r="L6" s="1">
        <v>3</v>
      </c>
      <c r="M6" s="1">
        <v>2</v>
      </c>
      <c r="N6" s="1">
        <v>2</v>
      </c>
      <c r="O6" s="1">
        <v>1</v>
      </c>
    </row>
    <row r="7" spans="1:15" x14ac:dyDescent="0.3">
      <c r="A7" s="1">
        <v>2</v>
      </c>
      <c r="B7" s="1">
        <v>3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1</v>
      </c>
      <c r="I7" s="1">
        <v>1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</row>
    <row r="8" spans="1:15" x14ac:dyDescent="0.3">
      <c r="A8" s="1">
        <v>2</v>
      </c>
      <c r="B8" s="1">
        <v>2</v>
      </c>
      <c r="C8" s="1">
        <v>2</v>
      </c>
      <c r="D8" s="1">
        <v>0</v>
      </c>
      <c r="E8" s="1">
        <v>2</v>
      </c>
      <c r="F8" s="1">
        <v>3</v>
      </c>
      <c r="G8" s="1">
        <v>1</v>
      </c>
      <c r="H8" s="1">
        <v>0</v>
      </c>
      <c r="I8" s="1">
        <v>0</v>
      </c>
      <c r="J8" s="1">
        <v>1</v>
      </c>
      <c r="K8" s="1">
        <v>1</v>
      </c>
      <c r="L8" s="1">
        <v>3</v>
      </c>
      <c r="M8" s="1">
        <v>1</v>
      </c>
      <c r="N8" s="1">
        <v>1</v>
      </c>
      <c r="O8" s="1">
        <v>1</v>
      </c>
    </row>
    <row r="9" spans="1:15" x14ac:dyDescent="0.3">
      <c r="A9" s="1">
        <v>0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2</v>
      </c>
      <c r="H9" s="1">
        <v>3</v>
      </c>
      <c r="I9" s="1">
        <v>3</v>
      </c>
      <c r="J9" s="1">
        <v>3</v>
      </c>
      <c r="K9" s="1">
        <v>2</v>
      </c>
      <c r="L9" s="1">
        <v>1</v>
      </c>
      <c r="M9" s="1">
        <v>1</v>
      </c>
      <c r="N9" s="1">
        <v>3</v>
      </c>
      <c r="O9" s="1">
        <v>2</v>
      </c>
    </row>
    <row r="10" spans="1:15" x14ac:dyDescent="0.3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0</v>
      </c>
      <c r="M10" s="1">
        <v>2</v>
      </c>
      <c r="N10" s="1">
        <v>2</v>
      </c>
      <c r="O10" s="1">
        <v>2</v>
      </c>
    </row>
    <row r="11" spans="1:15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2</v>
      </c>
      <c r="I11" s="1">
        <v>1</v>
      </c>
      <c r="J11" s="1">
        <v>1</v>
      </c>
      <c r="K11" s="1">
        <v>1</v>
      </c>
      <c r="L11" s="1">
        <v>2</v>
      </c>
      <c r="M11" s="1">
        <v>0</v>
      </c>
      <c r="N11" s="1">
        <v>1</v>
      </c>
      <c r="O11" s="1">
        <v>1</v>
      </c>
    </row>
    <row r="12" spans="1:15" x14ac:dyDescent="0.3">
      <c r="A12" s="1">
        <v>0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1">
        <v>0</v>
      </c>
      <c r="N12" s="1">
        <v>1</v>
      </c>
      <c r="O12" s="1">
        <v>3</v>
      </c>
    </row>
    <row r="13" spans="1:15" x14ac:dyDescent="0.3">
      <c r="A13" s="1">
        <v>1</v>
      </c>
      <c r="B13" s="1">
        <v>1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0</v>
      </c>
      <c r="J13" s="1">
        <v>1</v>
      </c>
      <c r="K13" s="1">
        <v>1</v>
      </c>
      <c r="L13" s="1">
        <v>1</v>
      </c>
      <c r="M13" s="1">
        <v>0</v>
      </c>
      <c r="N13" s="1">
        <v>2</v>
      </c>
      <c r="O13" s="1">
        <v>3</v>
      </c>
    </row>
    <row r="14" spans="1:15" x14ac:dyDescent="0.3">
      <c r="A14" s="1">
        <v>1</v>
      </c>
      <c r="B14" s="1">
        <v>2</v>
      </c>
      <c r="C14" s="1">
        <v>1</v>
      </c>
      <c r="D14" s="1">
        <v>2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</v>
      </c>
    </row>
    <row r="15" spans="1:15" x14ac:dyDescent="0.3">
      <c r="A15" s="1">
        <v>3</v>
      </c>
      <c r="B15" s="1">
        <v>3</v>
      </c>
      <c r="C15" s="1">
        <v>3</v>
      </c>
      <c r="D15" s="1">
        <v>1</v>
      </c>
      <c r="E15" s="1">
        <v>1</v>
      </c>
      <c r="F15" s="1">
        <v>1</v>
      </c>
      <c r="G15" s="1">
        <v>3</v>
      </c>
      <c r="H15" s="1">
        <v>3</v>
      </c>
      <c r="I15" s="1">
        <v>3</v>
      </c>
      <c r="J15" s="1">
        <v>3</v>
      </c>
      <c r="K15" s="1">
        <v>3</v>
      </c>
      <c r="L15" s="1">
        <v>3</v>
      </c>
      <c r="M15" s="1">
        <v>0</v>
      </c>
      <c r="N15" s="1">
        <v>1</v>
      </c>
      <c r="O15" s="1">
        <v>3</v>
      </c>
    </row>
    <row r="16" spans="1:15" x14ac:dyDescent="0.3">
      <c r="A16" s="1">
        <v>0</v>
      </c>
      <c r="B16" s="1">
        <v>0</v>
      </c>
      <c r="C16" s="1">
        <v>0</v>
      </c>
      <c r="D16" s="1">
        <v>0</v>
      </c>
      <c r="E16" s="1">
        <v>1</v>
      </c>
      <c r="F16" s="1">
        <v>1</v>
      </c>
      <c r="G16" s="1">
        <v>0</v>
      </c>
      <c r="H16" s="1">
        <v>2</v>
      </c>
      <c r="I16" s="1">
        <v>0</v>
      </c>
      <c r="J16" s="1">
        <v>1</v>
      </c>
      <c r="K16" s="1">
        <v>1</v>
      </c>
      <c r="L16" s="1">
        <v>0</v>
      </c>
      <c r="M16" s="1">
        <v>1</v>
      </c>
      <c r="N16" s="1">
        <v>2</v>
      </c>
      <c r="O16" s="1">
        <v>2</v>
      </c>
    </row>
    <row r="17" spans="1:15" x14ac:dyDescent="0.3">
      <c r="A17" s="1">
        <v>1</v>
      </c>
      <c r="B17" s="1">
        <v>2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2</v>
      </c>
      <c r="K17" s="1">
        <v>1</v>
      </c>
      <c r="L17" s="1">
        <v>1</v>
      </c>
      <c r="M17" s="1">
        <v>1</v>
      </c>
      <c r="N17" s="1">
        <v>2</v>
      </c>
      <c r="O17" s="1">
        <v>3</v>
      </c>
    </row>
    <row r="18" spans="1:15" x14ac:dyDescent="0.3">
      <c r="B18" s="1">
        <v>0</v>
      </c>
      <c r="C18" s="1">
        <v>0</v>
      </c>
      <c r="D18" s="1">
        <v>0</v>
      </c>
      <c r="E18" s="1">
        <v>0</v>
      </c>
      <c r="F18" s="1">
        <v>0</v>
      </c>
    </row>
    <row r="21" spans="1:15" x14ac:dyDescent="0.3">
      <c r="A21" s="1">
        <v>1</v>
      </c>
      <c r="B21" s="1">
        <v>2</v>
      </c>
      <c r="C21" s="1">
        <v>2</v>
      </c>
      <c r="D21" s="1">
        <v>1</v>
      </c>
      <c r="E21" s="1">
        <v>3</v>
      </c>
      <c r="F21" s="1">
        <v>2</v>
      </c>
      <c r="G21" s="1">
        <v>1</v>
      </c>
      <c r="H21" s="1">
        <v>3</v>
      </c>
      <c r="I21" s="1">
        <v>0</v>
      </c>
      <c r="J21" s="1">
        <v>2</v>
      </c>
      <c r="K21" s="1">
        <v>2</v>
      </c>
      <c r="L21" s="1">
        <v>3</v>
      </c>
      <c r="M21" s="1">
        <v>2</v>
      </c>
      <c r="N21" s="1">
        <v>2</v>
      </c>
      <c r="O21" s="1">
        <v>3</v>
      </c>
    </row>
    <row r="22" spans="1:15" x14ac:dyDescent="0.3">
      <c r="E22" s="1">
        <v>2</v>
      </c>
    </row>
    <row r="23" spans="1:15" x14ac:dyDescent="0.3">
      <c r="A23" s="1">
        <v>2</v>
      </c>
      <c r="B23" s="1">
        <v>1</v>
      </c>
      <c r="C23" s="1">
        <v>2</v>
      </c>
      <c r="D23" s="1">
        <v>0</v>
      </c>
      <c r="E23" s="1">
        <v>1</v>
      </c>
      <c r="F23" s="1">
        <v>2</v>
      </c>
      <c r="G23" s="1">
        <v>0</v>
      </c>
      <c r="H23" s="1">
        <v>3</v>
      </c>
      <c r="I23" s="1">
        <v>1</v>
      </c>
      <c r="J23" s="1">
        <v>1</v>
      </c>
      <c r="K23" s="1">
        <v>3</v>
      </c>
      <c r="L23" s="1">
        <v>4</v>
      </c>
      <c r="M23" s="1">
        <v>1</v>
      </c>
      <c r="N23" s="1">
        <v>3</v>
      </c>
      <c r="O23" s="1">
        <v>1</v>
      </c>
    </row>
    <row r="24" spans="1:15" x14ac:dyDescent="0.3">
      <c r="A24" s="1">
        <v>0</v>
      </c>
      <c r="B24" s="1">
        <v>1</v>
      </c>
      <c r="C24" s="1">
        <v>2</v>
      </c>
      <c r="D24" s="1">
        <v>0</v>
      </c>
      <c r="E24" s="1">
        <v>2</v>
      </c>
      <c r="F24" s="1">
        <v>1</v>
      </c>
      <c r="G24" s="1">
        <v>0</v>
      </c>
      <c r="H24" s="1">
        <v>0</v>
      </c>
      <c r="I24" s="1">
        <v>0</v>
      </c>
      <c r="J24" s="1">
        <v>1</v>
      </c>
      <c r="K24" s="1">
        <v>1</v>
      </c>
      <c r="L24" s="1">
        <v>2</v>
      </c>
      <c r="M24" s="1">
        <v>0</v>
      </c>
      <c r="N24" s="1">
        <v>1</v>
      </c>
      <c r="O24" s="1">
        <v>2</v>
      </c>
    </row>
    <row r="25" spans="1:15" x14ac:dyDescent="0.3">
      <c r="A25" s="1">
        <v>1</v>
      </c>
      <c r="B25" s="1">
        <v>2</v>
      </c>
      <c r="C25" s="1">
        <v>1</v>
      </c>
      <c r="D25" s="1">
        <v>0</v>
      </c>
      <c r="E25" s="1">
        <v>2</v>
      </c>
      <c r="F25" s="1">
        <v>1</v>
      </c>
      <c r="G25" s="1">
        <v>1</v>
      </c>
      <c r="H25" s="1">
        <v>1</v>
      </c>
      <c r="I25" s="1">
        <v>1</v>
      </c>
      <c r="J25" s="1">
        <v>2</v>
      </c>
      <c r="K25" s="1">
        <v>2</v>
      </c>
      <c r="L25" s="1">
        <v>3</v>
      </c>
      <c r="M25" s="1">
        <v>0</v>
      </c>
      <c r="N25" s="1">
        <v>2</v>
      </c>
      <c r="O25" s="1">
        <v>1</v>
      </c>
    </row>
    <row r="26" spans="1:15" x14ac:dyDescent="0.3">
      <c r="A26" s="1">
        <v>3</v>
      </c>
      <c r="C26" s="1">
        <v>1</v>
      </c>
      <c r="E26" s="1">
        <v>2</v>
      </c>
      <c r="F26" s="1">
        <v>1</v>
      </c>
    </row>
    <row r="27" spans="1:15" x14ac:dyDescent="0.3">
      <c r="A27" s="1">
        <v>2</v>
      </c>
      <c r="B27" s="1">
        <v>1</v>
      </c>
      <c r="C27" s="1">
        <v>1</v>
      </c>
      <c r="D27" s="1">
        <v>0</v>
      </c>
      <c r="E27" s="1">
        <v>3</v>
      </c>
      <c r="F27" s="1">
        <v>2</v>
      </c>
      <c r="G27" s="1">
        <v>0</v>
      </c>
      <c r="H27" s="1">
        <v>2</v>
      </c>
      <c r="I27" s="1">
        <v>0</v>
      </c>
      <c r="J27" s="1">
        <v>1</v>
      </c>
      <c r="K27" s="1">
        <v>2</v>
      </c>
      <c r="L27" s="1">
        <v>1</v>
      </c>
      <c r="M27" s="1">
        <v>1</v>
      </c>
      <c r="N27" s="1">
        <v>2</v>
      </c>
      <c r="O27" s="1">
        <v>1</v>
      </c>
    </row>
    <row r="28" spans="1:15" x14ac:dyDescent="0.3">
      <c r="A28" s="1">
        <v>2</v>
      </c>
      <c r="B28" s="1">
        <v>1</v>
      </c>
      <c r="C28" s="1">
        <v>1</v>
      </c>
      <c r="D28" s="1">
        <v>1</v>
      </c>
      <c r="E28" s="1">
        <v>1</v>
      </c>
      <c r="F28" s="1">
        <v>2</v>
      </c>
      <c r="G28" s="1">
        <v>1</v>
      </c>
      <c r="H28" s="1">
        <v>2</v>
      </c>
      <c r="I28" s="1">
        <v>1</v>
      </c>
      <c r="J28" s="1">
        <v>2</v>
      </c>
      <c r="K28" s="1">
        <v>2</v>
      </c>
      <c r="L28" s="1">
        <v>2</v>
      </c>
      <c r="M28" s="1">
        <v>1</v>
      </c>
      <c r="N28" s="1">
        <v>1</v>
      </c>
      <c r="O28" s="1">
        <v>2</v>
      </c>
    </row>
    <row r="29" spans="1:15" x14ac:dyDescent="0.3">
      <c r="A29" s="1">
        <v>0</v>
      </c>
      <c r="B29" s="1">
        <v>1</v>
      </c>
      <c r="C29" s="1">
        <v>1</v>
      </c>
      <c r="D29" s="1">
        <v>1</v>
      </c>
      <c r="E29" s="1">
        <v>0</v>
      </c>
      <c r="F29" s="1">
        <v>1</v>
      </c>
      <c r="G29" s="1">
        <v>0</v>
      </c>
      <c r="H29" s="1">
        <v>0</v>
      </c>
      <c r="I29" s="1">
        <v>1</v>
      </c>
      <c r="J29" s="1">
        <v>1</v>
      </c>
      <c r="K29" s="1">
        <v>1</v>
      </c>
      <c r="L29" s="1">
        <v>0</v>
      </c>
      <c r="M29" s="1">
        <v>0</v>
      </c>
      <c r="N29" s="1">
        <v>3</v>
      </c>
    </row>
    <row r="30" spans="1:15" x14ac:dyDescent="0.3">
      <c r="A30" s="1">
        <v>0</v>
      </c>
      <c r="B30" s="1">
        <v>1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1">
        <v>2</v>
      </c>
      <c r="I30" s="1">
        <v>1</v>
      </c>
      <c r="J30" s="1">
        <v>0</v>
      </c>
      <c r="K30" s="1">
        <v>2</v>
      </c>
      <c r="L30" s="1">
        <v>2</v>
      </c>
      <c r="M30" s="1">
        <v>1</v>
      </c>
      <c r="N30" s="1">
        <v>4</v>
      </c>
      <c r="O30" s="1">
        <v>1</v>
      </c>
    </row>
    <row r="31" spans="1:15" x14ac:dyDescent="0.3">
      <c r="A31" s="1">
        <v>2</v>
      </c>
      <c r="B31" s="1">
        <v>2</v>
      </c>
      <c r="C31" s="1">
        <v>3</v>
      </c>
      <c r="D31" s="1">
        <v>2</v>
      </c>
      <c r="E31" s="1">
        <v>2</v>
      </c>
      <c r="F31" s="1">
        <v>1</v>
      </c>
      <c r="G31" s="1">
        <v>1</v>
      </c>
      <c r="H31" s="1">
        <v>3</v>
      </c>
      <c r="I31" s="1">
        <v>3</v>
      </c>
      <c r="J31" s="1">
        <v>2</v>
      </c>
      <c r="K31" s="1">
        <v>2</v>
      </c>
      <c r="L31" s="1">
        <v>3</v>
      </c>
      <c r="M31" s="1">
        <v>2</v>
      </c>
      <c r="N31" s="1">
        <v>3</v>
      </c>
      <c r="O31" s="1">
        <v>3</v>
      </c>
    </row>
    <row r="32" spans="1:15" x14ac:dyDescent="0.3">
      <c r="A32" s="1">
        <v>1</v>
      </c>
      <c r="B32" s="1">
        <v>1</v>
      </c>
      <c r="C32" s="1">
        <v>2</v>
      </c>
      <c r="D32" s="1">
        <v>2</v>
      </c>
      <c r="E32" s="1">
        <v>1</v>
      </c>
      <c r="F32" s="1">
        <v>3</v>
      </c>
      <c r="G32" s="1">
        <v>1</v>
      </c>
      <c r="H32" s="1">
        <v>3</v>
      </c>
      <c r="I32" s="1">
        <v>1</v>
      </c>
      <c r="J32" s="1">
        <v>3</v>
      </c>
      <c r="K32" s="1">
        <v>2</v>
      </c>
      <c r="L32" s="1">
        <v>3</v>
      </c>
      <c r="M32" s="1">
        <v>1</v>
      </c>
      <c r="N32" s="1">
        <v>3</v>
      </c>
      <c r="O32" s="1">
        <v>3</v>
      </c>
    </row>
    <row r="33" spans="1:15" x14ac:dyDescent="0.3">
      <c r="A33" s="1">
        <v>2</v>
      </c>
      <c r="B33" s="1">
        <v>3</v>
      </c>
      <c r="C33" s="1">
        <v>1</v>
      </c>
      <c r="D33" s="1">
        <v>1</v>
      </c>
      <c r="E33" s="1">
        <v>2</v>
      </c>
      <c r="F33" s="1">
        <v>1</v>
      </c>
      <c r="G33" s="1">
        <v>1</v>
      </c>
      <c r="H33" s="1">
        <v>2</v>
      </c>
      <c r="I33" s="1">
        <v>3</v>
      </c>
      <c r="J33" s="1">
        <v>3</v>
      </c>
      <c r="K33" s="1">
        <v>2</v>
      </c>
      <c r="L33" s="1">
        <v>2</v>
      </c>
      <c r="M33" s="1">
        <v>1</v>
      </c>
      <c r="N33" s="1">
        <v>3</v>
      </c>
      <c r="O33" s="1">
        <v>2</v>
      </c>
    </row>
    <row r="34" spans="1:15" x14ac:dyDescent="0.3">
      <c r="A34" s="1">
        <v>2</v>
      </c>
      <c r="B34" s="1">
        <v>1</v>
      </c>
      <c r="C34" s="1">
        <v>1</v>
      </c>
      <c r="D34" s="1">
        <v>0</v>
      </c>
      <c r="E34" s="1">
        <v>1</v>
      </c>
      <c r="F34" s="1">
        <v>2</v>
      </c>
      <c r="G34" s="1">
        <v>0</v>
      </c>
      <c r="H34" s="1">
        <v>2</v>
      </c>
      <c r="I34" s="1">
        <v>0</v>
      </c>
      <c r="J34" s="1">
        <v>1</v>
      </c>
      <c r="K34" s="1">
        <v>1</v>
      </c>
      <c r="L34" s="1">
        <v>1</v>
      </c>
      <c r="M34" s="1">
        <v>1</v>
      </c>
      <c r="N34" s="1">
        <v>2</v>
      </c>
      <c r="O34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66AE6-EEE8-48D4-8304-6D059649E3E7}">
  <sheetPr codeName="Blad2"/>
  <dimension ref="A1:R16"/>
  <sheetViews>
    <sheetView tabSelected="1" zoomScale="80" zoomScaleNormal="80" workbookViewId="0">
      <selection activeCell="P16" sqref="A1:P16"/>
    </sheetView>
  </sheetViews>
  <sheetFormatPr defaultRowHeight="14.4" x14ac:dyDescent="0.3"/>
  <cols>
    <col min="1" max="1" width="38.88671875" bestFit="1" customWidth="1"/>
    <col min="2" max="16" width="7.88671875" customWidth="1"/>
  </cols>
  <sheetData>
    <row r="1" spans="1:18" ht="202.2" thickBot="1" x14ac:dyDescent="0.45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1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5" t="s">
        <v>14</v>
      </c>
      <c r="P1" s="5" t="s">
        <v>13</v>
      </c>
    </row>
    <row r="2" spans="1:18" s="2" customFormat="1" ht="25.2" customHeight="1" x14ac:dyDescent="0.3">
      <c r="A2" s="7" t="s">
        <v>0</v>
      </c>
      <c r="B2" s="14" t="s">
        <v>15</v>
      </c>
      <c r="C2" s="15">
        <f>PEARSON(distraction_awareness,distraction_manual)</f>
        <v>0.45112554112313941</v>
      </c>
      <c r="D2" s="15">
        <f>PEARSON(distraction_shift_focus,distraction_manual)</f>
        <v>0.561455941881565</v>
      </c>
      <c r="E2" s="15">
        <f>PEARSON(distraction_mental_load,distraction_manual)</f>
        <v>0.18301001254833726</v>
      </c>
      <c r="F2" s="15">
        <f>PEARSON(distraction_glance_frequency,distraction_manual)</f>
        <v>0.51641307312168394</v>
      </c>
      <c r="G2" s="16">
        <f>PEARSON(distraction_glance_duration,distraction_manual)</f>
        <v>0.38991234361356336</v>
      </c>
      <c r="H2" s="17">
        <f>PEARSON(behavior_more_speed,distraction_manual)</f>
        <v>0.31775935447563863</v>
      </c>
      <c r="I2" s="18">
        <f>PEARSON(behavior_less_speed,distraction_manual)</f>
        <v>0.28391726973950632</v>
      </c>
      <c r="J2" s="18">
        <f>PEARSON(behavior_speed_control,distraction_manual)</f>
        <v>0.16083189741312745</v>
      </c>
      <c r="K2" s="18">
        <f>PEARSON(behavior_lane_position,distraction_manual)</f>
        <v>0.29127476615610431</v>
      </c>
      <c r="L2" s="18">
        <f>PEARSON(behavior_reaction_time,distraction_manual)</f>
        <v>0.4931558261754011</v>
      </c>
      <c r="M2" s="18">
        <f>PEARSON(behavior_wrong_turns,distraction_manual)</f>
        <v>0.37083253275889089</v>
      </c>
      <c r="N2" s="19">
        <f>PEARSON(behavior_operating_errors,distraction_manual)</f>
        <v>0.25229097211429807</v>
      </c>
      <c r="O2" s="20">
        <f>PEARSON(bad_instructions,distraction_manual)</f>
        <v>-0.10810812216447775</v>
      </c>
      <c r="P2" s="15">
        <f>PEARSON(interruptions,distraction_manual)</f>
        <v>9.7802411685603802E-2</v>
      </c>
      <c r="Q2" s="3"/>
      <c r="R2" s="3"/>
    </row>
    <row r="3" spans="1:18" s="2" customFormat="1" ht="25.2" customHeight="1" x14ac:dyDescent="0.3">
      <c r="A3" s="7" t="s">
        <v>2</v>
      </c>
      <c r="B3" s="14" t="s">
        <v>15</v>
      </c>
      <c r="C3" s="14" t="s">
        <v>15</v>
      </c>
      <c r="D3" s="15">
        <f>PEARSON(distraction_shift_focus,distraction_awareness)</f>
        <v>0.43969611793872948</v>
      </c>
      <c r="E3" s="15">
        <f>PEARSON(distraction_mental_load,distraction_awareness)</f>
        <v>0.52358827373679828</v>
      </c>
      <c r="F3" s="15">
        <f>PEARSON(distraction_glance_frequency,distraction_awareness)</f>
        <v>0.38151080366585138</v>
      </c>
      <c r="G3" s="16">
        <f>PEARSON(distraction_glance_duration,distraction_awareness)</f>
        <v>0.14834152599098249</v>
      </c>
      <c r="H3" s="21">
        <f>PEARSON(behavior_more_speed,distraction_awareness)</f>
        <v>0.5867698761761907</v>
      </c>
      <c r="I3" s="15">
        <f>PEARSON(behavior_less_speed,distraction_awareness)</f>
        <v>7.8288660440576599E-2</v>
      </c>
      <c r="J3" s="15">
        <f>PEARSON(behavior_speed_control,distraction_awareness)</f>
        <v>0.44919039744087064</v>
      </c>
      <c r="K3" s="15">
        <f>PEARSON(behavior_lane_position,distraction_awareness)</f>
        <v>0.43465914396061112</v>
      </c>
      <c r="L3" s="15">
        <f>PEARSON(behavior_reaction_time,distraction_awareness)</f>
        <v>0.40144367574217477</v>
      </c>
      <c r="M3" s="15">
        <f>PEARSON(behavior_wrong_turns,distraction_awareness)</f>
        <v>0.38958166712486325</v>
      </c>
      <c r="N3" s="22">
        <f>PEARSON(behavior_operating_errors,distraction_awareness)</f>
        <v>0.23845524161913309</v>
      </c>
      <c r="O3" s="20">
        <f>PEARSON(bad_instructions,distraction_awareness)</f>
        <v>-2.9887900688611805E-2</v>
      </c>
      <c r="P3" s="15">
        <f>PEARSON(interruptions,distraction_awareness)</f>
        <v>0.23265090617704443</v>
      </c>
      <c r="Q3" s="3"/>
      <c r="R3" s="3"/>
    </row>
    <row r="4" spans="1:18" s="2" customFormat="1" ht="25.2" customHeight="1" x14ac:dyDescent="0.3">
      <c r="A4" s="7" t="s">
        <v>3</v>
      </c>
      <c r="B4" s="14" t="s">
        <v>15</v>
      </c>
      <c r="C4" s="14" t="s">
        <v>15</v>
      </c>
      <c r="D4" s="14" t="s">
        <v>15</v>
      </c>
      <c r="E4" s="15">
        <f>PEARSON(distraction_mental_load,distraction_shift_focus)</f>
        <v>0.40900029368053897</v>
      </c>
      <c r="F4" s="15">
        <f>PEARSON(distraction_glance_frequency,distraction_shift_focus)</f>
        <v>0.49703034625985304</v>
      </c>
      <c r="G4" s="16">
        <f>PEARSON(distraction_glance_duration,distraction_shift_focus)</f>
        <v>0.56044901847062722</v>
      </c>
      <c r="H4" s="21">
        <f>PEARSON(behavior_more_speed,distraction_shift_focus)</f>
        <v>0.44267497295008873</v>
      </c>
      <c r="I4" s="15">
        <f>PEARSON(behavior_less_speed,distraction_shift_focus)</f>
        <v>0.1881986765598031</v>
      </c>
      <c r="J4" s="15">
        <f>PEARSON(behavior_speed_control,distraction_shift_focus)</f>
        <v>0.24070030928767128</v>
      </c>
      <c r="K4" s="15">
        <f>PEARSON(behavior_lane_position,distraction_shift_focus)</f>
        <v>0.44901325506693723</v>
      </c>
      <c r="L4" s="15">
        <f>PEARSON(behavior_reaction_time,distraction_shift_focus)</f>
        <v>0.41401304989700238</v>
      </c>
      <c r="M4" s="15">
        <f>PEARSON(behavior_wrong_turns,distraction_shift_focus)</f>
        <v>0.46098926735763091</v>
      </c>
      <c r="N4" s="22">
        <f>PEARSON(behavior_operating_errors,distraction_shift_focus)</f>
        <v>0.2060214108575823</v>
      </c>
      <c r="O4" s="20">
        <f>PEARSON(bad_instructions,distraction_shift_focus)</f>
        <v>-6.1647407428871859E-3</v>
      </c>
      <c r="P4" s="15">
        <f>PEARSON(interruptions,distraction_shift_focus)</f>
        <v>0.14383242761383178</v>
      </c>
      <c r="Q4" s="3"/>
      <c r="R4" s="3"/>
    </row>
    <row r="5" spans="1:18" s="2" customFormat="1" ht="25.2" customHeight="1" x14ac:dyDescent="0.3">
      <c r="A5" s="7" t="s">
        <v>4</v>
      </c>
      <c r="B5" s="14" t="s">
        <v>15</v>
      </c>
      <c r="C5" s="14" t="s">
        <v>15</v>
      </c>
      <c r="D5" s="14" t="s">
        <v>15</v>
      </c>
      <c r="E5" s="14" t="s">
        <v>15</v>
      </c>
      <c r="F5" s="15">
        <f>PEARSON(distraction_glance_frequency,distraction_mental_load)</f>
        <v>0.12568459943980631</v>
      </c>
      <c r="G5" s="16">
        <f>PEARSON(distraction_glance_duration,distraction_mental_load)</f>
        <v>0.15642605911136412</v>
      </c>
      <c r="H5" s="21">
        <f>PEARSON(behavior_more_speed,distraction_mental_load)</f>
        <v>0.42311209508527597</v>
      </c>
      <c r="I5" s="15">
        <f>PEARSON(behavior_less_speed,distraction_mental_load)</f>
        <v>0.25457379457870688</v>
      </c>
      <c r="J5" s="15">
        <f>PEARSON(behavior_speed_control,distraction_mental_load)</f>
        <v>0.35041576926017265</v>
      </c>
      <c r="K5" s="15">
        <f>PEARSON(behavior_lane_position,distraction_mental_load)</f>
        <v>0.3411211461689766</v>
      </c>
      <c r="L5" s="15">
        <f>PEARSON(behavior_reaction_time,distraction_mental_load)</f>
        <v>0.43872771145520362</v>
      </c>
      <c r="M5" s="15">
        <f>PEARSON(behavior_wrong_turns,distraction_mental_load)</f>
        <v>3.0074743804696633E-2</v>
      </c>
      <c r="N5" s="22">
        <f>PEARSON(behavior_operating_errors,distraction_mental_load)</f>
        <v>0.39129279043561477</v>
      </c>
      <c r="O5" s="20">
        <f>PEARSON(bad_instructions,distraction_mental_load)</f>
        <v>0.28623747656762361</v>
      </c>
      <c r="P5" s="15">
        <f>PEARSON(interruptions,distraction_mental_load)</f>
        <v>0.43009819372282665</v>
      </c>
      <c r="Q5" s="3"/>
      <c r="R5" s="3"/>
    </row>
    <row r="6" spans="1:18" s="2" customFormat="1" ht="25.2" customHeight="1" x14ac:dyDescent="0.3">
      <c r="A6" s="7" t="s">
        <v>5</v>
      </c>
      <c r="B6" s="14" t="s">
        <v>15</v>
      </c>
      <c r="C6" s="14" t="s">
        <v>15</v>
      </c>
      <c r="D6" s="14" t="s">
        <v>15</v>
      </c>
      <c r="E6" s="14" t="s">
        <v>15</v>
      </c>
      <c r="F6" s="14" t="s">
        <v>15</v>
      </c>
      <c r="G6" s="16">
        <f>PEARSON(distraction_glance_duration,distraction_glance_frequency)</f>
        <v>0.37866440781803024</v>
      </c>
      <c r="H6" s="21">
        <f>PEARSON(behavior_more_speed,distraction_glance_frequency)</f>
        <v>6.0491739811978397E-2</v>
      </c>
      <c r="I6" s="15">
        <f>PEARSON(behavior_less_speed,distraction_glance_frequency)</f>
        <v>6.4473014480474919E-2</v>
      </c>
      <c r="J6" s="15">
        <f>PEARSON(behavior_speed_control,distraction_glance_frequency)</f>
        <v>-0.13858001623175795</v>
      </c>
      <c r="K6" s="15">
        <f>PEARSON(behavior_lane_position,distraction_glance_frequency)</f>
        <v>0.20788046015507497</v>
      </c>
      <c r="L6" s="15">
        <f>PEARSON(behavior_reaction_time,distraction_glance_frequency)</f>
        <v>0.36825578279605437</v>
      </c>
      <c r="M6" s="15">
        <f>PEARSON(behavior_wrong_turns,distraction_glance_frequency)</f>
        <v>0.31480627800358602</v>
      </c>
      <c r="N6" s="22">
        <f>PEARSON(behavior_operating_errors,distraction_glance_frequency)</f>
        <v>0.30348848933344186</v>
      </c>
      <c r="O6" s="20">
        <f>PEARSON(bad_instructions,distraction_glance_frequency)</f>
        <v>-6.9264069264069306E-2</v>
      </c>
      <c r="P6" s="15">
        <f>PEARSON(interruptions,distraction_glance_frequency)</f>
        <v>0.13994507077480411</v>
      </c>
      <c r="Q6" s="3"/>
      <c r="R6" s="3"/>
    </row>
    <row r="7" spans="1:18" s="2" customFormat="1" ht="25.2" customHeight="1" thickBot="1" x14ac:dyDescent="0.35">
      <c r="A7" s="7" t="s">
        <v>6</v>
      </c>
      <c r="B7" s="14" t="s">
        <v>15</v>
      </c>
      <c r="C7" s="14" t="s">
        <v>15</v>
      </c>
      <c r="D7" s="14" t="s">
        <v>15</v>
      </c>
      <c r="E7" s="14" t="s">
        <v>15</v>
      </c>
      <c r="F7" s="14" t="s">
        <v>15</v>
      </c>
      <c r="G7" s="23" t="s">
        <v>15</v>
      </c>
      <c r="H7" s="24">
        <f>PEARSON(behavior_more_speed,distraction_glance_duration)</f>
        <v>0.24377495668791901</v>
      </c>
      <c r="I7" s="25">
        <f>PEARSON(behavior_less_speed,distraction_glance_duration)</f>
        <v>0.16478671213527846</v>
      </c>
      <c r="J7" s="25">
        <f>PEARSON(behavior_speed_control,distraction_glance_duration)</f>
        <v>-0.19091298741226984</v>
      </c>
      <c r="K7" s="25">
        <f>PEARSON(behavior_lane_position,distraction_glance_duration)</f>
        <v>0.24291690079048661</v>
      </c>
      <c r="L7" s="25">
        <f>PEARSON(behavior_reaction_time,distraction_glance_duration)</f>
        <v>0.14149356525719842</v>
      </c>
      <c r="M7" s="25">
        <f>PEARSON(behavior_wrong_turns,distraction_glance_duration)</f>
        <v>0.25552543911120945</v>
      </c>
      <c r="N7" s="26">
        <f>PEARSON(behavior_operating_errors,distraction_glance_duration)</f>
        <v>0.39160890153370564</v>
      </c>
      <c r="O7" s="20">
        <f>PEARSON(bad_instructions,distraction_glance_duration)</f>
        <v>-7.4492858493425004E-2</v>
      </c>
      <c r="P7" s="15">
        <f>PEARSON(interruptions,distraction_glance_duration)</f>
        <v>-0.26153668964471588</v>
      </c>
      <c r="Q7" s="3"/>
      <c r="R7" s="3"/>
    </row>
    <row r="8" spans="1:18" s="2" customFormat="1" ht="25.2" customHeight="1" x14ac:dyDescent="0.3">
      <c r="A8" s="7" t="s">
        <v>1</v>
      </c>
      <c r="B8" s="14" t="s">
        <v>15</v>
      </c>
      <c r="C8" s="14" t="s">
        <v>15</v>
      </c>
      <c r="D8" s="14" t="s">
        <v>15</v>
      </c>
      <c r="E8" s="14" t="s">
        <v>15</v>
      </c>
      <c r="F8" s="14" t="s">
        <v>15</v>
      </c>
      <c r="G8" s="14" t="s">
        <v>15</v>
      </c>
      <c r="H8" s="27" t="s">
        <v>15</v>
      </c>
      <c r="I8" s="28">
        <f>PEARSON(behavior_less_speed,behavior_more_speed)</f>
        <v>0.3244870567616539</v>
      </c>
      <c r="J8" s="28">
        <f>PEARSON(behavior_speed_control,behavior_more_speed)</f>
        <v>0.57628419702890699</v>
      </c>
      <c r="K8" s="28">
        <f>PEARSON(behavior_lane_position,behavior_more_speed)</f>
        <v>0.67859546364434875</v>
      </c>
      <c r="L8" s="28">
        <f>PEARSON(behavior_reaction_time,behavior_more_speed)</f>
        <v>0.34948665036408727</v>
      </c>
      <c r="M8" s="28">
        <f>PEARSON(behavior_wrong_turns,behavior_more_speed)</f>
        <v>0.19761280322053446</v>
      </c>
      <c r="N8" s="28">
        <f>PEARSON(behavior_operating_errors,behavior_more_speed)</f>
        <v>0.35982751596070367</v>
      </c>
      <c r="O8" s="15">
        <f>PEARSON(bad_instructions,behavior_more_speed)</f>
        <v>-0.10334563589219847</v>
      </c>
      <c r="P8" s="15">
        <f>PEARSON(interruptions,behavior_more_speed)</f>
        <v>7.500697411314039E-2</v>
      </c>
      <c r="Q8" s="3"/>
      <c r="R8" s="3"/>
    </row>
    <row r="9" spans="1:18" s="2" customFormat="1" ht="25.2" customHeight="1" x14ac:dyDescent="0.3">
      <c r="A9" s="7" t="s">
        <v>7</v>
      </c>
      <c r="B9" s="14" t="s">
        <v>15</v>
      </c>
      <c r="C9" s="14" t="s">
        <v>15</v>
      </c>
      <c r="D9" s="14" t="s">
        <v>15</v>
      </c>
      <c r="E9" s="14" t="s">
        <v>15</v>
      </c>
      <c r="F9" s="14" t="s">
        <v>15</v>
      </c>
      <c r="G9" s="14" t="s">
        <v>15</v>
      </c>
      <c r="H9" s="14" t="s">
        <v>15</v>
      </c>
      <c r="I9" s="14" t="s">
        <v>15</v>
      </c>
      <c r="J9" s="15">
        <f>PEARSON(behavior_speed_control,behavior_less_speed)</f>
        <v>0.47446186019139458</v>
      </c>
      <c r="K9" s="15">
        <f>PEARSON(behavior_lane_position,behavior_less_speed)</f>
        <v>0.34603282696829113</v>
      </c>
      <c r="L9" s="15">
        <f>PEARSON(behavior_reaction_time,behavior_less_speed)</f>
        <v>0.52698544575526818</v>
      </c>
      <c r="M9" s="15">
        <f>PEARSON(behavior_wrong_turns,behavior_less_speed)</f>
        <v>0.41258899409765626</v>
      </c>
      <c r="N9" s="15">
        <f>PEARSON(behavior_operating_errors,behavior_less_speed)</f>
        <v>0.51432778131589307</v>
      </c>
      <c r="O9" s="15">
        <f>PEARSON(bad_instructions,behavior_less_speed)</f>
        <v>0.37115374447904503</v>
      </c>
      <c r="P9" s="15">
        <f>PEARSON(interruptions,behavior_less_speed)</f>
        <v>6.7990816247948824E-2</v>
      </c>
      <c r="Q9" s="3"/>
      <c r="R9" s="3"/>
    </row>
    <row r="10" spans="1:18" s="2" customFormat="1" ht="25.2" customHeight="1" x14ac:dyDescent="0.3">
      <c r="A10" s="7" t="s">
        <v>8</v>
      </c>
      <c r="B10" s="14" t="s">
        <v>15</v>
      </c>
      <c r="C10" s="14" t="s">
        <v>15</v>
      </c>
      <c r="D10" s="14" t="s">
        <v>15</v>
      </c>
      <c r="E10" s="14" t="s">
        <v>15</v>
      </c>
      <c r="F10" s="14" t="s">
        <v>15</v>
      </c>
      <c r="G10" s="14" t="s">
        <v>15</v>
      </c>
      <c r="H10" s="14" t="s">
        <v>15</v>
      </c>
      <c r="I10" s="14" t="s">
        <v>15</v>
      </c>
      <c r="J10" s="14" t="s">
        <v>15</v>
      </c>
      <c r="K10" s="15">
        <f>PEARSON(behavior_lane_position,behavior_speed_control)</f>
        <v>0.65743825865142558</v>
      </c>
      <c r="L10" s="15">
        <f>PEARSON(behavior_reaction_time,behavior_speed_control)</f>
        <v>0.36904963583181327</v>
      </c>
      <c r="M10" s="15">
        <f>PEARSON(behavior_wrong_turns,behavior_speed_control)</f>
        <v>0.34643814574432097</v>
      </c>
      <c r="N10" s="15">
        <f>PEARSON(behavior_operating_errors,behavior_speed_control)</f>
        <v>0.16242873293564727</v>
      </c>
      <c r="O10" s="15">
        <f>PEARSON(bad_instructions,behavior_speed_control)</f>
        <v>0.31409555616976115</v>
      </c>
      <c r="P10" s="15">
        <f>PEARSON(interruptions,behavior_speed_control)</f>
        <v>4.0475397593734523E-2</v>
      </c>
      <c r="Q10" s="3"/>
      <c r="R10" s="3"/>
    </row>
    <row r="11" spans="1:18" s="2" customFormat="1" ht="25.2" customHeight="1" x14ac:dyDescent="0.3">
      <c r="A11" s="7" t="s">
        <v>9</v>
      </c>
      <c r="B11" s="14" t="s">
        <v>15</v>
      </c>
      <c r="C11" s="14" t="s">
        <v>15</v>
      </c>
      <c r="D11" s="14" t="s">
        <v>15</v>
      </c>
      <c r="E11" s="14" t="s">
        <v>15</v>
      </c>
      <c r="F11" s="14" t="s">
        <v>15</v>
      </c>
      <c r="G11" s="14" t="s">
        <v>15</v>
      </c>
      <c r="H11" s="14" t="s">
        <v>15</v>
      </c>
      <c r="I11" s="14" t="s">
        <v>15</v>
      </c>
      <c r="J11" s="14" t="s">
        <v>15</v>
      </c>
      <c r="K11" s="14" t="s">
        <v>15</v>
      </c>
      <c r="L11" s="15">
        <f>PEARSON(behavior_reaction_time,behavior_lane_position)</f>
        <v>0.31025261399701154</v>
      </c>
      <c r="M11" s="15">
        <f>PEARSON(behavior_wrong_turns,behavior_lane_position)</f>
        <v>0.32485503365880719</v>
      </c>
      <c r="N11" s="15">
        <f>PEARSON(behavior_operating_errors,behavior_lane_position)</f>
        <v>0.11470786693528083</v>
      </c>
      <c r="O11" s="15">
        <f>PEARSON(bad_instructions,behavior_lane_position)</f>
        <v>8.5464934536612566E-2</v>
      </c>
      <c r="P11" s="15">
        <f>PEARSON(interruptions,behavior_lane_position)</f>
        <v>0.28410823428622711</v>
      </c>
      <c r="Q11" s="3"/>
      <c r="R11" s="3"/>
    </row>
    <row r="12" spans="1:18" s="2" customFormat="1" ht="25.2" customHeight="1" x14ac:dyDescent="0.3">
      <c r="A12" s="7" t="s">
        <v>10</v>
      </c>
      <c r="B12" s="14" t="s">
        <v>15</v>
      </c>
      <c r="C12" s="14" t="s">
        <v>15</v>
      </c>
      <c r="D12" s="14" t="s">
        <v>15</v>
      </c>
      <c r="E12" s="14" t="s">
        <v>15</v>
      </c>
      <c r="F12" s="14" t="s">
        <v>15</v>
      </c>
      <c r="G12" s="14" t="s">
        <v>15</v>
      </c>
      <c r="H12" s="14" t="s">
        <v>15</v>
      </c>
      <c r="I12" s="14" t="s">
        <v>15</v>
      </c>
      <c r="J12" s="14" t="s">
        <v>15</v>
      </c>
      <c r="K12" s="14" t="s">
        <v>15</v>
      </c>
      <c r="L12" s="14" t="s">
        <v>15</v>
      </c>
      <c r="M12" s="15">
        <f>PEARSON(behavior_wrong_turns,behavior_reaction_time)</f>
        <v>0.51888980381666749</v>
      </c>
      <c r="N12" s="15">
        <f>PEARSON(behavior_operating_errors,behavior_reaction_time)</f>
        <v>0.23508271959274063</v>
      </c>
      <c r="O12" s="15">
        <f>PEARSON(bad_instructions,behavior_reaction_time)</f>
        <v>0.28426762180748055</v>
      </c>
      <c r="P12" s="15">
        <f>PEARSON(interruptions,behavior_reaction_time)</f>
        <v>0.10227944850725754</v>
      </c>
      <c r="Q12" s="3"/>
      <c r="R12" s="3"/>
    </row>
    <row r="13" spans="1:18" s="2" customFormat="1" ht="25.2" customHeight="1" x14ac:dyDescent="0.3">
      <c r="A13" s="7" t="s">
        <v>11</v>
      </c>
      <c r="B13" s="14" t="s">
        <v>15</v>
      </c>
      <c r="C13" s="14" t="s">
        <v>15</v>
      </c>
      <c r="D13" s="14" t="s">
        <v>15</v>
      </c>
      <c r="E13" s="14" t="s">
        <v>15</v>
      </c>
      <c r="F13" s="14" t="s">
        <v>15</v>
      </c>
      <c r="G13" s="14" t="s">
        <v>15</v>
      </c>
      <c r="H13" s="14" t="s">
        <v>15</v>
      </c>
      <c r="I13" s="14" t="s">
        <v>15</v>
      </c>
      <c r="J13" s="14" t="s">
        <v>15</v>
      </c>
      <c r="K13" s="14" t="s">
        <v>15</v>
      </c>
      <c r="L13" s="14" t="s">
        <v>15</v>
      </c>
      <c r="M13" s="14" t="s">
        <v>15</v>
      </c>
      <c r="N13" s="15">
        <f>PEARSON(behavior_operating_errors,behavior_wrong_turns)</f>
        <v>0.1602958438911575</v>
      </c>
      <c r="O13" s="15">
        <f>PEARSON(bad_instructions,behavior_wrong_turns)</f>
        <v>0.12911865759985361</v>
      </c>
      <c r="P13" s="15">
        <f>PEARSON(interruptions,behavior_wrong_turns)</f>
        <v>-7.2935702066217342E-2</v>
      </c>
      <c r="Q13" s="3"/>
      <c r="R13" s="3"/>
    </row>
    <row r="14" spans="1:18" s="2" customFormat="1" ht="25.2" customHeight="1" x14ac:dyDescent="0.3">
      <c r="A14" s="7" t="s">
        <v>12</v>
      </c>
      <c r="B14" s="14" t="s">
        <v>15</v>
      </c>
      <c r="C14" s="14" t="s">
        <v>15</v>
      </c>
      <c r="D14" s="14" t="s">
        <v>15</v>
      </c>
      <c r="E14" s="14" t="s">
        <v>15</v>
      </c>
      <c r="F14" s="14" t="s">
        <v>15</v>
      </c>
      <c r="G14" s="14" t="s">
        <v>15</v>
      </c>
      <c r="H14" s="14" t="s">
        <v>15</v>
      </c>
      <c r="I14" s="14" t="s">
        <v>15</v>
      </c>
      <c r="J14" s="14" t="s">
        <v>15</v>
      </c>
      <c r="K14" s="14" t="s">
        <v>15</v>
      </c>
      <c r="L14" s="14" t="s">
        <v>15</v>
      </c>
      <c r="M14" s="14" t="s">
        <v>15</v>
      </c>
      <c r="N14" s="14" t="s">
        <v>15</v>
      </c>
      <c r="O14" s="15">
        <f>PEARSON(bad_instructions,behavior_operating_errors)</f>
        <v>0.28090956936636624</v>
      </c>
      <c r="P14" s="15">
        <f>PEARSON(interruptions,behavior_operating_errors)</f>
        <v>1.1008970461149931E-2</v>
      </c>
      <c r="Q14" s="3"/>
      <c r="R14" s="3"/>
    </row>
    <row r="15" spans="1:18" s="2" customFormat="1" ht="25.2" customHeight="1" x14ac:dyDescent="0.3">
      <c r="A15" s="7" t="s">
        <v>14</v>
      </c>
      <c r="B15" s="14" t="s">
        <v>15</v>
      </c>
      <c r="C15" s="14" t="s">
        <v>15</v>
      </c>
      <c r="D15" s="14" t="s">
        <v>15</v>
      </c>
      <c r="E15" s="14" t="s">
        <v>15</v>
      </c>
      <c r="F15" s="14" t="s">
        <v>15</v>
      </c>
      <c r="G15" s="14" t="s">
        <v>15</v>
      </c>
      <c r="H15" s="14" t="s">
        <v>15</v>
      </c>
      <c r="I15" s="14" t="s">
        <v>15</v>
      </c>
      <c r="J15" s="14" t="s">
        <v>15</v>
      </c>
      <c r="K15" s="14" t="s">
        <v>15</v>
      </c>
      <c r="L15" s="14" t="s">
        <v>15</v>
      </c>
      <c r="M15" s="14" t="s">
        <v>15</v>
      </c>
      <c r="N15" s="14" t="s">
        <v>15</v>
      </c>
      <c r="O15" s="14" t="s">
        <v>15</v>
      </c>
      <c r="P15" s="15">
        <f>PEARSON(interruptions,bad_instructions)</f>
        <v>-5.9189215476297317E-2</v>
      </c>
      <c r="Q15" s="3"/>
      <c r="R15" s="3"/>
    </row>
    <row r="16" spans="1:18" s="2" customFormat="1" ht="25.2" customHeight="1" x14ac:dyDescent="0.3">
      <c r="A16" s="7" t="s">
        <v>13</v>
      </c>
      <c r="B16" s="14" t="s">
        <v>15</v>
      </c>
      <c r="C16" s="14" t="s">
        <v>15</v>
      </c>
      <c r="D16" s="14" t="s">
        <v>15</v>
      </c>
      <c r="E16" s="14" t="s">
        <v>15</v>
      </c>
      <c r="F16" s="14" t="s">
        <v>15</v>
      </c>
      <c r="G16" s="14" t="s">
        <v>15</v>
      </c>
      <c r="H16" s="14" t="s">
        <v>15</v>
      </c>
      <c r="I16" s="14" t="s">
        <v>15</v>
      </c>
      <c r="J16" s="14" t="s">
        <v>15</v>
      </c>
      <c r="K16" s="14" t="s">
        <v>15</v>
      </c>
      <c r="L16" s="14" t="s">
        <v>15</v>
      </c>
      <c r="M16" s="14" t="s">
        <v>15</v>
      </c>
      <c r="N16" s="14" t="s">
        <v>15</v>
      </c>
      <c r="O16" s="14" t="s">
        <v>15</v>
      </c>
      <c r="P16" s="14" t="s">
        <v>15</v>
      </c>
      <c r="Q16" s="3"/>
      <c r="R16" s="3"/>
    </row>
  </sheetData>
  <conditionalFormatting sqref="B2:P16">
    <cfRule type="colorScale" priority="1">
      <colorScale>
        <cfvo type="min"/>
        <cfvo type="max"/>
        <color theme="0"/>
        <color theme="1" tint="0.499984740745262"/>
      </colorScale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02DE-BD5B-4BC7-A880-0157E69DD300}">
  <sheetPr codeName="Blad3"/>
  <dimension ref="A1:R16"/>
  <sheetViews>
    <sheetView zoomScale="80" zoomScaleNormal="80" workbookViewId="0">
      <selection activeCell="K10" sqref="K10"/>
    </sheetView>
  </sheetViews>
  <sheetFormatPr defaultRowHeight="14.4" x14ac:dyDescent="0.3"/>
  <cols>
    <col min="1" max="1" width="38.88671875" bestFit="1" customWidth="1"/>
    <col min="2" max="2" width="7.88671875" customWidth="1"/>
    <col min="3" max="3" width="8.6640625" bestFit="1" customWidth="1"/>
    <col min="4" max="16" width="7.88671875" customWidth="1"/>
  </cols>
  <sheetData>
    <row r="1" spans="1:18" ht="201.6" x14ac:dyDescent="0.4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1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5" t="s">
        <v>14</v>
      </c>
      <c r="P1" s="5" t="s">
        <v>13</v>
      </c>
    </row>
    <row r="2" spans="1:18" s="2" customFormat="1" ht="25.2" customHeight="1" x14ac:dyDescent="0.3">
      <c r="A2" s="7" t="s">
        <v>0</v>
      </c>
      <c r="B2" s="8" t="s">
        <v>15</v>
      </c>
      <c r="C2" s="9">
        <f ca="1">MIN(COUNT(INDIRECT(C$1)),COUNT(INDIRECT($A2)))</f>
        <v>29</v>
      </c>
      <c r="D2" s="9">
        <f t="shared" ref="D2:P15" ca="1" si="0">MIN(COUNT(INDIRECT(D$1)),COUNT(INDIRECT($A2)))</f>
        <v>29</v>
      </c>
      <c r="E2" s="9">
        <f t="shared" ca="1" si="0"/>
        <v>29</v>
      </c>
      <c r="F2" s="9">
        <f t="shared" ca="1" si="0"/>
        <v>29</v>
      </c>
      <c r="G2" s="9">
        <f t="shared" ca="1" si="0"/>
        <v>29</v>
      </c>
      <c r="H2" s="9">
        <f t="shared" ca="1" si="0"/>
        <v>27</v>
      </c>
      <c r="I2" s="9">
        <f t="shared" ca="1" si="0"/>
        <v>27</v>
      </c>
      <c r="J2" s="9">
        <f t="shared" ca="1" si="0"/>
        <v>27</v>
      </c>
      <c r="K2" s="9">
        <f t="shared" ca="1" si="0"/>
        <v>27</v>
      </c>
      <c r="L2" s="9">
        <f t="shared" ca="1" si="0"/>
        <v>26</v>
      </c>
      <c r="M2" s="9">
        <f t="shared" ca="1" si="0"/>
        <v>26</v>
      </c>
      <c r="N2" s="9">
        <f t="shared" ca="1" si="0"/>
        <v>27</v>
      </c>
      <c r="O2" s="9">
        <f t="shared" ca="1" si="0"/>
        <v>26</v>
      </c>
      <c r="P2" s="9">
        <f t="shared" ca="1" si="0"/>
        <v>25</v>
      </c>
      <c r="Q2" s="3"/>
      <c r="R2" s="3"/>
    </row>
    <row r="3" spans="1:18" s="2" customFormat="1" ht="25.2" customHeight="1" x14ac:dyDescent="0.3">
      <c r="A3" s="7" t="s">
        <v>2</v>
      </c>
      <c r="B3" s="8" t="s">
        <v>15</v>
      </c>
      <c r="C3" s="8" t="s">
        <v>15</v>
      </c>
      <c r="D3" s="9">
        <f t="shared" ca="1" si="0"/>
        <v>29</v>
      </c>
      <c r="E3" s="9">
        <f t="shared" ca="1" si="0"/>
        <v>29</v>
      </c>
      <c r="F3" s="9">
        <f t="shared" ca="1" si="0"/>
        <v>29</v>
      </c>
      <c r="G3" s="9">
        <f t="shared" ca="1" si="0"/>
        <v>29</v>
      </c>
      <c r="H3" s="9">
        <f t="shared" ca="1" si="0"/>
        <v>27</v>
      </c>
      <c r="I3" s="9">
        <f t="shared" ca="1" si="0"/>
        <v>27</v>
      </c>
      <c r="J3" s="9">
        <f t="shared" ca="1" si="0"/>
        <v>27</v>
      </c>
      <c r="K3" s="9">
        <f t="shared" ca="1" si="0"/>
        <v>27</v>
      </c>
      <c r="L3" s="9">
        <f t="shared" ca="1" si="0"/>
        <v>26</v>
      </c>
      <c r="M3" s="9">
        <f t="shared" ca="1" si="0"/>
        <v>26</v>
      </c>
      <c r="N3" s="9">
        <f t="shared" ca="1" si="0"/>
        <v>27</v>
      </c>
      <c r="O3" s="9">
        <f t="shared" ca="1" si="0"/>
        <v>26</v>
      </c>
      <c r="P3" s="9">
        <f t="shared" ca="1" si="0"/>
        <v>25</v>
      </c>
      <c r="Q3" s="3"/>
      <c r="R3" s="3"/>
    </row>
    <row r="4" spans="1:18" s="2" customFormat="1" ht="25.2" customHeight="1" x14ac:dyDescent="0.3">
      <c r="A4" s="7" t="s">
        <v>3</v>
      </c>
      <c r="B4" s="8" t="s">
        <v>15</v>
      </c>
      <c r="C4" s="8" t="s">
        <v>15</v>
      </c>
      <c r="D4" s="8" t="s">
        <v>15</v>
      </c>
      <c r="E4" s="9">
        <f t="shared" ca="1" si="0"/>
        <v>29</v>
      </c>
      <c r="F4" s="9">
        <f t="shared" ca="1" si="0"/>
        <v>30</v>
      </c>
      <c r="G4" s="9">
        <f t="shared" ca="1" si="0"/>
        <v>30</v>
      </c>
      <c r="H4" s="9">
        <f t="shared" ca="1" si="0"/>
        <v>27</v>
      </c>
      <c r="I4" s="9">
        <f t="shared" ca="1" si="0"/>
        <v>27</v>
      </c>
      <c r="J4" s="9">
        <f t="shared" ca="1" si="0"/>
        <v>27</v>
      </c>
      <c r="K4" s="9">
        <f t="shared" ca="1" si="0"/>
        <v>27</v>
      </c>
      <c r="L4" s="9">
        <f t="shared" ca="1" si="0"/>
        <v>26</v>
      </c>
      <c r="M4" s="9">
        <f t="shared" ca="1" si="0"/>
        <v>26</v>
      </c>
      <c r="N4" s="9">
        <f t="shared" ca="1" si="0"/>
        <v>27</v>
      </c>
      <c r="O4" s="9">
        <f t="shared" ca="1" si="0"/>
        <v>26</v>
      </c>
      <c r="P4" s="9">
        <f t="shared" ca="1" si="0"/>
        <v>25</v>
      </c>
      <c r="Q4" s="3"/>
      <c r="R4" s="3"/>
    </row>
    <row r="5" spans="1:18" s="2" customFormat="1" ht="25.2" customHeight="1" x14ac:dyDescent="0.3">
      <c r="A5" s="7" t="s">
        <v>4</v>
      </c>
      <c r="B5" s="8" t="s">
        <v>15</v>
      </c>
      <c r="C5" s="8" t="s">
        <v>15</v>
      </c>
      <c r="D5" s="8" t="s">
        <v>15</v>
      </c>
      <c r="E5" s="8" t="s">
        <v>15</v>
      </c>
      <c r="F5" s="9">
        <f t="shared" ca="1" si="0"/>
        <v>29</v>
      </c>
      <c r="G5" s="9">
        <f t="shared" ca="1" si="0"/>
        <v>29</v>
      </c>
      <c r="H5" s="9">
        <f t="shared" ca="1" si="0"/>
        <v>27</v>
      </c>
      <c r="I5" s="9">
        <f t="shared" ca="1" si="0"/>
        <v>27</v>
      </c>
      <c r="J5" s="9">
        <f t="shared" ca="1" si="0"/>
        <v>27</v>
      </c>
      <c r="K5" s="9">
        <f t="shared" ca="1" si="0"/>
        <v>27</v>
      </c>
      <c r="L5" s="9">
        <f t="shared" ca="1" si="0"/>
        <v>26</v>
      </c>
      <c r="M5" s="9">
        <f t="shared" ca="1" si="0"/>
        <v>26</v>
      </c>
      <c r="N5" s="9">
        <f t="shared" ca="1" si="0"/>
        <v>27</v>
      </c>
      <c r="O5" s="9">
        <f t="shared" ca="1" si="0"/>
        <v>26</v>
      </c>
      <c r="P5" s="9">
        <f t="shared" ca="1" si="0"/>
        <v>25</v>
      </c>
      <c r="Q5" s="3"/>
      <c r="R5" s="3"/>
    </row>
    <row r="6" spans="1:18" s="2" customFormat="1" ht="25.2" customHeight="1" x14ac:dyDescent="0.3">
      <c r="A6" s="7" t="s">
        <v>5</v>
      </c>
      <c r="B6" s="8" t="s">
        <v>15</v>
      </c>
      <c r="C6" s="8" t="s">
        <v>15</v>
      </c>
      <c r="D6" s="8" t="s">
        <v>15</v>
      </c>
      <c r="E6" s="8" t="s">
        <v>15</v>
      </c>
      <c r="F6" s="8" t="s">
        <v>15</v>
      </c>
      <c r="G6" s="9">
        <f t="shared" ca="1" si="0"/>
        <v>30</v>
      </c>
      <c r="H6" s="9">
        <f t="shared" ca="1" si="0"/>
        <v>27</v>
      </c>
      <c r="I6" s="9">
        <f t="shared" ca="1" si="0"/>
        <v>27</v>
      </c>
      <c r="J6" s="9">
        <f t="shared" ca="1" si="0"/>
        <v>27</v>
      </c>
      <c r="K6" s="9">
        <f t="shared" ca="1" si="0"/>
        <v>27</v>
      </c>
      <c r="L6" s="9">
        <f t="shared" ca="1" si="0"/>
        <v>26</v>
      </c>
      <c r="M6" s="9">
        <f t="shared" ca="1" si="0"/>
        <v>26</v>
      </c>
      <c r="N6" s="9">
        <f t="shared" ca="1" si="0"/>
        <v>27</v>
      </c>
      <c r="O6" s="9">
        <f t="shared" ca="1" si="0"/>
        <v>26</v>
      </c>
      <c r="P6" s="9">
        <f t="shared" ca="1" si="0"/>
        <v>25</v>
      </c>
      <c r="Q6" s="3"/>
      <c r="R6" s="3"/>
    </row>
    <row r="7" spans="1:18" s="2" customFormat="1" ht="25.2" customHeight="1" x14ac:dyDescent="0.3">
      <c r="A7" s="7" t="s">
        <v>6</v>
      </c>
      <c r="B7" s="8" t="s">
        <v>15</v>
      </c>
      <c r="C7" s="8" t="s">
        <v>15</v>
      </c>
      <c r="D7" s="8" t="s">
        <v>15</v>
      </c>
      <c r="E7" s="8" t="s">
        <v>15</v>
      </c>
      <c r="F7" s="8" t="s">
        <v>15</v>
      </c>
      <c r="G7" s="10" t="s">
        <v>15</v>
      </c>
      <c r="H7" s="9">
        <f t="shared" ca="1" si="0"/>
        <v>27</v>
      </c>
      <c r="I7" s="9">
        <f t="shared" ca="1" si="0"/>
        <v>27</v>
      </c>
      <c r="J7" s="9">
        <f t="shared" ca="1" si="0"/>
        <v>27</v>
      </c>
      <c r="K7" s="9">
        <f t="shared" ca="1" si="0"/>
        <v>27</v>
      </c>
      <c r="L7" s="9">
        <f t="shared" ca="1" si="0"/>
        <v>26</v>
      </c>
      <c r="M7" s="9">
        <f t="shared" ca="1" si="0"/>
        <v>26</v>
      </c>
      <c r="N7" s="9">
        <f t="shared" ca="1" si="0"/>
        <v>27</v>
      </c>
      <c r="O7" s="9">
        <f t="shared" ca="1" si="0"/>
        <v>26</v>
      </c>
      <c r="P7" s="9">
        <f t="shared" ca="1" si="0"/>
        <v>25</v>
      </c>
      <c r="Q7" s="3"/>
      <c r="R7" s="3"/>
    </row>
    <row r="8" spans="1:18" s="2" customFormat="1" ht="25.2" customHeight="1" x14ac:dyDescent="0.3">
      <c r="A8" s="7" t="s">
        <v>1</v>
      </c>
      <c r="B8" s="8" t="s">
        <v>15</v>
      </c>
      <c r="C8" s="8" t="s">
        <v>15</v>
      </c>
      <c r="D8" s="8" t="s">
        <v>15</v>
      </c>
      <c r="E8" s="8" t="s">
        <v>15</v>
      </c>
      <c r="F8" s="8" t="s">
        <v>15</v>
      </c>
      <c r="G8" s="8" t="s">
        <v>15</v>
      </c>
      <c r="H8" s="11" t="s">
        <v>15</v>
      </c>
      <c r="I8" s="9">
        <f t="shared" ca="1" si="0"/>
        <v>27</v>
      </c>
      <c r="J8" s="9">
        <f t="shared" ca="1" si="0"/>
        <v>27</v>
      </c>
      <c r="K8" s="9">
        <f t="shared" ca="1" si="0"/>
        <v>27</v>
      </c>
      <c r="L8" s="9">
        <f t="shared" ca="1" si="0"/>
        <v>26</v>
      </c>
      <c r="M8" s="9">
        <f t="shared" ca="1" si="0"/>
        <v>26</v>
      </c>
      <c r="N8" s="9">
        <f t="shared" ca="1" si="0"/>
        <v>27</v>
      </c>
      <c r="O8" s="9">
        <f t="shared" ca="1" si="0"/>
        <v>26</v>
      </c>
      <c r="P8" s="9">
        <f t="shared" ca="1" si="0"/>
        <v>25</v>
      </c>
      <c r="Q8" s="3"/>
      <c r="R8" s="3"/>
    </row>
    <row r="9" spans="1:18" s="2" customFormat="1" ht="25.2" customHeight="1" x14ac:dyDescent="0.3">
      <c r="A9" s="7" t="s">
        <v>7</v>
      </c>
      <c r="B9" s="8" t="s">
        <v>15</v>
      </c>
      <c r="C9" s="8" t="s">
        <v>15</v>
      </c>
      <c r="D9" s="8" t="s">
        <v>15</v>
      </c>
      <c r="E9" s="8" t="s">
        <v>15</v>
      </c>
      <c r="F9" s="8" t="s">
        <v>15</v>
      </c>
      <c r="G9" s="8" t="s">
        <v>15</v>
      </c>
      <c r="H9" s="8" t="s">
        <v>15</v>
      </c>
      <c r="I9" s="8" t="s">
        <v>15</v>
      </c>
      <c r="J9" s="9">
        <f t="shared" ca="1" si="0"/>
        <v>27</v>
      </c>
      <c r="K9" s="9">
        <f t="shared" ca="1" si="0"/>
        <v>27</v>
      </c>
      <c r="L9" s="9">
        <f t="shared" ca="1" si="0"/>
        <v>26</v>
      </c>
      <c r="M9" s="9">
        <f t="shared" ca="1" si="0"/>
        <v>26</v>
      </c>
      <c r="N9" s="9">
        <f t="shared" ca="1" si="0"/>
        <v>27</v>
      </c>
      <c r="O9" s="9">
        <f t="shared" ca="1" si="0"/>
        <v>26</v>
      </c>
      <c r="P9" s="9">
        <f t="shared" ca="1" si="0"/>
        <v>25</v>
      </c>
      <c r="Q9" s="3"/>
      <c r="R9" s="3"/>
    </row>
    <row r="10" spans="1:18" s="2" customFormat="1" ht="25.2" customHeight="1" x14ac:dyDescent="0.3">
      <c r="A10" s="7" t="s">
        <v>8</v>
      </c>
      <c r="B10" s="8" t="s">
        <v>15</v>
      </c>
      <c r="C10" s="8" t="s">
        <v>15</v>
      </c>
      <c r="D10" s="8" t="s">
        <v>15</v>
      </c>
      <c r="E10" s="8" t="s">
        <v>15</v>
      </c>
      <c r="F10" s="8" t="s">
        <v>15</v>
      </c>
      <c r="G10" s="8" t="s">
        <v>15</v>
      </c>
      <c r="H10" s="8" t="s">
        <v>15</v>
      </c>
      <c r="I10" s="8" t="s">
        <v>15</v>
      </c>
      <c r="J10" s="8" t="s">
        <v>15</v>
      </c>
      <c r="K10" s="9">
        <f t="shared" ca="1" si="0"/>
        <v>27</v>
      </c>
      <c r="L10" s="9">
        <f t="shared" ca="1" si="0"/>
        <v>26</v>
      </c>
      <c r="M10" s="9">
        <f t="shared" ca="1" si="0"/>
        <v>26</v>
      </c>
      <c r="N10" s="9">
        <f t="shared" ca="1" si="0"/>
        <v>27</v>
      </c>
      <c r="O10" s="9">
        <f t="shared" ca="1" si="0"/>
        <v>26</v>
      </c>
      <c r="P10" s="9">
        <f t="shared" ca="1" si="0"/>
        <v>25</v>
      </c>
      <c r="Q10" s="3"/>
      <c r="R10" s="3"/>
    </row>
    <row r="11" spans="1:18" s="2" customFormat="1" ht="25.2" customHeight="1" x14ac:dyDescent="0.3">
      <c r="A11" s="7" t="s">
        <v>9</v>
      </c>
      <c r="B11" s="8" t="s">
        <v>15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15</v>
      </c>
      <c r="I11" s="8" t="s">
        <v>15</v>
      </c>
      <c r="J11" s="8" t="s">
        <v>15</v>
      </c>
      <c r="K11" s="8" t="s">
        <v>15</v>
      </c>
      <c r="L11" s="9">
        <f t="shared" ca="1" si="0"/>
        <v>26</v>
      </c>
      <c r="M11" s="9">
        <f t="shared" ca="1" si="0"/>
        <v>26</v>
      </c>
      <c r="N11" s="9">
        <f t="shared" ca="1" si="0"/>
        <v>27</v>
      </c>
      <c r="O11" s="9">
        <f t="shared" ca="1" si="0"/>
        <v>26</v>
      </c>
      <c r="P11" s="9">
        <f t="shared" ca="1" si="0"/>
        <v>25</v>
      </c>
      <c r="Q11" s="3"/>
      <c r="R11" s="3"/>
    </row>
    <row r="12" spans="1:18" s="2" customFormat="1" ht="25.2" customHeight="1" x14ac:dyDescent="0.3">
      <c r="A12" s="7" t="s">
        <v>10</v>
      </c>
      <c r="B12" s="8" t="s">
        <v>15</v>
      </c>
      <c r="C12" s="8" t="s">
        <v>15</v>
      </c>
      <c r="D12" s="8" t="s">
        <v>15</v>
      </c>
      <c r="E12" s="8" t="s">
        <v>15</v>
      </c>
      <c r="F12" s="8" t="s">
        <v>15</v>
      </c>
      <c r="G12" s="8" t="s">
        <v>15</v>
      </c>
      <c r="H12" s="8" t="s">
        <v>15</v>
      </c>
      <c r="I12" s="8" t="s">
        <v>15</v>
      </c>
      <c r="J12" s="8" t="s">
        <v>15</v>
      </c>
      <c r="K12" s="8" t="s">
        <v>15</v>
      </c>
      <c r="L12" s="8" t="s">
        <v>15</v>
      </c>
      <c r="M12" s="9">
        <f t="shared" ca="1" si="0"/>
        <v>26</v>
      </c>
      <c r="N12" s="9">
        <f t="shared" ca="1" si="0"/>
        <v>26</v>
      </c>
      <c r="O12" s="9">
        <f t="shared" ca="1" si="0"/>
        <v>26</v>
      </c>
      <c r="P12" s="9">
        <f t="shared" ca="1" si="0"/>
        <v>25</v>
      </c>
      <c r="Q12" s="3"/>
      <c r="R12" s="3"/>
    </row>
    <row r="13" spans="1:18" s="2" customFormat="1" ht="25.2" customHeight="1" x14ac:dyDescent="0.3">
      <c r="A13" s="7" t="s">
        <v>11</v>
      </c>
      <c r="B13" s="8" t="s">
        <v>15</v>
      </c>
      <c r="C13" s="8" t="s">
        <v>15</v>
      </c>
      <c r="D13" s="8" t="s">
        <v>15</v>
      </c>
      <c r="E13" s="8" t="s">
        <v>15</v>
      </c>
      <c r="F13" s="8" t="s">
        <v>15</v>
      </c>
      <c r="G13" s="8" t="s">
        <v>15</v>
      </c>
      <c r="H13" s="8" t="s">
        <v>15</v>
      </c>
      <c r="I13" s="8" t="s">
        <v>15</v>
      </c>
      <c r="J13" s="8" t="s">
        <v>15</v>
      </c>
      <c r="K13" s="8" t="s">
        <v>15</v>
      </c>
      <c r="L13" s="8" t="s">
        <v>15</v>
      </c>
      <c r="M13" s="8" t="s">
        <v>15</v>
      </c>
      <c r="N13" s="9">
        <f t="shared" ca="1" si="0"/>
        <v>26</v>
      </c>
      <c r="O13" s="9">
        <f t="shared" ca="1" si="0"/>
        <v>26</v>
      </c>
      <c r="P13" s="9">
        <f t="shared" ca="1" si="0"/>
        <v>25</v>
      </c>
      <c r="Q13" s="3"/>
      <c r="R13" s="3"/>
    </row>
    <row r="14" spans="1:18" s="2" customFormat="1" ht="25.2" customHeight="1" x14ac:dyDescent="0.3">
      <c r="A14" s="7" t="s">
        <v>12</v>
      </c>
      <c r="B14" s="8" t="s">
        <v>15</v>
      </c>
      <c r="C14" s="8" t="s">
        <v>15</v>
      </c>
      <c r="D14" s="8" t="s">
        <v>15</v>
      </c>
      <c r="E14" s="8" t="s">
        <v>15</v>
      </c>
      <c r="F14" s="8" t="s">
        <v>15</v>
      </c>
      <c r="G14" s="8" t="s">
        <v>15</v>
      </c>
      <c r="H14" s="8" t="s">
        <v>15</v>
      </c>
      <c r="I14" s="8" t="s">
        <v>15</v>
      </c>
      <c r="J14" s="8" t="s">
        <v>15</v>
      </c>
      <c r="K14" s="8" t="s">
        <v>15</v>
      </c>
      <c r="L14" s="8" t="s">
        <v>15</v>
      </c>
      <c r="M14" s="8" t="s">
        <v>15</v>
      </c>
      <c r="N14" s="8" t="s">
        <v>15</v>
      </c>
      <c r="O14" s="9">
        <f t="shared" ca="1" si="0"/>
        <v>26</v>
      </c>
      <c r="P14" s="9">
        <f t="shared" ca="1" si="0"/>
        <v>25</v>
      </c>
      <c r="Q14" s="3"/>
      <c r="R14" s="3"/>
    </row>
    <row r="15" spans="1:18" s="2" customFormat="1" ht="25.2" customHeight="1" x14ac:dyDescent="0.3">
      <c r="A15" s="7" t="s">
        <v>14</v>
      </c>
      <c r="B15" s="8" t="s">
        <v>15</v>
      </c>
      <c r="C15" s="8" t="s">
        <v>15</v>
      </c>
      <c r="D15" s="8" t="s">
        <v>15</v>
      </c>
      <c r="E15" s="8" t="s">
        <v>15</v>
      </c>
      <c r="F15" s="8" t="s">
        <v>15</v>
      </c>
      <c r="G15" s="8" t="s">
        <v>15</v>
      </c>
      <c r="H15" s="8" t="s">
        <v>15</v>
      </c>
      <c r="I15" s="8" t="s">
        <v>15</v>
      </c>
      <c r="J15" s="8" t="s">
        <v>15</v>
      </c>
      <c r="K15" s="8" t="s">
        <v>15</v>
      </c>
      <c r="L15" s="8" t="s">
        <v>15</v>
      </c>
      <c r="M15" s="8" t="s">
        <v>15</v>
      </c>
      <c r="N15" s="8" t="s">
        <v>15</v>
      </c>
      <c r="O15" s="8" t="s">
        <v>15</v>
      </c>
      <c r="P15" s="9">
        <f t="shared" ca="1" si="0"/>
        <v>25</v>
      </c>
      <c r="Q15" s="3"/>
      <c r="R15" s="3"/>
    </row>
    <row r="16" spans="1:18" s="2" customFormat="1" ht="25.2" customHeight="1" x14ac:dyDescent="0.3">
      <c r="A16" s="7" t="s">
        <v>13</v>
      </c>
      <c r="B16" s="8" t="s">
        <v>15</v>
      </c>
      <c r="C16" s="8" t="s">
        <v>15</v>
      </c>
      <c r="D16" s="8" t="s">
        <v>15</v>
      </c>
      <c r="E16" s="8" t="s">
        <v>15</v>
      </c>
      <c r="F16" s="8" t="s">
        <v>15</v>
      </c>
      <c r="G16" s="8" t="s">
        <v>15</v>
      </c>
      <c r="H16" s="8" t="s">
        <v>15</v>
      </c>
      <c r="I16" s="8" t="s">
        <v>15</v>
      </c>
      <c r="J16" s="8" t="s">
        <v>15</v>
      </c>
      <c r="K16" s="8" t="s">
        <v>15</v>
      </c>
      <c r="L16" s="8" t="s">
        <v>15</v>
      </c>
      <c r="M16" s="8" t="s">
        <v>15</v>
      </c>
      <c r="N16" s="8" t="s">
        <v>15</v>
      </c>
      <c r="O16" s="8" t="s">
        <v>15</v>
      </c>
      <c r="P16" s="8" t="s">
        <v>15</v>
      </c>
      <c r="Q16" s="3"/>
      <c r="R16" s="3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BD33-C47A-41DD-9F35-D63A45767332}">
  <sheetPr codeName="Blad4"/>
  <dimension ref="A1:R16"/>
  <sheetViews>
    <sheetView zoomScale="80" zoomScaleNormal="80" workbookViewId="0">
      <selection activeCell="K8" sqref="K8"/>
    </sheetView>
  </sheetViews>
  <sheetFormatPr defaultRowHeight="14.4" x14ac:dyDescent="0.3"/>
  <cols>
    <col min="1" max="1" width="38.88671875" bestFit="1" customWidth="1"/>
    <col min="2" max="16" width="21" customWidth="1"/>
  </cols>
  <sheetData>
    <row r="1" spans="1:18" ht="201.6" x14ac:dyDescent="0.4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1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5" t="s">
        <v>14</v>
      </c>
      <c r="P1" s="5" t="s">
        <v>13</v>
      </c>
    </row>
    <row r="2" spans="1:18" s="2" customFormat="1" ht="25.2" customHeight="1" x14ac:dyDescent="0.3">
      <c r="A2" s="7" t="s">
        <v>0</v>
      </c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22</v>
      </c>
      <c r="J2" s="9" t="s">
        <v>23</v>
      </c>
      <c r="K2" s="9" t="s">
        <v>24</v>
      </c>
      <c r="L2" s="9" t="s">
        <v>25</v>
      </c>
      <c r="M2" s="9" t="s">
        <v>26</v>
      </c>
      <c r="N2" s="9" t="s">
        <v>27</v>
      </c>
      <c r="O2" s="9" t="s">
        <v>28</v>
      </c>
      <c r="P2" s="9" t="s">
        <v>29</v>
      </c>
      <c r="Q2" s="3"/>
      <c r="R2" s="3"/>
    </row>
    <row r="3" spans="1:18" s="2" customFormat="1" ht="25.2" customHeight="1" x14ac:dyDescent="0.3">
      <c r="A3" s="7" t="s">
        <v>2</v>
      </c>
      <c r="B3" s="8" t="s">
        <v>15</v>
      </c>
      <c r="C3" s="8" t="s">
        <v>15</v>
      </c>
      <c r="D3" s="9" t="s">
        <v>42</v>
      </c>
      <c r="E3" s="9" t="s">
        <v>43</v>
      </c>
      <c r="F3" s="9" t="s">
        <v>44</v>
      </c>
      <c r="G3" s="9" t="s">
        <v>45</v>
      </c>
      <c r="H3" s="9" t="s">
        <v>46</v>
      </c>
      <c r="I3" s="9" t="s">
        <v>47</v>
      </c>
      <c r="J3" s="9" t="s">
        <v>48</v>
      </c>
      <c r="K3" s="9" t="s">
        <v>49</v>
      </c>
      <c r="L3" s="9" t="s">
        <v>50</v>
      </c>
      <c r="M3" s="9" t="s">
        <v>51</v>
      </c>
      <c r="N3" s="9" t="s">
        <v>52</v>
      </c>
      <c r="O3" s="9" t="s">
        <v>53</v>
      </c>
      <c r="P3" s="9" t="s">
        <v>30</v>
      </c>
      <c r="Q3" s="3"/>
      <c r="R3" s="3"/>
    </row>
    <row r="4" spans="1:18" s="2" customFormat="1" ht="25.2" customHeight="1" x14ac:dyDescent="0.3">
      <c r="A4" s="7" t="s">
        <v>3</v>
      </c>
      <c r="B4" s="8" t="s">
        <v>15</v>
      </c>
      <c r="C4" s="8" t="s">
        <v>15</v>
      </c>
      <c r="D4" s="8" t="s">
        <v>15</v>
      </c>
      <c r="E4" s="9" t="s">
        <v>104</v>
      </c>
      <c r="F4" s="9" t="s">
        <v>103</v>
      </c>
      <c r="G4" s="9" t="s">
        <v>17</v>
      </c>
      <c r="H4" s="9" t="s">
        <v>99</v>
      </c>
      <c r="I4" s="9" t="s">
        <v>94</v>
      </c>
      <c r="J4" s="9" t="s">
        <v>86</v>
      </c>
      <c r="K4" s="9" t="s">
        <v>48</v>
      </c>
      <c r="L4" s="9" t="s">
        <v>76</v>
      </c>
      <c r="M4" s="9" t="s">
        <v>72</v>
      </c>
      <c r="N4" s="9" t="s">
        <v>70</v>
      </c>
      <c r="O4" s="9" t="s">
        <v>54</v>
      </c>
      <c r="P4" s="9" t="s">
        <v>31</v>
      </c>
      <c r="Q4" s="3"/>
      <c r="R4" s="3"/>
    </row>
    <row r="5" spans="1:18" s="2" customFormat="1" ht="25.2" customHeight="1" x14ac:dyDescent="0.3">
      <c r="A5" s="7" t="s">
        <v>4</v>
      </c>
      <c r="B5" s="8" t="s">
        <v>15</v>
      </c>
      <c r="C5" s="8" t="s">
        <v>15</v>
      </c>
      <c r="D5" s="8" t="s">
        <v>15</v>
      </c>
      <c r="E5" s="8" t="s">
        <v>15</v>
      </c>
      <c r="F5" s="9" t="s">
        <v>101</v>
      </c>
      <c r="G5" s="9" t="s">
        <v>100</v>
      </c>
      <c r="H5" s="9" t="s">
        <v>98</v>
      </c>
      <c r="I5" s="9" t="s">
        <v>27</v>
      </c>
      <c r="J5" s="9" t="s">
        <v>93</v>
      </c>
      <c r="K5" s="9" t="s">
        <v>85</v>
      </c>
      <c r="L5" s="9" t="s">
        <v>84</v>
      </c>
      <c r="M5" s="9" t="s">
        <v>73</v>
      </c>
      <c r="N5" s="9" t="s">
        <v>69</v>
      </c>
      <c r="O5" s="9" t="s">
        <v>55</v>
      </c>
      <c r="P5" s="9" t="s">
        <v>32</v>
      </c>
      <c r="Q5" s="3"/>
      <c r="R5" s="3"/>
    </row>
    <row r="6" spans="1:18" s="2" customFormat="1" ht="25.2" customHeight="1" x14ac:dyDescent="0.3">
      <c r="A6" s="7" t="s">
        <v>5</v>
      </c>
      <c r="B6" s="8" t="s">
        <v>15</v>
      </c>
      <c r="C6" s="8" t="s">
        <v>15</v>
      </c>
      <c r="D6" s="8" t="s">
        <v>15</v>
      </c>
      <c r="E6" s="8" t="s">
        <v>15</v>
      </c>
      <c r="F6" s="8" t="s">
        <v>15</v>
      </c>
      <c r="G6" s="9" t="s">
        <v>102</v>
      </c>
      <c r="H6" s="9" t="s">
        <v>97</v>
      </c>
      <c r="I6" s="9" t="s">
        <v>95</v>
      </c>
      <c r="J6" s="9" t="s">
        <v>92</v>
      </c>
      <c r="K6" s="9" t="s">
        <v>70</v>
      </c>
      <c r="L6" s="9" t="s">
        <v>26</v>
      </c>
      <c r="M6" s="9" t="s">
        <v>59</v>
      </c>
      <c r="N6" s="9" t="s">
        <v>71</v>
      </c>
      <c r="O6" s="9" t="s">
        <v>56</v>
      </c>
      <c r="P6" s="9" t="s">
        <v>31</v>
      </c>
      <c r="Q6" s="3"/>
      <c r="R6" s="3"/>
    </row>
    <row r="7" spans="1:18" s="2" customFormat="1" ht="25.2" customHeight="1" x14ac:dyDescent="0.3">
      <c r="A7" s="7" t="s">
        <v>6</v>
      </c>
      <c r="B7" s="8" t="s">
        <v>15</v>
      </c>
      <c r="C7" s="8" t="s">
        <v>15</v>
      </c>
      <c r="D7" s="8" t="s">
        <v>15</v>
      </c>
      <c r="E7" s="8" t="s">
        <v>15</v>
      </c>
      <c r="F7" s="8" t="s">
        <v>15</v>
      </c>
      <c r="G7" s="10" t="s">
        <v>15</v>
      </c>
      <c r="H7" s="9" t="s">
        <v>86</v>
      </c>
      <c r="I7" s="9" t="s">
        <v>23</v>
      </c>
      <c r="J7" s="9" t="s">
        <v>91</v>
      </c>
      <c r="K7" s="9" t="s">
        <v>86</v>
      </c>
      <c r="L7" s="9" t="s">
        <v>83</v>
      </c>
      <c r="M7" s="9" t="s">
        <v>74</v>
      </c>
      <c r="N7" s="9" t="s">
        <v>69</v>
      </c>
      <c r="O7" s="9" t="s">
        <v>57</v>
      </c>
      <c r="P7" s="9" t="s">
        <v>33</v>
      </c>
      <c r="Q7" s="3"/>
      <c r="R7" s="3"/>
    </row>
    <row r="8" spans="1:18" s="2" customFormat="1" ht="25.2" customHeight="1" x14ac:dyDescent="0.3">
      <c r="A8" s="7" t="s">
        <v>1</v>
      </c>
      <c r="B8" s="8" t="s">
        <v>15</v>
      </c>
      <c r="C8" s="8" t="s">
        <v>15</v>
      </c>
      <c r="D8" s="8" t="s">
        <v>15</v>
      </c>
      <c r="E8" s="8" t="s">
        <v>15</v>
      </c>
      <c r="F8" s="8" t="s">
        <v>15</v>
      </c>
      <c r="G8" s="8" t="s">
        <v>15</v>
      </c>
      <c r="H8" s="11" t="s">
        <v>15</v>
      </c>
      <c r="I8" s="9" t="s">
        <v>96</v>
      </c>
      <c r="J8" s="9" t="s">
        <v>90</v>
      </c>
      <c r="K8" s="13" t="s">
        <v>87</v>
      </c>
      <c r="L8" s="9" t="s">
        <v>82</v>
      </c>
      <c r="M8" s="9" t="s">
        <v>75</v>
      </c>
      <c r="N8" s="9" t="s">
        <v>68</v>
      </c>
      <c r="O8" s="9" t="s">
        <v>58</v>
      </c>
      <c r="P8" s="9" t="s">
        <v>34</v>
      </c>
      <c r="Q8" s="3"/>
      <c r="R8" s="3"/>
    </row>
    <row r="9" spans="1:18" s="2" customFormat="1" ht="25.2" customHeight="1" x14ac:dyDescent="0.3">
      <c r="A9" s="7" t="s">
        <v>7</v>
      </c>
      <c r="B9" s="8" t="s">
        <v>15</v>
      </c>
      <c r="C9" s="8" t="s">
        <v>15</v>
      </c>
      <c r="D9" s="8" t="s">
        <v>15</v>
      </c>
      <c r="E9" s="8" t="s">
        <v>15</v>
      </c>
      <c r="F9" s="8" t="s">
        <v>15</v>
      </c>
      <c r="G9" s="8" t="s">
        <v>15</v>
      </c>
      <c r="H9" s="8" t="s">
        <v>15</v>
      </c>
      <c r="I9" s="8" t="s">
        <v>15</v>
      </c>
      <c r="J9" s="9" t="s">
        <v>89</v>
      </c>
      <c r="K9" s="9" t="s">
        <v>85</v>
      </c>
      <c r="L9" s="9" t="s">
        <v>81</v>
      </c>
      <c r="M9" s="9" t="s">
        <v>76</v>
      </c>
      <c r="N9" s="9" t="s">
        <v>67</v>
      </c>
      <c r="O9" s="9" t="s">
        <v>26</v>
      </c>
      <c r="P9" s="9" t="s">
        <v>35</v>
      </c>
      <c r="Q9" s="3"/>
      <c r="R9" s="3"/>
    </row>
    <row r="10" spans="1:18" s="2" customFormat="1" ht="25.2" customHeight="1" x14ac:dyDescent="0.3">
      <c r="A10" s="7" t="s">
        <v>8</v>
      </c>
      <c r="B10" s="8" t="s">
        <v>15</v>
      </c>
      <c r="C10" s="8" t="s">
        <v>15</v>
      </c>
      <c r="D10" s="8" t="s">
        <v>15</v>
      </c>
      <c r="E10" s="8" t="s">
        <v>15</v>
      </c>
      <c r="F10" s="8" t="s">
        <v>15</v>
      </c>
      <c r="G10" s="8" t="s">
        <v>15</v>
      </c>
      <c r="H10" s="8" t="s">
        <v>15</v>
      </c>
      <c r="I10" s="8" t="s">
        <v>15</v>
      </c>
      <c r="J10" s="8" t="s">
        <v>15</v>
      </c>
      <c r="K10" s="12" t="s">
        <v>88</v>
      </c>
      <c r="L10" s="9" t="s">
        <v>26</v>
      </c>
      <c r="M10" s="9" t="s">
        <v>77</v>
      </c>
      <c r="N10" s="9" t="s">
        <v>23</v>
      </c>
      <c r="O10" s="9" t="s">
        <v>59</v>
      </c>
      <c r="P10" s="9" t="s">
        <v>36</v>
      </c>
      <c r="Q10" s="3"/>
      <c r="R10" s="3"/>
    </row>
    <row r="11" spans="1:18" s="2" customFormat="1" ht="25.2" customHeight="1" x14ac:dyDescent="0.3">
      <c r="A11" s="7" t="s">
        <v>9</v>
      </c>
      <c r="B11" s="8" t="s">
        <v>15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15</v>
      </c>
      <c r="I11" s="8" t="s">
        <v>15</v>
      </c>
      <c r="J11" s="8" t="s">
        <v>15</v>
      </c>
      <c r="K11" s="8" t="s">
        <v>15</v>
      </c>
      <c r="L11" s="9" t="s">
        <v>80</v>
      </c>
      <c r="M11" s="9" t="s">
        <v>78</v>
      </c>
      <c r="N11" s="9" t="s">
        <v>66</v>
      </c>
      <c r="O11" s="9" t="s">
        <v>60</v>
      </c>
      <c r="P11" s="9" t="s">
        <v>37</v>
      </c>
      <c r="Q11" s="3"/>
      <c r="R11" s="3"/>
    </row>
    <row r="12" spans="1:18" s="2" customFormat="1" ht="25.2" customHeight="1" x14ac:dyDescent="0.3">
      <c r="A12" s="7" t="s">
        <v>10</v>
      </c>
      <c r="B12" s="8" t="s">
        <v>15</v>
      </c>
      <c r="C12" s="8" t="s">
        <v>15</v>
      </c>
      <c r="D12" s="8" t="s">
        <v>15</v>
      </c>
      <c r="E12" s="8" t="s">
        <v>15</v>
      </c>
      <c r="F12" s="8" t="s">
        <v>15</v>
      </c>
      <c r="G12" s="8" t="s">
        <v>15</v>
      </c>
      <c r="H12" s="8" t="s">
        <v>15</v>
      </c>
      <c r="I12" s="8" t="s">
        <v>15</v>
      </c>
      <c r="J12" s="8" t="s">
        <v>15</v>
      </c>
      <c r="K12" s="8" t="s">
        <v>15</v>
      </c>
      <c r="L12" s="8" t="s">
        <v>15</v>
      </c>
      <c r="M12" s="9" t="s">
        <v>79</v>
      </c>
      <c r="N12" s="9" t="s">
        <v>65</v>
      </c>
      <c r="O12" s="9" t="s">
        <v>61</v>
      </c>
      <c r="P12" s="9" t="s">
        <v>38</v>
      </c>
      <c r="Q12" s="3"/>
      <c r="R12" s="3"/>
    </row>
    <row r="13" spans="1:18" s="2" customFormat="1" ht="25.2" customHeight="1" x14ac:dyDescent="0.3">
      <c r="A13" s="7" t="s">
        <v>11</v>
      </c>
      <c r="B13" s="8" t="s">
        <v>15</v>
      </c>
      <c r="C13" s="8" t="s">
        <v>15</v>
      </c>
      <c r="D13" s="8" t="s">
        <v>15</v>
      </c>
      <c r="E13" s="8" t="s">
        <v>15</v>
      </c>
      <c r="F13" s="8" t="s">
        <v>15</v>
      </c>
      <c r="G13" s="8" t="s">
        <v>15</v>
      </c>
      <c r="H13" s="8" t="s">
        <v>15</v>
      </c>
      <c r="I13" s="8" t="s">
        <v>15</v>
      </c>
      <c r="J13" s="8" t="s">
        <v>15</v>
      </c>
      <c r="K13" s="8" t="s">
        <v>15</v>
      </c>
      <c r="L13" s="8" t="s">
        <v>15</v>
      </c>
      <c r="M13" s="8" t="s">
        <v>15</v>
      </c>
      <c r="N13" s="9" t="s">
        <v>64</v>
      </c>
      <c r="O13" s="9" t="s">
        <v>62</v>
      </c>
      <c r="P13" s="9" t="s">
        <v>39</v>
      </c>
      <c r="Q13" s="3"/>
      <c r="R13" s="3"/>
    </row>
    <row r="14" spans="1:18" s="2" customFormat="1" ht="25.2" customHeight="1" x14ac:dyDescent="0.3">
      <c r="A14" s="7" t="s">
        <v>12</v>
      </c>
      <c r="B14" s="8" t="s">
        <v>15</v>
      </c>
      <c r="C14" s="8" t="s">
        <v>15</v>
      </c>
      <c r="D14" s="8" t="s">
        <v>15</v>
      </c>
      <c r="E14" s="8" t="s">
        <v>15</v>
      </c>
      <c r="F14" s="8" t="s">
        <v>15</v>
      </c>
      <c r="G14" s="8" t="s">
        <v>15</v>
      </c>
      <c r="H14" s="8" t="s">
        <v>15</v>
      </c>
      <c r="I14" s="8" t="s">
        <v>15</v>
      </c>
      <c r="J14" s="8" t="s">
        <v>15</v>
      </c>
      <c r="K14" s="8" t="s">
        <v>15</v>
      </c>
      <c r="L14" s="8" t="s">
        <v>15</v>
      </c>
      <c r="M14" s="8" t="s">
        <v>15</v>
      </c>
      <c r="N14" s="8" t="s">
        <v>15</v>
      </c>
      <c r="O14" s="9" t="s">
        <v>63</v>
      </c>
      <c r="P14" s="9" t="s">
        <v>40</v>
      </c>
      <c r="Q14" s="3"/>
      <c r="R14" s="3"/>
    </row>
    <row r="15" spans="1:18" s="2" customFormat="1" ht="25.2" customHeight="1" x14ac:dyDescent="0.3">
      <c r="A15" s="7" t="s">
        <v>14</v>
      </c>
      <c r="B15" s="8" t="s">
        <v>15</v>
      </c>
      <c r="C15" s="8" t="s">
        <v>15</v>
      </c>
      <c r="D15" s="8" t="s">
        <v>15</v>
      </c>
      <c r="E15" s="8" t="s">
        <v>15</v>
      </c>
      <c r="F15" s="8" t="s">
        <v>15</v>
      </c>
      <c r="G15" s="8" t="s">
        <v>15</v>
      </c>
      <c r="H15" s="8" t="s">
        <v>15</v>
      </c>
      <c r="I15" s="8" t="s">
        <v>15</v>
      </c>
      <c r="J15" s="8" t="s">
        <v>15</v>
      </c>
      <c r="K15" s="8" t="s">
        <v>15</v>
      </c>
      <c r="L15" s="8" t="s">
        <v>15</v>
      </c>
      <c r="M15" s="8" t="s">
        <v>15</v>
      </c>
      <c r="N15" s="8" t="s">
        <v>15</v>
      </c>
      <c r="O15" s="8" t="s">
        <v>15</v>
      </c>
      <c r="P15" s="9" t="s">
        <v>41</v>
      </c>
      <c r="Q15" s="3"/>
      <c r="R15" s="3"/>
    </row>
    <row r="16" spans="1:18" s="2" customFormat="1" ht="25.2" customHeight="1" x14ac:dyDescent="0.3">
      <c r="A16" s="7" t="s">
        <v>13</v>
      </c>
      <c r="B16" s="8" t="s">
        <v>15</v>
      </c>
      <c r="C16" s="8" t="s">
        <v>15</v>
      </c>
      <c r="D16" s="8" t="s">
        <v>15</v>
      </c>
      <c r="E16" s="8" t="s">
        <v>15</v>
      </c>
      <c r="F16" s="8" t="s">
        <v>15</v>
      </c>
      <c r="G16" s="8" t="s">
        <v>15</v>
      </c>
      <c r="H16" s="8" t="s">
        <v>15</v>
      </c>
      <c r="I16" s="8" t="s">
        <v>15</v>
      </c>
      <c r="J16" s="8" t="s">
        <v>15</v>
      </c>
      <c r="K16" s="8" t="s">
        <v>15</v>
      </c>
      <c r="L16" s="8" t="s">
        <v>15</v>
      </c>
      <c r="M16" s="8" t="s">
        <v>15</v>
      </c>
      <c r="N16" s="8" t="s">
        <v>15</v>
      </c>
      <c r="O16" s="8" t="s">
        <v>15</v>
      </c>
      <c r="P16" s="8" t="s">
        <v>15</v>
      </c>
      <c r="Q16" s="3"/>
      <c r="R16" s="3"/>
    </row>
  </sheetData>
  <pageMargins left="0.7" right="0.7" top="0.75" bottom="0.75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F4F6ABB567045B93F1D0C638A57F9" ma:contentTypeVersion="14" ma:contentTypeDescription="Een nieuw document maken." ma:contentTypeScope="" ma:versionID="618a17aee6fe21829d83342cfb0aeda2">
  <xsd:schema xmlns:xsd="http://www.w3.org/2001/XMLSchema" xmlns:xs="http://www.w3.org/2001/XMLSchema" xmlns:p="http://schemas.microsoft.com/office/2006/metadata/properties" xmlns:ns2="0e881998-9419-4d13-b84d-721ac971c709" xmlns:ns3="d6a03bd9-b31b-493a-b31e-bb4432e88c75" targetNamespace="http://schemas.microsoft.com/office/2006/metadata/properties" ma:root="true" ma:fieldsID="f381c43000bb8a88d8a6b5bfc4c73959" ns2:_="" ns3:_="">
    <xsd:import namespace="0e881998-9419-4d13-b84d-721ac971c709"/>
    <xsd:import namespace="d6a03bd9-b31b-493a-b31e-bb4432e88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81998-9419-4d13-b84d-721ac971c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03bd9-b31b-493a-b31e-bb4432e88c7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e1fa4af-7bd6-40f1-95bc-3c1c2580a70b}" ma:internalName="TaxCatchAll" ma:showField="CatchAllData" ma:web="d6a03bd9-b31b-493a-b31e-bb4432e88c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a03bd9-b31b-493a-b31e-bb4432e88c75" xsi:nil="true"/>
    <lcf76f155ced4ddcb4097134ff3c332f xmlns="0e881998-9419-4d13-b84d-721ac971c7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5397029-F5CF-4ACA-80D0-BCF836D944BC}"/>
</file>

<file path=customXml/itemProps2.xml><?xml version="1.0" encoding="utf-8"?>
<ds:datastoreItem xmlns:ds="http://schemas.openxmlformats.org/officeDocument/2006/customXml" ds:itemID="{C28A0766-FCEC-4762-A935-47BC9DB34F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1C9EB5-C9B0-463D-94D0-05DA547C14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15</vt:i4>
      </vt:variant>
    </vt:vector>
  </HeadingPairs>
  <TitlesOfParts>
    <vt:vector size="19" baseType="lpstr">
      <vt:lpstr>The Data</vt:lpstr>
      <vt:lpstr>Overall Correlations</vt:lpstr>
      <vt:lpstr>Sample Sizes</vt:lpstr>
      <vt:lpstr>CIs</vt:lpstr>
      <vt:lpstr>bad_instructions</vt:lpstr>
      <vt:lpstr>behavior_lane_position</vt:lpstr>
      <vt:lpstr>behavior_less_speed</vt:lpstr>
      <vt:lpstr>behavior_more_speed</vt:lpstr>
      <vt:lpstr>behavior_operating_errors</vt:lpstr>
      <vt:lpstr>behavior_reaction_time</vt:lpstr>
      <vt:lpstr>behavior_speed_control</vt:lpstr>
      <vt:lpstr>behavior_wrong_turns</vt:lpstr>
      <vt:lpstr>distraction_awareness</vt:lpstr>
      <vt:lpstr>distraction_glance_duration</vt:lpstr>
      <vt:lpstr>distraction_glance_frequency</vt:lpstr>
      <vt:lpstr>distraction_manual</vt:lpstr>
      <vt:lpstr>distraction_mental_load</vt:lpstr>
      <vt:lpstr>distraction_shift_focus</vt:lpstr>
      <vt:lpstr>interruptions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2023-06-27T13:36:26Z</dcterms:created>
  <dcterms:modified xsi:type="dcterms:W3CDTF">2023-07-31T15:26:10Z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0x0101004C9F4F6ABB567045B93F1D0C638A57F9</vt:lpwstr>
  </property>
</Properties>
</file>