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66" documentId="13_ncr:1_{787F74C0-6C9C-46C5-BC00-33FB80BF7439}" xr6:coauthVersionLast="47" xr6:coauthVersionMax="47" xr10:uidLastSave="{C36EC6F7-AE06-4D96-89A0-C9DDF7C3B07C}"/>
  <bookViews>
    <workbookView xWindow="-108" yWindow="-108" windowWidth="23256" windowHeight="12456" activeTab="1" xr2:uid="{AA7D1B8E-8831-4893-8797-D816D84882B1}"/>
  </bookViews>
  <sheets>
    <sheet name="The Data" sheetId="1" r:id="rId1"/>
    <sheet name="Overall Correlations" sheetId="3" r:id="rId2"/>
    <sheet name="Sample Sizes" sheetId="4" r:id="rId3"/>
    <sheet name="CIs" sheetId="6" r:id="rId4"/>
  </sheets>
  <definedNames>
    <definedName name="bad_instructions">'The Data'!$N:$N</definedName>
    <definedName name="behavior_lane_position">'The Data'!$J:$J</definedName>
    <definedName name="behavior_less_speed">'The Data'!$H:$H</definedName>
    <definedName name="behavior_more_speed">'The Data'!$G:$G</definedName>
    <definedName name="behavior_operating_errors">'The Data'!$M:$M</definedName>
    <definedName name="behavior_reaction_time">'The Data'!$K:$K</definedName>
    <definedName name="behavior_speed_control">'The Data'!$I:$I</definedName>
    <definedName name="behavior_wrong_turns">'The Data'!$L:$L</definedName>
    <definedName name="distraction_awareness">'The Data'!$B:$B</definedName>
    <definedName name="distraction_glance_duration">'The Data'!$F:$F</definedName>
    <definedName name="distraction_glance_frequency">'The Data'!$E:$E</definedName>
    <definedName name="distraction_manual">'The Data'!$A:$A</definedName>
    <definedName name="distraction_mental_load">'The Data'!$D:$D</definedName>
    <definedName name="distraction_shift_focus">'The Data'!$C:$C</definedName>
    <definedName name="interruptions">'The Data'!$O:$O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M9" i="3"/>
  <c r="P9" i="3"/>
  <c r="P6" i="3"/>
  <c r="H2" i="3"/>
  <c r="O13" i="3"/>
  <c r="N13" i="3"/>
  <c r="O14" i="3"/>
  <c r="O12" i="3"/>
  <c r="N12" i="3"/>
  <c r="M12" i="3"/>
  <c r="O11" i="3"/>
  <c r="N11" i="3"/>
  <c r="M11" i="3"/>
  <c r="L11" i="3"/>
  <c r="O10" i="3"/>
  <c r="N10" i="3"/>
  <c r="M10" i="3"/>
  <c r="K10" i="3"/>
  <c r="O9" i="3"/>
  <c r="N9" i="3"/>
  <c r="L9" i="3"/>
  <c r="K9" i="3"/>
  <c r="J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H7" i="3"/>
  <c r="O6" i="3"/>
  <c r="N6" i="3"/>
  <c r="M6" i="3"/>
  <c r="L6" i="3"/>
  <c r="K6" i="3"/>
  <c r="J6" i="3"/>
  <c r="I6" i="3"/>
  <c r="H6" i="3"/>
  <c r="G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E4" i="3"/>
  <c r="O3" i="3"/>
  <c r="N3" i="3"/>
  <c r="M3" i="3"/>
  <c r="L3" i="3"/>
  <c r="K3" i="3"/>
  <c r="J3" i="3"/>
  <c r="I3" i="3"/>
  <c r="H3" i="3"/>
  <c r="G3" i="3"/>
  <c r="F3" i="3"/>
  <c r="E3" i="3"/>
  <c r="D3" i="3"/>
  <c r="P15" i="3"/>
  <c r="P14" i="3"/>
  <c r="P13" i="3"/>
  <c r="P12" i="3"/>
  <c r="P11" i="3"/>
  <c r="P10" i="3"/>
  <c r="P8" i="3"/>
  <c r="P7" i="3"/>
  <c r="P5" i="3"/>
  <c r="P4" i="3"/>
  <c r="P3" i="3"/>
  <c r="P2" i="3"/>
  <c r="O2" i="3"/>
  <c r="N2" i="3"/>
  <c r="M2" i="3"/>
  <c r="L2" i="3"/>
  <c r="K2" i="3"/>
  <c r="J2" i="3"/>
  <c r="I2" i="3"/>
  <c r="G2" i="3"/>
  <c r="F2" i="3"/>
  <c r="E2" i="3"/>
  <c r="D2" i="3"/>
  <c r="C2" i="3"/>
  <c r="D3" i="4"/>
  <c r="M12" i="4"/>
  <c r="L10" i="4"/>
  <c r="I7" i="4"/>
  <c r="K8" i="4"/>
  <c r="O6" i="4"/>
  <c r="N6" i="4"/>
  <c r="F3" i="4"/>
  <c r="L4" i="4"/>
  <c r="O4" i="4"/>
  <c r="P4" i="4"/>
  <c r="P9" i="4"/>
  <c r="L2" i="4"/>
  <c r="C2" i="4"/>
  <c r="N12" i="4"/>
  <c r="M10" i="4"/>
  <c r="L7" i="4"/>
  <c r="L8" i="4"/>
  <c r="I5" i="4"/>
  <c r="L5" i="4"/>
  <c r="N3" i="4"/>
  <c r="K3" i="4"/>
  <c r="P6" i="4"/>
  <c r="P10" i="4"/>
  <c r="F2" i="4"/>
  <c r="P13" i="4"/>
  <c r="J9" i="4"/>
  <c r="J6" i="4"/>
  <c r="N4" i="4"/>
  <c r="E2" i="4"/>
  <c r="P15" i="4"/>
  <c r="O11" i="4"/>
  <c r="J4" i="4"/>
  <c r="O2" i="4"/>
  <c r="K10" i="4"/>
  <c r="G5" i="4"/>
  <c r="P3" i="4"/>
  <c r="O14" i="4"/>
  <c r="K5" i="4"/>
  <c r="P5" i="4"/>
  <c r="F5" i="4"/>
  <c r="E4" i="4"/>
  <c r="N2" i="4"/>
  <c r="O10" i="4"/>
  <c r="O8" i="4"/>
  <c r="L6" i="4"/>
  <c r="L3" i="4"/>
  <c r="G2" i="4"/>
  <c r="I4" i="4"/>
  <c r="N13" i="4"/>
  <c r="J5" i="4"/>
  <c r="P12" i="4"/>
  <c r="K9" i="4"/>
  <c r="H5" i="4"/>
  <c r="G3" i="4"/>
  <c r="P8" i="4"/>
  <c r="K2" i="4"/>
  <c r="N9" i="4"/>
  <c r="G6" i="4"/>
  <c r="G4" i="4"/>
  <c r="D2" i="4"/>
  <c r="H7" i="4"/>
  <c r="O12" i="4"/>
  <c r="L9" i="4"/>
  <c r="M8" i="4"/>
  <c r="O7" i="4"/>
  <c r="H6" i="4"/>
  <c r="M5" i="4"/>
  <c r="K4" i="4"/>
  <c r="I3" i="4"/>
  <c r="H4" i="4"/>
  <c r="P14" i="4"/>
  <c r="M11" i="4"/>
  <c r="I8" i="4"/>
  <c r="M4" i="4"/>
  <c r="P7" i="4"/>
  <c r="M3" i="4"/>
  <c r="P2" i="4"/>
  <c r="M9" i="4"/>
  <c r="K7" i="4"/>
  <c r="H3" i="4"/>
  <c r="J2" i="4"/>
  <c r="N8" i="4"/>
  <c r="O5" i="4"/>
  <c r="P11" i="4"/>
  <c r="L11" i="4"/>
  <c r="N11" i="4"/>
  <c r="O9" i="4"/>
  <c r="J7" i="4"/>
  <c r="J8" i="4"/>
  <c r="K6" i="4"/>
  <c r="N5" i="4"/>
  <c r="F4" i="4"/>
  <c r="M2" i="4"/>
  <c r="M7" i="4"/>
  <c r="M6" i="4"/>
  <c r="E3" i="4"/>
  <c r="O13" i="4"/>
  <c r="I6" i="4"/>
  <c r="J3" i="4"/>
  <c r="H2" i="4"/>
  <c r="N10" i="4"/>
  <c r="N7" i="4"/>
  <c r="O3" i="4"/>
  <c r="I2" i="4"/>
</calcChain>
</file>

<file path=xl/sharedStrings.xml><?xml version="1.0" encoding="utf-8"?>
<sst xmlns="http://schemas.openxmlformats.org/spreadsheetml/2006/main" count="570" uniqueCount="90">
  <si>
    <t>distraction_manual</t>
  </si>
  <si>
    <t>behavior_more_speed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</si>
  <si>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</si>
  <si>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</si>
  <si>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</si>
  <si>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</si>
  <si>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</si>
  <si>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behavior_less_speed</t>
  </si>
  <si>
    <t>behavior_speed_control</t>
  </si>
  <si>
    <t>behavior_lane_position</t>
  </si>
  <si>
    <t>behavior_reaction_time</t>
  </si>
  <si>
    <t>behavior_wrong_turns</t>
  </si>
  <si>
    <t>behavior_operating_errors</t>
  </si>
  <si>
    <t>interruptions</t>
  </si>
  <si>
    <t>bad_instructions</t>
  </si>
  <si>
    <t>X</t>
  </si>
  <si>
    <t>[0,21, 0,88]</t>
  </si>
  <si>
    <t>[0,55, 0,95]</t>
  </si>
  <si>
    <t>[-0,16, 0,79]</t>
  </si>
  <si>
    <t>[0,18, 0,88]</t>
  </si>
  <si>
    <t>[0,24, 0,89]</t>
  </si>
  <si>
    <t>[-0,61, 0,59]</t>
  </si>
  <si>
    <t>[0,15, 0,91]</t>
  </si>
  <si>
    <t>[-0,47, 0,71]</t>
  </si>
  <si>
    <t>[-0,13, 0,85]</t>
  </si>
  <si>
    <t>[-0,02, 0,88]</t>
  </si>
  <si>
    <t>[-0,33, 0,78]</t>
  </si>
  <si>
    <t>[-0,19, 0,83]</t>
  </si>
  <si>
    <t>[-0,47, 0,7]</t>
  </si>
  <si>
    <t>[-0,5, 0,69]</t>
  </si>
  <si>
    <t>[0,07, 0,9]</t>
  </si>
  <si>
    <t>[-0,68, 0,51]</t>
  </si>
  <si>
    <t>[-0,38, 0,76]</t>
  </si>
  <si>
    <t>[-0,43, 0,73]</t>
  </si>
  <si>
    <t>[-0,44, 0,72]</t>
  </si>
  <si>
    <t>[-0,32, 0,78]</t>
  </si>
  <si>
    <t>[0,13, 0,91]</t>
  </si>
  <si>
    <t>[-0,27, 0,8]</t>
  </si>
  <si>
    <t>[-0,04, 0,87]</t>
  </si>
  <si>
    <t>[0,03, 0,89]</t>
  </si>
  <si>
    <t>[-0,07, 0,86]</t>
  </si>
  <si>
    <t>[-0,35, 0,77]</t>
  </si>
  <si>
    <t>[0, 0,88]</t>
  </si>
  <si>
    <t>[-0,28, 0,8]</t>
  </si>
  <si>
    <t>[0,24, 0,93]</t>
  </si>
  <si>
    <t>[0,17, 0,92]</t>
  </si>
  <si>
    <t>[-0,29, 0,79]</t>
  </si>
  <si>
    <t>[-0,26, 0,81]</t>
  </si>
  <si>
    <t>[0,29, 0,93]</t>
  </si>
  <si>
    <t>[0,11, 0,91]</t>
  </si>
  <si>
    <t>[0,26, 0,93]</t>
  </si>
  <si>
    <t>[-0,1, 0,86]</t>
  </si>
  <si>
    <t>[0,23, 0,93]</t>
  </si>
  <si>
    <t>[0,47, 0,96]</t>
  </si>
  <si>
    <t>[-0,54, 0,66]</t>
  </si>
  <si>
    <t>[-0,49, 0,69]</t>
  </si>
  <si>
    <t>[-0,3, 0,79]</t>
  </si>
  <si>
    <t>[-0,64, 0,56]</t>
  </si>
  <si>
    <t>[-0,37, 0,76]</t>
  </si>
  <si>
    <t>[0,01, 0,88]</t>
  </si>
  <si>
    <t>[-0,22, 0,82]</t>
  </si>
  <si>
    <t>[-0,34, 0,78]</t>
  </si>
  <si>
    <t>[0,41, 0,95]</t>
  </si>
  <si>
    <t>[0,4, 0,95]</t>
  </si>
  <si>
    <t>[-0,25, 0,81]</t>
  </si>
  <si>
    <t>[-0,59, 0,61]</t>
  </si>
  <si>
    <t>[-0,65, 0,54]</t>
  </si>
  <si>
    <t>[-0,41, 0,74]</t>
  </si>
  <si>
    <t>[0,5, 0,96]</t>
  </si>
  <si>
    <t>[-0,12, 0,85]</t>
  </si>
  <si>
    <t>[0,54, 0,96]</t>
  </si>
  <si>
    <t>[0,32, 0,94]</t>
  </si>
  <si>
    <t>[-0,14, 0,85]</t>
  </si>
  <si>
    <t>[-0,31, 0,79]</t>
  </si>
  <si>
    <t>[-0,54, 0,65]</t>
  </si>
  <si>
    <t>[-0,6, 0,6]</t>
  </si>
  <si>
    <t>[-0,15, 0,84]</t>
  </si>
  <si>
    <t>[-0,08, 0,86]</t>
  </si>
  <si>
    <t>[-0,52, 0,67]</t>
  </si>
  <si>
    <t>[-0,53, 0,66]</t>
  </si>
  <si>
    <t>[0,2, 0,92]</t>
  </si>
  <si>
    <t>[-0,42, 0,74]</t>
  </si>
  <si>
    <t>[0,13, 0,88]</t>
  </si>
  <si>
    <t>[0,14, 0,87]</t>
  </si>
  <si>
    <t>[0,05, 0,84]</t>
  </si>
  <si>
    <t>[0,04, 0,86]</t>
  </si>
  <si>
    <t>[0,38, 0,92]</t>
  </si>
  <si>
    <t>[-0,07, 0,82]</t>
  </si>
  <si>
    <t>[0,2, 0,88]</t>
  </si>
  <si>
    <t>[-0,22, 0,77]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</si>
</sst>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textRotation="180"/>
    </xf>
    <xf numFmtId="0" fontId="1" fillId="0" borderId="4" xfId="0" applyFont="1" applyBorder="1" applyAlignment="1">
      <alignment horizontal="center" textRotation="180"/>
    </xf>
    <xf numFmtId="0" fontId="1" fillId="0" borderId="1" xfId="0" applyFont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textRotation="180"/>
    </xf>
    <xf numFmtId="0" fontId="1" fillId="0" borderId="4" xfId="0" applyFont="1" applyFill="1" applyBorder="1" applyAlignment="1">
      <alignment horizontal="center" textRotation="180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9031-161F-4469-823E-4440F0CCFDAA}">
  <sheetPr codeName="Blad1"/>
  <dimension ref="A1:O16"/>
  <sheetViews>
    <sheetView workbookViewId="0">
      <selection activeCell="C16" sqref="C2:C16"/>
    </sheetView>
  </sheetViews>
  <sheetFormatPr defaultRowHeight="14.4" x14ac:dyDescent="0.3"/>
  <cols>
    <col min="1" max="15" width="25.6640625" style="1" customWidth="1"/>
  </cols>
  <sheetData>
    <row r="1" spans="1:1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</row>
    <row r="2" spans="1:15" x14ac:dyDescent="0.3">
      <c r="A2" s="1">
        <v>1</v>
      </c>
      <c r="B2" s="1">
        <v>1</v>
      </c>
      <c r="C2" s="1">
        <v>1</v>
      </c>
      <c r="D2" s="1">
        <v>1</v>
      </c>
      <c r="E2" s="1">
        <v>3</v>
      </c>
      <c r="F2" s="1">
        <v>3</v>
      </c>
      <c r="G2" s="1">
        <v>1</v>
      </c>
      <c r="H2" s="1">
        <v>3</v>
      </c>
      <c r="I2" s="1">
        <v>3</v>
      </c>
      <c r="J2" s="1">
        <v>3</v>
      </c>
      <c r="K2" s="1">
        <v>0</v>
      </c>
      <c r="L2" s="1">
        <v>1</v>
      </c>
      <c r="M2" s="1">
        <v>2</v>
      </c>
      <c r="N2" s="1">
        <v>2</v>
      </c>
      <c r="O2" s="1">
        <v>1</v>
      </c>
    </row>
    <row r="3" spans="1:15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2</v>
      </c>
    </row>
    <row r="4" spans="1:15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</row>
    <row r="5" spans="1:15" x14ac:dyDescent="0.3">
      <c r="A5" s="1">
        <v>0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</row>
    <row r="6" spans="1:15" x14ac:dyDescent="0.3">
      <c r="A6" s="1">
        <v>2</v>
      </c>
      <c r="B6" s="1">
        <v>3</v>
      </c>
      <c r="C6" s="1">
        <v>3</v>
      </c>
      <c r="D6" s="1">
        <v>3</v>
      </c>
      <c r="E6" s="1">
        <v>2</v>
      </c>
      <c r="F6" s="1">
        <v>3</v>
      </c>
      <c r="G6" s="1">
        <v>1</v>
      </c>
      <c r="H6" s="1">
        <v>1</v>
      </c>
      <c r="I6" s="1">
        <v>1</v>
      </c>
      <c r="J6" s="1">
        <v>2</v>
      </c>
      <c r="K6" s="1">
        <v>3</v>
      </c>
      <c r="L6" s="1">
        <v>3</v>
      </c>
      <c r="M6" s="1">
        <v>2</v>
      </c>
      <c r="N6" s="1">
        <v>4</v>
      </c>
      <c r="O6" s="1">
        <v>3</v>
      </c>
    </row>
    <row r="7" spans="1:15" x14ac:dyDescent="0.3">
      <c r="A7" s="1">
        <v>0</v>
      </c>
      <c r="B7" s="1">
        <v>1</v>
      </c>
      <c r="C7" s="1">
        <v>1</v>
      </c>
      <c r="D7" s="1">
        <v>1</v>
      </c>
      <c r="E7" s="1">
        <v>0</v>
      </c>
      <c r="F7" s="1">
        <v>1</v>
      </c>
      <c r="G7" s="1">
        <v>1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3</v>
      </c>
      <c r="O7" s="1">
        <v>2</v>
      </c>
    </row>
    <row r="8" spans="1:15" x14ac:dyDescent="0.3">
      <c r="A8" s="1">
        <v>0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</v>
      </c>
    </row>
    <row r="9" spans="1:15" x14ac:dyDescent="0.3">
      <c r="A9" s="1">
        <v>1</v>
      </c>
      <c r="B9" s="1">
        <v>2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2</v>
      </c>
      <c r="I9" s="1">
        <v>2</v>
      </c>
      <c r="J9" s="1">
        <v>1</v>
      </c>
      <c r="K9" s="1">
        <v>1</v>
      </c>
      <c r="L9" s="1">
        <v>2</v>
      </c>
      <c r="M9" s="1">
        <v>1</v>
      </c>
      <c r="N9" s="1">
        <v>2</v>
      </c>
      <c r="O9" s="1">
        <v>2</v>
      </c>
    </row>
    <row r="10" spans="1:15" x14ac:dyDescent="0.3">
      <c r="A10" s="1">
        <v>1</v>
      </c>
      <c r="B10" s="1">
        <v>1</v>
      </c>
      <c r="C10" s="1">
        <v>1</v>
      </c>
      <c r="E10" s="1">
        <v>1</v>
      </c>
      <c r="F10" s="1">
        <v>1</v>
      </c>
    </row>
    <row r="12" spans="1:15" x14ac:dyDescent="0.3">
      <c r="A12" s="1">
        <v>0</v>
      </c>
      <c r="B12" s="1">
        <v>2</v>
      </c>
      <c r="C12" s="1">
        <v>1</v>
      </c>
      <c r="D12" s="1">
        <v>0</v>
      </c>
      <c r="E12" s="1">
        <v>2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0</v>
      </c>
      <c r="N12" s="1">
        <v>2</v>
      </c>
      <c r="O12" s="1">
        <v>1</v>
      </c>
    </row>
    <row r="13" spans="1:15" x14ac:dyDescent="0.3">
      <c r="A13" s="1">
        <v>2</v>
      </c>
      <c r="B13" s="1">
        <v>4</v>
      </c>
      <c r="C13" s="1">
        <v>2</v>
      </c>
      <c r="D13" s="1">
        <v>2</v>
      </c>
      <c r="E13" s="1">
        <v>2</v>
      </c>
      <c r="F13" s="1">
        <v>3</v>
      </c>
    </row>
    <row r="14" spans="1:15" x14ac:dyDescent="0.3">
      <c r="A14" s="1">
        <v>3</v>
      </c>
      <c r="B14" s="1">
        <v>3</v>
      </c>
      <c r="C14" s="1">
        <v>3</v>
      </c>
      <c r="D14" s="1">
        <v>0</v>
      </c>
      <c r="E14" s="1">
        <v>2</v>
      </c>
      <c r="F14" s="1">
        <v>2</v>
      </c>
      <c r="G14" s="1">
        <v>0</v>
      </c>
      <c r="H14" s="1">
        <v>4</v>
      </c>
      <c r="I14" s="1">
        <v>0</v>
      </c>
      <c r="J14" s="1">
        <v>1</v>
      </c>
      <c r="K14" s="1">
        <v>3</v>
      </c>
      <c r="L14" s="1">
        <v>0</v>
      </c>
      <c r="M14" s="1">
        <v>0</v>
      </c>
      <c r="N14" s="1">
        <v>2</v>
      </c>
      <c r="O14" s="1">
        <v>1</v>
      </c>
    </row>
    <row r="15" spans="1:15" x14ac:dyDescent="0.3">
      <c r="A15" s="1">
        <v>2</v>
      </c>
      <c r="B15" s="1">
        <v>1</v>
      </c>
      <c r="C15" s="1">
        <v>2</v>
      </c>
      <c r="D15" s="1">
        <v>1</v>
      </c>
      <c r="E15" s="1">
        <v>2</v>
      </c>
      <c r="F15" s="1">
        <v>1</v>
      </c>
    </row>
    <row r="16" spans="1:15" x14ac:dyDescent="0.3">
      <c r="A16" s="1">
        <v>2</v>
      </c>
      <c r="B16" s="1">
        <v>1</v>
      </c>
      <c r="C16" s="1">
        <v>1</v>
      </c>
      <c r="D16" s="1">
        <v>1</v>
      </c>
      <c r="E16" s="1">
        <v>1</v>
      </c>
      <c r="F16" s="1">
        <v>2</v>
      </c>
      <c r="G16" s="1">
        <v>0</v>
      </c>
      <c r="H16" s="1">
        <v>1</v>
      </c>
      <c r="I16" s="1">
        <v>2</v>
      </c>
      <c r="J16" s="1">
        <v>2</v>
      </c>
      <c r="K16" s="1">
        <v>1</v>
      </c>
      <c r="L16" s="1">
        <v>2</v>
      </c>
      <c r="M16" s="1">
        <v>1</v>
      </c>
      <c r="N16" s="1">
        <v>3</v>
      </c>
      <c r="O16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6AE6-EEE8-48D4-8304-6D059649E3E7}">
  <sheetPr codeName="Blad2"/>
  <dimension ref="A1:R16"/>
  <sheetViews>
    <sheetView tabSelected="1" zoomScale="80" zoomScaleNormal="80" workbookViewId="0">
      <selection activeCell="P16" sqref="A1:P16"/>
    </sheetView>
  </sheetViews>
  <sheetFormatPr defaultRowHeight="14.4" x14ac:dyDescent="0.3"/>
  <cols>
    <col min="1" max="1" width="38.88671875" customWidth="1"/>
    <col min="2" max="16" width="7.88671875" customWidth="1"/>
  </cols>
  <sheetData>
    <row r="1" spans="1:18" ht="202.2" thickBot="1" x14ac:dyDescent="0.45">
      <c r="A1" s="14"/>
      <c r="B1" s="15" t="s">
        <v>0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1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5" t="s">
        <v>14</v>
      </c>
      <c r="P1" s="15" t="s">
        <v>13</v>
      </c>
    </row>
    <row r="2" spans="1:18" s="2" customFormat="1" ht="25.2" customHeight="1" x14ac:dyDescent="0.3">
      <c r="A2" s="17" t="s">
        <v>0</v>
      </c>
      <c r="B2" s="18" t="s">
        <v>15</v>
      </c>
      <c r="C2" s="19">
        <f>PEARSON(distraction_awareness,distraction_manual)</f>
        <v>0.66697296884991564</v>
      </c>
      <c r="D2" s="19">
        <f>PEARSON(distraction_shift_focus,distraction_manual)</f>
        <v>0.83631451339667617</v>
      </c>
      <c r="E2" s="19">
        <f>PEARSON(distraction_mental_load,distraction_manual)</f>
        <v>0.42923229469809387</v>
      </c>
      <c r="F2" s="19">
        <f>PEARSON(distraction_glance_frequency,distraction_manual)</f>
        <v>0.649519052838329</v>
      </c>
      <c r="G2" s="20">
        <f>PEARSON(distraction_glance_duration,distraction_manual)</f>
        <v>0.68616114770698589</v>
      </c>
      <c r="H2" s="21">
        <f>PEARSON(behavior_more_speed,distraction_manual)</f>
        <v>-1.6137430609197558E-2</v>
      </c>
      <c r="I2" s="22">
        <f>PEARSON(behavior_less_speed,distraction_manual)</f>
        <v>0.68560344466268053</v>
      </c>
      <c r="J2" s="22">
        <f>PEARSON(behavior_speed_control,distraction_manual)</f>
        <v>0.18540496217739155</v>
      </c>
      <c r="K2" s="22">
        <f>PEARSON(behavior_lane_position,distraction_manual)</f>
        <v>0.50892857142857117</v>
      </c>
      <c r="L2" s="22">
        <f>PEARSON(behavior_reaction_time,distraction_manual)</f>
        <v>0.5845671475544959</v>
      </c>
      <c r="M2" s="22">
        <f>PEARSON(behavior_wrong_turns,distraction_manual)</f>
        <v>0.338501600193165</v>
      </c>
      <c r="N2" s="23">
        <f>PEARSON(behavior_operating_errors,distraction_manual)</f>
        <v>0.4623721517963173</v>
      </c>
      <c r="O2" s="24">
        <f>PEARSON(bad_instructions,distraction_manual)</f>
        <v>0.50892857142857117</v>
      </c>
      <c r="P2" s="19">
        <f>PEARSON(interruptions,distraction_manual)</f>
        <v>0.17499999999999999</v>
      </c>
      <c r="Q2" s="3"/>
      <c r="R2" s="3"/>
    </row>
    <row r="3" spans="1:18" s="2" customFormat="1" ht="25.2" customHeight="1" x14ac:dyDescent="0.3">
      <c r="A3" s="17" t="s">
        <v>2</v>
      </c>
      <c r="B3" s="18" t="s">
        <v>15</v>
      </c>
      <c r="C3" s="18" t="s">
        <v>15</v>
      </c>
      <c r="D3" s="19">
        <f>PEARSON(distraction_shift_focus,distraction_awareness)</f>
        <v>0.75602532659803623</v>
      </c>
      <c r="E3" s="19">
        <f>PEARSON(distraction_mental_load,distraction_awareness)</f>
        <v>0.58033925491358129</v>
      </c>
      <c r="F3" s="19">
        <f>PEARSON(distraction_glance_frequency,distraction_awareness)</f>
        <v>0.62137428728742916</v>
      </c>
      <c r="G3" s="20">
        <f>PEARSON(distraction_glance_duration,distraction_awareness)</f>
        <v>0.56733587330032287</v>
      </c>
      <c r="H3" s="25">
        <f>PEARSON(behavior_more_speed,distraction_awareness)</f>
        <v>0.28389613404443026</v>
      </c>
      <c r="I3" s="19">
        <f>PEARSON(behavior_less_speed,distraction_awareness)</f>
        <v>0.54664285229041354</v>
      </c>
      <c r="J3" s="19">
        <f>PEARSON(behavior_speed_control,distraction_awareness)</f>
        <v>9.0603284840454851E-2</v>
      </c>
      <c r="K3" s="19">
        <f>PEARSON(behavior_lane_position,distraction_awareness)</f>
        <v>0.35778194418632248</v>
      </c>
      <c r="L3" s="19">
        <f>PEARSON(behavior_reaction_time,distraction_awareness)</f>
        <v>0.81114745823738776</v>
      </c>
      <c r="M3" s="19">
        <f>PEARSON(behavior_wrong_turns,distraction_awareness)</f>
        <v>0.33083641927455326</v>
      </c>
      <c r="N3" s="26">
        <f>PEARSON(behavior_operating_errors,distraction_awareness)</f>
        <v>0.37156385923894331</v>
      </c>
      <c r="O3" s="24">
        <f>PEARSON(bad_instructions,distraction_awareness)</f>
        <v>0.54976249960337364</v>
      </c>
      <c r="P3" s="19">
        <f>PEARSON(interruptions,distraction_awareness)</f>
        <v>0.1466033332275663</v>
      </c>
      <c r="Q3" s="3"/>
      <c r="R3" s="3"/>
    </row>
    <row r="4" spans="1:18" s="2" customFormat="1" ht="25.2" customHeight="1" x14ac:dyDescent="0.3">
      <c r="A4" s="17" t="s">
        <v>3</v>
      </c>
      <c r="B4" s="18" t="s">
        <v>15</v>
      </c>
      <c r="C4" s="18" t="s">
        <v>15</v>
      </c>
      <c r="D4" s="18" t="s">
        <v>15</v>
      </c>
      <c r="E4" s="19">
        <f>PEARSON(distraction_mental_load,distraction_shift_focus)</f>
        <v>0.50004960071437243</v>
      </c>
      <c r="F4" s="19">
        <f>PEARSON(distraction_glance_frequency,distraction_shift_focus)</f>
        <v>0.6584269219592207</v>
      </c>
      <c r="G4" s="20">
        <f>PEARSON(distraction_glance_duration,distraction_shift_focus)</f>
        <v>0.62127185911298932</v>
      </c>
      <c r="H4" s="25">
        <f>PEARSON(behavior_more_speed,distraction_shift_focus)</f>
        <v>9.9999999999999908E-2</v>
      </c>
      <c r="I4" s="19">
        <f>PEARSON(behavior_less_speed,distraction_shift_focus)</f>
        <v>0.6024960939374433</v>
      </c>
      <c r="J4" s="19">
        <f>PEARSON(behavior_speed_control,distraction_shift_focus)</f>
        <v>0</v>
      </c>
      <c r="K4" s="19">
        <f>PEARSON(behavior_lane_position,distraction_shift_focus)</f>
        <v>0.39651972354028303</v>
      </c>
      <c r="L4" s="19">
        <f>PEARSON(behavior_reaction_time,distraction_shift_focus)</f>
        <v>0.80498447189992439</v>
      </c>
      <c r="M4" s="19">
        <f>PEARSON(behavior_wrong_turns,distraction_shift_focus)</f>
        <v>0.43700368673756318</v>
      </c>
      <c r="N4" s="26">
        <f>PEARSON(behavior_operating_errors,distraction_shift_focus)</f>
        <v>0.40325254197910854</v>
      </c>
      <c r="O4" s="24">
        <f>PEARSON(bad_instructions,distraction_shift_focus)</f>
        <v>0.70082555788515155</v>
      </c>
      <c r="P4" s="19">
        <f>PEARSON(interruptions,distraction_shift_focus)</f>
        <v>0.33565855667130962</v>
      </c>
      <c r="Q4" s="3"/>
      <c r="R4" s="3"/>
    </row>
    <row r="5" spans="1:18" s="2" customFormat="1" ht="25.2" customHeight="1" x14ac:dyDescent="0.3">
      <c r="A5" s="17" t="s">
        <v>4</v>
      </c>
      <c r="B5" s="18" t="s">
        <v>15</v>
      </c>
      <c r="C5" s="18" t="s">
        <v>15</v>
      </c>
      <c r="D5" s="18" t="s">
        <v>15</v>
      </c>
      <c r="E5" s="18" t="s">
        <v>15</v>
      </c>
      <c r="F5" s="19">
        <f>PEARSON(distraction_glance_frequency,distraction_mental_load)</f>
        <v>0.37393210410033512</v>
      </c>
      <c r="G5" s="20">
        <f>PEARSON(distraction_glance_duration,distraction_mental_load)</f>
        <v>0.63521235128563402</v>
      </c>
      <c r="H5" s="25">
        <f>PEARSON(behavior_more_speed,distraction_mental_load)</f>
        <v>0.71206533200053845</v>
      </c>
      <c r="I5" s="19">
        <f>PEARSON(behavior_less_speed,distraction_mental_load)</f>
        <v>0.12192725349171497</v>
      </c>
      <c r="J5" s="19">
        <f>PEARSON(behavior_speed_control,distraction_mental_load)</f>
        <v>0.33166247903553991</v>
      </c>
      <c r="K5" s="19">
        <f>PEARSON(behavior_lane_position,distraction_mental_load)</f>
        <v>0.50045330924995279</v>
      </c>
      <c r="L5" s="19">
        <f>PEARSON(behavior_reaction_time,distraction_mental_load)</f>
        <v>0.3356585566713095</v>
      </c>
      <c r="M5" s="19">
        <f>PEARSON(behavior_wrong_turns,distraction_mental_load)</f>
        <v>0.60553007081949839</v>
      </c>
      <c r="N5" s="26">
        <f>PEARSON(behavior_operating_errors,distraction_mental_load)</f>
        <v>0.75972177616360104</v>
      </c>
      <c r="O5" s="24">
        <f>PEARSON(bad_instructions,distraction_mental_load)</f>
        <v>0.73470804974993065</v>
      </c>
      <c r="P5" s="19">
        <f>PEARSON(interruptions,distraction_mental_load)</f>
        <v>0.64100615354993984</v>
      </c>
      <c r="Q5" s="3"/>
      <c r="R5" s="3"/>
    </row>
    <row r="6" spans="1:18" s="2" customFormat="1" ht="25.2" customHeight="1" x14ac:dyDescent="0.3">
      <c r="A6" s="17" t="s">
        <v>5</v>
      </c>
      <c r="B6" s="18" t="s">
        <v>15</v>
      </c>
      <c r="C6" s="18" t="s">
        <v>15</v>
      </c>
      <c r="D6" s="18" t="s">
        <v>15</v>
      </c>
      <c r="E6" s="18" t="s">
        <v>15</v>
      </c>
      <c r="F6" s="18" t="s">
        <v>15</v>
      </c>
      <c r="G6" s="20">
        <f>PEARSON(distraction_glance_duration,distraction_glance_frequency)</f>
        <v>0.66626122561069834</v>
      </c>
      <c r="H6" s="25">
        <f>PEARSON(behavior_more_speed,distraction_glance_frequency)</f>
        <v>0.17480147469502527</v>
      </c>
      <c r="I6" s="19">
        <f>PEARSON(behavior_less_speed,distraction_glance_frequency)</f>
        <v>0.58630196997792872</v>
      </c>
      <c r="J6" s="19">
        <f>PEARSON(behavior_speed_control,distraction_glance_frequency)</f>
        <v>0.54772255750516607</v>
      </c>
      <c r="K6" s="19">
        <f>PEARSON(behavior_lane_position,distraction_glance_frequency)</f>
        <v>0.77371794329866284</v>
      </c>
      <c r="L6" s="19">
        <f>PEARSON(behavior_reaction_time,distraction_glance_frequency)</f>
        <v>0.39086797998528583</v>
      </c>
      <c r="M6" s="19">
        <f>PEARSON(behavior_wrong_turns,distraction_glance_frequency)</f>
        <v>0.33333333333333337</v>
      </c>
      <c r="N6" s="26">
        <f>PEARSON(behavior_operating_errors,distraction_glance_frequency)</f>
        <v>0.66779184327599106</v>
      </c>
      <c r="O6" s="24">
        <f>PEARSON(bad_instructions,distraction_glance_frequency)</f>
        <v>0.38685897164933147</v>
      </c>
      <c r="P6" s="19">
        <f>PEARSON(interruptions,distraction_glance_frequency)</f>
        <v>-0.13540064007726602</v>
      </c>
      <c r="Q6" s="3"/>
      <c r="R6" s="3"/>
    </row>
    <row r="7" spans="1:18" s="2" customFormat="1" ht="25.2" customHeight="1" thickBot="1" x14ac:dyDescent="0.35">
      <c r="A7" s="17" t="s">
        <v>6</v>
      </c>
      <c r="B7" s="18" t="s">
        <v>15</v>
      </c>
      <c r="C7" s="18" t="s">
        <v>15</v>
      </c>
      <c r="D7" s="18" t="s">
        <v>15</v>
      </c>
      <c r="E7" s="18" t="s">
        <v>15</v>
      </c>
      <c r="F7" s="18" t="s">
        <v>15</v>
      </c>
      <c r="G7" s="27" t="s">
        <v>15</v>
      </c>
      <c r="H7" s="28">
        <f>PEARSON(behavior_more_speed,distraction_glance_duration)</f>
        <v>0.24236302811768545</v>
      </c>
      <c r="I7" s="29">
        <f>PEARSON(behavior_less_speed,distraction_glance_duration)</f>
        <v>0.57381904175700449</v>
      </c>
      <c r="J7" s="29">
        <f>PEARSON(behavior_speed_control,distraction_glance_duration)</f>
        <v>0.49138926996236532</v>
      </c>
      <c r="K7" s="29">
        <f>PEARSON(behavior_lane_position,distraction_glance_duration)</f>
        <v>0.85978831015416246</v>
      </c>
      <c r="L7" s="29">
        <f>PEARSON(behavior_reaction_time,distraction_glance_duration)</f>
        <v>0.40804909636053643</v>
      </c>
      <c r="M7" s="29">
        <f>PEARSON(behavior_wrong_turns,distraction_glance_duration)</f>
        <v>0.29904998630487029</v>
      </c>
      <c r="N7" s="30">
        <f>PEARSON(behavior_operating_errors,distraction_glance_duration)</f>
        <v>0.74434807318488694</v>
      </c>
      <c r="O7" s="24">
        <f>PEARSON(bad_instructions,distraction_glance_duration)</f>
        <v>0.59948542726345244</v>
      </c>
      <c r="P7" s="19">
        <f>PEARSON(interruptions,distraction_glance_duration)</f>
        <v>0.28712196779460097</v>
      </c>
      <c r="Q7" s="3"/>
      <c r="R7" s="3"/>
    </row>
    <row r="8" spans="1:18" s="2" customFormat="1" ht="25.2" customHeight="1" x14ac:dyDescent="0.3">
      <c r="A8" s="17" t="s">
        <v>1</v>
      </c>
      <c r="B8" s="18" t="s">
        <v>15</v>
      </c>
      <c r="C8" s="18" t="s">
        <v>15</v>
      </c>
      <c r="D8" s="18" t="s">
        <v>15</v>
      </c>
      <c r="E8" s="18" t="s">
        <v>15</v>
      </c>
      <c r="F8" s="18" t="s">
        <v>15</v>
      </c>
      <c r="G8" s="18" t="s">
        <v>15</v>
      </c>
      <c r="H8" s="31" t="s">
        <v>15</v>
      </c>
      <c r="I8" s="32">
        <f>PEARSON(behavior_less_speed,behavior_more_speed)</f>
        <v>0.28571979712497303</v>
      </c>
      <c r="J8" s="32">
        <f>PEARSON(behavior_speed_control,behavior_more_speed)</f>
        <v>0.38297084310253526</v>
      </c>
      <c r="K8" s="32">
        <f>PEARSON(behavior_lane_position,behavior_more_speed)</f>
        <v>0.31352722326440985</v>
      </c>
      <c r="L8" s="32">
        <f>PEARSON(behavior_reaction_time,behavior_more_speed)</f>
        <v>1.4907119849998618E-2</v>
      </c>
      <c r="M8" s="32">
        <f>PEARSON(behavior_wrong_turns,behavior_more_speed)</f>
        <v>0.17480147469502527</v>
      </c>
      <c r="N8" s="32">
        <f>PEARSON(behavior_operating_errors,behavior_more_speed)</f>
        <v>0.53059544997251107</v>
      </c>
      <c r="O8" s="19">
        <f>PEARSON(bad_instructions,behavior_more_speed)</f>
        <v>0.31352722326440985</v>
      </c>
      <c r="P8" s="19">
        <f>PEARSON(interruptions,behavior_more_speed)</f>
        <v>0.232379000772445</v>
      </c>
      <c r="Q8" s="3"/>
      <c r="R8" s="3"/>
    </row>
    <row r="9" spans="1:18" s="2" customFormat="1" ht="25.2" customHeight="1" x14ac:dyDescent="0.3">
      <c r="A9" s="17" t="s">
        <v>7</v>
      </c>
      <c r="B9" s="18" t="s">
        <v>15</v>
      </c>
      <c r="C9" s="18" t="s">
        <v>15</v>
      </c>
      <c r="D9" s="18" t="s">
        <v>15</v>
      </c>
      <c r="E9" s="18" t="s">
        <v>15</v>
      </c>
      <c r="F9" s="18" t="s">
        <v>15</v>
      </c>
      <c r="G9" s="18" t="s">
        <v>15</v>
      </c>
      <c r="H9" s="18" t="s">
        <v>15</v>
      </c>
      <c r="I9" s="18" t="s">
        <v>15</v>
      </c>
      <c r="J9" s="19">
        <f>PEARSON(behavior_speed_control,behavior_less_speed)</f>
        <v>0.35681201607403135</v>
      </c>
      <c r="K9" s="19">
        <f>PEARSON(behavior_lane_position,behavior_less_speed)</f>
        <v>0.51549131177645169</v>
      </c>
      <c r="L9" s="19">
        <f>PEARSON(behavior_reaction_time,behavior_less_speed)</f>
        <v>0.40555555555555556</v>
      </c>
      <c r="M9" s="19">
        <f>PEARSON(behavior_wrong_turns,behavior_less_speed)</f>
        <v>-6.5144663330880953E-2</v>
      </c>
      <c r="N9" s="19">
        <f>PEARSON(behavior_operating_errors,behavior_less_speed)</f>
        <v>0.34011494847797891</v>
      </c>
      <c r="O9" s="19">
        <f>PEARSON(bad_instructions,behavior_less_speed)</f>
        <v>0.28867513459481303</v>
      </c>
      <c r="P9" s="19">
        <f>PEARSON(interruptions,behavior_less_speed)</f>
        <v>-0.13471506281091269</v>
      </c>
      <c r="Q9" s="3"/>
      <c r="R9" s="3"/>
    </row>
    <row r="10" spans="1:18" s="2" customFormat="1" ht="25.2" customHeight="1" x14ac:dyDescent="0.3">
      <c r="A10" s="17" t="s">
        <v>8</v>
      </c>
      <c r="B10" s="18" t="s">
        <v>15</v>
      </c>
      <c r="C10" s="18" t="s">
        <v>15</v>
      </c>
      <c r="D10" s="18" t="s">
        <v>15</v>
      </c>
      <c r="E10" s="18" t="s">
        <v>15</v>
      </c>
      <c r="F10" s="18" t="s">
        <v>15</v>
      </c>
      <c r="G10" s="18" t="s">
        <v>15</v>
      </c>
      <c r="H10" s="18" t="s">
        <v>15</v>
      </c>
      <c r="I10" s="18" t="s">
        <v>15</v>
      </c>
      <c r="J10" s="18" t="s">
        <v>15</v>
      </c>
      <c r="K10" s="19">
        <f>PEARSON(behavior_lane_position,behavior_speed_control)</f>
        <v>0.84756554138236151</v>
      </c>
      <c r="L10" s="19">
        <f>PEARSON(behavior_reaction_time,behavior_speed_control)</f>
        <v>-8.5634883857767533E-2</v>
      </c>
      <c r="M10" s="19">
        <f>PEARSON(behavior_wrong_turns,behavior_speed_control)</f>
        <v>0.36514837167011072</v>
      </c>
      <c r="N10" s="19">
        <f>PEARSON(behavior_operating_errors,behavior_speed_control)</f>
        <v>0.73152931256042986</v>
      </c>
      <c r="O10" s="19">
        <f>PEARSON(bad_instructions,behavior_speed_control)</f>
        <v>0.31783707801838551</v>
      </c>
      <c r="P10" s="19">
        <f>PEARSON(interruptions,behavior_speed_control)</f>
        <v>0.14832396974191328</v>
      </c>
      <c r="Q10" s="3"/>
      <c r="R10" s="3"/>
    </row>
    <row r="11" spans="1:18" s="2" customFormat="1" ht="25.2" customHeight="1" x14ac:dyDescent="0.3">
      <c r="A11" s="17" t="s">
        <v>9</v>
      </c>
      <c r="B11" s="18" t="s">
        <v>15</v>
      </c>
      <c r="C11" s="18" t="s">
        <v>15</v>
      </c>
      <c r="D11" s="18" t="s">
        <v>15</v>
      </c>
      <c r="E11" s="18" t="s">
        <v>15</v>
      </c>
      <c r="F11" s="18" t="s">
        <v>15</v>
      </c>
      <c r="G11" s="18" t="s">
        <v>15</v>
      </c>
      <c r="H11" s="18" t="s">
        <v>15</v>
      </c>
      <c r="I11" s="18" t="s">
        <v>15</v>
      </c>
      <c r="J11" s="18" t="s">
        <v>15</v>
      </c>
      <c r="K11" s="18" t="s">
        <v>15</v>
      </c>
      <c r="L11" s="19">
        <f>PEARSON(behavior_reaction_time,behavior_lane_position)</f>
        <v>0.25568369064112001</v>
      </c>
      <c r="M11" s="19">
        <f>PEARSON(behavior_wrong_turns,behavior_lane_position)</f>
        <v>0.38685897164933147</v>
      </c>
      <c r="N11" s="19">
        <f>PEARSON(behavior_operating_errors,behavior_lane_position)</f>
        <v>0.83373772133431201</v>
      </c>
      <c r="O11" s="19">
        <f>PEARSON(bad_instructions,behavior_lane_position)</f>
        <v>0.55102040816326525</v>
      </c>
      <c r="P11" s="19">
        <f>PEARSON(interruptions,behavior_lane_position)</f>
        <v>0.21428571428571436</v>
      </c>
      <c r="Q11" s="3"/>
      <c r="R11" s="3"/>
    </row>
    <row r="12" spans="1:18" s="2" customFormat="1" ht="25.2" customHeight="1" x14ac:dyDescent="0.3">
      <c r="A12" s="17" t="s">
        <v>10</v>
      </c>
      <c r="B12" s="18" t="s">
        <v>15</v>
      </c>
      <c r="C12" s="18" t="s">
        <v>15</v>
      </c>
      <c r="D12" s="18" t="s">
        <v>15</v>
      </c>
      <c r="E12" s="18" t="s">
        <v>15</v>
      </c>
      <c r="F12" s="18" t="s">
        <v>15</v>
      </c>
      <c r="G12" s="18" t="s">
        <v>15</v>
      </c>
      <c r="H12" s="18" t="s">
        <v>15</v>
      </c>
      <c r="I12" s="18" t="s">
        <v>15</v>
      </c>
      <c r="J12" s="18" t="s">
        <v>15</v>
      </c>
      <c r="K12" s="18" t="s">
        <v>15</v>
      </c>
      <c r="L12" s="18" t="s">
        <v>15</v>
      </c>
      <c r="M12" s="19">
        <f>PEARSON(behavior_wrong_turns,behavior_reaction_time)</f>
        <v>0.15634719199411432</v>
      </c>
      <c r="N12" s="19">
        <f>PEARSON(behavior_operating_errors,behavior_reaction_time)</f>
        <v>9.4915799575249954E-2</v>
      </c>
      <c r="O12" s="19">
        <f>PEARSON(bad_instructions,behavior_reaction_time)</f>
        <v>0.61858957413174209</v>
      </c>
      <c r="P12" s="19">
        <f>PEARSON(interruptions,behavior_reaction_time)</f>
        <v>0.34641016151377546</v>
      </c>
      <c r="Q12" s="3"/>
      <c r="R12" s="3"/>
    </row>
    <row r="13" spans="1:18" s="2" customFormat="1" ht="25.2" customHeight="1" x14ac:dyDescent="0.3">
      <c r="A13" s="17" t="s">
        <v>11</v>
      </c>
      <c r="B13" s="18" t="s">
        <v>15</v>
      </c>
      <c r="C13" s="18" t="s">
        <v>15</v>
      </c>
      <c r="D13" s="18" t="s">
        <v>15</v>
      </c>
      <c r="E13" s="18" t="s">
        <v>15</v>
      </c>
      <c r="F13" s="18" t="s">
        <v>15</v>
      </c>
      <c r="G13" s="18" t="s">
        <v>15</v>
      </c>
      <c r="H13" s="18" t="s">
        <v>15</v>
      </c>
      <c r="I13" s="18" t="s">
        <v>15</v>
      </c>
      <c r="J13" s="18" t="s">
        <v>15</v>
      </c>
      <c r="K13" s="18" t="s">
        <v>15</v>
      </c>
      <c r="L13" s="18" t="s">
        <v>15</v>
      </c>
      <c r="M13" s="18" t="s">
        <v>15</v>
      </c>
      <c r="N13" s="19">
        <f>PEARSON(behavior_operating_errors,behavior_wrong_turns)</f>
        <v>0.66779184327599106</v>
      </c>
      <c r="O13" s="19">
        <f>PEARSON(bad_instructions,behavior_wrong_turns)</f>
        <v>0.67700320038633011</v>
      </c>
      <c r="P13" s="19">
        <f>PEARSON(interruptions,behavior_wrong_turns)</f>
        <v>0.67700320038633011</v>
      </c>
      <c r="Q13" s="3"/>
      <c r="R13" s="3"/>
    </row>
    <row r="14" spans="1:18" s="2" customFormat="1" ht="25.2" customHeight="1" x14ac:dyDescent="0.3">
      <c r="A14" s="17" t="s">
        <v>12</v>
      </c>
      <c r="B14" s="18" t="s">
        <v>15</v>
      </c>
      <c r="C14" s="18" t="s">
        <v>15</v>
      </c>
      <c r="D14" s="18" t="s">
        <v>15</v>
      </c>
      <c r="E14" s="18" t="s">
        <v>15</v>
      </c>
      <c r="F14" s="18" t="s">
        <v>15</v>
      </c>
      <c r="G14" s="18" t="s">
        <v>15</v>
      </c>
      <c r="H14" s="18" t="s">
        <v>15</v>
      </c>
      <c r="I14" s="18" t="s">
        <v>15</v>
      </c>
      <c r="J14" s="18" t="s">
        <v>15</v>
      </c>
      <c r="K14" s="18" t="s">
        <v>15</v>
      </c>
      <c r="L14" s="18" t="s">
        <v>15</v>
      </c>
      <c r="M14" s="18" t="s">
        <v>15</v>
      </c>
      <c r="N14" s="18" t="s">
        <v>15</v>
      </c>
      <c r="O14" s="19">
        <f>PEARSON(bad_instructions,behavior_operating_errors)</f>
        <v>0.5753964555687503</v>
      </c>
      <c r="P14" s="19">
        <f>PEARSON(interruptions,behavior_operating_errors)</f>
        <v>0.39455756953285742</v>
      </c>
      <c r="Q14" s="3"/>
      <c r="R14" s="3"/>
    </row>
    <row r="15" spans="1:18" s="2" customFormat="1" ht="25.2" customHeight="1" x14ac:dyDescent="0.3">
      <c r="A15" s="17" t="s">
        <v>14</v>
      </c>
      <c r="B15" s="18" t="s">
        <v>15</v>
      </c>
      <c r="C15" s="18" t="s">
        <v>15</v>
      </c>
      <c r="D15" s="18" t="s">
        <v>15</v>
      </c>
      <c r="E15" s="18" t="s">
        <v>15</v>
      </c>
      <c r="F15" s="18" t="s">
        <v>15</v>
      </c>
      <c r="G15" s="18" t="s">
        <v>15</v>
      </c>
      <c r="H15" s="18" t="s">
        <v>15</v>
      </c>
      <c r="I15" s="18" t="s">
        <v>15</v>
      </c>
      <c r="J15" s="18" t="s">
        <v>15</v>
      </c>
      <c r="K15" s="18" t="s">
        <v>15</v>
      </c>
      <c r="L15" s="18" t="s">
        <v>15</v>
      </c>
      <c r="M15" s="18" t="s">
        <v>15</v>
      </c>
      <c r="N15" s="18" t="s">
        <v>15</v>
      </c>
      <c r="O15" s="18" t="s">
        <v>15</v>
      </c>
      <c r="P15" s="19">
        <f>PEARSON(interruptions,bad_instructions)</f>
        <v>0.68571428571428572</v>
      </c>
      <c r="Q15" s="3"/>
      <c r="R15" s="3"/>
    </row>
    <row r="16" spans="1:18" s="2" customFormat="1" ht="25.2" customHeight="1" x14ac:dyDescent="0.3">
      <c r="A16" s="17" t="s">
        <v>13</v>
      </c>
      <c r="B16" s="18" t="s">
        <v>15</v>
      </c>
      <c r="C16" s="18" t="s">
        <v>15</v>
      </c>
      <c r="D16" s="18" t="s">
        <v>15</v>
      </c>
      <c r="E16" s="18" t="s">
        <v>15</v>
      </c>
      <c r="F16" s="18" t="s">
        <v>15</v>
      </c>
      <c r="G16" s="18" t="s">
        <v>15</v>
      </c>
      <c r="H16" s="18" t="s">
        <v>15</v>
      </c>
      <c r="I16" s="18" t="s">
        <v>15</v>
      </c>
      <c r="J16" s="18" t="s">
        <v>15</v>
      </c>
      <c r="K16" s="18" t="s">
        <v>15</v>
      </c>
      <c r="L16" s="18" t="s">
        <v>15</v>
      </c>
      <c r="M16" s="18" t="s">
        <v>15</v>
      </c>
      <c r="N16" s="18" t="s">
        <v>15</v>
      </c>
      <c r="O16" s="18" t="s">
        <v>15</v>
      </c>
      <c r="P16" s="18" t="s">
        <v>15</v>
      </c>
      <c r="Q16" s="3"/>
      <c r="R16" s="3"/>
    </row>
  </sheetData>
  <conditionalFormatting sqref="A1:P16"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22E1-9729-4459-AB9D-47BA159C983A}">
  <sheetPr codeName="Blad3"/>
  <dimension ref="A1:R16"/>
  <sheetViews>
    <sheetView zoomScale="80" zoomScaleNormal="80" workbookViewId="0">
      <selection activeCell="N1" sqref="N1:N4"/>
    </sheetView>
  </sheetViews>
  <sheetFormatPr defaultRowHeight="14.4" x14ac:dyDescent="0.3"/>
  <cols>
    <col min="1" max="1" width="38.88671875" customWidth="1"/>
    <col min="2" max="16" width="7.88671875" customWidth="1"/>
  </cols>
  <sheetData>
    <row r="1" spans="1:18" ht="201.6" x14ac:dyDescent="0.4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2" customHeight="1" x14ac:dyDescent="0.3">
      <c r="A2" s="7" t="s">
        <v>0</v>
      </c>
      <c r="B2" s="8" t="s">
        <v>15</v>
      </c>
      <c r="C2" s="9">
        <f ca="1">MIN(COUNT(INDIRECT(C$1)),COUNT(INDIRECT($A2)))</f>
        <v>14</v>
      </c>
      <c r="D2" s="9">
        <f t="shared" ref="D2:P15" ca="1" si="0">MIN(COUNT(INDIRECT(D$1)),COUNT(INDIRECT($A2)))</f>
        <v>14</v>
      </c>
      <c r="E2" s="9">
        <f t="shared" ca="1" si="0"/>
        <v>13</v>
      </c>
      <c r="F2" s="9">
        <f t="shared" ca="1" si="0"/>
        <v>14</v>
      </c>
      <c r="G2" s="9">
        <f t="shared" ca="1" si="0"/>
        <v>14</v>
      </c>
      <c r="H2" s="9">
        <f t="shared" ca="1" si="0"/>
        <v>11</v>
      </c>
      <c r="I2" s="9">
        <f t="shared" ca="1" si="0"/>
        <v>11</v>
      </c>
      <c r="J2" s="9">
        <f t="shared" ca="1" si="0"/>
        <v>11</v>
      </c>
      <c r="K2" s="9">
        <f t="shared" ca="1" si="0"/>
        <v>11</v>
      </c>
      <c r="L2" s="9">
        <f t="shared" ca="1" si="0"/>
        <v>11</v>
      </c>
      <c r="M2" s="9">
        <f t="shared" ca="1" si="0"/>
        <v>11</v>
      </c>
      <c r="N2" s="9">
        <f t="shared" ca="1" si="0"/>
        <v>11</v>
      </c>
      <c r="O2" s="9">
        <f t="shared" ca="1" si="0"/>
        <v>11</v>
      </c>
      <c r="P2" s="9">
        <f t="shared" ca="1" si="0"/>
        <v>11</v>
      </c>
      <c r="Q2" s="3"/>
      <c r="R2" s="3"/>
    </row>
    <row r="3" spans="1:18" s="2" customFormat="1" ht="25.2" customHeight="1" x14ac:dyDescent="0.3">
      <c r="A3" s="7" t="s">
        <v>2</v>
      </c>
      <c r="B3" s="8" t="s">
        <v>15</v>
      </c>
      <c r="C3" s="8" t="s">
        <v>15</v>
      </c>
      <c r="D3" s="9">
        <f t="shared" ca="1" si="0"/>
        <v>14</v>
      </c>
      <c r="E3" s="9">
        <f t="shared" ca="1" si="0"/>
        <v>13</v>
      </c>
      <c r="F3" s="9">
        <f t="shared" ca="1" si="0"/>
        <v>14</v>
      </c>
      <c r="G3" s="9">
        <f t="shared" ca="1" si="0"/>
        <v>14</v>
      </c>
      <c r="H3" s="9">
        <f t="shared" ca="1" si="0"/>
        <v>11</v>
      </c>
      <c r="I3" s="9">
        <f t="shared" ca="1" si="0"/>
        <v>11</v>
      </c>
      <c r="J3" s="9">
        <f t="shared" ca="1" si="0"/>
        <v>11</v>
      </c>
      <c r="K3" s="9">
        <f t="shared" ca="1" si="0"/>
        <v>11</v>
      </c>
      <c r="L3" s="9">
        <f t="shared" ca="1" si="0"/>
        <v>11</v>
      </c>
      <c r="M3" s="9">
        <f t="shared" ca="1" si="0"/>
        <v>11</v>
      </c>
      <c r="N3" s="9">
        <f t="shared" ca="1" si="0"/>
        <v>11</v>
      </c>
      <c r="O3" s="9">
        <f t="shared" ca="1" si="0"/>
        <v>11</v>
      </c>
      <c r="P3" s="9">
        <f t="shared" ca="1" si="0"/>
        <v>11</v>
      </c>
      <c r="Q3" s="3"/>
      <c r="R3" s="3"/>
    </row>
    <row r="4" spans="1:18" s="2" customFormat="1" ht="25.2" customHeight="1" x14ac:dyDescent="0.3">
      <c r="A4" s="7" t="s">
        <v>3</v>
      </c>
      <c r="B4" s="8" t="s">
        <v>15</v>
      </c>
      <c r="C4" s="8" t="s">
        <v>15</v>
      </c>
      <c r="D4" s="8" t="s">
        <v>15</v>
      </c>
      <c r="E4" s="9">
        <f t="shared" ca="1" si="0"/>
        <v>13</v>
      </c>
      <c r="F4" s="9">
        <f t="shared" ca="1" si="0"/>
        <v>14</v>
      </c>
      <c r="G4" s="9">
        <f t="shared" ca="1" si="0"/>
        <v>14</v>
      </c>
      <c r="H4" s="9">
        <f t="shared" ca="1" si="0"/>
        <v>11</v>
      </c>
      <c r="I4" s="9">
        <f t="shared" ca="1" si="0"/>
        <v>11</v>
      </c>
      <c r="J4" s="9">
        <f t="shared" ca="1" si="0"/>
        <v>11</v>
      </c>
      <c r="K4" s="9">
        <f t="shared" ca="1" si="0"/>
        <v>11</v>
      </c>
      <c r="L4" s="9">
        <f t="shared" ca="1" si="0"/>
        <v>11</v>
      </c>
      <c r="M4" s="9">
        <f t="shared" ca="1" si="0"/>
        <v>11</v>
      </c>
      <c r="N4" s="9">
        <f t="shared" ca="1" si="0"/>
        <v>11</v>
      </c>
      <c r="O4" s="9">
        <f t="shared" ca="1" si="0"/>
        <v>11</v>
      </c>
      <c r="P4" s="9">
        <f t="shared" ca="1" si="0"/>
        <v>11</v>
      </c>
      <c r="Q4" s="3"/>
      <c r="R4" s="3"/>
    </row>
    <row r="5" spans="1:18" s="2" customFormat="1" ht="25.2" customHeight="1" x14ac:dyDescent="0.3">
      <c r="A5" s="7" t="s">
        <v>4</v>
      </c>
      <c r="B5" s="8" t="s">
        <v>15</v>
      </c>
      <c r="C5" s="8" t="s">
        <v>15</v>
      </c>
      <c r="D5" s="8" t="s">
        <v>15</v>
      </c>
      <c r="E5" s="8" t="s">
        <v>15</v>
      </c>
      <c r="F5" s="9">
        <f t="shared" ca="1" si="0"/>
        <v>13</v>
      </c>
      <c r="G5" s="9">
        <f t="shared" ca="1" si="0"/>
        <v>13</v>
      </c>
      <c r="H5" s="9">
        <f t="shared" ca="1" si="0"/>
        <v>11</v>
      </c>
      <c r="I5" s="9">
        <f t="shared" ca="1" si="0"/>
        <v>11</v>
      </c>
      <c r="J5" s="9">
        <f t="shared" ca="1" si="0"/>
        <v>11</v>
      </c>
      <c r="K5" s="9">
        <f t="shared" ca="1" si="0"/>
        <v>11</v>
      </c>
      <c r="L5" s="9">
        <f t="shared" ca="1" si="0"/>
        <v>11</v>
      </c>
      <c r="M5" s="9">
        <f t="shared" ca="1" si="0"/>
        <v>11</v>
      </c>
      <c r="N5" s="9">
        <f t="shared" ca="1" si="0"/>
        <v>11</v>
      </c>
      <c r="O5" s="9">
        <f t="shared" ca="1" si="0"/>
        <v>11</v>
      </c>
      <c r="P5" s="9">
        <f t="shared" ca="1" si="0"/>
        <v>11</v>
      </c>
      <c r="Q5" s="3"/>
      <c r="R5" s="3"/>
    </row>
    <row r="6" spans="1:18" s="2" customFormat="1" ht="25.2" customHeight="1" x14ac:dyDescent="0.3">
      <c r="A6" s="7" t="s">
        <v>5</v>
      </c>
      <c r="B6" s="8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9">
        <f t="shared" ca="1" si="0"/>
        <v>14</v>
      </c>
      <c r="H6" s="9">
        <f t="shared" ca="1" si="0"/>
        <v>11</v>
      </c>
      <c r="I6" s="9">
        <f t="shared" ca="1" si="0"/>
        <v>11</v>
      </c>
      <c r="J6" s="9">
        <f t="shared" ca="1" si="0"/>
        <v>11</v>
      </c>
      <c r="K6" s="9">
        <f t="shared" ca="1" si="0"/>
        <v>11</v>
      </c>
      <c r="L6" s="9">
        <f t="shared" ca="1" si="0"/>
        <v>11</v>
      </c>
      <c r="M6" s="9">
        <f t="shared" ca="1" si="0"/>
        <v>11</v>
      </c>
      <c r="N6" s="9">
        <f t="shared" ca="1" si="0"/>
        <v>11</v>
      </c>
      <c r="O6" s="9">
        <f t="shared" ca="1" si="0"/>
        <v>11</v>
      </c>
      <c r="P6" s="9">
        <f t="shared" ca="1" si="0"/>
        <v>11</v>
      </c>
      <c r="Q6" s="3"/>
      <c r="R6" s="3"/>
    </row>
    <row r="7" spans="1:18" s="2" customFormat="1" ht="25.2" customHeight="1" x14ac:dyDescent="0.3">
      <c r="A7" s="7" t="s">
        <v>6</v>
      </c>
      <c r="B7" s="8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10" t="s">
        <v>15</v>
      </c>
      <c r="H7" s="9">
        <f t="shared" ca="1" si="0"/>
        <v>11</v>
      </c>
      <c r="I7" s="9">
        <f t="shared" ca="1" si="0"/>
        <v>11</v>
      </c>
      <c r="J7" s="9">
        <f t="shared" ca="1" si="0"/>
        <v>11</v>
      </c>
      <c r="K7" s="9">
        <f t="shared" ca="1" si="0"/>
        <v>11</v>
      </c>
      <c r="L7" s="9">
        <f t="shared" ca="1" si="0"/>
        <v>11</v>
      </c>
      <c r="M7" s="9">
        <f t="shared" ca="1" si="0"/>
        <v>11</v>
      </c>
      <c r="N7" s="9">
        <f t="shared" ca="1" si="0"/>
        <v>11</v>
      </c>
      <c r="O7" s="9">
        <f t="shared" ca="1" si="0"/>
        <v>11</v>
      </c>
      <c r="P7" s="9">
        <f t="shared" ca="1" si="0"/>
        <v>11</v>
      </c>
      <c r="Q7" s="3"/>
      <c r="R7" s="3"/>
    </row>
    <row r="8" spans="1:18" s="2" customFormat="1" ht="25.2" customHeight="1" x14ac:dyDescent="0.3">
      <c r="A8" s="7" t="s">
        <v>1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11" t="s">
        <v>15</v>
      </c>
      <c r="I8" s="9">
        <f t="shared" ca="1" si="0"/>
        <v>11</v>
      </c>
      <c r="J8" s="9">
        <f t="shared" ca="1" si="0"/>
        <v>11</v>
      </c>
      <c r="K8" s="9">
        <f t="shared" ca="1" si="0"/>
        <v>11</v>
      </c>
      <c r="L8" s="9">
        <f t="shared" ca="1" si="0"/>
        <v>11</v>
      </c>
      <c r="M8" s="9">
        <f t="shared" ca="1" si="0"/>
        <v>11</v>
      </c>
      <c r="N8" s="9">
        <f t="shared" ca="1" si="0"/>
        <v>11</v>
      </c>
      <c r="O8" s="9">
        <f t="shared" ca="1" si="0"/>
        <v>11</v>
      </c>
      <c r="P8" s="9">
        <f t="shared" ca="1" si="0"/>
        <v>11</v>
      </c>
      <c r="Q8" s="3"/>
      <c r="R8" s="3"/>
    </row>
    <row r="9" spans="1:18" s="2" customFormat="1" ht="25.2" customHeight="1" x14ac:dyDescent="0.3">
      <c r="A9" s="7" t="s">
        <v>7</v>
      </c>
      <c r="B9" s="8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9">
        <f t="shared" ca="1" si="0"/>
        <v>11</v>
      </c>
      <c r="K9" s="9">
        <f t="shared" ca="1" si="0"/>
        <v>11</v>
      </c>
      <c r="L9" s="9">
        <f t="shared" ca="1" si="0"/>
        <v>11</v>
      </c>
      <c r="M9" s="9">
        <f t="shared" ca="1" si="0"/>
        <v>11</v>
      </c>
      <c r="N9" s="9">
        <f t="shared" ca="1" si="0"/>
        <v>11</v>
      </c>
      <c r="O9" s="9">
        <f t="shared" ca="1" si="0"/>
        <v>11</v>
      </c>
      <c r="P9" s="9">
        <f t="shared" ca="1" si="0"/>
        <v>11</v>
      </c>
      <c r="Q9" s="3"/>
      <c r="R9" s="3"/>
    </row>
    <row r="10" spans="1:18" s="2" customFormat="1" ht="25.2" customHeight="1" x14ac:dyDescent="0.3">
      <c r="A10" s="7" t="s">
        <v>8</v>
      </c>
      <c r="B10" s="8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9">
        <f t="shared" ca="1" si="0"/>
        <v>11</v>
      </c>
      <c r="L10" s="9">
        <f t="shared" ca="1" si="0"/>
        <v>11</v>
      </c>
      <c r="M10" s="9">
        <f t="shared" ca="1" si="0"/>
        <v>11</v>
      </c>
      <c r="N10" s="9">
        <f t="shared" ca="1" si="0"/>
        <v>11</v>
      </c>
      <c r="O10" s="9">
        <f t="shared" ca="1" si="0"/>
        <v>11</v>
      </c>
      <c r="P10" s="9">
        <f t="shared" ca="1" si="0"/>
        <v>11</v>
      </c>
      <c r="Q10" s="3"/>
      <c r="R10" s="3"/>
    </row>
    <row r="11" spans="1:18" s="2" customFormat="1" ht="25.2" customHeight="1" x14ac:dyDescent="0.3">
      <c r="A11" s="7" t="s">
        <v>9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9">
        <f t="shared" ca="1" si="0"/>
        <v>11</v>
      </c>
      <c r="M11" s="9">
        <f t="shared" ca="1" si="0"/>
        <v>11</v>
      </c>
      <c r="N11" s="9">
        <f t="shared" ca="1" si="0"/>
        <v>11</v>
      </c>
      <c r="O11" s="9">
        <f t="shared" ca="1" si="0"/>
        <v>11</v>
      </c>
      <c r="P11" s="9">
        <f t="shared" ca="1" si="0"/>
        <v>11</v>
      </c>
      <c r="Q11" s="3"/>
      <c r="R11" s="3"/>
    </row>
    <row r="12" spans="1:18" s="2" customFormat="1" ht="25.2" customHeight="1" x14ac:dyDescent="0.3">
      <c r="A12" s="7" t="s">
        <v>10</v>
      </c>
      <c r="B12" s="8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9">
        <f t="shared" ca="1" si="0"/>
        <v>11</v>
      </c>
      <c r="N12" s="9">
        <f t="shared" ca="1" si="0"/>
        <v>11</v>
      </c>
      <c r="O12" s="9">
        <f t="shared" ca="1" si="0"/>
        <v>11</v>
      </c>
      <c r="P12" s="9">
        <f t="shared" ca="1" si="0"/>
        <v>11</v>
      </c>
      <c r="Q12" s="3"/>
      <c r="R12" s="3"/>
    </row>
    <row r="13" spans="1:18" s="2" customFormat="1" ht="25.2" customHeight="1" x14ac:dyDescent="0.3">
      <c r="A13" s="7" t="s">
        <v>11</v>
      </c>
      <c r="B13" s="8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  <c r="N13" s="9">
        <f t="shared" ca="1" si="0"/>
        <v>11</v>
      </c>
      <c r="O13" s="9">
        <f t="shared" ca="1" si="0"/>
        <v>11</v>
      </c>
      <c r="P13" s="9">
        <f t="shared" ca="1" si="0"/>
        <v>11</v>
      </c>
      <c r="Q13" s="3"/>
      <c r="R13" s="3"/>
    </row>
    <row r="14" spans="1:18" s="2" customFormat="1" ht="25.2" customHeight="1" x14ac:dyDescent="0.3">
      <c r="A14" s="7" t="s">
        <v>12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  <c r="N14" s="8" t="s">
        <v>15</v>
      </c>
      <c r="O14" s="9">
        <f t="shared" ca="1" si="0"/>
        <v>11</v>
      </c>
      <c r="P14" s="9">
        <f t="shared" ca="1" si="0"/>
        <v>11</v>
      </c>
      <c r="Q14" s="3"/>
      <c r="R14" s="3"/>
    </row>
    <row r="15" spans="1:18" s="2" customFormat="1" ht="25.2" customHeight="1" x14ac:dyDescent="0.3">
      <c r="A15" s="7" t="s">
        <v>14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  <c r="N15" s="8" t="s">
        <v>15</v>
      </c>
      <c r="O15" s="8" t="s">
        <v>15</v>
      </c>
      <c r="P15" s="9">
        <f t="shared" ca="1" si="0"/>
        <v>11</v>
      </c>
      <c r="Q15" s="3"/>
      <c r="R15" s="3"/>
    </row>
    <row r="16" spans="1:18" s="2" customFormat="1" ht="25.2" customHeight="1" x14ac:dyDescent="0.3">
      <c r="A16" s="7" t="s">
        <v>13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3"/>
      <c r="R16" s="3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7F00-57F0-47CB-B6C0-5B80F68E7921}">
  <sheetPr codeName="Blad4"/>
  <dimension ref="A1:R16"/>
  <sheetViews>
    <sheetView topLeftCell="D1" zoomScale="80" zoomScaleNormal="80" workbookViewId="0">
      <selection activeCell="N7" sqref="N7"/>
    </sheetView>
  </sheetViews>
  <sheetFormatPr defaultRowHeight="14.4" x14ac:dyDescent="0.3"/>
  <cols>
    <col min="1" max="1" width="38.88671875" customWidth="1"/>
    <col min="2" max="16" width="20.5546875" customWidth="1"/>
  </cols>
  <sheetData>
    <row r="1" spans="1:18" ht="201.6" x14ac:dyDescent="0.4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2" customHeight="1" x14ac:dyDescent="0.3">
      <c r="A2" s="7" t="s">
        <v>0</v>
      </c>
      <c r="B2" s="8" t="s">
        <v>15</v>
      </c>
      <c r="C2" s="9" t="s">
        <v>16</v>
      </c>
      <c r="D2" s="12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9" t="s">
        <v>24</v>
      </c>
      <c r="L2" s="9" t="s">
        <v>25</v>
      </c>
      <c r="M2" s="9" t="s">
        <v>26</v>
      </c>
      <c r="N2" s="9" t="s">
        <v>27</v>
      </c>
      <c r="O2" s="9" t="s">
        <v>24</v>
      </c>
      <c r="P2" s="9" t="s">
        <v>28</v>
      </c>
      <c r="Q2" s="3"/>
      <c r="R2" s="3"/>
    </row>
    <row r="3" spans="1:18" s="2" customFormat="1" ht="25.2" customHeight="1" x14ac:dyDescent="0.3">
      <c r="A3" s="7" t="s">
        <v>2</v>
      </c>
      <c r="B3" s="8" t="s">
        <v>15</v>
      </c>
      <c r="C3" s="8" t="s">
        <v>15</v>
      </c>
      <c r="D3" s="13" t="s">
        <v>86</v>
      </c>
      <c r="E3" s="9" t="s">
        <v>85</v>
      </c>
      <c r="F3" s="9" t="s">
        <v>83</v>
      </c>
      <c r="G3" s="9" t="s">
        <v>84</v>
      </c>
      <c r="H3" s="9" t="s">
        <v>32</v>
      </c>
      <c r="I3" s="9" t="s">
        <v>77</v>
      </c>
      <c r="J3" s="9" t="s">
        <v>74</v>
      </c>
      <c r="K3" s="9" t="s">
        <v>73</v>
      </c>
      <c r="L3" s="12" t="s">
        <v>62</v>
      </c>
      <c r="M3" s="9" t="s">
        <v>61</v>
      </c>
      <c r="N3" s="9" t="s">
        <v>46</v>
      </c>
      <c r="O3" s="9" t="s">
        <v>40</v>
      </c>
      <c r="P3" s="9" t="s">
        <v>29</v>
      </c>
      <c r="Q3" s="3"/>
      <c r="R3" s="3"/>
    </row>
    <row r="4" spans="1:18" s="2" customFormat="1" ht="25.2" customHeight="1" x14ac:dyDescent="0.3">
      <c r="A4" s="7" t="s">
        <v>3</v>
      </c>
      <c r="B4" s="8" t="s">
        <v>15</v>
      </c>
      <c r="C4" s="8" t="s">
        <v>15</v>
      </c>
      <c r="D4" s="8" t="s">
        <v>15</v>
      </c>
      <c r="E4" s="9" t="s">
        <v>87</v>
      </c>
      <c r="F4" s="9" t="s">
        <v>88</v>
      </c>
      <c r="G4" s="9" t="s">
        <v>83</v>
      </c>
      <c r="H4" s="9" t="s">
        <v>79</v>
      </c>
      <c r="I4" s="9" t="s">
        <v>42</v>
      </c>
      <c r="J4" s="9" t="s">
        <v>75</v>
      </c>
      <c r="K4" s="9" t="s">
        <v>37</v>
      </c>
      <c r="L4" s="12" t="s">
        <v>63</v>
      </c>
      <c r="M4" s="9" t="s">
        <v>60</v>
      </c>
      <c r="N4" s="9" t="s">
        <v>47</v>
      </c>
      <c r="O4" s="9" t="s">
        <v>45</v>
      </c>
      <c r="P4" s="9" t="s">
        <v>26</v>
      </c>
      <c r="Q4" s="3"/>
      <c r="R4" s="3"/>
    </row>
    <row r="5" spans="1:18" s="2" customFormat="1" ht="25.2" customHeight="1" x14ac:dyDescent="0.3">
      <c r="A5" s="7" t="s">
        <v>4</v>
      </c>
      <c r="B5" s="8" t="s">
        <v>15</v>
      </c>
      <c r="C5" s="8" t="s">
        <v>15</v>
      </c>
      <c r="D5" s="8" t="s">
        <v>15</v>
      </c>
      <c r="E5" s="8" t="s">
        <v>15</v>
      </c>
      <c r="F5" s="9" t="s">
        <v>89</v>
      </c>
      <c r="G5" s="9" t="s">
        <v>82</v>
      </c>
      <c r="H5" s="9" t="s">
        <v>80</v>
      </c>
      <c r="I5" s="9" t="s">
        <v>78</v>
      </c>
      <c r="J5" s="9" t="s">
        <v>26</v>
      </c>
      <c r="K5" s="9" t="s">
        <v>72</v>
      </c>
      <c r="L5" s="9" t="s">
        <v>26</v>
      </c>
      <c r="M5" s="9" t="s">
        <v>59</v>
      </c>
      <c r="N5" s="9" t="s">
        <v>48</v>
      </c>
      <c r="O5" s="9" t="s">
        <v>44</v>
      </c>
      <c r="P5" s="9" t="s">
        <v>30</v>
      </c>
      <c r="Q5" s="3"/>
      <c r="R5" s="3"/>
    </row>
    <row r="6" spans="1:18" s="2" customFormat="1" ht="25.2" customHeight="1" x14ac:dyDescent="0.3">
      <c r="A6" s="7" t="s">
        <v>5</v>
      </c>
      <c r="B6" s="8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9" t="s">
        <v>16</v>
      </c>
      <c r="H6" s="9" t="s">
        <v>28</v>
      </c>
      <c r="I6" s="9" t="s">
        <v>25</v>
      </c>
      <c r="J6" s="9" t="s">
        <v>77</v>
      </c>
      <c r="K6" s="13" t="s">
        <v>71</v>
      </c>
      <c r="L6" s="9" t="s">
        <v>37</v>
      </c>
      <c r="M6" s="9" t="s">
        <v>26</v>
      </c>
      <c r="N6" s="9" t="s">
        <v>49</v>
      </c>
      <c r="O6" s="9" t="s">
        <v>43</v>
      </c>
      <c r="P6" s="9" t="s">
        <v>31</v>
      </c>
      <c r="Q6" s="3"/>
      <c r="R6" s="3"/>
    </row>
    <row r="7" spans="1:18" s="2" customFormat="1" ht="25.2" customHeight="1" x14ac:dyDescent="0.3">
      <c r="A7" s="7" t="s">
        <v>6</v>
      </c>
      <c r="B7" s="8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10" t="s">
        <v>15</v>
      </c>
      <c r="H7" s="9" t="s">
        <v>81</v>
      </c>
      <c r="I7" s="9" t="s">
        <v>38</v>
      </c>
      <c r="J7" s="9" t="s">
        <v>76</v>
      </c>
      <c r="K7" s="12" t="s">
        <v>70</v>
      </c>
      <c r="L7" s="9" t="s">
        <v>64</v>
      </c>
      <c r="M7" s="9" t="s">
        <v>58</v>
      </c>
      <c r="N7" s="9" t="s">
        <v>50</v>
      </c>
      <c r="O7" s="9" t="s">
        <v>42</v>
      </c>
      <c r="P7" s="9" t="s">
        <v>32</v>
      </c>
      <c r="Q7" s="3"/>
      <c r="R7" s="3"/>
    </row>
    <row r="8" spans="1:18" s="2" customFormat="1" ht="25.2" customHeight="1" x14ac:dyDescent="0.3">
      <c r="A8" s="7" t="s">
        <v>1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11" t="s">
        <v>15</v>
      </c>
      <c r="I8" s="9" t="s">
        <v>32</v>
      </c>
      <c r="J8" s="9" t="s">
        <v>43</v>
      </c>
      <c r="K8" s="9" t="s">
        <v>41</v>
      </c>
      <c r="L8" s="9" t="s">
        <v>65</v>
      </c>
      <c r="M8" s="9" t="s">
        <v>28</v>
      </c>
      <c r="N8" s="9" t="s">
        <v>51</v>
      </c>
      <c r="O8" s="9" t="s">
        <v>41</v>
      </c>
      <c r="P8" s="9" t="s">
        <v>33</v>
      </c>
      <c r="Q8" s="3"/>
      <c r="R8" s="3"/>
    </row>
    <row r="9" spans="1:18" s="2" customFormat="1" ht="25.2" customHeight="1" x14ac:dyDescent="0.3">
      <c r="A9" s="7" t="s">
        <v>7</v>
      </c>
      <c r="B9" s="8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9" t="s">
        <v>73</v>
      </c>
      <c r="K9" s="9" t="s">
        <v>69</v>
      </c>
      <c r="L9" s="9" t="s">
        <v>47</v>
      </c>
      <c r="M9" s="9" t="s">
        <v>57</v>
      </c>
      <c r="N9" s="9" t="s">
        <v>26</v>
      </c>
      <c r="O9" s="9" t="s">
        <v>32</v>
      </c>
      <c r="P9" s="9" t="s">
        <v>31</v>
      </c>
      <c r="Q9" s="3"/>
      <c r="R9" s="3"/>
    </row>
    <row r="10" spans="1:18" s="2" customFormat="1" ht="25.2" customHeight="1" x14ac:dyDescent="0.3">
      <c r="A10" s="7" t="s">
        <v>8</v>
      </c>
      <c r="B10" s="8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12" t="s">
        <v>68</v>
      </c>
      <c r="L10" s="9" t="s">
        <v>66</v>
      </c>
      <c r="M10" s="9" t="s">
        <v>56</v>
      </c>
      <c r="N10" s="9" t="s">
        <v>52</v>
      </c>
      <c r="O10" s="9" t="s">
        <v>41</v>
      </c>
      <c r="P10" s="9" t="s">
        <v>29</v>
      </c>
      <c r="Q10" s="3"/>
      <c r="R10" s="3"/>
    </row>
    <row r="11" spans="1:18" s="2" customFormat="1" ht="25.2" customHeight="1" x14ac:dyDescent="0.3">
      <c r="A11" s="7" t="s">
        <v>9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9" t="s">
        <v>67</v>
      </c>
      <c r="M11" s="9" t="s">
        <v>43</v>
      </c>
      <c r="N11" s="12" t="s">
        <v>53</v>
      </c>
      <c r="O11" s="9" t="s">
        <v>40</v>
      </c>
      <c r="P11" s="9" t="s">
        <v>34</v>
      </c>
      <c r="Q11" s="3"/>
      <c r="R11" s="3"/>
    </row>
    <row r="12" spans="1:18" s="2" customFormat="1" ht="25.2" customHeight="1" x14ac:dyDescent="0.3">
      <c r="A12" s="7" t="s">
        <v>10</v>
      </c>
      <c r="B12" s="8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9" t="s">
        <v>55</v>
      </c>
      <c r="N12" s="9" t="s">
        <v>54</v>
      </c>
      <c r="O12" s="9" t="s">
        <v>39</v>
      </c>
      <c r="P12" s="9" t="s">
        <v>35</v>
      </c>
      <c r="Q12" s="3"/>
      <c r="R12" s="3"/>
    </row>
    <row r="13" spans="1:18" s="2" customFormat="1" ht="25.2" customHeight="1" x14ac:dyDescent="0.3">
      <c r="A13" s="7" t="s">
        <v>11</v>
      </c>
      <c r="B13" s="8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  <c r="N13" s="9" t="s">
        <v>49</v>
      </c>
      <c r="O13" s="9" t="s">
        <v>36</v>
      </c>
      <c r="P13" s="9" t="s">
        <v>36</v>
      </c>
      <c r="Q13" s="3"/>
      <c r="R13" s="3"/>
    </row>
    <row r="14" spans="1:18" s="2" customFormat="1" ht="25.2" customHeight="1" x14ac:dyDescent="0.3">
      <c r="A14" s="7" t="s">
        <v>12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  <c r="N14" s="8" t="s">
        <v>15</v>
      </c>
      <c r="O14" s="9" t="s">
        <v>38</v>
      </c>
      <c r="P14" s="9" t="s">
        <v>37</v>
      </c>
      <c r="Q14" s="3"/>
      <c r="R14" s="3"/>
    </row>
    <row r="15" spans="1:18" s="2" customFormat="1" ht="25.2" customHeight="1" x14ac:dyDescent="0.3">
      <c r="A15" s="7" t="s">
        <v>14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  <c r="N15" s="8" t="s">
        <v>15</v>
      </c>
      <c r="O15" s="8" t="s">
        <v>15</v>
      </c>
      <c r="P15" s="9" t="s">
        <v>22</v>
      </c>
      <c r="Q15" s="3"/>
      <c r="R15" s="3"/>
    </row>
    <row r="16" spans="1:18" s="2" customFormat="1" ht="25.2" customHeight="1" x14ac:dyDescent="0.3">
      <c r="A16" s="7" t="s">
        <v>13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3"/>
      <c r="R16" s="3"/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F20E47-007C-415A-9600-7DECAA70D9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34745F-E5D9-4BDA-8CB7-465F5B1B06EF}"/>
</file>

<file path=customXml/itemProps3.xml><?xml version="1.0" encoding="utf-8"?>
<ds:datastoreItem xmlns:ds="http://schemas.openxmlformats.org/officeDocument/2006/customXml" ds:itemID="{D60A0F8A-98DA-4677-BCD3-36A8249C91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15</vt:i4>
      </vt:variant>
    </vt:vector>
  </HeadingPairs>
  <TitlesOfParts>
    <vt:vector size="19" baseType="lpstr">
      <vt:lpstr>The Data</vt:lpstr>
      <vt:lpstr>Overall Correlations</vt:lpstr>
      <vt:lpstr>Sample Sizes</vt:lpstr>
      <vt:lpstr>CIs</vt:lpstr>
      <vt:lpstr>bad_instructions</vt:lpstr>
      <vt:lpstr>behavior_lane_position</vt:lpstr>
      <vt:lpstr>behavior_less_speed</vt:lpstr>
      <vt:lpstr>behavior_more_speed</vt:lpstr>
      <vt:lpstr>behavior_operating_errors</vt:lpstr>
      <vt:lpstr>behavior_reaction_time</vt:lpstr>
      <vt:lpstr>behavior_speed_control</vt:lpstr>
      <vt:lpstr>behavior_wrong_turns</vt:lpstr>
      <vt:lpstr>distraction_awareness</vt:lpstr>
      <vt:lpstr>distraction_glance_duration</vt:lpstr>
      <vt:lpstr>distraction_glance_frequency</vt:lpstr>
      <vt:lpstr>distraction_manual</vt:lpstr>
      <vt:lpstr>distraction_mental_load</vt:lpstr>
      <vt:lpstr>distraction_shift_focus</vt:lpstr>
      <vt:lpstr>interruptions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2023-06-27T13:36:26Z</dcterms:created>
  <dcterms:modified xsi:type="dcterms:W3CDTF">2023-07-31T15:26:07Z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</Properties>
</file>