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208" documentId="13_ncr:1_{DECF8E47-9278-4E51-90A4-32EF86634B25}" xr6:coauthVersionLast="47" xr6:coauthVersionMax="47" xr10:uidLastSave="{158C83D5-C61A-479D-8164-9A4C93E95D97}"/>
  <bookViews>
    <workbookView xWindow="-108" yWindow="-108" windowWidth="23256" windowHeight="12456" activeTab="1" xr2:uid="{AA7D1B8E-8831-4893-8797-D816D84882B1}"/>
  </bookViews>
  <sheets>
    <sheet name="The Data" sheetId="1" r:id="rId1"/>
    <sheet name="Overall Correlations" sheetId="3" r:id="rId2"/>
    <sheet name="Sample Sizes" sheetId="5" r:id="rId3"/>
    <sheet name="CIs" sheetId="6" r:id="rId4"/>
  </sheets>
  <definedNames>
    <definedName name="bad_instructions">'The Data'!$N:$N</definedName>
    <definedName name="behavior_lane_position">'The Data'!$J:$J</definedName>
    <definedName name="behavior_less_speed">'The Data'!$H:$H</definedName>
    <definedName name="behavior_more_speed">'The Data'!$G:$G</definedName>
    <definedName name="behavior_operating_errors">'The Data'!$M:$M</definedName>
    <definedName name="behavior_reaction_time">'The Data'!$K:$K</definedName>
    <definedName name="behavior_speed_control">'The Data'!$I:$I</definedName>
    <definedName name="behavior_wrong_turns">'The Data'!$L:$L</definedName>
    <definedName name="distraction_awareness">'The Data'!$B:$B</definedName>
    <definedName name="distraction_glance_duration">'The Data'!$F:$F</definedName>
    <definedName name="distraction_glance_frequency">'The Data'!$E:$E</definedName>
    <definedName name="distraction_manual">'The Data'!$A:$A</definedName>
    <definedName name="distraction_mental_load">'The Data'!$D:$D</definedName>
    <definedName name="distraction_shift_focus">'The Data'!$C:$C</definedName>
    <definedName name="interruptions">'The Data'!$O:$O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3" l="1"/>
  <c r="U10" i="3" l="1"/>
  <c r="V10" i="3"/>
  <c r="T10" i="3"/>
  <c r="S10" i="3"/>
  <c r="O13" i="3" l="1"/>
  <c r="N13" i="3"/>
  <c r="O14" i="3"/>
  <c r="O12" i="3"/>
  <c r="N12" i="3"/>
  <c r="M12" i="3"/>
  <c r="O11" i="3"/>
  <c r="N11" i="3"/>
  <c r="M11" i="3"/>
  <c r="L11" i="3"/>
  <c r="O10" i="3"/>
  <c r="N10" i="3"/>
  <c r="M10" i="3"/>
  <c r="L10" i="3"/>
  <c r="K10" i="3"/>
  <c r="O9" i="3"/>
  <c r="N9" i="3"/>
  <c r="M9" i="3"/>
  <c r="L9" i="3"/>
  <c r="K9" i="3"/>
  <c r="J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H7" i="3"/>
  <c r="O6" i="3"/>
  <c r="N6" i="3"/>
  <c r="M6" i="3"/>
  <c r="L6" i="3"/>
  <c r="K6" i="3"/>
  <c r="J6" i="3"/>
  <c r="I6" i="3"/>
  <c r="H6" i="3"/>
  <c r="G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E4" i="3"/>
  <c r="O3" i="3"/>
  <c r="N3" i="3"/>
  <c r="M3" i="3"/>
  <c r="L3" i="3"/>
  <c r="K3" i="3"/>
  <c r="J3" i="3"/>
  <c r="I3" i="3"/>
  <c r="H3" i="3"/>
  <c r="G3" i="3"/>
  <c r="F3" i="3"/>
  <c r="E3" i="3"/>
  <c r="D3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O7" i="5"/>
  <c r="D3" i="5"/>
  <c r="I5" i="5"/>
  <c r="K10" i="5"/>
  <c r="M6" i="5"/>
  <c r="L7" i="5"/>
  <c r="K3" i="5"/>
  <c r="H6" i="5"/>
  <c r="M11" i="5"/>
  <c r="O5" i="5"/>
  <c r="J8" i="5"/>
  <c r="N5" i="5"/>
  <c r="O8" i="5"/>
  <c r="D2" i="5"/>
  <c r="E3" i="5"/>
  <c r="F5" i="5"/>
  <c r="K8" i="5"/>
  <c r="G4" i="5"/>
  <c r="M3" i="5"/>
  <c r="P13" i="5"/>
  <c r="J6" i="5"/>
  <c r="M7" i="5"/>
  <c r="E4" i="5"/>
  <c r="M5" i="5"/>
  <c r="F4" i="5"/>
  <c r="G6" i="5"/>
  <c r="L2" i="5"/>
  <c r="H7" i="5"/>
  <c r="F3" i="5"/>
  <c r="L5" i="5"/>
  <c r="P14" i="5"/>
  <c r="P12" i="5"/>
  <c r="P2" i="5"/>
  <c r="L4" i="5"/>
  <c r="L6" i="5"/>
  <c r="P3" i="5"/>
  <c r="K6" i="5"/>
  <c r="P8" i="5"/>
  <c r="J5" i="5"/>
  <c r="N11" i="5"/>
  <c r="N8" i="5"/>
  <c r="G2" i="5"/>
  <c r="L9" i="5"/>
  <c r="O10" i="5"/>
  <c r="O6" i="5"/>
  <c r="H5" i="5"/>
  <c r="J4" i="5"/>
  <c r="K2" i="5"/>
  <c r="K7" i="5"/>
  <c r="P10" i="5"/>
  <c r="K5" i="5"/>
  <c r="E2" i="5"/>
  <c r="J7" i="5"/>
  <c r="O11" i="5"/>
  <c r="C2" i="5"/>
  <c r="M9" i="5"/>
  <c r="J9" i="5"/>
  <c r="N4" i="5"/>
  <c r="J3" i="5"/>
  <c r="J2" i="5"/>
  <c r="P15" i="5"/>
  <c r="L11" i="5"/>
  <c r="K4" i="5"/>
  <c r="H3" i="5"/>
  <c r="N2" i="5"/>
  <c r="I3" i="5"/>
  <c r="N13" i="5"/>
  <c r="N6" i="5"/>
  <c r="N10" i="5"/>
  <c r="N12" i="5"/>
  <c r="H4" i="5"/>
  <c r="P6" i="5"/>
  <c r="I4" i="5"/>
  <c r="M12" i="5"/>
  <c r="O12" i="5"/>
  <c r="L3" i="5"/>
  <c r="O3" i="5"/>
  <c r="N3" i="5"/>
  <c r="G3" i="5"/>
  <c r="O14" i="5"/>
  <c r="M4" i="5"/>
  <c r="L8" i="5"/>
  <c r="N9" i="5"/>
  <c r="P9" i="5"/>
  <c r="H2" i="5"/>
  <c r="P4" i="5"/>
  <c r="M8" i="5"/>
  <c r="O9" i="5"/>
  <c r="P5" i="5"/>
  <c r="F2" i="5"/>
  <c r="P7" i="5"/>
  <c r="O2" i="5"/>
  <c r="O13" i="5"/>
  <c r="O4" i="5"/>
  <c r="I7" i="5"/>
  <c r="L10" i="5"/>
  <c r="G5" i="5"/>
  <c r="M2" i="5"/>
  <c r="K9" i="5"/>
  <c r="P11" i="5"/>
  <c r="I2" i="5"/>
  <c r="I8" i="5"/>
  <c r="N7" i="5"/>
  <c r="M10" i="5"/>
  <c r="I6" i="5"/>
  <c r="R10" i="3" l="1"/>
  <c r="X10" i="3" s="1"/>
  <c r="Y10" i="3" l="1"/>
  <c r="Z10" i="3" l="1"/>
  <c r="AA10" i="3"/>
</calcChain>
</file>

<file path=xl/sharedStrings.xml><?xml version="1.0" encoding="utf-8"?>
<sst xmlns="http://schemas.openxmlformats.org/spreadsheetml/2006/main" count="572" uniqueCount="82">
  <si>
    <t>distraction_manual</t>
  </si>
  <si>
    <t>behavior_more_speed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</si>
  <si>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</si>
  <si>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</si>
  <si>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</si>
  <si>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</si>
  <si>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</si>
  <si>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</si>
  <si>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</si>
  <si>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</si>
  <si>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</si>
  <si>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</si>
  <si>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</si>
  <si>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interruptions</t>
  </si>
  <si>
    <t>bad_instructions</t>
  </si>
  <si>
    <t>X</t>
  </si>
  <si>
    <t>[0,26, 0,65]</t>
  </si>
  <si>
    <t>[0,44, 0,75]</t>
  </si>
  <si>
    <t>[0, 0,47]</t>
  </si>
  <si>
    <t>[0,33, 0,69]</t>
  </si>
  <si>
    <t>[0,22, 0,63]</t>
  </si>
  <si>
    <t>[-0,02, 0,48]</t>
  </si>
  <si>
    <t>[0,18, 0,62]</t>
  </si>
  <si>
    <t>[-0,08, 0,43]</t>
  </si>
  <si>
    <t>[0,08, 0,56]</t>
  </si>
  <si>
    <t>[0,27, 0,68]</t>
  </si>
  <si>
    <t>[0,04, 0,53]</t>
  </si>
  <si>
    <t>[0,1, 0,57]</t>
  </si>
  <si>
    <t>[-0,13, 0,39]</t>
  </si>
  <si>
    <t>[-0,17, 0,36]</t>
  </si>
  <si>
    <t>[-0,05, 0,47]</t>
  </si>
  <si>
    <t>[-0,13, 0,4]</t>
  </si>
  <si>
    <t>[0,09, 0,57]</t>
  </si>
  <si>
    <t>[-0,29, 0,25]</t>
  </si>
  <si>
    <t>[-0,18, 0,35]</t>
  </si>
  <si>
    <t>[-0,26, 0,28]</t>
  </si>
  <si>
    <t>[0,01, 0,51]</t>
  </si>
  <si>
    <t>[-0,09, 0,43]</t>
  </si>
  <si>
    <t>[-0,04, 0,47]</t>
  </si>
  <si>
    <t>[-0,11, 0,42]</t>
  </si>
  <si>
    <t>[0,02, 0,52]</t>
  </si>
  <si>
    <t>[-0,01, 0,49]</t>
  </si>
  <si>
    <t>[0,06, 0,54]</t>
  </si>
  <si>
    <t>[-0,05, 0,46]</t>
  </si>
  <si>
    <t>[-0,08, 0,44]</t>
  </si>
  <si>
    <t>[0,02, 0,51]</t>
  </si>
  <si>
    <t>[-0,06, 0,45]</t>
  </si>
  <si>
    <t>[-0,14, 0,38]</t>
  </si>
  <si>
    <t>[0,2, 0,63]</t>
  </si>
  <si>
    <t>[0,19, 0,62]</t>
  </si>
  <si>
    <t>[0,01, 0,5]</t>
  </si>
  <si>
    <t>[0,05, 0,54]</t>
  </si>
  <si>
    <t>[0,11, 0,58]</t>
  </si>
  <si>
    <t>[0,07, 0,55]</t>
  </si>
  <si>
    <t>[0, 0,5]</t>
  </si>
  <si>
    <t>[0,17, 0,62]</t>
  </si>
  <si>
    <t>[0,36, 0,73]</t>
  </si>
  <si>
    <t>[0,32, 0,71]</t>
  </si>
  <si>
    <t>[0,15, 0,6]</t>
  </si>
  <si>
    <t>[0,17, 0,61]</t>
  </si>
  <si>
    <t>[0,23, 0,65]</t>
  </si>
  <si>
    <t>[0,15, 0,61]</t>
  </si>
  <si>
    <t>[0,4, 0,75]</t>
  </si>
  <si>
    <t>[0,19, 0,63]</t>
  </si>
  <si>
    <t>[0,14, 0,6]</t>
  </si>
  <si>
    <t>[0,14, 0,59]</t>
  </si>
  <si>
    <t>[-0,1, 0,41]</t>
  </si>
  <si>
    <t>[-0,15, 0,37]</t>
  </si>
  <si>
    <t>[0,21, 0,64]</t>
  </si>
  <si>
    <t>[0,05, 0,53]</t>
  </si>
  <si>
    <t>[0,04, 0,52]</t>
  </si>
  <si>
    <t>[0,03, 0,51]</t>
  </si>
  <si>
    <t>[0,34, 0,7]</t>
  </si>
  <si>
    <t>[0,16, 0,59]</t>
  </si>
  <si>
    <t>[0,36, 0,71]</t>
  </si>
  <si>
    <t>[0,08, 0,53]</t>
  </si>
  <si>
    <t>[0,24, 0,64]</t>
  </si>
  <si>
    <t>[0,31, 0,68]</t>
  </si>
  <si>
    <t>[0,29, 0,67]</t>
  </si>
  <si>
    <t>[0,01, 0,49]</t>
  </si>
  <si>
    <t>z=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</si>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</sst>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textRotation="180"/>
    </xf>
    <xf numFmtId="0" fontId="1" fillId="0" borderId="4" xfId="0" applyFont="1" applyBorder="1" applyAlignment="1">
      <alignment horizontal="center" textRotation="180"/>
    </xf>
    <xf numFmtId="0" fontId="1" fillId="0" borderId="1" xfId="0" applyFont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9031-161F-4469-823E-4440F0CCFDAA}">
  <sheetPr codeName="Blad1"/>
  <dimension ref="A1:O68"/>
  <sheetViews>
    <sheetView workbookViewId="0">
      <selection activeCell="O1" sqref="A1:O1"/>
    </sheetView>
  </sheetViews>
  <sheetFormatPr defaultRowHeight="14.4" x14ac:dyDescent="0.3"/>
  <cols>
    <col min="1" max="15" width="25.6640625" style="1" customWidth="1"/>
  </cols>
  <sheetData>
    <row r="1" spans="1:1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</row>
    <row r="2" spans="1:1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2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2</v>
      </c>
      <c r="O2" s="1">
        <v>2</v>
      </c>
    </row>
    <row r="3" spans="1:15" x14ac:dyDescent="0.3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3</v>
      </c>
      <c r="G3" s="1">
        <v>1</v>
      </c>
      <c r="H3" s="1">
        <v>3</v>
      </c>
      <c r="I3" s="1">
        <v>3</v>
      </c>
      <c r="J3" s="1">
        <v>3</v>
      </c>
      <c r="K3" s="1">
        <v>0</v>
      </c>
      <c r="L3" s="1">
        <v>1</v>
      </c>
      <c r="M3" s="1">
        <v>2</v>
      </c>
      <c r="N3" s="1">
        <v>2</v>
      </c>
      <c r="O3" s="1">
        <v>1</v>
      </c>
    </row>
    <row r="4" spans="1:15" x14ac:dyDescent="0.3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1:1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>
        <v>2</v>
      </c>
      <c r="O5" s="1">
        <v>2</v>
      </c>
    </row>
    <row r="6" spans="1:15" x14ac:dyDescent="0.3">
      <c r="A6" s="1">
        <v>0</v>
      </c>
      <c r="B6" s="1">
        <v>1</v>
      </c>
      <c r="C6" s="1">
        <v>0</v>
      </c>
      <c r="D6" s="1">
        <v>0</v>
      </c>
      <c r="E6" s="1">
        <v>1</v>
      </c>
      <c r="F6" s="1">
        <v>1</v>
      </c>
    </row>
    <row r="7" spans="1:15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2</v>
      </c>
    </row>
    <row r="8" spans="1:15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5" x14ac:dyDescent="0.3">
      <c r="A9" s="1">
        <v>0</v>
      </c>
      <c r="B9" s="1">
        <v>1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</row>
    <row r="10" spans="1:15" x14ac:dyDescent="0.3">
      <c r="A10" s="1">
        <v>1</v>
      </c>
      <c r="B10" s="1">
        <v>3</v>
      </c>
      <c r="C10" s="1">
        <v>1</v>
      </c>
      <c r="D10" s="1">
        <v>1</v>
      </c>
      <c r="E10" s="1">
        <v>1</v>
      </c>
      <c r="F10" s="1">
        <v>2</v>
      </c>
    </row>
    <row r="11" spans="1:15" x14ac:dyDescent="0.3">
      <c r="A11" s="1">
        <v>1</v>
      </c>
      <c r="B11" s="1">
        <v>2</v>
      </c>
      <c r="C11" s="1">
        <v>0</v>
      </c>
      <c r="D11" s="1">
        <v>1</v>
      </c>
      <c r="E11" s="1">
        <v>2</v>
      </c>
      <c r="F11" s="1">
        <v>0</v>
      </c>
      <c r="G11" s="1">
        <v>0</v>
      </c>
      <c r="H11" s="1">
        <v>2</v>
      </c>
      <c r="I11" s="1">
        <v>1</v>
      </c>
      <c r="J11" s="1">
        <v>1</v>
      </c>
      <c r="K11" s="1">
        <v>3</v>
      </c>
      <c r="L11" s="1">
        <v>3</v>
      </c>
      <c r="M11" s="1">
        <v>1</v>
      </c>
      <c r="N11" s="1">
        <v>2</v>
      </c>
      <c r="O11" s="1">
        <v>4</v>
      </c>
    </row>
    <row r="12" spans="1:15" x14ac:dyDescent="0.3">
      <c r="A12" s="1">
        <v>2</v>
      </c>
      <c r="B12" s="1">
        <v>3</v>
      </c>
      <c r="C12" s="1">
        <v>3</v>
      </c>
      <c r="D12" s="1">
        <v>3</v>
      </c>
      <c r="E12" s="1">
        <v>2</v>
      </c>
      <c r="F12" s="1">
        <v>3</v>
      </c>
      <c r="G12" s="1">
        <v>1</v>
      </c>
      <c r="H12" s="1">
        <v>1</v>
      </c>
      <c r="I12" s="1">
        <v>1</v>
      </c>
      <c r="J12" s="1">
        <v>2</v>
      </c>
      <c r="K12" s="1">
        <v>3</v>
      </c>
      <c r="L12" s="1">
        <v>3</v>
      </c>
      <c r="M12" s="1">
        <v>2</v>
      </c>
      <c r="N12" s="1">
        <v>4</v>
      </c>
      <c r="O12" s="1">
        <v>3</v>
      </c>
    </row>
    <row r="13" spans="1:15" x14ac:dyDescent="0.3">
      <c r="A13" s="1">
        <v>0</v>
      </c>
      <c r="B13" s="1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2</v>
      </c>
      <c r="K13" s="1">
        <v>2</v>
      </c>
      <c r="L13" s="1">
        <v>2</v>
      </c>
      <c r="M13" s="1">
        <v>0</v>
      </c>
      <c r="N13" s="1">
        <v>2</v>
      </c>
      <c r="O13" s="1">
        <v>2</v>
      </c>
    </row>
    <row r="14" spans="1:15" x14ac:dyDescent="0.3">
      <c r="A14" s="1">
        <v>0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2</v>
      </c>
      <c r="I14" s="1">
        <v>1</v>
      </c>
      <c r="J14" s="1">
        <v>1</v>
      </c>
      <c r="K14" s="1">
        <v>2</v>
      </c>
      <c r="L14" s="1">
        <v>0</v>
      </c>
      <c r="M14" s="1">
        <v>0</v>
      </c>
      <c r="N14" s="1">
        <v>3</v>
      </c>
      <c r="O14" s="1">
        <v>2</v>
      </c>
    </row>
    <row r="15" spans="1:15" x14ac:dyDescent="0.3">
      <c r="A15" s="1">
        <v>1</v>
      </c>
      <c r="B15" s="1">
        <v>3</v>
      </c>
      <c r="C15" s="1">
        <v>1</v>
      </c>
      <c r="D15" s="1">
        <v>2</v>
      </c>
      <c r="E15" s="1">
        <v>1</v>
      </c>
      <c r="F15" s="1">
        <v>1</v>
      </c>
      <c r="G15" s="1">
        <v>1</v>
      </c>
      <c r="H15" s="1">
        <v>3</v>
      </c>
      <c r="I15" s="1">
        <v>1</v>
      </c>
      <c r="J15" s="1">
        <v>1</v>
      </c>
      <c r="M15" s="1">
        <v>1</v>
      </c>
    </row>
    <row r="16" spans="1:15" x14ac:dyDescent="0.3">
      <c r="A16" s="1">
        <v>1</v>
      </c>
      <c r="B16" s="1">
        <v>1</v>
      </c>
      <c r="C16" s="1">
        <v>2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1</v>
      </c>
    </row>
    <row r="17" spans="1:1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2</v>
      </c>
      <c r="I17" s="1">
        <v>1</v>
      </c>
      <c r="J17" s="1">
        <v>0</v>
      </c>
      <c r="K17" s="1">
        <v>1</v>
      </c>
      <c r="L17" s="1">
        <v>1</v>
      </c>
      <c r="M17" s="1">
        <v>0</v>
      </c>
      <c r="N17" s="1">
        <v>2</v>
      </c>
      <c r="O17" s="1">
        <v>1</v>
      </c>
    </row>
    <row r="18" spans="1:15" x14ac:dyDescent="0.3">
      <c r="A18" s="1">
        <v>0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2</v>
      </c>
      <c r="J18" s="1">
        <v>2</v>
      </c>
      <c r="K18" s="1">
        <v>1</v>
      </c>
      <c r="L18" s="1">
        <v>2</v>
      </c>
      <c r="M18" s="1">
        <v>0</v>
      </c>
      <c r="N18" s="1">
        <v>3</v>
      </c>
      <c r="O18" s="1">
        <v>2</v>
      </c>
    </row>
    <row r="19" spans="1:15" x14ac:dyDescent="0.3">
      <c r="A19" s="1">
        <v>0</v>
      </c>
      <c r="B19" s="1">
        <v>2</v>
      </c>
      <c r="C19" s="1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3</v>
      </c>
      <c r="J19" s="1">
        <v>2</v>
      </c>
      <c r="K19" s="1">
        <v>1</v>
      </c>
      <c r="L19" s="1">
        <v>3</v>
      </c>
      <c r="M19" s="1">
        <v>2</v>
      </c>
      <c r="N19" s="1">
        <v>2</v>
      </c>
      <c r="O19" s="1">
        <v>1</v>
      </c>
    </row>
    <row r="20" spans="1:15" x14ac:dyDescent="0.3">
      <c r="A20" s="1">
        <v>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</v>
      </c>
    </row>
    <row r="21" spans="1:15" x14ac:dyDescent="0.3">
      <c r="A21" s="1">
        <v>2</v>
      </c>
      <c r="B21" s="1">
        <v>3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1</v>
      </c>
      <c r="I21" s="1">
        <v>1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</row>
    <row r="22" spans="1:15" x14ac:dyDescent="0.3">
      <c r="A22" s="1">
        <v>2</v>
      </c>
      <c r="B22" s="1">
        <v>2</v>
      </c>
      <c r="C22" s="1">
        <v>2</v>
      </c>
      <c r="D22" s="1">
        <v>0</v>
      </c>
      <c r="E22" s="1">
        <v>2</v>
      </c>
      <c r="F22" s="1">
        <v>3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3</v>
      </c>
      <c r="M22" s="1">
        <v>1</v>
      </c>
      <c r="N22" s="1">
        <v>1</v>
      </c>
      <c r="O22" s="1">
        <v>1</v>
      </c>
    </row>
    <row r="23" spans="1:15" x14ac:dyDescent="0.3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H23" s="1">
        <v>3</v>
      </c>
      <c r="I23" s="1">
        <v>3</v>
      </c>
      <c r="J23" s="1">
        <v>3</v>
      </c>
      <c r="K23" s="1">
        <v>2</v>
      </c>
      <c r="L23" s="1">
        <v>1</v>
      </c>
      <c r="M23" s="1">
        <v>1</v>
      </c>
      <c r="N23" s="1">
        <v>3</v>
      </c>
      <c r="O23" s="1">
        <v>2</v>
      </c>
    </row>
    <row r="24" spans="1:1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1">
        <v>2</v>
      </c>
      <c r="H24" s="1">
        <v>2</v>
      </c>
      <c r="I24" s="1">
        <v>0</v>
      </c>
      <c r="J24" s="1">
        <v>1</v>
      </c>
      <c r="K24" s="1">
        <v>2</v>
      </c>
      <c r="L24" s="1">
        <v>0</v>
      </c>
      <c r="M24" s="1">
        <v>2</v>
      </c>
      <c r="N24" s="1">
        <v>2</v>
      </c>
      <c r="O24" s="1">
        <v>2</v>
      </c>
    </row>
    <row r="25" spans="1:15" x14ac:dyDescent="0.3">
      <c r="A25" s="1">
        <v>1</v>
      </c>
      <c r="B25" s="1">
        <v>1</v>
      </c>
      <c r="C25" s="1">
        <v>1</v>
      </c>
      <c r="D25" s="1">
        <v>1</v>
      </c>
      <c r="E25" s="1">
        <v>2</v>
      </c>
      <c r="F25" s="1">
        <v>2</v>
      </c>
      <c r="G25" s="1">
        <v>0</v>
      </c>
      <c r="H25" s="1">
        <v>2</v>
      </c>
      <c r="I25" s="1">
        <v>2</v>
      </c>
      <c r="J25" s="1">
        <v>2</v>
      </c>
      <c r="K25" s="1">
        <v>2</v>
      </c>
      <c r="L25" s="1">
        <v>3</v>
      </c>
      <c r="M25" s="1">
        <v>0</v>
      </c>
      <c r="N25" s="1">
        <v>2</v>
      </c>
      <c r="O25" s="1">
        <v>2</v>
      </c>
    </row>
    <row r="26" spans="1:15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1</v>
      </c>
      <c r="J26" s="1">
        <v>1</v>
      </c>
      <c r="K26" s="1">
        <v>1</v>
      </c>
      <c r="L26" s="1">
        <v>2</v>
      </c>
      <c r="M26" s="1">
        <v>0</v>
      </c>
      <c r="N26" s="1">
        <v>1</v>
      </c>
      <c r="O26" s="1">
        <v>1</v>
      </c>
    </row>
    <row r="27" spans="1:15" x14ac:dyDescent="0.3">
      <c r="A27" s="1">
        <v>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1</v>
      </c>
      <c r="O27" s="1">
        <v>3</v>
      </c>
    </row>
    <row r="28" spans="1:15" x14ac:dyDescent="0.3">
      <c r="A28" s="1">
        <v>1</v>
      </c>
      <c r="B28" s="1">
        <v>1</v>
      </c>
      <c r="C28" s="1">
        <v>2</v>
      </c>
      <c r="D28" s="1">
        <v>1</v>
      </c>
      <c r="E28" s="1">
        <v>2</v>
      </c>
      <c r="F28" s="1">
        <v>2</v>
      </c>
      <c r="G28" s="1">
        <v>1</v>
      </c>
      <c r="H28" s="1">
        <v>3</v>
      </c>
      <c r="I28" s="1">
        <v>2</v>
      </c>
      <c r="J28" s="1">
        <v>2</v>
      </c>
      <c r="K28" s="1">
        <v>2</v>
      </c>
      <c r="L28" s="1">
        <v>2</v>
      </c>
      <c r="M28" s="1">
        <v>1</v>
      </c>
      <c r="N28" s="1">
        <v>2</v>
      </c>
      <c r="O28" s="1">
        <v>1</v>
      </c>
    </row>
    <row r="29" spans="1:15" x14ac:dyDescent="0.3">
      <c r="A29" s="1">
        <v>1</v>
      </c>
      <c r="B29" s="1">
        <v>1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1</v>
      </c>
      <c r="M29" s="1">
        <v>0</v>
      </c>
      <c r="N29" s="1">
        <v>2</v>
      </c>
      <c r="O29" s="1">
        <v>3</v>
      </c>
    </row>
    <row r="30" spans="1:15" x14ac:dyDescent="0.3">
      <c r="A30" s="1">
        <v>1</v>
      </c>
      <c r="B30" s="1">
        <v>2</v>
      </c>
      <c r="C30" s="1">
        <v>1</v>
      </c>
      <c r="D30" s="1">
        <v>2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1</v>
      </c>
      <c r="N30" s="1">
        <v>1</v>
      </c>
      <c r="O30" s="1">
        <v>2</v>
      </c>
    </row>
    <row r="31" spans="1:15" x14ac:dyDescent="0.3">
      <c r="A31" s="1">
        <v>3</v>
      </c>
      <c r="B31" s="1">
        <v>3</v>
      </c>
      <c r="C31" s="1">
        <v>3</v>
      </c>
      <c r="D31" s="1">
        <v>1</v>
      </c>
      <c r="E31" s="1">
        <v>1</v>
      </c>
      <c r="F31" s="1">
        <v>1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0</v>
      </c>
      <c r="N31" s="1">
        <v>1</v>
      </c>
      <c r="O31" s="1">
        <v>3</v>
      </c>
    </row>
    <row r="32" spans="1:15" x14ac:dyDescent="0.3">
      <c r="A32" s="1">
        <v>2</v>
      </c>
      <c r="B32" s="1">
        <v>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2</v>
      </c>
      <c r="I32" s="1">
        <v>2</v>
      </c>
      <c r="J32" s="1">
        <v>2</v>
      </c>
      <c r="K32" s="1">
        <v>2</v>
      </c>
      <c r="L32" s="1">
        <v>1</v>
      </c>
      <c r="M32" s="1">
        <v>1</v>
      </c>
      <c r="N32" s="1">
        <v>2</v>
      </c>
      <c r="O32" s="1">
        <v>1</v>
      </c>
    </row>
    <row r="33" spans="1:15" x14ac:dyDescent="0.3">
      <c r="A33" s="1">
        <v>0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2</v>
      </c>
      <c r="I33" s="1">
        <v>0</v>
      </c>
      <c r="J33" s="1">
        <v>1</v>
      </c>
      <c r="K33" s="1">
        <v>1</v>
      </c>
      <c r="L33" s="1">
        <v>0</v>
      </c>
      <c r="M33" s="1">
        <v>1</v>
      </c>
      <c r="N33" s="1">
        <v>2</v>
      </c>
      <c r="O33" s="1">
        <v>2</v>
      </c>
    </row>
    <row r="34" spans="1:15" x14ac:dyDescent="0.3">
      <c r="A34" s="1">
        <v>1</v>
      </c>
      <c r="B34" s="1">
        <v>2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2</v>
      </c>
      <c r="I34" s="1">
        <v>2</v>
      </c>
      <c r="J34" s="1">
        <v>1</v>
      </c>
      <c r="K34" s="1">
        <v>1</v>
      </c>
      <c r="L34" s="1">
        <v>2</v>
      </c>
      <c r="M34" s="1">
        <v>1</v>
      </c>
      <c r="N34" s="1">
        <v>2</v>
      </c>
      <c r="O34" s="1">
        <v>2</v>
      </c>
    </row>
    <row r="35" spans="1:15" x14ac:dyDescent="0.3">
      <c r="A35" s="1">
        <v>1</v>
      </c>
      <c r="B35" s="1">
        <v>2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2</v>
      </c>
      <c r="K35" s="1">
        <v>1</v>
      </c>
      <c r="L35" s="1">
        <v>1</v>
      </c>
      <c r="M35" s="1">
        <v>1</v>
      </c>
      <c r="N35" s="1">
        <v>2</v>
      </c>
      <c r="O35" s="1">
        <v>3</v>
      </c>
    </row>
    <row r="36" spans="1:15" x14ac:dyDescent="0.3">
      <c r="A36" s="1">
        <v>1</v>
      </c>
      <c r="B36" s="1">
        <v>1</v>
      </c>
      <c r="C36" s="1">
        <v>1</v>
      </c>
      <c r="E36" s="1">
        <v>1</v>
      </c>
      <c r="F36" s="1">
        <v>1</v>
      </c>
    </row>
    <row r="37" spans="1:15" x14ac:dyDescent="0.3">
      <c r="A37" s="1">
        <v>2</v>
      </c>
      <c r="B37" s="1">
        <v>1</v>
      </c>
      <c r="C37" s="1">
        <v>1</v>
      </c>
      <c r="D37" s="1">
        <v>0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2</v>
      </c>
      <c r="K37" s="1">
        <v>1</v>
      </c>
      <c r="L37" s="1">
        <v>2</v>
      </c>
      <c r="M37" s="1">
        <v>2</v>
      </c>
      <c r="N37" s="1">
        <v>4</v>
      </c>
      <c r="O37" s="1">
        <v>2</v>
      </c>
    </row>
    <row r="38" spans="1:15" x14ac:dyDescent="0.3">
      <c r="B38" s="1">
        <v>0</v>
      </c>
      <c r="C38" s="1">
        <v>0</v>
      </c>
      <c r="D38" s="1">
        <v>0</v>
      </c>
      <c r="E38" s="1">
        <v>0</v>
      </c>
      <c r="F38" s="1">
        <v>0</v>
      </c>
    </row>
    <row r="42" spans="1:15" x14ac:dyDescent="0.3">
      <c r="A42" s="1">
        <v>1</v>
      </c>
      <c r="B42" s="1">
        <v>2</v>
      </c>
      <c r="C42" s="1">
        <v>2</v>
      </c>
      <c r="D42" s="1">
        <v>1</v>
      </c>
      <c r="E42" s="1">
        <v>3</v>
      </c>
      <c r="F42" s="1">
        <v>2</v>
      </c>
      <c r="G42" s="1">
        <v>1</v>
      </c>
      <c r="H42" s="1">
        <v>3</v>
      </c>
      <c r="I42" s="1">
        <v>0</v>
      </c>
      <c r="J42" s="1">
        <v>2</v>
      </c>
      <c r="K42" s="1">
        <v>2</v>
      </c>
      <c r="L42" s="1">
        <v>3</v>
      </c>
      <c r="M42" s="1">
        <v>2</v>
      </c>
      <c r="N42" s="1">
        <v>2</v>
      </c>
      <c r="O42" s="1">
        <v>3</v>
      </c>
    </row>
    <row r="43" spans="1:15" x14ac:dyDescent="0.3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</v>
      </c>
    </row>
    <row r="44" spans="1:15" x14ac:dyDescent="0.3">
      <c r="E44" s="1">
        <v>2</v>
      </c>
    </row>
    <row r="45" spans="1:15" x14ac:dyDescent="0.3">
      <c r="A45" s="1">
        <v>0</v>
      </c>
      <c r="B45" s="1">
        <v>2</v>
      </c>
      <c r="C45" s="1">
        <v>1</v>
      </c>
      <c r="D45" s="1">
        <v>0</v>
      </c>
      <c r="E45" s="1">
        <v>2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1</v>
      </c>
    </row>
    <row r="46" spans="1:15" x14ac:dyDescent="0.3">
      <c r="A46" s="1">
        <v>2</v>
      </c>
      <c r="B46" s="1">
        <v>4</v>
      </c>
      <c r="C46" s="1">
        <v>2</v>
      </c>
      <c r="D46" s="1">
        <v>2</v>
      </c>
      <c r="E46" s="1">
        <v>2</v>
      </c>
      <c r="F46" s="1">
        <v>3</v>
      </c>
    </row>
    <row r="47" spans="1:15" x14ac:dyDescent="0.3">
      <c r="A47" s="1">
        <v>2</v>
      </c>
      <c r="B47" s="1">
        <v>1</v>
      </c>
      <c r="C47" s="1">
        <v>2</v>
      </c>
      <c r="D47" s="1">
        <v>0</v>
      </c>
      <c r="E47" s="1">
        <v>1</v>
      </c>
      <c r="F47" s="1">
        <v>2</v>
      </c>
      <c r="G47" s="1">
        <v>0</v>
      </c>
      <c r="H47" s="1">
        <v>3</v>
      </c>
      <c r="I47" s="1">
        <v>1</v>
      </c>
      <c r="J47" s="1">
        <v>1</v>
      </c>
      <c r="K47" s="1">
        <v>3</v>
      </c>
      <c r="L47" s="1">
        <v>4</v>
      </c>
      <c r="M47" s="1">
        <v>1</v>
      </c>
      <c r="N47" s="1">
        <v>3</v>
      </c>
      <c r="O47" s="1">
        <v>1</v>
      </c>
    </row>
    <row r="48" spans="1:15" x14ac:dyDescent="0.3">
      <c r="A48" s="1">
        <v>3</v>
      </c>
      <c r="B48" s="1">
        <v>3</v>
      </c>
      <c r="C48" s="1">
        <v>3</v>
      </c>
      <c r="D48" s="1">
        <v>0</v>
      </c>
      <c r="E48" s="1">
        <v>2</v>
      </c>
      <c r="F48" s="1">
        <v>2</v>
      </c>
      <c r="G48" s="1">
        <v>0</v>
      </c>
      <c r="H48" s="1">
        <v>4</v>
      </c>
      <c r="I48" s="1">
        <v>0</v>
      </c>
      <c r="J48" s="1">
        <v>1</v>
      </c>
      <c r="K48" s="1">
        <v>3</v>
      </c>
      <c r="L48" s="1">
        <v>0</v>
      </c>
      <c r="M48" s="1">
        <v>0</v>
      </c>
      <c r="N48" s="1">
        <v>2</v>
      </c>
      <c r="O48" s="1">
        <v>1</v>
      </c>
    </row>
    <row r="49" spans="1:15" x14ac:dyDescent="0.3">
      <c r="A49" s="1">
        <v>0</v>
      </c>
      <c r="B49" s="1">
        <v>1</v>
      </c>
      <c r="C49" s="1">
        <v>2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2</v>
      </c>
      <c r="M49" s="1">
        <v>0</v>
      </c>
      <c r="N49" s="1">
        <v>1</v>
      </c>
      <c r="O49" s="1">
        <v>2</v>
      </c>
    </row>
    <row r="50" spans="1:15" x14ac:dyDescent="0.3">
      <c r="A50" s="1">
        <v>1</v>
      </c>
      <c r="B50" s="1">
        <v>2</v>
      </c>
      <c r="C50" s="1">
        <v>1</v>
      </c>
      <c r="D50" s="1">
        <v>0</v>
      </c>
      <c r="E50" s="1">
        <v>2</v>
      </c>
      <c r="F50" s="1">
        <v>1</v>
      </c>
      <c r="G50" s="1">
        <v>1</v>
      </c>
      <c r="H50" s="1">
        <v>1</v>
      </c>
      <c r="I50" s="1">
        <v>1</v>
      </c>
      <c r="J50" s="1">
        <v>2</v>
      </c>
      <c r="K50" s="1">
        <v>2</v>
      </c>
      <c r="L50" s="1">
        <v>3</v>
      </c>
      <c r="M50" s="1">
        <v>0</v>
      </c>
      <c r="N50" s="1">
        <v>2</v>
      </c>
      <c r="O50" s="1">
        <v>1</v>
      </c>
    </row>
    <row r="51" spans="1:15" x14ac:dyDescent="0.3">
      <c r="A51" s="1">
        <v>1</v>
      </c>
      <c r="B51" s="1">
        <v>2</v>
      </c>
      <c r="C51" s="1">
        <v>1</v>
      </c>
      <c r="D51" s="1">
        <v>0</v>
      </c>
      <c r="E51" s="1">
        <v>1</v>
      </c>
      <c r="F51" s="1">
        <v>1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0</v>
      </c>
      <c r="M51" s="1">
        <v>0</v>
      </c>
      <c r="N51" s="1">
        <v>2</v>
      </c>
      <c r="O51" s="1">
        <v>1</v>
      </c>
    </row>
    <row r="52" spans="1:15" x14ac:dyDescent="0.3">
      <c r="A52" s="1">
        <v>3</v>
      </c>
      <c r="C52" s="1">
        <v>1</v>
      </c>
      <c r="E52" s="1">
        <v>2</v>
      </c>
      <c r="F52" s="1">
        <v>1</v>
      </c>
    </row>
    <row r="53" spans="1:15" x14ac:dyDescent="0.3">
      <c r="A53" s="1">
        <v>1</v>
      </c>
      <c r="B53" s="1">
        <v>1</v>
      </c>
      <c r="C53" s="1">
        <v>2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2</v>
      </c>
      <c r="M53" s="1">
        <v>2</v>
      </c>
      <c r="N53" s="1">
        <v>2</v>
      </c>
      <c r="O53" s="1">
        <v>2</v>
      </c>
    </row>
    <row r="54" spans="1:15" x14ac:dyDescent="0.3">
      <c r="A54" s="1">
        <v>2</v>
      </c>
      <c r="B54" s="1">
        <v>1</v>
      </c>
      <c r="C54" s="1">
        <v>1</v>
      </c>
      <c r="D54" s="1">
        <v>0</v>
      </c>
      <c r="E54" s="1">
        <v>3</v>
      </c>
      <c r="F54" s="1">
        <v>2</v>
      </c>
      <c r="G54" s="1">
        <v>0</v>
      </c>
      <c r="H54" s="1">
        <v>2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2</v>
      </c>
      <c r="O54" s="1">
        <v>1</v>
      </c>
    </row>
    <row r="55" spans="1:15" x14ac:dyDescent="0.3">
      <c r="A55" s="1">
        <v>2</v>
      </c>
      <c r="B55" s="1">
        <v>1</v>
      </c>
      <c r="C55" s="1">
        <v>1</v>
      </c>
      <c r="D55" s="1">
        <v>1</v>
      </c>
      <c r="E55" s="1">
        <v>1</v>
      </c>
      <c r="F55" s="1">
        <v>2</v>
      </c>
      <c r="G55" s="1">
        <v>1</v>
      </c>
      <c r="H55" s="1">
        <v>2</v>
      </c>
      <c r="I55" s="1">
        <v>1</v>
      </c>
      <c r="J55" s="1">
        <v>2</v>
      </c>
      <c r="K55" s="1">
        <v>2</v>
      </c>
      <c r="L55" s="1">
        <v>2</v>
      </c>
      <c r="M55" s="1">
        <v>1</v>
      </c>
      <c r="N55" s="1">
        <v>1</v>
      </c>
      <c r="O55" s="1">
        <v>2</v>
      </c>
    </row>
    <row r="56" spans="1:15" x14ac:dyDescent="0.3">
      <c r="A56" s="1">
        <v>1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</row>
    <row r="57" spans="1:15" x14ac:dyDescent="0.3">
      <c r="A57" s="1">
        <v>0</v>
      </c>
      <c r="B57" s="1">
        <v>1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1</v>
      </c>
      <c r="L57" s="1">
        <v>0</v>
      </c>
      <c r="M57" s="1">
        <v>0</v>
      </c>
      <c r="N57" s="1">
        <v>3</v>
      </c>
    </row>
    <row r="58" spans="1:15" x14ac:dyDescent="0.3">
      <c r="A58" s="1">
        <v>2</v>
      </c>
      <c r="B58" s="1">
        <v>1</v>
      </c>
      <c r="C58" s="1">
        <v>2</v>
      </c>
      <c r="D58" s="1">
        <v>1</v>
      </c>
      <c r="E58" s="1">
        <v>2</v>
      </c>
      <c r="F58" s="1">
        <v>1</v>
      </c>
    </row>
    <row r="59" spans="1:15" x14ac:dyDescent="0.3">
      <c r="A59" s="1">
        <v>0</v>
      </c>
      <c r="B59" s="1">
        <v>2</v>
      </c>
      <c r="C59" s="1">
        <v>1</v>
      </c>
      <c r="D59" s="1">
        <v>2</v>
      </c>
      <c r="E59" s="1">
        <v>1</v>
      </c>
      <c r="F59" s="1">
        <v>2</v>
      </c>
      <c r="G59" s="1">
        <v>1</v>
      </c>
      <c r="H59" s="1">
        <v>1</v>
      </c>
      <c r="I59" s="1">
        <v>1</v>
      </c>
      <c r="J59" s="1">
        <v>2</v>
      </c>
      <c r="K59" s="1">
        <v>2</v>
      </c>
      <c r="L59" s="1">
        <v>2</v>
      </c>
      <c r="M59" s="1">
        <v>1</v>
      </c>
      <c r="N59" s="1">
        <v>1</v>
      </c>
      <c r="O59" s="1">
        <v>2</v>
      </c>
    </row>
    <row r="60" spans="1:15" x14ac:dyDescent="0.3">
      <c r="A60" s="1">
        <v>0</v>
      </c>
      <c r="B60" s="1">
        <v>1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2</v>
      </c>
      <c r="L60" s="1">
        <v>2</v>
      </c>
      <c r="M60" s="1">
        <v>1</v>
      </c>
      <c r="N60" s="1">
        <v>4</v>
      </c>
      <c r="O60" s="1">
        <v>1</v>
      </c>
    </row>
    <row r="61" spans="1:15" x14ac:dyDescent="0.3">
      <c r="A61" s="1">
        <v>2</v>
      </c>
      <c r="B61" s="1">
        <v>1</v>
      </c>
      <c r="C61" s="1">
        <v>1</v>
      </c>
      <c r="D61" s="1">
        <v>1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2</v>
      </c>
      <c r="K61" s="1">
        <v>1</v>
      </c>
      <c r="L61" s="1">
        <v>2</v>
      </c>
      <c r="M61" s="1">
        <v>1</v>
      </c>
      <c r="N61" s="1">
        <v>3</v>
      </c>
      <c r="O61" s="1">
        <v>2</v>
      </c>
    </row>
    <row r="62" spans="1:15" x14ac:dyDescent="0.3">
      <c r="A62" s="1">
        <v>2</v>
      </c>
      <c r="B62" s="1">
        <v>2</v>
      </c>
      <c r="C62" s="1">
        <v>3</v>
      </c>
      <c r="D62" s="1">
        <v>2</v>
      </c>
      <c r="E62" s="1">
        <v>2</v>
      </c>
      <c r="F62" s="1">
        <v>1</v>
      </c>
      <c r="G62" s="1">
        <v>1</v>
      </c>
      <c r="H62" s="1">
        <v>3</v>
      </c>
      <c r="I62" s="1">
        <v>3</v>
      </c>
      <c r="J62" s="1">
        <v>2</v>
      </c>
      <c r="K62" s="1">
        <v>2</v>
      </c>
      <c r="L62" s="1">
        <v>3</v>
      </c>
      <c r="M62" s="1">
        <v>2</v>
      </c>
      <c r="N62" s="1">
        <v>3</v>
      </c>
      <c r="O62" s="1">
        <v>3</v>
      </c>
    </row>
    <row r="63" spans="1:15" x14ac:dyDescent="0.3">
      <c r="A63" s="1">
        <v>1</v>
      </c>
      <c r="B63" s="1">
        <v>1</v>
      </c>
      <c r="C63" s="1">
        <v>2</v>
      </c>
      <c r="D63" s="1">
        <v>2</v>
      </c>
      <c r="E63" s="1">
        <v>1</v>
      </c>
      <c r="F63" s="1">
        <v>3</v>
      </c>
      <c r="G63" s="1">
        <v>1</v>
      </c>
      <c r="H63" s="1">
        <v>3</v>
      </c>
      <c r="I63" s="1">
        <v>1</v>
      </c>
      <c r="J63" s="1">
        <v>3</v>
      </c>
      <c r="K63" s="1">
        <v>2</v>
      </c>
      <c r="L63" s="1">
        <v>3</v>
      </c>
      <c r="M63" s="1">
        <v>1</v>
      </c>
      <c r="N63" s="1">
        <v>3</v>
      </c>
      <c r="O63" s="1">
        <v>3</v>
      </c>
    </row>
    <row r="64" spans="1:15" x14ac:dyDescent="0.3">
      <c r="A64" s="1">
        <v>2</v>
      </c>
      <c r="B64" s="1">
        <v>3</v>
      </c>
      <c r="C64" s="1">
        <v>1</v>
      </c>
      <c r="D64" s="1">
        <v>1</v>
      </c>
      <c r="E64" s="1">
        <v>2</v>
      </c>
      <c r="F64" s="1">
        <v>1</v>
      </c>
      <c r="G64" s="1">
        <v>1</v>
      </c>
      <c r="H64" s="1">
        <v>2</v>
      </c>
      <c r="I64" s="1">
        <v>3</v>
      </c>
      <c r="J64" s="1">
        <v>3</v>
      </c>
      <c r="K64" s="1">
        <v>2</v>
      </c>
      <c r="L64" s="1">
        <v>2</v>
      </c>
      <c r="M64" s="1">
        <v>1</v>
      </c>
      <c r="N64" s="1">
        <v>3</v>
      </c>
      <c r="O64" s="1">
        <v>2</v>
      </c>
    </row>
    <row r="65" spans="1:15" x14ac:dyDescent="0.3">
      <c r="A65" s="1">
        <v>0</v>
      </c>
      <c r="B65" s="1">
        <v>2</v>
      </c>
      <c r="C65" s="1">
        <v>1</v>
      </c>
      <c r="D65" s="1">
        <v>1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1</v>
      </c>
      <c r="K65" s="1">
        <v>1</v>
      </c>
      <c r="L65" s="1">
        <v>2</v>
      </c>
      <c r="M65" s="1">
        <v>0</v>
      </c>
      <c r="N65" s="1">
        <v>3</v>
      </c>
      <c r="O65" s="1">
        <v>2</v>
      </c>
    </row>
    <row r="66" spans="1:15" x14ac:dyDescent="0.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2</v>
      </c>
      <c r="G66" s="1">
        <v>2</v>
      </c>
      <c r="H66" s="1">
        <v>2</v>
      </c>
      <c r="I66" s="1">
        <v>2</v>
      </c>
      <c r="J66" s="1">
        <v>0</v>
      </c>
      <c r="K66" s="1">
        <v>1</v>
      </c>
      <c r="L66" s="1">
        <v>2</v>
      </c>
      <c r="M66" s="1">
        <v>1</v>
      </c>
      <c r="N66" s="1">
        <v>3</v>
      </c>
      <c r="O66" s="1">
        <v>1</v>
      </c>
    </row>
    <row r="67" spans="1:15" x14ac:dyDescent="0.3">
      <c r="A67" s="1">
        <v>1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1</v>
      </c>
      <c r="O67" s="1">
        <v>1</v>
      </c>
    </row>
    <row r="68" spans="1:15" x14ac:dyDescent="0.3">
      <c r="A68" s="1">
        <v>2</v>
      </c>
      <c r="B68" s="1">
        <v>1</v>
      </c>
      <c r="C68" s="1">
        <v>1</v>
      </c>
      <c r="D68" s="1">
        <v>0</v>
      </c>
      <c r="E68" s="1">
        <v>1</v>
      </c>
      <c r="F68" s="1">
        <v>2</v>
      </c>
      <c r="G68" s="1">
        <v>0</v>
      </c>
      <c r="H68" s="1">
        <v>2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2</v>
      </c>
      <c r="O68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6AE6-EEE8-48D4-8304-6D059649E3E7}">
  <sheetPr codeName="Blad2"/>
  <dimension ref="A1:AA16"/>
  <sheetViews>
    <sheetView tabSelected="1" zoomScale="80" zoomScaleNormal="80" workbookViewId="0">
      <selection activeCell="P16" sqref="A1:P16"/>
    </sheetView>
  </sheetViews>
  <sheetFormatPr defaultRowHeight="14.4" x14ac:dyDescent="0.3"/>
  <cols>
    <col min="1" max="1" width="38.88671875" bestFit="1" customWidth="1"/>
    <col min="2" max="16" width="7.88671875" customWidth="1"/>
    <col min="25" max="25" width="14.33203125" customWidth="1"/>
  </cols>
  <sheetData>
    <row r="1" spans="1:27" ht="202.2" thickBot="1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27" s="2" customFormat="1" ht="25.2" customHeight="1" x14ac:dyDescent="0.3">
      <c r="A2" s="7" t="s">
        <v>0</v>
      </c>
      <c r="B2" s="16" t="s">
        <v>15</v>
      </c>
      <c r="C2" s="17">
        <f>PEARSON(distraction_awareness,distraction_manual)</f>
        <v>0.47652733741046144</v>
      </c>
      <c r="D2" s="17">
        <f>PEARSON(distraction_shift_focus,distraction_manual)</f>
        <v>0.62006732447840884</v>
      </c>
      <c r="E2" s="17">
        <f>PEARSON(distraction_mental_load,distraction_manual)</f>
        <v>0.24832041128740365</v>
      </c>
      <c r="F2" s="17">
        <f>PEARSON(distraction_glance_frequency,distraction_manual)</f>
        <v>0.53595194569662774</v>
      </c>
      <c r="G2" s="18">
        <f>PEARSON(distraction_glance_duration,distraction_manual)</f>
        <v>0.4484128839438567</v>
      </c>
      <c r="H2" s="19">
        <f>PEARSON(behavior_more_speed,distraction_manual)</f>
        <v>0.24350393410199453</v>
      </c>
      <c r="I2" s="20">
        <f>PEARSON(behavior_less_speed,distraction_manual)</f>
        <v>0.4281537569856762</v>
      </c>
      <c r="J2" s="20">
        <f>PEARSON(behavior_speed_control,distraction_manual)</f>
        <v>0.1873561168582448</v>
      </c>
      <c r="K2" s="20">
        <f>PEARSON(behavior_lane_position,distraction_manual)</f>
        <v>0.34253030860468575</v>
      </c>
      <c r="L2" s="20">
        <f>PEARSON(behavior_reaction_time,distraction_manual)</f>
        <v>0.50424401587420709</v>
      </c>
      <c r="M2" s="20">
        <f>PEARSON(behavior_wrong_turns,distraction_manual)</f>
        <v>0.30356127901600355</v>
      </c>
      <c r="N2" s="21">
        <f>PEARSON(behavior_operating_errors,distraction_manual)</f>
        <v>0.3550412702432803</v>
      </c>
      <c r="O2" s="22">
        <f>PEARSON(bad_instructions,distraction_manual)</f>
        <v>0.14066955961240607</v>
      </c>
      <c r="P2" s="17">
        <f>PEARSON(interruptions,distraction_manual)</f>
        <v>0.10042278450951971</v>
      </c>
      <c r="Q2" s="3"/>
      <c r="R2" s="3"/>
    </row>
    <row r="3" spans="1:27" s="2" customFormat="1" ht="25.2" customHeight="1" x14ac:dyDescent="0.3">
      <c r="A3" s="7" t="s">
        <v>2</v>
      </c>
      <c r="B3" s="16" t="s">
        <v>15</v>
      </c>
      <c r="C3" s="16" t="s">
        <v>15</v>
      </c>
      <c r="D3" s="17">
        <f>PEARSON(distraction_shift_focus,distraction_awareness)</f>
        <v>0.50249686469642685</v>
      </c>
      <c r="E3" s="17">
        <f>PEARSON(distraction_mental_load,distraction_awareness)</f>
        <v>0.5186919698148903</v>
      </c>
      <c r="F3" s="17">
        <f>PEARSON(distraction_glance_frequency,distraction_awareness)</f>
        <v>0.46598050958025838</v>
      </c>
      <c r="G3" s="18">
        <f>PEARSON(distraction_glance_duration,distraction_awareness)</f>
        <v>0.32588295529701228</v>
      </c>
      <c r="H3" s="23">
        <f>PEARSON(behavior_more_speed,distraction_awareness)</f>
        <v>0.41504528950539171</v>
      </c>
      <c r="I3" s="17">
        <f>PEARSON(behavior_less_speed,distraction_awareness)</f>
        <v>0.28841115362011038</v>
      </c>
      <c r="J3" s="17">
        <f>PEARSON(behavior_speed_control,distraction_awareness)</f>
        <v>0.26729081708662661</v>
      </c>
      <c r="K3" s="17">
        <f>PEARSON(behavior_lane_position,distraction_awareness)</f>
        <v>0.39114321324451129</v>
      </c>
      <c r="L3" s="17">
        <f>PEARSON(behavior_reaction_time,distraction_awareness)</f>
        <v>0.56892688543806069</v>
      </c>
      <c r="M3" s="17">
        <f>PEARSON(behavior_wrong_turns,distraction_awareness)</f>
        <v>0.31414043121877172</v>
      </c>
      <c r="N3" s="24">
        <f>PEARSON(behavior_operating_errors,distraction_awareness)</f>
        <v>0.24794043096051399</v>
      </c>
      <c r="O3" s="22">
        <f>PEARSON(bad_instructions,distraction_awareness)</f>
        <v>0.13016640057848036</v>
      </c>
      <c r="P3" s="17">
        <f>PEARSON(interruptions,distraction_awareness)</f>
        <v>0.22499059654889805</v>
      </c>
      <c r="Q3" s="3"/>
      <c r="R3" s="3"/>
    </row>
    <row r="4" spans="1:27" s="2" customFormat="1" ht="25.2" customHeight="1" x14ac:dyDescent="0.3">
      <c r="A4" s="7" t="s">
        <v>3</v>
      </c>
      <c r="B4" s="16" t="s">
        <v>15</v>
      </c>
      <c r="C4" s="16" t="s">
        <v>15</v>
      </c>
      <c r="D4" s="16" t="s">
        <v>15</v>
      </c>
      <c r="E4" s="17">
        <f>PEARSON(distraction_mental_load,distraction_shift_focus)</f>
        <v>0.48229812784746323</v>
      </c>
      <c r="F4" s="17">
        <f>PEARSON(distraction_glance_frequency,distraction_shift_focus)</f>
        <v>0.54376826377123888</v>
      </c>
      <c r="G4" s="18">
        <f>PEARSON(distraction_glance_duration,distraction_shift_focus)</f>
        <v>0.55698076464710766</v>
      </c>
      <c r="H4" s="23">
        <f>PEARSON(behavior_more_speed,distraction_shift_focus)</f>
        <v>0.3084326805851742</v>
      </c>
      <c r="I4" s="17">
        <f>PEARSON(behavior_less_speed,distraction_shift_focus)</f>
        <v>0.30072655480357297</v>
      </c>
      <c r="J4" s="17">
        <f>PEARSON(behavior_speed_control,distraction_shift_focus)</f>
        <v>0.16550615815132702</v>
      </c>
      <c r="K4" s="17">
        <f>PEARSON(behavior_lane_position,distraction_shift_focus)</f>
        <v>0.35413784478306409</v>
      </c>
      <c r="L4" s="17">
        <f>PEARSON(behavior_reaction_time,distraction_shift_focus)</f>
        <v>0.54415719097975157</v>
      </c>
      <c r="M4" s="17">
        <f>PEARSON(behavior_wrong_turns,distraction_shift_focus)</f>
        <v>0.42038386882350498</v>
      </c>
      <c r="N4" s="24">
        <f>PEARSON(behavior_operating_errors,distraction_shift_focus)</f>
        <v>0.27742864287789282</v>
      </c>
      <c r="O4" s="22">
        <f>PEARSON(bad_instructions,distraction_shift_focus)</f>
        <v>0.2112419455074698</v>
      </c>
      <c r="P4" s="17">
        <f>PEARSON(interruptions,distraction_shift_focus)</f>
        <v>0.14905006553670552</v>
      </c>
      <c r="Q4" s="3"/>
      <c r="R4" s="3"/>
    </row>
    <row r="5" spans="1:27" s="2" customFormat="1" ht="25.2" customHeight="1" x14ac:dyDescent="0.3">
      <c r="A5" s="7" t="s">
        <v>4</v>
      </c>
      <c r="B5" s="16" t="s">
        <v>15</v>
      </c>
      <c r="C5" s="16" t="s">
        <v>15</v>
      </c>
      <c r="D5" s="16" t="s">
        <v>15</v>
      </c>
      <c r="E5" s="16" t="s">
        <v>15</v>
      </c>
      <c r="F5" s="17">
        <f>PEARSON(distraction_glance_frequency,distraction_mental_load)</f>
        <v>0.26566393960715479</v>
      </c>
      <c r="G5" s="18">
        <f>PEARSON(distraction_glance_duration,distraction_mental_load)</f>
        <v>0.39980544403277529</v>
      </c>
      <c r="H5" s="23">
        <f>PEARSON(behavior_more_speed,distraction_mental_load)</f>
        <v>0.31233846706591961</v>
      </c>
      <c r="I5" s="17">
        <f>PEARSON(behavior_less_speed,distraction_mental_load)</f>
        <v>0.16510105274270218</v>
      </c>
      <c r="J5" s="17">
        <f>PEARSON(behavior_speed_control,distraction_mental_load)</f>
        <v>0.2738823855493116</v>
      </c>
      <c r="K5" s="17">
        <f>PEARSON(behavior_lane_position,distraction_mental_load)</f>
        <v>0.27983568539322778</v>
      </c>
      <c r="L5" s="17">
        <f>PEARSON(behavior_reaction_time,distraction_mental_load)</f>
        <v>0.40157003939714397</v>
      </c>
      <c r="M5" s="17">
        <f>PEARSON(behavior_wrong_turns,distraction_mental_load)</f>
        <v>0.2542614673420005</v>
      </c>
      <c r="N5" s="24">
        <f>PEARSON(behavior_operating_errors,distraction_mental_load)</f>
        <v>0.44391822218882804</v>
      </c>
      <c r="O5" s="22">
        <f>PEARSON(bad_instructions,distraction_mental_load)</f>
        <v>0.28394676462862067</v>
      </c>
      <c r="P5" s="17">
        <f>PEARSON(interruptions,distraction_mental_load)</f>
        <v>0.3548217809557378</v>
      </c>
      <c r="Q5" s="3"/>
      <c r="R5" s="3"/>
    </row>
    <row r="6" spans="1:27" s="2" customFormat="1" ht="25.2" customHeight="1" x14ac:dyDescent="0.3">
      <c r="A6" s="7" t="s">
        <v>5</v>
      </c>
      <c r="B6" s="16" t="s">
        <v>15</v>
      </c>
      <c r="C6" s="16" t="s">
        <v>15</v>
      </c>
      <c r="D6" s="16" t="s">
        <v>15</v>
      </c>
      <c r="E6" s="16" t="s">
        <v>15</v>
      </c>
      <c r="F6" s="16" t="s">
        <v>15</v>
      </c>
      <c r="G6" s="18">
        <f>PEARSON(distraction_glance_duration,distraction_glance_frequency)</f>
        <v>0.54141028865250485</v>
      </c>
      <c r="H6" s="23">
        <f>PEARSON(behavior_more_speed,distraction_glance_frequency)</f>
        <v>0.11854321688026524</v>
      </c>
      <c r="I6" s="17">
        <f>PEARSON(behavior_less_speed,distraction_glance_frequency)</f>
        <v>0.32780535110751563</v>
      </c>
      <c r="J6" s="17">
        <f>PEARSON(behavior_speed_control,distraction_glance_frequency)</f>
        <v>0.11542531906028421</v>
      </c>
      <c r="K6" s="17">
        <f>PEARSON(behavior_lane_position,distraction_glance_frequency)</f>
        <v>0.39399476010169532</v>
      </c>
      <c r="L6" s="17">
        <f>PEARSON(behavior_reaction_time,distraction_glance_frequency)</f>
        <v>0.41519024633312851</v>
      </c>
      <c r="M6" s="17">
        <f>PEARSON(behavior_wrong_turns,distraction_glance_frequency)</f>
        <v>0.34275531069192605</v>
      </c>
      <c r="N6" s="24">
        <f>PEARSON(behavior_operating_errors,distraction_glance_frequency)</f>
        <v>0.34140469311337324</v>
      </c>
      <c r="O6" s="22">
        <f>PEARSON(bad_instructions,distraction_glance_frequency)</f>
        <v>9.7387327933196613E-2</v>
      </c>
      <c r="P6" s="17">
        <f>PEARSON(interruptions,distraction_glance_frequency)</f>
        <v>0.10075167623027577</v>
      </c>
      <c r="Q6" s="3"/>
      <c r="R6" s="3"/>
    </row>
    <row r="7" spans="1:27" s="2" customFormat="1" ht="25.2" customHeight="1" thickBot="1" x14ac:dyDescent="0.35">
      <c r="A7" s="7" t="s">
        <v>6</v>
      </c>
      <c r="B7" s="16" t="s">
        <v>15</v>
      </c>
      <c r="C7" s="16" t="s">
        <v>15</v>
      </c>
      <c r="D7" s="16" t="s">
        <v>15</v>
      </c>
      <c r="E7" s="16" t="s">
        <v>15</v>
      </c>
      <c r="F7" s="16" t="s">
        <v>15</v>
      </c>
      <c r="G7" s="25" t="s">
        <v>15</v>
      </c>
      <c r="H7" s="26">
        <f>PEARSON(behavior_more_speed,distraction_glance_duration)</f>
        <v>0.2308754195012642</v>
      </c>
      <c r="I7" s="27">
        <f>PEARSON(behavior_less_speed,distraction_glance_duration)</f>
        <v>0.35427634687298659</v>
      </c>
      <c r="J7" s="27">
        <f>PEARSON(behavior_speed_control,distraction_glance_duration)</f>
        <v>0.11519160026637054</v>
      </c>
      <c r="K7" s="27">
        <f>PEARSON(behavior_lane_position,distraction_glance_duration)</f>
        <v>0.43320954455191324</v>
      </c>
      <c r="L7" s="27">
        <f>PEARSON(behavior_reaction_time,distraction_glance_duration)</f>
        <v>0.32716657457184262</v>
      </c>
      <c r="M7" s="27">
        <f>PEARSON(behavior_wrong_turns,distraction_glance_duration)</f>
        <v>0.307213310000093</v>
      </c>
      <c r="N7" s="28">
        <f>PEARSON(behavior_operating_errors,distraction_glance_duration)</f>
        <v>0.42974036106363139</v>
      </c>
      <c r="O7" s="22">
        <f>PEARSON(bad_instructions,distraction_glance_duration)</f>
        <v>0.18975815686899797</v>
      </c>
      <c r="P7" s="17">
        <f>PEARSON(interruptions,distraction_glance_duration)</f>
        <v>-2.1394778812159503E-2</v>
      </c>
      <c r="Q7" s="3"/>
      <c r="R7" s="3"/>
    </row>
    <row r="8" spans="1:27" s="2" customFormat="1" ht="25.2" customHeight="1" x14ac:dyDescent="0.3">
      <c r="A8" s="7" t="s">
        <v>1</v>
      </c>
      <c r="B8" s="16" t="s">
        <v>15</v>
      </c>
      <c r="C8" s="16" t="s">
        <v>15</v>
      </c>
      <c r="D8" s="16" t="s">
        <v>15</v>
      </c>
      <c r="E8" s="16" t="s">
        <v>15</v>
      </c>
      <c r="F8" s="16" t="s">
        <v>15</v>
      </c>
      <c r="G8" s="16" t="s">
        <v>15</v>
      </c>
      <c r="H8" s="29" t="s">
        <v>15</v>
      </c>
      <c r="I8" s="30">
        <f>PEARSON(behavior_less_speed,behavior_more_speed)</f>
        <v>0.31147179085999011</v>
      </c>
      <c r="J8" s="30">
        <f>PEARSON(behavior_speed_control,behavior_more_speed)</f>
        <v>0.57231997292056913</v>
      </c>
      <c r="K8" s="30">
        <f>PEARSON(behavior_lane_position,behavior_more_speed)</f>
        <v>0.46493022800475337</v>
      </c>
      <c r="L8" s="30">
        <f>PEARSON(behavior_reaction_time,behavior_more_speed)</f>
        <v>0.19142301304078743</v>
      </c>
      <c r="M8" s="30">
        <f>PEARSON(behavior_wrong_turns,behavior_more_speed)</f>
        <v>0.22548634406650145</v>
      </c>
      <c r="N8" s="30">
        <f>PEARSON(behavior_operating_errors,behavior_more_speed)</f>
        <v>0.35300612186219482</v>
      </c>
      <c r="O8" s="17">
        <f>PEARSON(bad_instructions,behavior_more_speed)</f>
        <v>0.22210937965024127</v>
      </c>
      <c r="P8" s="17">
        <f>PEARSON(interruptions,behavior_more_speed)</f>
        <v>9.0449535970411221E-2</v>
      </c>
      <c r="Q8" s="3"/>
      <c r="R8" s="3"/>
    </row>
    <row r="9" spans="1:27" s="2" customFormat="1" ht="25.2" customHeight="1" x14ac:dyDescent="0.3">
      <c r="A9" s="7" t="s">
        <v>7</v>
      </c>
      <c r="B9" s="16" t="s">
        <v>15</v>
      </c>
      <c r="C9" s="16" t="s">
        <v>15</v>
      </c>
      <c r="D9" s="16" t="s">
        <v>15</v>
      </c>
      <c r="E9" s="16" t="s">
        <v>15</v>
      </c>
      <c r="F9" s="16" t="s">
        <v>15</v>
      </c>
      <c r="G9" s="16" t="s">
        <v>15</v>
      </c>
      <c r="H9" s="16" t="s">
        <v>15</v>
      </c>
      <c r="I9" s="16" t="s">
        <v>15</v>
      </c>
      <c r="J9" s="17">
        <f>PEARSON(behavior_speed_control,behavior_less_speed)</f>
        <v>0.44923280054066311</v>
      </c>
      <c r="K9" s="17">
        <f>PEARSON(behavior_lane_position,behavior_less_speed)</f>
        <v>0.42397819435239159</v>
      </c>
      <c r="L9" s="17">
        <f>PEARSON(behavior_reaction_time,behavior_less_speed)</f>
        <v>0.46840401320829783</v>
      </c>
      <c r="M9" s="17">
        <f>PEARSON(behavior_wrong_turns,behavior_less_speed)</f>
        <v>0.267924324511984</v>
      </c>
      <c r="N9" s="17">
        <f>PEARSON(behavior_operating_errors,behavior_less_speed)</f>
        <v>0.31829934536766696</v>
      </c>
      <c r="O9" s="17">
        <f>PEARSON(bad_instructions,behavior_less_speed)</f>
        <v>0.32388718035418457</v>
      </c>
      <c r="P9" s="17">
        <f>PEARSON(interruptions,behavior_less_speed)</f>
        <v>1.1372229873407143E-2</v>
      </c>
      <c r="Q9" s="3"/>
      <c r="S9" s="3"/>
      <c r="W9" s="2" t="s">
        <v>80</v>
      </c>
      <c r="X9" s="2" t="s">
        <v>81</v>
      </c>
    </row>
    <row r="10" spans="1:27" s="2" customFormat="1" ht="25.2" customHeight="1" x14ac:dyDescent="0.3">
      <c r="A10" s="7" t="s">
        <v>8</v>
      </c>
      <c r="B10" s="16" t="s">
        <v>15</v>
      </c>
      <c r="C10" s="16" t="s">
        <v>15</v>
      </c>
      <c r="D10" s="16" t="s">
        <v>15</v>
      </c>
      <c r="E10" s="16" t="s">
        <v>15</v>
      </c>
      <c r="F10" s="16" t="s">
        <v>15</v>
      </c>
      <c r="G10" s="16" t="s">
        <v>15</v>
      </c>
      <c r="H10" s="16" t="s">
        <v>15</v>
      </c>
      <c r="I10" s="16" t="s">
        <v>15</v>
      </c>
      <c r="J10" s="16" t="s">
        <v>15</v>
      </c>
      <c r="K10" s="17">
        <f>PEARSON(behavior_lane_position,behavior_speed_control)</f>
        <v>0.60438199360901157</v>
      </c>
      <c r="L10" s="17">
        <f>PEARSON(behavior_reaction_time,behavior_speed_control)</f>
        <v>0.18822623854824636</v>
      </c>
      <c r="M10" s="17">
        <f>PEARSON(behavior_wrong_turns,behavior_speed_control)</f>
        <v>0.33812408295626178</v>
      </c>
      <c r="N10" s="17">
        <f>PEARSON(behavior_operating_errors,behavior_speed_control)</f>
        <v>0.22196095931864526</v>
      </c>
      <c r="O10" s="17">
        <f>PEARSON(bad_instructions,behavior_speed_control)</f>
        <v>0.42389481951914182</v>
      </c>
      <c r="P10" s="17">
        <f>PEARSON(interruptions,behavior_speed_control)</f>
        <v>1.2776840272651002E-2</v>
      </c>
      <c r="Q10" s="3"/>
      <c r="R10" s="14">
        <f ca="1">'Sample Sizes'!K10</f>
        <v>55</v>
      </c>
      <c r="S10" s="15">
        <f>1+K10</f>
        <v>1.6043819936090116</v>
      </c>
      <c r="T10" s="15">
        <f>1-K10</f>
        <v>0.39561800639098843</v>
      </c>
      <c r="U10" s="2">
        <f>S10/T10</f>
        <v>4.0553816249288825</v>
      </c>
      <c r="V10" s="2">
        <f>LOG(U10,2.71828182845904)</f>
        <v>1.4000447953287181</v>
      </c>
      <c r="W10" s="2">
        <f>V10/2</f>
        <v>0.70002239766435903</v>
      </c>
      <c r="X10" s="2">
        <f ca="1">1/SQRT(R10-3)</f>
        <v>0.13867504905630729</v>
      </c>
      <c r="Y10" s="2">
        <f ca="1">W10*X10</f>
        <v>9.7075640336618835E-2</v>
      </c>
      <c r="Z10" s="15">
        <f ca="1">K10+Y10</f>
        <v>0.70145763394563043</v>
      </c>
      <c r="AA10" s="15">
        <f ca="1">K10-Y10</f>
        <v>0.50730635327239271</v>
      </c>
    </row>
    <row r="11" spans="1:27" s="2" customFormat="1" ht="25.2" customHeight="1" x14ac:dyDescent="0.3">
      <c r="A11" s="7" t="s">
        <v>9</v>
      </c>
      <c r="B11" s="16" t="s">
        <v>15</v>
      </c>
      <c r="C11" s="16" t="s">
        <v>15</v>
      </c>
      <c r="D11" s="16" t="s">
        <v>15</v>
      </c>
      <c r="E11" s="16" t="s">
        <v>15</v>
      </c>
      <c r="F11" s="16" t="s">
        <v>15</v>
      </c>
      <c r="G11" s="16" t="s">
        <v>15</v>
      </c>
      <c r="H11" s="16" t="s">
        <v>15</v>
      </c>
      <c r="I11" s="16" t="s">
        <v>15</v>
      </c>
      <c r="J11" s="16" t="s">
        <v>15</v>
      </c>
      <c r="K11" s="16" t="s">
        <v>15</v>
      </c>
      <c r="L11" s="17">
        <f>PEARSON(behavior_reaction_time,behavior_lane_position)</f>
        <v>0.40280640773941967</v>
      </c>
      <c r="M11" s="17">
        <f>PEARSON(behavior_wrong_turns,behavior_lane_position)</f>
        <v>0.33382562241835528</v>
      </c>
      <c r="N11" s="17">
        <f>PEARSON(behavior_operating_errors,behavior_lane_position)</f>
        <v>0.27214152577448231</v>
      </c>
      <c r="O11" s="17">
        <f>PEARSON(bad_instructions,behavior_lane_position)</f>
        <v>0.17824454101366477</v>
      </c>
      <c r="P11" s="17">
        <f>PEARSON(interruptions,behavior_lane_position)</f>
        <v>0.28264546046002986</v>
      </c>
      <c r="Q11" s="3"/>
      <c r="R11" s="3"/>
    </row>
    <row r="12" spans="1:27" s="2" customFormat="1" ht="25.2" customHeight="1" x14ac:dyDescent="0.3">
      <c r="A12" s="7" t="s">
        <v>10</v>
      </c>
      <c r="B12" s="16" t="s">
        <v>15</v>
      </c>
      <c r="C12" s="16" t="s">
        <v>15</v>
      </c>
      <c r="D12" s="16" t="s">
        <v>15</v>
      </c>
      <c r="E12" s="16" t="s">
        <v>15</v>
      </c>
      <c r="F12" s="16" t="s">
        <v>15</v>
      </c>
      <c r="G12" s="16" t="s">
        <v>15</v>
      </c>
      <c r="H12" s="16" t="s">
        <v>15</v>
      </c>
      <c r="I12" s="16" t="s">
        <v>15</v>
      </c>
      <c r="J12" s="16" t="s">
        <v>15</v>
      </c>
      <c r="K12" s="16" t="s">
        <v>15</v>
      </c>
      <c r="L12" s="16" t="s">
        <v>15</v>
      </c>
      <c r="M12" s="17">
        <f>PEARSON(behavior_wrong_turns,behavior_reaction_time)</f>
        <v>0.37033736479354068</v>
      </c>
      <c r="N12" s="17">
        <f>PEARSON(behavior_operating_errors,behavior_reaction_time)</f>
        <v>0.21009017576039676</v>
      </c>
      <c r="O12" s="17">
        <f>PEARSON(bad_instructions,behavior_reaction_time)</f>
        <v>0.25494401020750029</v>
      </c>
      <c r="P12" s="17">
        <f>PEARSON(interruptions,behavior_reaction_time)</f>
        <v>0.1812756445906395</v>
      </c>
      <c r="Q12" s="3"/>
      <c r="R12" s="3"/>
    </row>
    <row r="13" spans="1:27" s="2" customFormat="1" ht="25.2" customHeight="1" x14ac:dyDescent="0.3">
      <c r="A13" s="7" t="s">
        <v>11</v>
      </c>
      <c r="B13" s="16" t="s">
        <v>15</v>
      </c>
      <c r="C13" s="16" t="s">
        <v>15</v>
      </c>
      <c r="D13" s="16" t="s">
        <v>15</v>
      </c>
      <c r="E13" s="16" t="s">
        <v>15</v>
      </c>
      <c r="F13" s="16" t="s">
        <v>15</v>
      </c>
      <c r="G13" s="16" t="s">
        <v>15</v>
      </c>
      <c r="H13" s="16" t="s">
        <v>15</v>
      </c>
      <c r="I13" s="16" t="s">
        <v>15</v>
      </c>
      <c r="J13" s="16" t="s">
        <v>15</v>
      </c>
      <c r="K13" s="16" t="s">
        <v>15</v>
      </c>
      <c r="L13" s="16" t="s">
        <v>15</v>
      </c>
      <c r="M13" s="16" t="s">
        <v>15</v>
      </c>
      <c r="N13" s="17">
        <f>PEARSON(behavior_operating_errors,behavior_wrong_turns)</f>
        <v>0.31707771525599493</v>
      </c>
      <c r="O13" s="17">
        <f>PEARSON(bad_instructions,behavior_wrong_turns)</f>
        <v>0.28973860695897002</v>
      </c>
      <c r="P13" s="17">
        <f>PEARSON(interruptions,behavior_wrong_turns)</f>
        <v>0.23004980949931864</v>
      </c>
      <c r="Q13" s="3"/>
      <c r="R13" s="3"/>
    </row>
    <row r="14" spans="1:27" s="2" customFormat="1" ht="25.2" customHeight="1" x14ac:dyDescent="0.3">
      <c r="A14" s="7" t="s">
        <v>12</v>
      </c>
      <c r="B14" s="16" t="s">
        <v>15</v>
      </c>
      <c r="C14" s="16" t="s">
        <v>15</v>
      </c>
      <c r="D14" s="16" t="s">
        <v>15</v>
      </c>
      <c r="E14" s="16" t="s">
        <v>15</v>
      </c>
      <c r="F14" s="16" t="s">
        <v>15</v>
      </c>
      <c r="G14" s="16" t="s">
        <v>15</v>
      </c>
      <c r="H14" s="16" t="s">
        <v>15</v>
      </c>
      <c r="I14" s="16" t="s">
        <v>15</v>
      </c>
      <c r="J14" s="16" t="s">
        <v>15</v>
      </c>
      <c r="K14" s="16" t="s">
        <v>15</v>
      </c>
      <c r="L14" s="16" t="s">
        <v>15</v>
      </c>
      <c r="M14" s="16" t="s">
        <v>15</v>
      </c>
      <c r="N14" s="16" t="s">
        <v>15</v>
      </c>
      <c r="O14" s="17">
        <f>PEARSON(bad_instructions,behavior_operating_errors)</f>
        <v>0.30556960558136165</v>
      </c>
      <c r="P14" s="17">
        <f>PEARSON(interruptions,behavior_operating_errors)</f>
        <v>0.16746217888862522</v>
      </c>
      <c r="Q14" s="3"/>
      <c r="R14" s="3"/>
    </row>
    <row r="15" spans="1:27" s="2" customFormat="1" ht="25.2" customHeight="1" x14ac:dyDescent="0.3">
      <c r="A15" s="7" t="s">
        <v>14</v>
      </c>
      <c r="B15" s="16" t="s">
        <v>15</v>
      </c>
      <c r="C15" s="16" t="s">
        <v>15</v>
      </c>
      <c r="D15" s="16" t="s">
        <v>15</v>
      </c>
      <c r="E15" s="16" t="s">
        <v>15</v>
      </c>
      <c r="F15" s="16" t="s">
        <v>15</v>
      </c>
      <c r="G15" s="16" t="s">
        <v>15</v>
      </c>
      <c r="H15" s="16" t="s">
        <v>15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16" t="s">
        <v>15</v>
      </c>
      <c r="O15" s="16" t="s">
        <v>15</v>
      </c>
      <c r="P15" s="17">
        <f>PEARSON(interruptions,bad_instructions)</f>
        <v>0.14098830005508528</v>
      </c>
      <c r="Q15" s="3"/>
      <c r="R15" s="3"/>
    </row>
    <row r="16" spans="1:27" s="2" customFormat="1" ht="25.2" customHeight="1" x14ac:dyDescent="0.3">
      <c r="A16" s="7" t="s">
        <v>13</v>
      </c>
      <c r="B16" s="16" t="s">
        <v>15</v>
      </c>
      <c r="C16" s="16" t="s">
        <v>15</v>
      </c>
      <c r="D16" s="16" t="s">
        <v>15</v>
      </c>
      <c r="E16" s="16" t="s">
        <v>15</v>
      </c>
      <c r="F16" s="16" t="s">
        <v>15</v>
      </c>
      <c r="G16" s="16" t="s">
        <v>15</v>
      </c>
      <c r="H16" s="16" t="s">
        <v>15</v>
      </c>
      <c r="I16" s="16" t="s">
        <v>15</v>
      </c>
      <c r="J16" s="16" t="s">
        <v>15</v>
      </c>
      <c r="K16" s="16" t="s">
        <v>15</v>
      </c>
      <c r="L16" s="16" t="s">
        <v>15</v>
      </c>
      <c r="M16" s="16" t="s">
        <v>15</v>
      </c>
      <c r="N16" s="16" t="s">
        <v>15</v>
      </c>
      <c r="O16" s="16" t="s">
        <v>15</v>
      </c>
      <c r="P16" s="16" t="s">
        <v>15</v>
      </c>
      <c r="Q16" s="3"/>
      <c r="R16" s="3"/>
    </row>
  </sheetData>
  <conditionalFormatting sqref="B2:P16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FB4E-26BC-403C-8211-F6BAFD993C56}">
  <sheetPr codeName="Blad3"/>
  <dimension ref="A1:R16"/>
  <sheetViews>
    <sheetView zoomScale="80" zoomScaleNormal="80" workbookViewId="0">
      <selection activeCell="K1" sqref="K1:K10"/>
    </sheetView>
  </sheetViews>
  <sheetFormatPr defaultRowHeight="14.4" x14ac:dyDescent="0.3"/>
  <cols>
    <col min="1" max="1" width="38.88671875" bestFit="1" customWidth="1"/>
    <col min="2" max="16" width="7.88671875" customWidth="1"/>
  </cols>
  <sheetData>
    <row r="1" spans="1:18" ht="201.6" x14ac:dyDescent="0.4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8" t="s">
        <v>15</v>
      </c>
      <c r="C2" s="9">
        <f ca="1">MIN(COUNT(INDIRECT(C$1)),COUNT(INDIRECT($A2)))</f>
        <v>62</v>
      </c>
      <c r="D2" s="9">
        <f t="shared" ref="D2:P15" ca="1" si="0">MIN(COUNT(INDIRECT(D$1)),COUNT(INDIRECT($A2)))</f>
        <v>62</v>
      </c>
      <c r="E2" s="9">
        <f t="shared" ca="1" si="0"/>
        <v>61</v>
      </c>
      <c r="F2" s="9">
        <f t="shared" ca="1" si="0"/>
        <v>62</v>
      </c>
      <c r="G2" s="9">
        <f t="shared" ca="1" si="0"/>
        <v>62</v>
      </c>
      <c r="H2" s="9">
        <f t="shared" ca="1" si="0"/>
        <v>55</v>
      </c>
      <c r="I2" s="9">
        <f t="shared" ca="1" si="0"/>
        <v>55</v>
      </c>
      <c r="J2" s="9">
        <f t="shared" ca="1" si="0"/>
        <v>55</v>
      </c>
      <c r="K2" s="9">
        <f t="shared" ca="1" si="0"/>
        <v>55</v>
      </c>
      <c r="L2" s="9">
        <f t="shared" ca="1" si="0"/>
        <v>54</v>
      </c>
      <c r="M2" s="9">
        <f t="shared" ca="1" si="0"/>
        <v>54</v>
      </c>
      <c r="N2" s="9">
        <f t="shared" ca="1" si="0"/>
        <v>55</v>
      </c>
      <c r="O2" s="9">
        <f t="shared" ca="1" si="0"/>
        <v>54</v>
      </c>
      <c r="P2" s="9">
        <f t="shared" ca="1" si="0"/>
        <v>53</v>
      </c>
      <c r="Q2" s="3"/>
      <c r="R2" s="3"/>
    </row>
    <row r="3" spans="1:18" s="2" customFormat="1" ht="25.2" customHeight="1" x14ac:dyDescent="0.3">
      <c r="A3" s="7" t="s">
        <v>2</v>
      </c>
      <c r="B3" s="8" t="s">
        <v>15</v>
      </c>
      <c r="C3" s="8" t="s">
        <v>15</v>
      </c>
      <c r="D3" s="9">
        <f t="shared" ca="1" si="0"/>
        <v>62</v>
      </c>
      <c r="E3" s="9">
        <f t="shared" ca="1" si="0"/>
        <v>61</v>
      </c>
      <c r="F3" s="9">
        <f t="shared" ca="1" si="0"/>
        <v>62</v>
      </c>
      <c r="G3" s="9">
        <f t="shared" ca="1" si="0"/>
        <v>62</v>
      </c>
      <c r="H3" s="9">
        <f t="shared" ca="1" si="0"/>
        <v>55</v>
      </c>
      <c r="I3" s="9">
        <f t="shared" ca="1" si="0"/>
        <v>55</v>
      </c>
      <c r="J3" s="9">
        <f t="shared" ca="1" si="0"/>
        <v>55</v>
      </c>
      <c r="K3" s="9">
        <f t="shared" ca="1" si="0"/>
        <v>55</v>
      </c>
      <c r="L3" s="9">
        <f t="shared" ca="1" si="0"/>
        <v>54</v>
      </c>
      <c r="M3" s="9">
        <f t="shared" ca="1" si="0"/>
        <v>54</v>
      </c>
      <c r="N3" s="9">
        <f t="shared" ca="1" si="0"/>
        <v>55</v>
      </c>
      <c r="O3" s="9">
        <f t="shared" ca="1" si="0"/>
        <v>54</v>
      </c>
      <c r="P3" s="9">
        <f t="shared" ca="1" si="0"/>
        <v>53</v>
      </c>
      <c r="Q3" s="3"/>
      <c r="R3" s="3"/>
    </row>
    <row r="4" spans="1:18" s="2" customFormat="1" ht="25.2" customHeight="1" x14ac:dyDescent="0.3">
      <c r="A4" s="7" t="s">
        <v>3</v>
      </c>
      <c r="B4" s="8" t="s">
        <v>15</v>
      </c>
      <c r="C4" s="8" t="s">
        <v>15</v>
      </c>
      <c r="D4" s="8" t="s">
        <v>15</v>
      </c>
      <c r="E4" s="9">
        <f t="shared" ca="1" si="0"/>
        <v>61</v>
      </c>
      <c r="F4" s="9">
        <f t="shared" ca="1" si="0"/>
        <v>63</v>
      </c>
      <c r="G4" s="9">
        <f t="shared" ca="1" si="0"/>
        <v>63</v>
      </c>
      <c r="H4" s="9">
        <f t="shared" ca="1" si="0"/>
        <v>55</v>
      </c>
      <c r="I4" s="9">
        <f t="shared" ca="1" si="0"/>
        <v>55</v>
      </c>
      <c r="J4" s="9">
        <f t="shared" ca="1" si="0"/>
        <v>55</v>
      </c>
      <c r="K4" s="9">
        <f t="shared" ca="1" si="0"/>
        <v>55</v>
      </c>
      <c r="L4" s="9">
        <f t="shared" ca="1" si="0"/>
        <v>54</v>
      </c>
      <c r="M4" s="9">
        <f t="shared" ca="1" si="0"/>
        <v>54</v>
      </c>
      <c r="N4" s="9">
        <f t="shared" ca="1" si="0"/>
        <v>55</v>
      </c>
      <c r="O4" s="9">
        <f t="shared" ca="1" si="0"/>
        <v>54</v>
      </c>
      <c r="P4" s="9">
        <f t="shared" ca="1" si="0"/>
        <v>53</v>
      </c>
      <c r="Q4" s="3"/>
      <c r="R4" s="3"/>
    </row>
    <row r="5" spans="1:18" s="2" customFormat="1" ht="25.2" customHeight="1" x14ac:dyDescent="0.3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>
        <f t="shared" ca="1" si="0"/>
        <v>61</v>
      </c>
      <c r="G5" s="9">
        <f t="shared" ca="1" si="0"/>
        <v>61</v>
      </c>
      <c r="H5" s="9">
        <f t="shared" ca="1" si="0"/>
        <v>55</v>
      </c>
      <c r="I5" s="9">
        <f t="shared" ca="1" si="0"/>
        <v>55</v>
      </c>
      <c r="J5" s="9">
        <f t="shared" ca="1" si="0"/>
        <v>55</v>
      </c>
      <c r="K5" s="9">
        <f t="shared" ca="1" si="0"/>
        <v>55</v>
      </c>
      <c r="L5" s="9">
        <f t="shared" ca="1" si="0"/>
        <v>54</v>
      </c>
      <c r="M5" s="9">
        <f t="shared" ca="1" si="0"/>
        <v>54</v>
      </c>
      <c r="N5" s="9">
        <f t="shared" ca="1" si="0"/>
        <v>55</v>
      </c>
      <c r="O5" s="9">
        <f t="shared" ca="1" si="0"/>
        <v>54</v>
      </c>
      <c r="P5" s="9">
        <f t="shared" ca="1" si="0"/>
        <v>53</v>
      </c>
      <c r="Q5" s="3"/>
      <c r="R5" s="3"/>
    </row>
    <row r="6" spans="1:18" s="2" customFormat="1" ht="25.2" customHeight="1" x14ac:dyDescent="0.3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9">
        <f t="shared" ca="1" si="0"/>
        <v>63</v>
      </c>
      <c r="H6" s="9">
        <f t="shared" ca="1" si="0"/>
        <v>55</v>
      </c>
      <c r="I6" s="9">
        <f t="shared" ca="1" si="0"/>
        <v>55</v>
      </c>
      <c r="J6" s="9">
        <f t="shared" ca="1" si="0"/>
        <v>55</v>
      </c>
      <c r="K6" s="9">
        <f t="shared" ca="1" si="0"/>
        <v>55</v>
      </c>
      <c r="L6" s="9">
        <f t="shared" ca="1" si="0"/>
        <v>54</v>
      </c>
      <c r="M6" s="9">
        <f t="shared" ca="1" si="0"/>
        <v>54</v>
      </c>
      <c r="N6" s="9">
        <f t="shared" ca="1" si="0"/>
        <v>55</v>
      </c>
      <c r="O6" s="9">
        <f t="shared" ca="1" si="0"/>
        <v>54</v>
      </c>
      <c r="P6" s="9">
        <f t="shared" ca="1" si="0"/>
        <v>53</v>
      </c>
      <c r="Q6" s="3"/>
      <c r="R6" s="3"/>
    </row>
    <row r="7" spans="1:18" s="2" customFormat="1" ht="25.2" customHeigh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0" t="s">
        <v>15</v>
      </c>
      <c r="H7" s="9">
        <f t="shared" ca="1" si="0"/>
        <v>55</v>
      </c>
      <c r="I7" s="9">
        <f t="shared" ca="1" si="0"/>
        <v>55</v>
      </c>
      <c r="J7" s="9">
        <f t="shared" ca="1" si="0"/>
        <v>55</v>
      </c>
      <c r="K7" s="9">
        <f t="shared" ca="1" si="0"/>
        <v>55</v>
      </c>
      <c r="L7" s="9">
        <f t="shared" ca="1" si="0"/>
        <v>54</v>
      </c>
      <c r="M7" s="9">
        <f t="shared" ca="1" si="0"/>
        <v>54</v>
      </c>
      <c r="N7" s="9">
        <f t="shared" ca="1" si="0"/>
        <v>55</v>
      </c>
      <c r="O7" s="9">
        <f t="shared" ca="1" si="0"/>
        <v>54</v>
      </c>
      <c r="P7" s="9">
        <f t="shared" ca="1" si="0"/>
        <v>53</v>
      </c>
      <c r="Q7" s="3"/>
      <c r="R7" s="3"/>
    </row>
    <row r="8" spans="1:18" s="2" customFormat="1" ht="25.2" customHeight="1" x14ac:dyDescent="0.3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11" t="s">
        <v>15</v>
      </c>
      <c r="I8" s="9">
        <f t="shared" ca="1" si="0"/>
        <v>55</v>
      </c>
      <c r="J8" s="9">
        <f t="shared" ca="1" si="0"/>
        <v>55</v>
      </c>
      <c r="K8" s="9">
        <f t="shared" ca="1" si="0"/>
        <v>55</v>
      </c>
      <c r="L8" s="9">
        <f t="shared" ca="1" si="0"/>
        <v>54</v>
      </c>
      <c r="M8" s="9">
        <f t="shared" ca="1" si="0"/>
        <v>54</v>
      </c>
      <c r="N8" s="9">
        <f t="shared" ca="1" si="0"/>
        <v>55</v>
      </c>
      <c r="O8" s="9">
        <f t="shared" ca="1" si="0"/>
        <v>54</v>
      </c>
      <c r="P8" s="9">
        <f t="shared" ca="1" si="0"/>
        <v>53</v>
      </c>
      <c r="Q8" s="3"/>
      <c r="R8" s="3"/>
    </row>
    <row r="9" spans="1:18" s="2" customFormat="1" ht="25.2" customHeight="1" x14ac:dyDescent="0.3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>
        <f t="shared" ca="1" si="0"/>
        <v>55</v>
      </c>
      <c r="K9" s="9">
        <f t="shared" ca="1" si="0"/>
        <v>55</v>
      </c>
      <c r="L9" s="9">
        <f t="shared" ca="1" si="0"/>
        <v>54</v>
      </c>
      <c r="M9" s="9">
        <f t="shared" ca="1" si="0"/>
        <v>54</v>
      </c>
      <c r="N9" s="9">
        <f t="shared" ca="1" si="0"/>
        <v>55</v>
      </c>
      <c r="O9" s="9">
        <f t="shared" ca="1" si="0"/>
        <v>54</v>
      </c>
      <c r="P9" s="9">
        <f t="shared" ca="1" si="0"/>
        <v>53</v>
      </c>
      <c r="Q9" s="3"/>
      <c r="R9" s="3"/>
    </row>
    <row r="10" spans="1:18" s="2" customFormat="1" ht="25.2" customHeight="1" x14ac:dyDescent="0.3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9">
        <f t="shared" ca="1" si="0"/>
        <v>55</v>
      </c>
      <c r="L10" s="9">
        <f t="shared" ca="1" si="0"/>
        <v>54</v>
      </c>
      <c r="M10" s="9">
        <f t="shared" ca="1" si="0"/>
        <v>54</v>
      </c>
      <c r="N10" s="9">
        <f t="shared" ca="1" si="0"/>
        <v>55</v>
      </c>
      <c r="O10" s="9">
        <f t="shared" ca="1" si="0"/>
        <v>54</v>
      </c>
      <c r="P10" s="9">
        <f t="shared" ca="1" si="0"/>
        <v>53</v>
      </c>
      <c r="Q10" s="3"/>
      <c r="R10" s="3"/>
    </row>
    <row r="11" spans="1:18" s="2" customFormat="1" ht="25.2" customHeight="1" x14ac:dyDescent="0.3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>
        <f t="shared" ca="1" si="0"/>
        <v>54</v>
      </c>
      <c r="M11" s="9">
        <f t="shared" ca="1" si="0"/>
        <v>54</v>
      </c>
      <c r="N11" s="9">
        <f t="shared" ca="1" si="0"/>
        <v>55</v>
      </c>
      <c r="O11" s="9">
        <f t="shared" ca="1" si="0"/>
        <v>54</v>
      </c>
      <c r="P11" s="9">
        <f t="shared" ca="1" si="0"/>
        <v>53</v>
      </c>
      <c r="Q11" s="3"/>
      <c r="R11" s="3"/>
    </row>
    <row r="12" spans="1:18" s="2" customFormat="1" ht="25.2" customHeight="1" x14ac:dyDescent="0.3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>
        <f t="shared" ca="1" si="0"/>
        <v>54</v>
      </c>
      <c r="N12" s="9">
        <f t="shared" ca="1" si="0"/>
        <v>54</v>
      </c>
      <c r="O12" s="9">
        <f t="shared" ca="1" si="0"/>
        <v>54</v>
      </c>
      <c r="P12" s="9">
        <f t="shared" ca="1" si="0"/>
        <v>53</v>
      </c>
      <c r="Q12" s="3"/>
      <c r="R12" s="3"/>
    </row>
    <row r="13" spans="1:18" s="2" customFormat="1" ht="25.2" customHeight="1" x14ac:dyDescent="0.3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>
        <f t="shared" ca="1" si="0"/>
        <v>54</v>
      </c>
      <c r="O13" s="9">
        <f t="shared" ca="1" si="0"/>
        <v>54</v>
      </c>
      <c r="P13" s="9">
        <f t="shared" ca="1" si="0"/>
        <v>53</v>
      </c>
      <c r="Q13" s="3"/>
      <c r="R13" s="3"/>
    </row>
    <row r="14" spans="1:18" s="2" customFormat="1" ht="25.2" customHeight="1" x14ac:dyDescent="0.3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>
        <f t="shared" ca="1" si="0"/>
        <v>54</v>
      </c>
      <c r="P14" s="9">
        <f t="shared" ca="1" si="0"/>
        <v>53</v>
      </c>
      <c r="Q14" s="3"/>
      <c r="R14" s="3"/>
    </row>
    <row r="15" spans="1:18" s="2" customFormat="1" ht="25.2" customHeight="1" x14ac:dyDescent="0.3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>
        <f t="shared" ca="1" si="0"/>
        <v>53</v>
      </c>
      <c r="Q15" s="3"/>
      <c r="R15" s="3"/>
    </row>
    <row r="16" spans="1:18" s="2" customFormat="1" ht="25.2" customHeight="1" x14ac:dyDescent="0.3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4901-CC95-4178-A25F-B2DE02A37CDA}">
  <sheetPr codeName="Blad4"/>
  <dimension ref="A1:R16"/>
  <sheetViews>
    <sheetView zoomScale="80" zoomScaleNormal="80" workbookViewId="0">
      <selection activeCell="K10" sqref="K10"/>
    </sheetView>
  </sheetViews>
  <sheetFormatPr defaultRowHeight="14.4" x14ac:dyDescent="0.3"/>
  <cols>
    <col min="1" max="1" width="38.88671875" bestFit="1" customWidth="1"/>
    <col min="2" max="16" width="20.33203125" customWidth="1"/>
  </cols>
  <sheetData>
    <row r="1" spans="1:18" ht="201.6" x14ac:dyDescent="0.4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5" t="s">
        <v>14</v>
      </c>
      <c r="P1" s="5" t="s">
        <v>13</v>
      </c>
    </row>
    <row r="2" spans="1:18" s="2" customFormat="1" ht="25.2" customHeight="1" x14ac:dyDescent="0.3">
      <c r="A2" s="7" t="s">
        <v>0</v>
      </c>
      <c r="B2" s="8" t="s">
        <v>15</v>
      </c>
      <c r="C2" s="9" t="s">
        <v>16</v>
      </c>
      <c r="D2" s="13" t="s">
        <v>17</v>
      </c>
      <c r="E2" s="9" t="s">
        <v>18</v>
      </c>
      <c r="F2" s="12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 t="s">
        <v>26</v>
      </c>
      <c r="N2" s="9" t="s">
        <v>27</v>
      </c>
      <c r="O2" s="9" t="s">
        <v>28</v>
      </c>
      <c r="P2" s="9" t="s">
        <v>29</v>
      </c>
      <c r="Q2" s="3"/>
      <c r="R2" s="3"/>
    </row>
    <row r="3" spans="1:18" s="2" customFormat="1" ht="25.2" customHeight="1" x14ac:dyDescent="0.3">
      <c r="A3" s="7" t="s">
        <v>2</v>
      </c>
      <c r="B3" s="8" t="s">
        <v>15</v>
      </c>
      <c r="C3" s="8" t="s">
        <v>15</v>
      </c>
      <c r="D3" s="9" t="s">
        <v>78</v>
      </c>
      <c r="E3" s="12" t="s">
        <v>77</v>
      </c>
      <c r="F3" s="9" t="s">
        <v>76</v>
      </c>
      <c r="G3" s="9" t="s">
        <v>75</v>
      </c>
      <c r="H3" s="9" t="s">
        <v>59</v>
      </c>
      <c r="I3" s="9" t="s">
        <v>71</v>
      </c>
      <c r="J3" s="9" t="s">
        <v>54</v>
      </c>
      <c r="K3" s="9" t="s">
        <v>65</v>
      </c>
      <c r="L3" s="12" t="s">
        <v>56</v>
      </c>
      <c r="M3" s="9" t="s">
        <v>51</v>
      </c>
      <c r="N3" s="9" t="s">
        <v>21</v>
      </c>
      <c r="O3" s="9" t="s">
        <v>47</v>
      </c>
      <c r="P3" s="9" t="s">
        <v>30</v>
      </c>
      <c r="Q3" s="3"/>
      <c r="R3" s="3"/>
    </row>
    <row r="4" spans="1:18" s="2" customFormat="1" ht="25.2" customHeight="1" x14ac:dyDescent="0.3">
      <c r="A4" s="7" t="s">
        <v>3</v>
      </c>
      <c r="B4" s="8" t="s">
        <v>15</v>
      </c>
      <c r="C4" s="8" t="s">
        <v>15</v>
      </c>
      <c r="D4" s="8" t="s">
        <v>15</v>
      </c>
      <c r="E4" s="9" t="s">
        <v>16</v>
      </c>
      <c r="F4" s="12" t="s">
        <v>72</v>
      </c>
      <c r="G4" s="12" t="s">
        <v>74</v>
      </c>
      <c r="H4" s="9" t="s">
        <v>69</v>
      </c>
      <c r="I4" s="9" t="s">
        <v>70</v>
      </c>
      <c r="J4" s="9" t="s">
        <v>66</v>
      </c>
      <c r="K4" s="9" t="s">
        <v>27</v>
      </c>
      <c r="L4" s="12" t="s">
        <v>57</v>
      </c>
      <c r="M4" s="9" t="s">
        <v>55</v>
      </c>
      <c r="N4" s="9" t="s">
        <v>36</v>
      </c>
      <c r="O4" s="9" t="s">
        <v>46</v>
      </c>
      <c r="P4" s="9" t="s">
        <v>31</v>
      </c>
      <c r="Q4" s="3"/>
      <c r="R4" s="3"/>
    </row>
    <row r="5" spans="1:18" s="2" customFormat="1" ht="25.2" customHeight="1" x14ac:dyDescent="0.3">
      <c r="A5" s="7" t="s">
        <v>4</v>
      </c>
      <c r="B5" s="8" t="s">
        <v>15</v>
      </c>
      <c r="C5" s="8" t="s">
        <v>15</v>
      </c>
      <c r="D5" s="8" t="s">
        <v>15</v>
      </c>
      <c r="E5" s="8" t="s">
        <v>15</v>
      </c>
      <c r="F5" s="9" t="s">
        <v>79</v>
      </c>
      <c r="G5" s="9" t="s">
        <v>73</v>
      </c>
      <c r="H5" s="9" t="s">
        <v>69</v>
      </c>
      <c r="I5" s="9" t="s">
        <v>66</v>
      </c>
      <c r="J5" s="9" t="s">
        <v>50</v>
      </c>
      <c r="K5" s="9" t="s">
        <v>45</v>
      </c>
      <c r="L5" s="9" t="s">
        <v>58</v>
      </c>
      <c r="M5" s="9" t="s">
        <v>41</v>
      </c>
      <c r="N5" s="9" t="s">
        <v>48</v>
      </c>
      <c r="O5" s="9" t="s">
        <v>45</v>
      </c>
      <c r="P5" s="9" t="s">
        <v>32</v>
      </c>
      <c r="Q5" s="3"/>
      <c r="R5" s="3"/>
    </row>
    <row r="6" spans="1:18" s="2" customFormat="1" ht="25.2" customHeight="1" x14ac:dyDescent="0.3">
      <c r="A6" s="7" t="s">
        <v>5</v>
      </c>
      <c r="B6" s="8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12" t="s">
        <v>72</v>
      </c>
      <c r="H6" s="9" t="s">
        <v>67</v>
      </c>
      <c r="I6" s="9" t="s">
        <v>53</v>
      </c>
      <c r="J6" s="9" t="s">
        <v>67</v>
      </c>
      <c r="K6" s="9" t="s">
        <v>64</v>
      </c>
      <c r="L6" s="9" t="s">
        <v>59</v>
      </c>
      <c r="M6" s="9" t="s">
        <v>24</v>
      </c>
      <c r="N6" s="9" t="s">
        <v>24</v>
      </c>
      <c r="O6" s="9" t="s">
        <v>29</v>
      </c>
      <c r="P6" s="9" t="s">
        <v>29</v>
      </c>
      <c r="Q6" s="3"/>
      <c r="R6" s="3"/>
    </row>
    <row r="7" spans="1:18" s="2" customFormat="1" ht="25.2" customHeight="1" x14ac:dyDescent="0.3">
      <c r="A7" s="7" t="s">
        <v>6</v>
      </c>
      <c r="B7" s="8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10" t="s">
        <v>15</v>
      </c>
      <c r="H7" s="9" t="s">
        <v>38</v>
      </c>
      <c r="I7" s="9" t="s">
        <v>27</v>
      </c>
      <c r="J7" s="9" t="s">
        <v>67</v>
      </c>
      <c r="K7" s="9" t="s">
        <v>63</v>
      </c>
      <c r="L7" s="9" t="s">
        <v>53</v>
      </c>
      <c r="M7" s="9" t="s">
        <v>26</v>
      </c>
      <c r="N7" s="9" t="s">
        <v>49</v>
      </c>
      <c r="O7" s="9" t="s">
        <v>44</v>
      </c>
      <c r="P7" s="9" t="s">
        <v>33</v>
      </c>
      <c r="Q7" s="3"/>
      <c r="R7" s="3"/>
    </row>
    <row r="8" spans="1:18" s="2" customFormat="1" ht="25.2" customHeight="1" x14ac:dyDescent="0.3">
      <c r="A8" s="7" t="s">
        <v>1</v>
      </c>
      <c r="B8" s="8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11" t="s">
        <v>15</v>
      </c>
      <c r="I8" s="9" t="s">
        <v>69</v>
      </c>
      <c r="J8" s="12" t="s">
        <v>56</v>
      </c>
      <c r="K8" s="9" t="s">
        <v>60</v>
      </c>
      <c r="L8" s="9" t="s">
        <v>44</v>
      </c>
      <c r="M8" s="9" t="s">
        <v>38</v>
      </c>
      <c r="N8" s="9" t="s">
        <v>27</v>
      </c>
      <c r="O8" s="9" t="s">
        <v>43</v>
      </c>
      <c r="P8" s="9" t="s">
        <v>34</v>
      </c>
      <c r="Q8" s="3"/>
      <c r="R8" s="3"/>
    </row>
    <row r="9" spans="1:18" s="2" customFormat="1" ht="25.2" customHeight="1" x14ac:dyDescent="0.3">
      <c r="A9" s="7" t="s">
        <v>7</v>
      </c>
      <c r="B9" s="8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9" t="s">
        <v>68</v>
      </c>
      <c r="K9" s="9" t="s">
        <v>22</v>
      </c>
      <c r="L9" s="9" t="s">
        <v>60</v>
      </c>
      <c r="M9" s="9" t="s">
        <v>54</v>
      </c>
      <c r="N9" s="9" t="s">
        <v>42</v>
      </c>
      <c r="O9" s="9" t="s">
        <v>42</v>
      </c>
      <c r="P9" s="9" t="s">
        <v>35</v>
      </c>
      <c r="Q9" s="3"/>
      <c r="R9" s="3"/>
    </row>
    <row r="10" spans="1:18" s="2" customFormat="1" ht="25.2" customHeight="1" x14ac:dyDescent="0.3">
      <c r="A10" s="7" t="s">
        <v>8</v>
      </c>
      <c r="B10" s="8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13" t="s">
        <v>62</v>
      </c>
      <c r="L10" s="9" t="s">
        <v>23</v>
      </c>
      <c r="M10" s="9" t="s">
        <v>24</v>
      </c>
      <c r="N10" s="9" t="s">
        <v>43</v>
      </c>
      <c r="O10" s="9" t="s">
        <v>22</v>
      </c>
      <c r="P10" s="9" t="s">
        <v>35</v>
      </c>
      <c r="Q10" s="3"/>
      <c r="R10" s="3"/>
    </row>
    <row r="11" spans="1:18" s="2" customFormat="1" ht="25.2" customHeight="1" x14ac:dyDescent="0.3">
      <c r="A11" s="7" t="s">
        <v>9</v>
      </c>
      <c r="B11" s="8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9" t="s">
        <v>61</v>
      </c>
      <c r="M11" s="9" t="s">
        <v>53</v>
      </c>
      <c r="N11" s="9" t="s">
        <v>50</v>
      </c>
      <c r="O11" s="9" t="s">
        <v>37</v>
      </c>
      <c r="P11" s="9" t="s">
        <v>36</v>
      </c>
      <c r="Q11" s="3"/>
      <c r="R11" s="3"/>
    </row>
    <row r="12" spans="1:18" s="2" customFormat="1" ht="25.2" customHeight="1" x14ac:dyDescent="0.3">
      <c r="A12" s="7" t="s">
        <v>10</v>
      </c>
      <c r="B12" s="8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9" t="s">
        <v>52</v>
      </c>
      <c r="N12" s="9" t="s">
        <v>46</v>
      </c>
      <c r="O12" s="9" t="s">
        <v>41</v>
      </c>
      <c r="P12" s="9" t="s">
        <v>37</v>
      </c>
      <c r="Q12" s="3"/>
      <c r="R12" s="3"/>
    </row>
    <row r="13" spans="1:18" s="2" customFormat="1" ht="25.2" customHeight="1" x14ac:dyDescent="0.3">
      <c r="A13" s="7" t="s">
        <v>11</v>
      </c>
      <c r="B13" s="8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  <c r="N13" s="9" t="s">
        <v>51</v>
      </c>
      <c r="O13" s="9" t="s">
        <v>40</v>
      </c>
      <c r="P13" s="9" t="s">
        <v>38</v>
      </c>
      <c r="Q13" s="3"/>
      <c r="R13" s="3"/>
    </row>
    <row r="14" spans="1:18" s="2" customFormat="1" ht="25.2" customHeight="1" x14ac:dyDescent="0.3">
      <c r="A14" s="7" t="s">
        <v>12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  <c r="N14" s="8" t="s">
        <v>15</v>
      </c>
      <c r="O14" s="9" t="s">
        <v>26</v>
      </c>
      <c r="P14" s="9" t="s">
        <v>39</v>
      </c>
      <c r="Q14" s="3"/>
      <c r="R14" s="3"/>
    </row>
    <row r="15" spans="1:18" s="2" customFormat="1" ht="25.2" customHeight="1" x14ac:dyDescent="0.3">
      <c r="A15" s="7" t="s">
        <v>14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  <c r="N15" s="8" t="s">
        <v>15</v>
      </c>
      <c r="O15" s="8" t="s">
        <v>15</v>
      </c>
      <c r="P15" s="9" t="s">
        <v>31</v>
      </c>
      <c r="Q15" s="3"/>
      <c r="R15" s="3"/>
    </row>
    <row r="16" spans="1:18" s="2" customFormat="1" ht="25.2" customHeight="1" x14ac:dyDescent="0.3">
      <c r="A16" s="7" t="s">
        <v>13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  <c r="N16" s="8" t="s">
        <v>15</v>
      </c>
      <c r="O16" s="8" t="s">
        <v>15</v>
      </c>
      <c r="P16" s="8" t="s">
        <v>15</v>
      </c>
      <c r="Q16" s="3"/>
      <c r="R16" s="3"/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7DB62-D346-413D-9650-411E81E00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DDCBB-5363-4FBC-8D61-FA7E96A0C8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15</vt:i4>
      </vt:variant>
    </vt:vector>
  </HeadingPairs>
  <TitlesOfParts>
    <vt:vector size="19" baseType="lpstr">
      <vt:lpstr>The Data</vt:lpstr>
      <vt:lpstr>Overall Correlations</vt:lpstr>
      <vt:lpstr>Sample Sizes</vt:lpstr>
      <vt:lpstr>CIs</vt:lpstr>
      <vt:lpstr>bad_instructions</vt:lpstr>
      <vt:lpstr>behavior_lane_position</vt:lpstr>
      <vt:lpstr>behavior_less_speed</vt:lpstr>
      <vt:lpstr>behavior_more_speed</vt:lpstr>
      <vt:lpstr>behavior_operating_errors</vt:lpstr>
      <vt:lpstr>behavior_reaction_time</vt:lpstr>
      <vt:lpstr>behavior_speed_control</vt:lpstr>
      <vt:lpstr>behavior_wrong_turns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interruptions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2023-06-27T13:36:26Z</dcterms:created>
  <dcterms:modified xsi:type="dcterms:W3CDTF">2023-07-31T15:23:23Z</dcterms:modified>
</cp:coreProperties>
</file>