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eanhenderson/"/>
    </mc:Choice>
  </mc:AlternateContent>
  <xr:revisionPtr revIDLastSave="0" documentId="13_ncr:1_{304101F8-B7A9-0146-99E6-D12555DFA264}" xr6:coauthVersionLast="47" xr6:coauthVersionMax="47" xr10:uidLastSave="{00000000-0000-0000-0000-000000000000}"/>
  <bookViews>
    <workbookView xWindow="29960" yWindow="500" windowWidth="33860" windowHeight="18420" activeTab="4" xr2:uid="{00000000-000D-0000-FFFF-FFFF00000000}"/>
  </bookViews>
  <sheets>
    <sheet name="Sheet2" sheetId="3" r:id="rId1"/>
    <sheet name="Sheet3" sheetId="4" r:id="rId2"/>
    <sheet name="Sheet6" sheetId="7" r:id="rId3"/>
    <sheet name="Sheet7" sheetId="8" r:id="rId4"/>
    <sheet name="Sheet8" sheetId="9" r:id="rId5"/>
    <sheet name="Crowdfunding" sheetId="1" r:id="rId6"/>
  </sheets>
  <definedNames>
    <definedName name="_xlchart.v1.0" hidden="1">Sheet7!$A$2:$A$14</definedName>
    <definedName name="_xlchart.v1.1" hidden="1">Sheet7!$F$1</definedName>
    <definedName name="_xlchart.v1.2" hidden="1">Sheet7!$F$2:$F$14</definedName>
    <definedName name="_xlchart.v1.3" hidden="1">Sheet7!$G$1</definedName>
    <definedName name="_xlchart.v1.4" hidden="1">Sheet7!$G$2:$G$14</definedName>
    <definedName name="_xlchart.v1.5" hidden="1">Sheet7!$H$1</definedName>
    <definedName name="_xlchart.v1.6" hidden="1">Sheet7!$H$2:$H$14</definedName>
  </definedNames>
  <calcPr calcId="191029"/>
  <pivotCaches>
    <pivotCache cacheId="4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9" l="1"/>
  <c r="B17" i="9"/>
  <c r="E16" i="9"/>
  <c r="B16" i="9"/>
  <c r="E15" i="9"/>
  <c r="B15" i="9"/>
  <c r="E14" i="9"/>
  <c r="B14" i="9"/>
  <c r="E13" i="9"/>
  <c r="B13" i="9"/>
  <c r="E12" i="9"/>
  <c r="B12" i="9"/>
  <c r="H3" i="8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<sst xmlns="http://schemas.openxmlformats.org/spreadsheetml/2006/main" count="6150" uniqueCount="2112">
  <si>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</si>
  <si>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</si>
  <si>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</si>
  <si>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</si>
  <si>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</si>
  <si>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</si>
  <si>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</si>
  <si>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</si>
  <si>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</si>
  <si>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</si>
  <si>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</si>
  <si>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</si>
  <si>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</si>
  <si>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</si>
  <si>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</si>
  <si>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</si>
  <si>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</si>
  <si>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</si>
  <si>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</si>
  <si>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</si>
  <si>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</si>
  <si>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</si>
  <si>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</si>
  <si>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</si>
  <si>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</si>
  <si>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</si>
  <si>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</si>
  <si>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</si>
  <si>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</si>
  <si>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</si>
  <si>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</si>
  <si>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</si>
  <si>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</si>
  <si>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</si>
  <si>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</si>
  <si>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</si>
  <si>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</si>
  <si>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</si>
  <si>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</si>
  <si>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</si>
  <si>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</si>
  <si>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</si>
  <si>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</si>
  <si>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</si>
  <si>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</si>
  <si>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</si>
  <si>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</si>
  <si>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</si>
  <si>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</si>
  <si>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</si>
  <si>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</si>
  <si>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</si>
  <si>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</si>
  <si>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</si>
  <si>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</si>
  <si>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</si>
  <si>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</si>
  <si>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</si>
  <si>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</si>
  <si>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</si>
  <si>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</si>
  <si>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</si>
  <si>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</si>
  <si>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</si>
  <si>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</si>
  <si>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</si>
  <si>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</si>
  <si>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</si>
  <si>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</si>
  <si>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</si>
  <si>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</si>
  <si>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</si>
  <si>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</si>
  <si>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</si>
  <si>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</si>
  <si>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</si>
  <si>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</si>
  <si>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</si>
  <si>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</si>
  <si>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</si>
  <si>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</si>
  <si>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</si>
  <si>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</si>
  <si>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</si>
  <si>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</si>
  <si>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</si>
  <si>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</si>
  <si>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</si>
  <si>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</si>
  <si>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</si>
  <si>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</si>
  <si>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</si>
  <si>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</si>
  <si>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</si>
  <si>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</si>
  <si>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</si>
  <si>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</si>
  <si>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</si>
  <si>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</si>
  <si>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</si>
  <si>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</si>
  <si>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</si>
  <si>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</si>
  <si>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</si>
  <si>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</si>
  <si>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</si>
  <si>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</si>
  <si>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</si>
  <si>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</si>
  <si>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</si>
  <si>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</si>
  <si>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</si>
  <si>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</si>
  <si>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</si>
  <si>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</si>
  <si>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</si>
  <si>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</si>
  <si>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</si>
  <si>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</si>
  <si>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</si>
  <si>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</si>
  <si>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</si>
  <si>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</si>
  <si>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</si>
  <si>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</si>
  <si>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</si>
  <si>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</si>
  <si>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</si>
  <si>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</si>
  <si>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</si>
  <si>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</si>
  <si>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</si>
  <si>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</si>
  <si>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</si>
  <si>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</si>
  <si>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</si>
  <si>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</si>
  <si>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</si>
  <si>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</si>
  <si>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</si>
  <si>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</si>
  <si>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</si>
  <si>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</si>
  <si>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</si>
  <si>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</si>
  <si>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</si>
  <si>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</si>
  <si>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</si>
  <si>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</si>
  <si>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</si>
  <si>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</si>
  <si>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</si>
  <si>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</si>
  <si>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</si>
  <si>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</si>
  <si>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</si>
  <si>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</si>
  <si>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</si>
  <si>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</si>
  <si>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</si>
  <si>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</si>
  <si>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</si>
  <si>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</si>
  <si>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</si>
  <si>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</si>
  <si>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</si>
  <si>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</si>
  <si>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</si>
  <si>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</si>
  <si>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</si>
  <si>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</si>
  <si>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</si>
  <si>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</si>
  <si>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</si>
  <si>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</si>
  <si>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</si>
  <si>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</si>
  <si>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</si>
  <si>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</si>
  <si>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</si>
  <si>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</si>
  <si>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</si>
  <si>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</si>
  <si>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</si>
  <si>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</si>
  <si>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</si>
  <si>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</si>
  <si>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</si>
  <si>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</si>
  <si>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</si>
  <si>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</si>
  <si>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</si>
  <si>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</si>
  <si>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</si>
  <si>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</si>
  <si>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</si>
  <si>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</si>
  <si>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</si>
  <si>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</si>
  <si>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</si>
  <si>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</si>
  <si>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</si>
  <si>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</si>
  <si>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</si>
  <si>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</si>
  <si>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</si>
  <si>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</si>
  <si>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</si>
  <si>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</si>
  <si>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</si>
  <si>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</si>
  <si>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</si>
  <si>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</si>
  <si>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</si>
  <si>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</si>
  <si>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</si>
  <si>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</si>
  <si>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</si>
  <si>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</si>
  <si>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</si>
  <si>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</si>
  <si>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</si>
  <si>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</si>
  <si>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</si>
  <si>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</si>
  <si>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</si>
  <si>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</si>
  <si>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</si>
  <si>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</si>
  <si>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</si>
  <si>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</si>
  <si>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</si>
  <si>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</si>
  <si>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</si>
  <si>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</si>
  <si>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</si>
  <si>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</si>
  <si>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</si>
  <si>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</si>
  <si>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</si>
  <si>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</si>
  <si>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</si>
  <si>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</si>
  <si>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</si>
  <si>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</si>
  <si>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</si>
  <si>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</si>
  <si>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</si>
  <si>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</si>
  <si>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</si>
  <si>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</si>
  <si>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</si>
  <si>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</si>
  <si>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</si>
  <si>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</si>
  <si>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</si>
  <si>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</si>
  <si>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</si>
  <si>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</si>
  <si>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</si>
  <si>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</si>
  <si>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</si>
  <si>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</si>
  <si>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</si>
  <si>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</si>
  <si>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</si>
  <si>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</si>
  <si>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</si>
  <si>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</si>
  <si>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</si>
  <si>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</si>
  <si>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</si>
  <si>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</si>
  <si>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</si>
  <si>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</si>
  <si>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</si>
  <si>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</si>
  <si>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</si>
  <si>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</si>
  <si>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</si>
  <si>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</si>
  <si>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</si>
  <si>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</si>
  <si>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</si>
  <si>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</si>
  <si>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</si>
  <si>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</si>
  <si>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</si>
  <si>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</si>
  <si>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</si>
  <si>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</si>
  <si>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</si>
  <si>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</si>
  <si>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</si>
  <si>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</si>
  <si>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</si>
  <si>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</si>
  <si>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</si>
  <si>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</si>
  <si>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</si>
  <si>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</si>
  <si>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</si>
  <si>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</si>
  <si>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</si>
  <si>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</si>
  <si>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</si>
  <si>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</si>
  <si>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</si>
  <si>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</si>
  <si>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</si>
  <si>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</si>
  <si>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</si>
  <si>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</si>
  <si>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</si>
  <si>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</si>
  <si>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</si>
  <si>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</si>
  <si>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</si>
  <si>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</si>
  <si>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</si>
  <si>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</si>
  <si>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</si>
  <si>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</si>
  <si>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</si>
  <si>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</si>
  <si>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</si>
  <si>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</si>
  <si>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</si>
  <si>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</si>
  <si>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</si>
  <si>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</si>
  <si>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</si>
  <si>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</si>
  <si>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</si>
  <si>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</si>
  <si>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</si>
  <si>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</si>
  <si>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</si>
  <si>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</si>
  <si>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</si>
  <si>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</si>
  <si>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</si>
  <si>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</si>
  <si>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</si>
  <si>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</si>
  <si>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</si>
  <si>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</si>
  <si>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</si>
  <si>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</si>
  <si>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</si>
  <si>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</si>
  <si>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</si>
  <si>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</si>
  <si>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</si>
  <si>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</si>
  <si>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</si>
  <si>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</si>
  <si>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</si>
  <si>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</si>
  <si>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</si>
  <si>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</si>
  <si>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</si>
  <si>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</si>
  <si>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</si>
  <si>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</si>
  <si>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</si>
  <si>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</si>
  <si>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</si>
  <si>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</si>
  <si>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</si>
  <si>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</si>
  <si>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</si>
  <si>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</si>
  <si>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</si>
  <si>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</si>
  <si>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</si>
  <si>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</si>
  <si>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</si>
  <si>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</si>
  <si>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</si>
  <si>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</si>
  <si>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</si>
  <si>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</si>
  <si>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</si>
  <si>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</si>
  <si>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</si>
  <si>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</si>
  <si>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</si>
  <si>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</si>
  <si>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</si>
  <si>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</si>
  <si>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</si>
  <si>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</si>
  <si>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</si>
  <si>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</si>
  <si>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</si>
  <si>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</si>
  <si>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</si>
  <si>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</si>
  <si>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</si>
  <si>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</si>
  <si>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</si>
  <si>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</si>
  <si>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</si>
  <si>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</si>
  <si>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</si>
  <si>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</si>
  <si>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</si>
  <si>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</si>
  <si>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</si>
  <si>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</si>
  <si>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</si>
  <si>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</si>
  <si>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</si>
  <si>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</si>
  <si>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</si>
  <si>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</si>
  <si>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</si>
  <si>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</si>
  <si>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</si>
  <si>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</si>
  <si>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</si>
  <si>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</si>
  <si>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</si>
  <si>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</si>
  <si>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</si>
  <si>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</si>
  <si>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</si>
  <si>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</si>
  <si>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</si>
  <si>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</si>
  <si>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</si>
  <si>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</si>
  <si>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</si>
  <si>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</si>
  <si>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</si>
  <si>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</si>
  <si>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</si>
  <si>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</si>
  <si>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</si>
  <si>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</si>
  <si>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</si>
  <si>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</si>
  <si>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</si>
  <si>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</si>
  <si>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</si>
  <si>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</si>
  <si>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</si>
  <si>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</si>
  <si>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</si>
  <si>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</si>
  <si>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</si>
  <si>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</si>
  <si>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</si>
  <si>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</si>
  <si>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</si>
  <si>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</si>
  <si>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</si>
  <si>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</si>
  <si>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</si>
  <si>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</si>
  <si>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</si>
  <si>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</si>
  <si>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</si>
  <si>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</si>
  <si>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</si>
  <si>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</si>
  <si>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</si>
  <si>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</si>
  <si>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</si>
  <si>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</si>
  <si>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</si>
  <si>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</si>
  <si>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</si>
  <si>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</si>
  <si>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</si>
  <si>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</si>
  <si>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</si>
  <si>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</si>
  <si>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</si>
  <si>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</si>
  <si>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</si>
  <si>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</si>
  <si>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</si>
  <si>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</si>
  <si>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</si>
  <si>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</si>
  <si>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</si>
  <si>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</si>
  <si>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</si>
  <si>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</si>
  <si>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</si>
  <si>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</si>
  <si>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</si>
  <si>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</si>
  <si>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</si>
  <si>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</si>
  <si>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</si>
  <si>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</si>
  <si>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</si>
  <si>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</si>
  <si>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</si>
  <si>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</si>
  <si>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</si>
  <si>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</si>
  <si>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</si>
  <si>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</si>
  <si>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</si>
  <si>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</si>
  <si>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</si>
  <si>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</si>
  <si>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</si>
  <si>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</si>
  <si>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</si>
  <si>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</si>
  <si>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</si>
  <si>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</si>
  <si>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</si>
  <si>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</si>
  <si>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</si>
  <si>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</si>
  <si>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</si>
  <si>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</si>
  <si>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</si>
  <si>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</si>
  <si>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</si>
  <si>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</si>
  <si>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</si>
  <si>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</si>
  <si>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</si>
  <si>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</si>
  <si>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</si>
  <si>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</si>
  <si>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</si>
  <si>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</si>
  <si>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</si>
  <si>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</si>
  <si>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</si>
  <si>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</si>
  <si>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</si>
  <si>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</si>
  <si>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</si>
  <si>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</si>
  <si>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</si>
  <si>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</si>
  <si>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</si>
  <si>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</si>
  <si>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</si>
  <si>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</si>
  <si>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</si>
  <si>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</si>
  <si>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</si>
  <si>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</si>
  <si>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</si>
  <si>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</si>
  <si>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</si>
  <si>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</si>
  <si>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</si>
  <si>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</si>
  <si>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</si>
  <si>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</si>
  <si>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</si>
  <si>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</si>
  <si>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</si>
  <si>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</si>
  <si>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</si>
  <si>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</si>
  <si>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</si>
  <si>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</si>
  <si>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</si>
  <si>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</si>
  <si>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</si>
  <si>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</si>
  <si>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</si>
  <si>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</si>
  <si>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</si>
  <si>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</si>
  <si>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</si>
  <si>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</si>
  <si>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</si>
  <si>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</si>
  <si>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</si>
  <si>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</si>
  <si>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</si>
  <si>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</si>
  <si>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</si>
  <si>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</si>
  <si>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</si>
  <si>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</si>
  <si>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</si>
  <si>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</si>
  <si>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</si>
  <si>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</si>
  <si>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</si>
  <si>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</si>
  <si>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</si>
  <si>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</si>
  <si>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</si>
  <si>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</si>
  <si>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</si>
  <si>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</si>
  <si>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</si>
  <si>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</si>
  <si>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</si>
  <si>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</si>
  <si>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</si>
  <si>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</si>
  <si>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</si>
  <si>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</si>
  <si>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</si>
  <si>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</si>
  <si>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</si>
  <si>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</si>
  <si>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</si>
  <si>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</si>
  <si>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</si>
  <si>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</si>
  <si>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</si>
  <si>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</si>
  <si>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</si>
  <si>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</si>
  <si>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</si>
  <si>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</si>
  <si>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</si>
  <si>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</si>
  <si>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</si>
  <si>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</si>
  <si>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</si>
  <si>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</si>
  <si>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</si>
  <si>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</si>
  <si>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</si>
  <si>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</si>
  <si>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</si>
  <si>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</si>
  <si>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</si>
  <si>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</si>
  <si>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</si>
  <si>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</si>
  <si>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</si>
  <si>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</si>
  <si>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</si>
  <si>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</si>
  <si>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</si>
  <si>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</si>
  <si>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</si>
  <si>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</si>
  <si>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</si>
  <si>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</si>
  <si>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</si>
  <si>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</si>
  <si>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</si>
  <si>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</si>
  <si>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</si>
  <si>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</si>
  <si>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</si>
  <si>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</si>
  <si>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</si>
  <si>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</si>
  <si>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</si>
  <si>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</si>
  <si>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</si>
  <si>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</si>
  <si>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</si>
  <si>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</si>
  <si>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</si>
  <si>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</si>
  <si>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</si>
  <si>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</si>
  <si>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</si>
  <si>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</si>
  <si>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</si>
  <si>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</si>
  <si>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</si>
  <si>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</si>
  <si>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</si>
  <si>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</si>
  <si>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</si>
  <si>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</si>
  <si>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</si>
  <si>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</si>
  <si>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</si>
  <si>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</si>
  <si>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</si>
  <si>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</si>
  <si>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</si>
  <si>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</si>
  <si>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</si>
  <si>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</si>
  <si>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</si>
  <si>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</si>
  <si>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</si>
  <si>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</si>
  <si>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</si>
  <si>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</si>
  <si>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</si>
  <si>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</si>
  <si>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</si>
  <si>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</si>
  <si>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</si>
  <si>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</si>
  <si>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</si>
  <si>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</si>
  <si>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</si>
  <si>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</si>
  <si>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</si>
  <si>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</si>
  <si>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</si>
  <si>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</si>
  <si>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</si>
  <si>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</si>
  <si>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</si>
  <si>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</si>
  <si>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</si>
  <si>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</si>
  <si>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</si>
  <si>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</si>
  <si>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</si>
  <si>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</si>
  <si>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</si>
  <si>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</si>
  <si>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</si>
  <si>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</si>
  <si>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</si>
  <si>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</si>
  <si>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</si>
  <si>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</si>
  <si>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</si>
  <si>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</si>
  <si>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</si>
  <si>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</si>
  <si>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</si>
  <si>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</si>
  <si>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</si>
  <si>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</si>
  <si>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</si>
  <si>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</si>
  <si>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</si>
  <si>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</si>
  <si>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</si>
  <si>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</si>
  <si>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</si>
  <si>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</si>
  <si>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</si>
  <si>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</si>
  <si>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</si>
  <si>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</si>
  <si>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</si>
  <si>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</si>
  <si>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</si>
  <si>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</si>
  <si>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</si>
  <si>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</si>
  <si>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</si>
  <si>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</si>
  <si>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</si>
  <si>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</si>
  <si>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</si>
  <si>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</si>
  <si>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</si>
  <si>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</si>
  <si>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</si>
  <si>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</si>
  <si>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</si>
  <si>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</si>
  <si>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</si>
  <si>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</si>
  <si>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</si>
  <si>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</si>
  <si>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</si>
  <si>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</si>
  <si>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</si>
  <si>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</si>
  <si>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</si>
  <si>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</si>
  <si>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</si>
  <si>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</si>
  <si>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</si>
  <si>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</si>
  <si>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</si>
  <si>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</si>
  <si>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</si>
  <si>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</si>
  <si>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</si>
  <si>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</si>
  <si>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</si>
  <si>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</si>
  <si>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</si>
  <si>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</si>
  <si>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</si>
  <si>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</si>
  <si>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</si>
  <si>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</si>
  <si>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</si>
  <si>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</si>
  <si>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</si>
  <si>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</si>
  <si>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</si>
  <si>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</si>
  <si>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</si>
  <si>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</si>
  <si>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</si>
  <si>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</si>
  <si>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</si>
  <si>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</si>
  <si>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</si>
  <si>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</si>
  <si>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</si>
  <si>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</si>
  <si>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</si>
  <si>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</si>
  <si>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</si>
  <si>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</si>
  <si>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</si>
  <si>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</si>
  <si>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</si>
  <si>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</si>
  <si>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</si>
  <si>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</si>
  <si>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</si>
  <si>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</si>
  <si>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</si>
  <si>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</si>
  <si>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</si>
  <si>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</si>
  <si>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</si>
  <si>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</si>
  <si>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</si>
  <si>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</si>
  <si>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</si>
  <si>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</si>
  <si>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</si>
  <si>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</si>
  <si>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</si>
  <si>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</si>
  <si>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</si>
  <si>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</si>
  <si>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</si>
  <si>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</si>
  <si>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</si>
  <si>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</si>
  <si>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</si>
  <si>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</si>
  <si>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</si>
  <si>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</si>
  <si>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</si>
  <si>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</si>
  <si>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</si>
  <si>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</si>
  <si>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</si>
  <si>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</si>
  <si>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</si>
  <si>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</si>
  <si>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</si>
  <si>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</si>
  <si>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</si>
  <si>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</si>
  <si>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</si>
  <si>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</si>
  <si>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</si>
  <si>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</si>
  <si>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</si>
  <si>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</si>
  <si>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</si>
  <si>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</si>
  <si>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</si>
  <si>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</si>
  <si>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</si>
  <si>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</si>
  <si>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</si>
  <si>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</si>
  <si>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</si>
  <si>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</si>
  <si>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</si>
  <si>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</si>
  <si>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</si>
  <si>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</si>
  <si>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</si>
  <si>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</si>
  <si>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</si>
  <si>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</si>
  <si>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</si>
  <si>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</si>
  <si>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</si>
  <si>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</si>
  <si>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</si>
  <si>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</si>
  <si>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</si>
  <si>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</si>
  <si>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</si>
  <si>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</si>
  <si>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</si>
  <si>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</si>
  <si>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</si>
  <si>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</si>
  <si>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</si>
  <si>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</si>
  <si>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</si>
  <si>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</si>
  <si>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</si>
  <si>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</si>
  <si>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</si>
  <si>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</si>
  <si>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</si>
  <si>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</si>
  <si>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</si>
  <si>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</si>
  <si>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</si>
  <si>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</si>
  <si>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</si>
  <si>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</si>
  <si>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</si>
  <si>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</si>
  <si>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</si>
  <si>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</si>
  <si>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</si>
  <si>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</si>
  <si>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</si>
  <si>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</si>
  <si>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</si>
  <si>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</si>
  <si>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</si>
  <si>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</si>
  <si>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</si>
  <si>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</si>
  <si>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</si>
  <si>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</si>
  <si>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</si>
  <si>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</si>
  <si>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</si>
  <si>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</si>
  <si>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</si>
  <si>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</si>
  <si>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</si>
  <si>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</si>
  <si>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</si>
  <si>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</si>
  <si>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</si>
  <si>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</si>
  <si>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</si>
  <si>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</si>
  <si>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</si>
  <si>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</si>
  <si>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</si>
  <si>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</si>
  <si>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</si>
  <si>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</si>
  <si>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</si>
  <si>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</si>
  <si>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</si>
  <si>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</si>
  <si>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</si>
  <si>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</si>
  <si>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</si>
  <si>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</si>
  <si>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</si>
  <si>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</si>
  <si>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</si>
  <si>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</si>
  <si>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</si>
  <si>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</si>
  <si>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</si>
  <si>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</si>
  <si>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</si>
  <si>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</si>
  <si>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</si>
  <si>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</si>
  <si>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</si>
  <si>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</si>
  <si>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</si>
  <si>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</si>
  <si>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</si>
  <si>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</si>
  <si>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</si>
  <si>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</si>
  <si>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</si>
  <si>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</si>
  <si>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</si>
  <si>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</si>
  <si>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</si>
  <si>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</si>
  <si>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</si>
  <si>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</si>
  <si>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</si>
  <si>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</si>
  <si>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</si>
  <si>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</si>
  <si>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</si>
  <si>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</si>
  <si>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</si>
  <si>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</si>
  <si>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</si>
  <si>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</si>
  <si>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</si>
  <si>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</si>
  <si>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</si>
  <si>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</si>
  <si>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</si>
  <si>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</si>
  <si>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</si>
  <si>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</si>
  <si>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</si>
  <si>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</si>
  <si>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</si>
  <si>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</si>
  <si>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</si>
  <si>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</si>
  <si>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</si>
  <si>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</si>
  <si>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</si>
  <si>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</si>
  <si>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</si>
  <si>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</si>
  <si>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</si>
  <si>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</si>
  <si>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</si>
  <si>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</si>
  <si>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</si>
  <si>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</si>
  <si>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</si>
  <si>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</si>
  <si>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</si>
  <si>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</si>
  <si>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</si>
  <si>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</si>
  <si>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</si>
  <si>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</si>
  <si>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</si>
  <si>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</si>
  <si>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</si>
  <si>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</si>
  <si>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</si>
  <si>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</si>
  <si>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</si>
  <si>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</si>
  <si>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</si>
  <si>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</si>
  <si>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</si>
  <si>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</si>
  <si>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</si>
  <si>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</si>
  <si>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</si>
  <si>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</si>
  <si>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</si>
  <si>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</si>
  <si>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</si>
  <si>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</si>
  <si>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</si>
  <si>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</si>
  <si>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</si>
  <si>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</si>
  <si>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</si>
  <si>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</si>
  <si>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</si>
  <si>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</si>
  <si>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</si>
  <si>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</si>
  <si>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</si>
  <si>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</si>
  <si>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</si>
  <si>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</si>
  <si>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</si>
  <si>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</si>
  <si>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</si>
  <si>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</si>
  <si>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</si>
  <si>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</si>
  <si>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</si>
  <si>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</si>
  <si>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</si>
  <si>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</si>
  <si>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</si>
  <si>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</si>
  <si>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</si>
  <si>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</si>
  <si>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</si>
  <si>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</si>
  <si>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</si>
  <si>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</si>
  <si>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</si>
  <si>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</si>
  <si>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</si>
  <si>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</si>
  <si>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</si>
  <si>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</si>
  <si>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</si>
  <si>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</si>
  <si>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</si>
  <si>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</si>
  <si>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</si>
  <si>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</si>
  <si>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</si>
  <si>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</si>
  <si>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</si>
  <si>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</si>
  <si>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</si>
  <si>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</si>
  <si>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</si>
  <si>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</si>
  <si>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</si>
  <si>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</si>
  <si>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</si>
  <si>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</si>
  <si>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</si>
  <si>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</si>
  <si>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</si>
  <si>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</si>
  <si>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</si>
  <si>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</si>
  <si>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</si>
  <si>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</si>
  <si>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</si>
  <si>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</si>
  <si>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</si>
  <si>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</si>
  <si>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</si>
  <si>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</si>
  <si>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</si>
  <si>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</si>
  <si>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</si>
  <si>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</si>
  <si>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</si>
  <si>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</si>
  <si>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</si>
  <si>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</si>
  <si>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</si>
  <si>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</si>
  <si>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</si>
  <si>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</si>
  <si>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</si>
  <si>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</si>
  <si>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</si>
  <si>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</si>
  <si>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</si>
  <si>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</si>
  <si>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</si>
  <si>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</si>
  <si>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</si>
  <si>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</si>
  <si>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</si>
  <si>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</si>
  <si>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</si>
  <si>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</si>
  <si>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</si>
  <si>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</si>
  <si>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</si>
  <si>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</si>
  <si>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</si>
  <si>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</si>
  <si>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</si>
  <si>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</si>
  <si>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</si>
  <si>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</si>
  <si>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</si>
  <si>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</si>
  <si>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</si>
  <si>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</si>
  <si>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</si>
  <si>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</si>
  <si>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</si>
  <si>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</si>
  <si>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</si>
  <si>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</si>
  <si>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</si>
  <si>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</si>
  <si>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</si>
  <si>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</si>
  <si>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</si>
  <si>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</si>
  <si>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</si>
  <si>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</si>
  <si>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</si>
  <si>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</si>
  <si>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</si>
  <si>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</si>
  <si>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</si>
  <si>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</si>
  <si>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</si>
  <si>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</si>
  <si>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</si>
  <si>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</si>
  <si>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</si>
  <si>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</si>
  <si>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</si>
  <si>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</si>
  <si>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</si>
  <si>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</si>
  <si>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</si>
  <si>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</si>
  <si>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</si>
  <si>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</si>
  <si>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</si>
  <si>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</si>
  <si>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</si>
  <si>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</si>
  <si>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</si>
  <si>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</si>
  <si>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</si>
  <si>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</si>
  <si>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</si>
  <si>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</si>
  <si>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</si>
  <si>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</si>
  <si>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</si>
  <si>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</si>
  <si>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</si>
  <si>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</si>
  <si>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</si>
  <si>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</si>
  <si>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</si>
  <si>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</si>
  <si>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</si>
  <si>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</si>
  <si>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</si>
  <si>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</si>
  <si>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</si>
  <si>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</si>
  <si>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</si>
  <si>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</si>
  <si>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</si>
  <si>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</si>
  <si>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</si>
  <si>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</si>
  <si>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</si>
  <si>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</si>
  <si>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</si>
  <si>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</si>
  <si>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</si>
  <si>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</si>
  <si>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</si>
  <si>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</si>
  <si>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</si>
  <si>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</si>
  <si>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</si>
  <si>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</si>
  <si>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</si>
  <si>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</si>
  <si>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</si>
  <si>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</si>
  <si>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</si>
  <si>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</si>
  <si>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</si>
  <si>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</si>
  <si>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</si>
  <si>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</si>
  <si>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</si>
  <si>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</si>
  <si>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</si>
  <si>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</si>
  <si>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</si>
  <si>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</si>
  <si>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</si>
  <si>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</si>
  <si>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</si>
  <si>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</si>
  <si>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</si>
  <si>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</si>
  <si>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</si>
  <si>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</si>
  <si>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</si>
  <si>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</si>
  <si>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</si>
  <si>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</si>
  <si>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</si>
  <si>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</si>
  <si>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</si>
  <si>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</si>
  <si>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</si>
  <si>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</si>
  <si>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</si>
  <si>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</si>
  <si>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</si>
  <si>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</si>
  <si>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</si>
  <si>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</si>
  <si>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</si>
  <si>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</si>
  <si>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</si>
  <si>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</si>
  <si>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</si>
  <si>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</si>
  <si>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</si>
  <si>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</si>
  <si>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</si>
  <si>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</si>
  <si>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</si>
  <si>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</si>
  <si>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</si>
  <si>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</si>
  <si>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</si>
  <si>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</si>
  <si>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</si>
  <si>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</si>
  <si>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</si>
  <si>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</si>
  <si>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</si>
  <si>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</si>
  <si>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</si>
  <si>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</si>
  <si>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</si>
  <si>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</si>
  <si>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</si>
  <si>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</si>
  <si>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</si>
  <si>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</si>
  <si>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</si>
  <si>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</si>
  <si>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</si>
  <si>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</si>
  <si>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</si>
  <si>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</si>
  <si>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</si>
  <si>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</si>
  <si>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</si>
  <si>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</si>
  <si>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</si>
  <si>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</si>
  <si>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</si>
  <si>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</si>
  <si>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</si>
  <si>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</si>
  <si>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</si>
  <si>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</si>
  <si>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</si>
  <si>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</si>
  <si>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</si>
  <si>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</si>
  <si>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</si>
  <si>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</si>
  <si>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</si>
  <si>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</si>
  <si>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</si>
  <si>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</si>
  <si>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</si>
  <si>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</si>
  <si>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</si>
  <si>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</si>
  <si>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</si>
  <si>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</si>
  <si>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</si>
  <si>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</si>
  <si>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</si>
  <si>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</si>
  <si>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</si>
  <si>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</si>
  <si>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</si>
  <si>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</si>
  <si>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</si>
  <si>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</si>
  <si>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</si>
  <si>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</si>
  <si>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</si>
  <si>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</si>
  <si>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</si>
  <si>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</si>
  <si>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</si>
  <si>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</si>
  <si>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</si>
  <si>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</si>
  <si>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</si>
  <si>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</si>
  <si>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</si>
  <si>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</si>
  <si>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</si>
  <si>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</si>
  <si>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</si>
  <si>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</si>
  <si>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</si>
  <si>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</si>
  <si>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</si>
  <si>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</si>
  <si>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</si>
  <si>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</si>
  <si>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</si>
  <si>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</si>
  <si>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</si>
  <si>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</si>
  <si>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</si>
  <si>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</si>
  <si>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</si>
  <si>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</si>
  <si>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</si>
  <si>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</si>
  <si>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</si>
  <si>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</si>
  <si>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</si>
  <si>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</si>
  <si>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</si>
  <si>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</si>
  <si>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</si>
  <si>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</si>
  <si>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</si>
  <si>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</si>
  <si>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</si>
  <si>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</si>
  <si>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</si>
  <si>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</si>
  <si>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</si>
  <si>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</si>
  <si>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</si>
  <si>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</si>
  <si>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</si>
  <si>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</si>
  <si>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</si>
  <si>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</si>
  <si>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</si>
  <si>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</si>
  <si>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</si>
  <si>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</si>
  <si>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</si>
  <si>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</si>
  <si>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</si>
  <si>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</si>
  <si>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</si>
  <si>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</si>
  <si>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</si>
  <si>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</si>
  <si>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</si>
  <si>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</si>
  <si>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</si>
  <si>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</si>
  <si>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</si>
  <si>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</si>
  <si>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</si>
  <si>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</si>
  <si>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</si>
  <si>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</si>
  <si>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</si>
  <si>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</si>
  <si>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</si>
  <si>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</si>
  <si>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</si>
  <si>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</si>
  <si>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</si>
  <si>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</si>
  <si>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</si>
  <si>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</si>
  <si>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</si>
  <si>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</si>
  <si>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</si>
  <si>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</si>
  <si>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</si>
  <si>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</si>
  <si>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</si>
  <si>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</si>
  <si>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</si>
  <si>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</si>
  <si>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</si>
  <si>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</si>
  <si>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</si>
  <si>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</si>
  <si>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</si>
  <si>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</si>
  <si>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</si>
  <si>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</si>
  <si>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</si>
  <si>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</si>
  <si>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</si>
  <si>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</si>
  <si>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</si>
  <si>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</si>
  <si>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</si>
  <si>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</si>
  <si>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</si>
  <si>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</si>
  <si>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</si>
  <si>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</si>
  <si>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</si>
  <si>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</si>
  <si>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</si>
  <si>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</si>
  <si>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</si>
  <si>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</si>
  <si>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</si>
  <si>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</si>
  <si>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</si>
  <si>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</si>
  <si>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</si>
  <si>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</si>
  <si>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</si>
  <si>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</si>
  <si>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</si>
  <si>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</si>
  <si>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</si>
  <si>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</si>
  <si>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</si>
  <si>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</si>
  <si>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</si>
  <si>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</si>
  <si>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</si>
  <si>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</si>
  <si>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</si>
  <si>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</si>
  <si>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</si>
  <si>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</si>
  <si>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</si>
  <si>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</si>
  <si>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</si>
  <si>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</si>
  <si>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</si>
  <si>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</si>
  <si>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</si>
  <si>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</si>
  <si>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</si>
  <si>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</si>
  <si>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</si>
  <si>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</si>
  <si>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</si>
  <si>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</si>
  <si>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</si>
  <si>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</si>
  <si>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</si>
  <si>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</si>
  <si>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</si>
  <si>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</si>
  <si>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</si>
  <si>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</si>
  <si>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</si>
  <si>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</si>
  <si>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</si>
  <si>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</si>
  <si>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</si>
  <si>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</si>
  <si>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</si>
  <si>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</si>
  <si>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</si>
  <si>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</si>
  <si>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</si>
  <si>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</si>
  <si>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</si>
  <si>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</si>
  <si>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</si>
  <si>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</si>
  <si>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</si>
  <si>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</si>
  <si>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</si>
  <si>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</si>
  <si>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</si>
  <si>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</si>
  <si>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</si>
  <si>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</si>
  <si>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</si>
  <si>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</si>
  <si>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</si>
  <si>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</si>
  <si>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</si>
  <si>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</si>
  <si>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</si>
  <si>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</si>
  <si>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</si>
  <si>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</si>
  <si>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</si>
  <si>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</si>
  <si>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</si>
  <si>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</si>
  <si>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</si>
  <si>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</si>
  <si>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</si>
  <si>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</si>
  <si>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</si>
  <si>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</si>
  <si>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</si>
  <si>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</si>
  <si>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</si>
  <si>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</si>
  <si>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</si>
  <si>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</si>
  <si>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</si>
  <si>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</si>
  <si>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</si>
  <si>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</si>
  <si>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</si>
  <si>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</si>
  <si>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</si>
  <si>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</si>
  <si>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</si>
  <si>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</si>
  <si>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</si>
  <si>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</si>
  <si>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</si>
  <si>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</si>
  <si>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</si>
  <si>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</si>
  <si>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</si>
  <si>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</si>
  <si>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</si>
  <si>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</si>
  <si>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</si>
  <si>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</si>
  <si>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</si>
  <si>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</si>
  <si>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</si>
  <si>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</si>
  <si>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</si>
  <si>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</si>
  <si>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</si>
  <si>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</si>
  <si>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</si>
  <si>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</si>
  <si>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</si>
  <si>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</si>
  <si>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</si>
  <si>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</si>
  <si>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</si>
  <si>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</si>
  <si>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</si>
  <si>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</si>
  <si>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</si>
  <si>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</si>
  <si>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</si>
  <si>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</si>
  <si>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</si>
  <si>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</si>
  <si>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</si>
  <si>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</si>
  <si>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</si>
  <si>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</si>
  <si>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</si>
  <si>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</si>
  <si>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</si>
  <si>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</si>
  <si>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</si>
  <si>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</si>
  <si>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</si>
  <si>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</si>
  <si>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</si>
  <si>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</si>
  <si>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</si>
  <si>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</si>
  <si>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</si>
  <si>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</si>
  <si>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</si>
  <si>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</si>
  <si>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</si>
  <si>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</si>
  <si>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</si>
  <si>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</si>
  <si>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</si>
  <si>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</si>
  <si>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</si>
  <si>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</si>
  <si>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</si>
  <si>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</si>
  <si>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</si>
  <si>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</si>
  <si>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</si>
  <si>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</si>
  <si>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</si>
  <si>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</si>
  <si>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</si>
  <si>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</si>
  <si>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</si>
  <si>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</si>
  <si>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</si>
  <si>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</si>
  <si>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</si>
  <si>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</si>
  <si>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</si>
  <si>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</si>
  <si>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</si>
  <si>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</si>
  <si>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</si>
  <si>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</si>
  <si>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</si>
  <si>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</si>
  <si>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</si>
  <si>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</si>
  <si>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</si>
  <si>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</si>
  <si>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</si>
  <si>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</si>
  <si>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</si>
  <si>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</si>
  <si>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</si>
  <si>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</si>
  <si>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</si>
  <si>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</si>
  <si>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</si>
  <si>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</si>
  <si>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</si>
  <si>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</si>
  <si>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</si>
  <si>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</si>
  <si>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</si>
  <si>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</si>
  <si>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</si>
  <si>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</si>
  <si>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</si>
  <si>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</si>
  <si>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</si>
  <si>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</si>
  <si>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</si>
  <si>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</si>
  <si>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</si>
  <si>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</si>
  <si>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</si>
  <si>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</si>
  <si>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</si>
  <si>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</si>
  <si>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</si>
  <si>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</si>
  <si>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</si>
  <si>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</si>
  <si>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</si>
  <si>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</si>
  <si>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</si>
  <si>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</si>
  <si>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</si>
  <si>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</si>
  <si>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</si>
  <si>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</si>
  <si>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</si>
  <si>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</si>
  <si>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</si>
  <si>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</si>
  <si>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</si>
  <si>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</si>
  <si>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</si>
  <si>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</si>
  <si>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</si>
  <si>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</si>
  <si>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</si>
  <si>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</si>
  <si>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</si>
  <si>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</si>
  <si>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</si>
  <si>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</si>
  <si>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</si>
  <si>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</si>
  <si>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</si>
  <si>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</si>
  <si>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</si>
  <si>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</si>
  <si>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</si>
  <si>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</si>
  <si>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</si>
  <si>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</si>
  <si>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</si>
  <si>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</si>
  <si>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</si>
  <si>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</si>
  <si>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</si>
  <si>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</si>
  <si>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</si>
  <si>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</si>
  <si>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</si>
  <si>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</si>
  <si>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</si>
  <si>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</si>
  <si>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</si>
  <si>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</si>
  <si>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</si>
  <si>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</si>
  <si>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</si>
  <si>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</si>
  <si>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</si>
  <si>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</si>
  <si>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</si>
  <si>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</si>
  <si>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</si>
  <si>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</si>
  <si>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</si>
  <si>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</si>
  <si>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</si>
  <si>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</si>
  <si>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</si>
  <si>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</si>
  <si>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</si>
  <si>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</si>
  <si>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</si>
  <si>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</si>
  <si>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</si>
  <si>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</si>
  <si>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</si>
  <si>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</si>
  <si>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</si>
  <si>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</si>
  <si>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</si>
  <si>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</si>
  <si>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</si>
  <si>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</si>
  <si>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</si>
  <si>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</si>
  <si>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</si>
  <si>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</si>
  <si>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</si>
  <si>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</si>
  <si>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</si>
  <si>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</si>
  <si>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</si>
  <si>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</si>
  <si>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</si>
  <si>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</si>
  <si>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</si>
  <si>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</si>
  <si>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</si>
  <si>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</si>
  <si>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</si>
  <si>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</si>
  <si>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</si>
  <si>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</si>
  <si>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</si>
  <si>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</si>
  <si>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</si>
  <si>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</si>
  <si>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</si>
  <si>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</si>
  <si>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</si>
  <si>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</si>
  <si>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</si>
  <si>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</si>
  <si>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</si>
  <si>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</si>
  <si>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</si>
  <si>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</si>
  <si>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</si>
  <si>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</si>
  <si>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</si>
  <si>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</si>
  <si>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</si>
  <si>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</si>
  <si>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</si>
  <si>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</si>
  <si>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</si>
  <si>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</si>
  <si>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</si>
  <si>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</si>
  <si>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</si>
  <si>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</si>
  <si>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</si>
  <si>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</si>
  <si>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</si>
  <si>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</si>
  <si>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</si>
  <si>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</si>
  <si>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</si>
  <si>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</si>
  <si>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</si>
  <si>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</si>
  <si>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</si>
  <si>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</si>
  <si>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</si>
  <si>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</si>
  <si>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</si>
  <si>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</si>
  <si>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</si>
  <si>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</si>
  <si>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</si>
  <si>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</si>
  <si>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</si>
  <si>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</si>
  <si>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</si>
  <si>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</si>
  <si>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</si>
  <si>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</si>
  <si>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</si>
  <si>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</si>
  <si>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</si>
  <si>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</si>
  <si>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</si>
  <si>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</si>
  <si>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</si>
  <si>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</si>
  <si>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</si>
  <si>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</si>
  <si>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</si>
  <si>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</si>
  <si>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</si>
  <si>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</si>
  <si>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</si>
  <si>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</si>
  <si>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</si>
  <si>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</si>
  <si>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</si>
  <si>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</si>
  <si>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</si>
  <si>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</si>
  <si>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</si>
  <si>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</si>
  <si>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</si>
  <si>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</si>
  <si>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</si>
  <si>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</si>
  <si>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</si>
  <si>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</si>
  <si>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</si>
  <si>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</si>
  <si>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</si>
  <si>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</si>
  <si>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</si>
  <si>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</si>
  <si>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</si>
  <si>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</si>
  <si>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</si>
  <si>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</si>
  <si>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</si>
  <si>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</si>
  <si>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</si>
  <si>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</si>
  <si>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</si>
  <si>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</si>
  <si>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</si>
  <si>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</si>
  <si>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</si>
  <si>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</si>
  <si>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</si>
  <si>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</si>
  <si>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</si>
  <si>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</si>
  <si>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</si>
  <si>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</si>
  <si>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</si>
  <si>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</si>
  <si>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</si>
  <si>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</si>
  <si>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</si>
  <si>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</si>
  <si>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</si>
  <si>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</si>
  <si>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</si>
  <si>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</si>
  <si>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</si>
  <si>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</si>
  <si>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</si>
  <si>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</si>
  <si>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</si>
  <si>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</si>
  <si>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</si>
  <si>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</si>
  <si>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</si>
  <si>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</si>
  <si>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</si>
  <si>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</si>
  <si>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</si>
  <si>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</si>
  <si>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</si>
  <si>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</si>
  <si>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</si>
  <si>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</si>
  <si>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</si>
  <si>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</si>
  <si>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</si>
  <si>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</si>
  <si>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</si>
  <si>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</si>
  <si>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</si>
  <si>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</si>
  <si>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</si>
  <si>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</si>
  <si>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</si>
  <si>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</si>
  <si>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</si>
  <si>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</si>
  <si>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</si>
  <si>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</si>
  <si>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</si>
  <si>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</si>
  <si>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</si>
  <si>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</si>
  <si>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</si>
  <si>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</si>
  <si>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</si>
  <si>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</si>
  <si>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</si>
  <si>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</si>
  <si>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</si>
  <si>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</si>
  <si>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</si>
  <si>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</si>
  <si>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</si>
  <si>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</si>
  <si>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</si>
  <si>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</si>
  <si>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</si>
  <si>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</si>
  <si>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</si>
  <si>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</si>
  <si>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</si>
  <si>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</si>
  <si>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</si>
  <si>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</si>
  <si>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</si>
  <si>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</si>
  <si>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</si>
  <si>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</si>
  <si>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</si>
  <si>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</si>
  <si>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</si>
  <si>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</si>
  <si>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</si>
  <si>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</si>
  <si>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</si>
  <si>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</si>
  <si>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</si>
  <si>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</si>
  <si>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</si>
  <si>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</si>
  <si>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</si>
  <si>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</si>
  <si>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</si>
  <si>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</si>
  <si>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</si>
  <si>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</si>
  <si>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</si>
  <si>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</si>
  <si>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</si>
  <si>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</si>
  <si>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</si>
  <si>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</si>
  <si>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</si>
  <si>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</si>
  <si>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</si>
  <si>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</si>
  <si>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</si>
  <si>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</si>
  <si>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</si>
  <si>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</si>
  <si>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</si>
  <si>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</si>
  <si>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</si>
  <si>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</si>
  <si>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</si>
  <si>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</si>
  <si>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</si>
  <si>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</si>
  <si>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</si>
  <si>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</si>
  <si>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</si>
  <si>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</si>
  <si>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</si>
  <si>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</si>
  <si>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</si>
  <si>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</si>
  <si>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</si>
  <si>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</si>
  <si>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</si>
  <si>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</si>
  <si>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</si>
  <si>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</si>
  <si>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</si>
  <si>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</si>
  <si>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</si>
  <si>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</si>
  <si>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</si>
  <si>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</si>
  <si>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</si>
  <si>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</si>
  <si>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</si>
  <si>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</si>
  <si>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</si>
  <si>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</si>
  <si>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</si>
  <si>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</si>
  <si>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</si>
  <si>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</si>
  <si>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</si>
  <si>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</si>
  <si>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</si>
  <si>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</si>
  <si>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</si>
  <si>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</si>
  <si>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</si>
  <si>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</si>
  <si>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</si>
  <si>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</si>
  <si>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</si>
  <si>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</si>
  <si>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</si>
  <si>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</si>
  <si>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</si>
  <si>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</si>
  <si>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</si>
  <si>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</si>
  <si>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</si>
  <si>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</si>
  <si>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</si>
  <si>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</si>
  <si>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</si>
  <si>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</si>
  <si>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</si>
  <si>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</si>
  <si>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</si>
  <si>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</si>
  <si>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</si>
  <si>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</si>
  <si>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</si>
  <si>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</si>
  <si>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</si>
  <si>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</si>
  <si>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</si>
  <si>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</si>
  <si>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</si>
  <si>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</si>
  <si>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</si>
  <si>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</si>
  <si>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</si>
  <si>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</si>
  <si>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</si>
  <si>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</si>
  <si>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</si>
  <si>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</si>
  <si>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</si>
  <si>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</si>
  <si>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</si>
  <si>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</si>
  <si>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</si>
  <si>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Mean:</t>
  </si>
  <si>
    <t>Median:</t>
  </si>
  <si>
    <t>Variance:</t>
  </si>
  <si>
    <t>Std Dev:</t>
  </si>
  <si>
    <t>Minimum:</t>
  </si>
  <si>
    <t>Maximum: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</si>
</sst>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6F8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Font="1"/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fgColor theme="4" tint="0.79995117038483843"/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6F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6-044A-81DF-3350E1B665C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6-044A-81DF-3350E1B665C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6-044A-81DF-3350E1B665C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6-044A-81DF-3350E1B66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145967"/>
        <c:axId val="1141329295"/>
      </c:barChart>
      <c:catAx>
        <c:axId val="118614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29295"/>
        <c:crosses val="autoZero"/>
        <c:auto val="1"/>
        <c:lblAlgn val="ctr"/>
        <c:lblOffset val="100"/>
        <c:noMultiLvlLbl val="0"/>
      </c:catAx>
      <c:valAx>
        <c:axId val="11413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4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9-3541-B363-6960DD8ECE8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9-3541-B363-6960DD8ECE8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9-3541-B363-6960DD8ECE84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F9-3541-B363-6960DD8EC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3759679"/>
        <c:axId val="1191759055"/>
      </c:barChart>
      <c:catAx>
        <c:axId val="123375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59055"/>
        <c:crosses val="autoZero"/>
        <c:auto val="1"/>
        <c:lblAlgn val="ctr"/>
        <c:lblOffset val="100"/>
        <c:noMultiLvlLbl val="0"/>
      </c:catAx>
      <c:valAx>
        <c:axId val="11917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5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[CrowdfundingBook.xlsx]Sheet6!PivotTable5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546738455744414E-2"/>
          <c:y val="2.9850746268656716E-2"/>
          <c:w val="0.8062191473187198"/>
          <c:h val="0.89791561875661063"/>
        </c:manualLayout>
      </c:layout>
      <c:lineChart>
        <c:grouping val="standar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A-5F43-96FA-BE4BF3505F95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A-5F43-96FA-BE4BF3505F95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A-5F43-96FA-BE4BF3505F95}"/>
            </c:ext>
          </c:extLst>
        </c:ser>
        <c:ser>
          <c:idx val="3"/>
          <c:order val="3"/>
          <c:tx>
            <c:strRef>
              <c:f>Sheet6!$E$4:$E$5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7A-5F43-96FA-BE4BF3505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282927"/>
        <c:axId val="1138082207"/>
      </c:lineChart>
      <c:catAx>
        <c:axId val="113828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82207"/>
        <c:crosses val="autoZero"/>
        <c:auto val="1"/>
        <c:lblAlgn val="ctr"/>
        <c:lblOffset val="100"/>
        <c:noMultiLvlLbl val="0"/>
      </c:catAx>
      <c:valAx>
        <c:axId val="11380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8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Sheet7!$F$2:$F$14</c:f>
              <c:numCache>
                <c:formatCode>0%</c:formatCode>
                <c:ptCount val="13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F-7C42-9FBC-75F12A11FF80}"/>
            </c:ext>
          </c:extLst>
        </c:ser>
        <c:ser>
          <c:idx val="1"/>
          <c:order val="1"/>
          <c:tx>
            <c:strRef>
              <c:f>Sheet7!$G$1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Sheet7!$G$2:$G$14</c:f>
              <c:numCache>
                <c:formatCode>0%</c:formatCode>
                <c:ptCount val="13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F-7C42-9FBC-75F12A11FF80}"/>
            </c:ext>
          </c:extLst>
        </c:ser>
        <c:ser>
          <c:idx val="2"/>
          <c:order val="2"/>
          <c:tx>
            <c:strRef>
              <c:f>Sheet7!$H$1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Sheet7!$A$2:$A$14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Sheet7!$H$2:$H$14</c:f>
              <c:numCache>
                <c:formatCode>0%</c:formatCode>
                <c:ptCount val="13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8.8815789473684209E-2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F-7C42-9FBC-75F12A11F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281503"/>
        <c:axId val="843283215"/>
      </c:lineChart>
      <c:catAx>
        <c:axId val="8432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83215"/>
        <c:crosses val="autoZero"/>
        <c:auto val="1"/>
        <c:lblAlgn val="ctr"/>
        <c:lblOffset val="100"/>
        <c:noMultiLvlLbl val="0"/>
      </c:catAx>
      <c:valAx>
        <c:axId val="8432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8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0</xdr:row>
      <xdr:rowOff>38100</xdr:rowOff>
    </xdr:from>
    <xdr:to>
      <xdr:col>18</xdr:col>
      <xdr:colOff>127000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F88CF-BD17-0A4C-605E-721389CB1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3</xdr:row>
      <xdr:rowOff>88900</xdr:rowOff>
    </xdr:from>
    <xdr:to>
      <xdr:col>18</xdr:col>
      <xdr:colOff>254000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22C9B-5816-95EB-AB2E-27ADA2BD9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</xdr:row>
      <xdr:rowOff>114300</xdr:rowOff>
    </xdr:from>
    <xdr:to>
      <xdr:col>16</xdr:col>
      <xdr:colOff>495300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E6FD0-5F0D-C53E-731E-0CF173575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101600</xdr:rowOff>
    </xdr:from>
    <xdr:to>
      <xdr:col>7</xdr:col>
      <xdr:colOff>1346200</xdr:colOff>
      <xdr:row>35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E73001-0269-3B1D-C5F6-6FA9DF68F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 Henderson" refreshedDate="45408.0186525463" createdVersion="8" refreshedVersion="8" minRefreshableVersion="3" recordCount="1000" xr:uid="{731F0748-B4F3-E74C-A4D0-985D90707612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version" numFmtId="14">
      <sharedItems containsSemiMixedTypes="0" containsNonDate="0" containsDate="1" containsString="0" minDate="2010-01-09T06:00:00" maxDate="2020-02-10T06:00: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arent Category" numFmtId="0">
      <sharedItems containsNonDate="0" count="10">
        <s v="food"/>
        <s v="music"/>
        <s v="technology"/>
        <s v="theater"/>
        <s v="film &amp; video"/>
        <s v="publishing"/>
        <s v="games"/>
        <s v="photography"/>
        <s v="journalism"/>
        <s v="food " u="1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F3F02-09C9-0C44-A7D4-9E061BE27349}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1">
        <item x="4"/>
        <item x="0"/>
        <item m="1" x="9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338AC-B6D5-5B45-A6C7-1F8AEE146964}" name="PivotTable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1">
        <item x="4"/>
        <item x="0"/>
        <item m="1" x="9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D5D1AD-2CE6-0940-8BCC-1DE47E90ECAC}" name="PivotTable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1">
        <item x="4"/>
        <item x="0"/>
        <item m="1" x="9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9885-8BB2-224F-BD83-28C3EFD2C954}">
  <dimension ref="A1:F14"/>
  <sheetViews>
    <sheetView workbookViewId="0">
      <selection activeCell="C16" sqref="C1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2046</v>
      </c>
    </row>
    <row r="3" spans="1:6" x14ac:dyDescent="0.2">
      <c r="A3" s="7" t="s">
        <v>2045</v>
      </c>
      <c r="B3" s="7" t="s">
        <v>2044</v>
      </c>
    </row>
    <row r="4" spans="1:6" x14ac:dyDescent="0.2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8" t="s">
        <v>2034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8" t="s">
        <v>2035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8" t="s">
        <v>2036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8" t="s">
        <v>2037</v>
      </c>
      <c r="B8" s="9"/>
      <c r="C8" s="9"/>
      <c r="D8" s="9"/>
      <c r="E8" s="9">
        <v>4</v>
      </c>
      <c r="F8" s="9">
        <v>4</v>
      </c>
    </row>
    <row r="9" spans="1:6" x14ac:dyDescent="0.2">
      <c r="A9" s="8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8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8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8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8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8" t="s">
        <v>2043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434F-7587-2A46-A210-DB6503F884B5}"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2046</v>
      </c>
    </row>
    <row r="2" spans="1:6" x14ac:dyDescent="0.2">
      <c r="A2" s="7" t="s">
        <v>2031</v>
      </c>
      <c r="B2" t="s">
        <v>2046</v>
      </c>
    </row>
    <row r="4" spans="1:6" x14ac:dyDescent="0.2">
      <c r="A4" s="7" t="s">
        <v>2045</v>
      </c>
      <c r="B4" s="7" t="s">
        <v>2044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BC4C-79CA-D149-952F-1E10264E8354}">
  <dimension ref="A1:F18"/>
  <sheetViews>
    <sheetView workbookViewId="0">
      <selection activeCell="A4" sqref="A4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2031</v>
      </c>
      <c r="B1" t="s">
        <v>2046</v>
      </c>
    </row>
    <row r="2" spans="1:6" x14ac:dyDescent="0.2">
      <c r="A2" s="7" t="s">
        <v>2073</v>
      </c>
      <c r="B2" t="s">
        <v>2046</v>
      </c>
    </row>
    <row r="4" spans="1:6" x14ac:dyDescent="0.2">
      <c r="A4" s="7" t="s">
        <v>2045</v>
      </c>
      <c r="B4" s="7" t="s">
        <v>2044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8" t="s">
        <v>2074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8" t="s">
        <v>2075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8" t="s">
        <v>2076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8" t="s">
        <v>2077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8" t="s">
        <v>2078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8" t="s">
        <v>2079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8" t="s">
        <v>2080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8" t="s">
        <v>2081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8" t="s">
        <v>2082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8" t="s">
        <v>2083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8" t="s">
        <v>2084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8" t="s">
        <v>2085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8" t="s">
        <v>2043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D4CA-1F8D-E64B-A276-73D6E349C77B}">
  <dimension ref="A1:H14"/>
  <sheetViews>
    <sheetView workbookViewId="0">
      <selection activeCell="K22" sqref="K22"/>
    </sheetView>
  </sheetViews>
  <sheetFormatPr baseColWidth="10" defaultRowHeight="16" x14ac:dyDescent="0.2"/>
  <cols>
    <col min="1" max="1" width="29.33203125" customWidth="1"/>
    <col min="2" max="2" width="18.6640625" customWidth="1"/>
    <col min="3" max="3" width="15.5" customWidth="1"/>
    <col min="4" max="4" width="17.83203125" customWidth="1"/>
    <col min="5" max="5" width="14.83203125" customWidth="1"/>
    <col min="6" max="6" width="22.33203125" customWidth="1"/>
    <col min="7" max="7" width="19.33203125" customWidth="1"/>
    <col min="8" max="8" width="19.5" customWidth="1"/>
    <col min="9" max="9" width="6.83203125" customWidth="1"/>
  </cols>
  <sheetData>
    <row r="1" spans="1:8" s="11" customFormat="1" x14ac:dyDescent="0.2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2">
      <c r="A2" t="s">
        <v>2094</v>
      </c>
      <c r="B2">
        <f>COUNTIFS(Crowdfunding!D2:D1000,"&lt;1000",Crowdfunding!G2:G1000,"successful")</f>
        <v>30</v>
      </c>
      <c r="C2">
        <f>COUNTIFS(Crowdfunding!D2:D1000,"&lt;1000",Crowdfunding!G2:G1000,"failed")</f>
        <v>20</v>
      </c>
      <c r="D2">
        <f>COUNTIFS(Crowdfunding!D2:D1000,"&lt;1000",Crowdfunding!G2:G1000,"canceled")</f>
        <v>1</v>
      </c>
      <c r="E2">
        <f>SUM(B2,C2,D2)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t="s">
        <v>2095</v>
      </c>
      <c r="B3">
        <f>COUNTIFS(Crowdfunding!D2:D1000,"&gt;=1000",Crowdfunding!D2:D1000,"&lt;=4999",Crowdfunding!G2:G1000,"successful")</f>
        <v>191</v>
      </c>
      <c r="C3">
        <f>COUNTIFS(Crowdfunding!D2:D1000,"&gt;=1000",Crowdfunding!D2:D1000,"&lt;=4999",Crowdfunding!G2:G1000,"failed")</f>
        <v>38</v>
      </c>
      <c r="D3">
        <f>COUNTIFS(Crowdfunding!D2:D1000,"&gt;=1000",Crowdfunding!D2:D1000,"&lt;4999",Crowdfunding!G2:G1000,"canceled")</f>
        <v>2</v>
      </c>
      <c r="E3">
        <f t="shared" ref="E3:E13" si="0">SUM(B3,C3,D3)</f>
        <v>231</v>
      </c>
      <c r="F3" s="12">
        <f t="shared" ref="F3:F13" si="1">B3/E3</f>
        <v>0.82683982683982682</v>
      </c>
      <c r="G3" s="12">
        <f t="shared" ref="G3:G14" si="2">C3/E3</f>
        <v>0.16450216450216451</v>
      </c>
      <c r="H3" s="12">
        <f t="shared" ref="H3:H13" si="3">D3/E3</f>
        <v>8.658008658008658E-3</v>
      </c>
    </row>
    <row r="4" spans="1:8" x14ac:dyDescent="0.2">
      <c r="A4" t="s">
        <v>2096</v>
      </c>
      <c r="B4">
        <f>COUNTIFS(Crowdfunding!D2:D1000,"&gt;=5000",Crowdfunding!D2:D1000,"&lt;=9999",Crowdfunding!G2:G1000,"successful")</f>
        <v>164</v>
      </c>
      <c r="C4">
        <f>COUNTIFS(Crowdfunding!D2:D1000,"&gt;=5000",Crowdfunding!D2:D1000,"&lt;=9999",Crowdfunding!G2:G1000,"failed")</f>
        <v>126</v>
      </c>
      <c r="D4">
        <f>COUNTIFS(Crowdfunding!D2:D1000,"&gt;=5000",Crowdfunding!D2:D1000,"&lt;=9999",Crowdfunding!G2:G1000,"canceled")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 t="s">
        <v>2097</v>
      </c>
      <c r="B5">
        <f>COUNTIFS(Crowdfunding!D2:D1000,"&gt;=10000",Crowdfunding!D2:D1000,"&lt;=14999",Crowdfunding!G2:G1000,"successful")</f>
        <v>4</v>
      </c>
      <c r="C5">
        <f>COUNTIFS(Crowdfunding!D2:D1000,"&gt;=10000",Crowdfunding!D2:D1000,"&lt;=14999",Crowdfunding!G2:G1000,"failed")</f>
        <v>5</v>
      </c>
      <c r="D5">
        <f>COUNTIFS(Crowdfunding!D2:D1000,"&gt;=10000",Crowdfunding!D2:D1000,"&lt;=14999",Crowdfunding!G2:G1000,"canceled")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t="s">
        <v>2098</v>
      </c>
      <c r="B6">
        <f>COUNTIFS(Crowdfunding!D2:D1000,"&gt;=15000",Crowdfunding!D2:D1000,"&lt;=19999",Crowdfunding!G2:G1000,"successful")</f>
        <v>10</v>
      </c>
      <c r="C6">
        <f>COUNTIFS(Crowdfunding!D2:D1000,"&gt;=15000",Crowdfunding!D2:D1000,"&lt;=19999",Crowdfunding!G2:G1000,"failed")</f>
        <v>0</v>
      </c>
      <c r="D6">
        <f>COUNTIFS(Crowdfunding!D2:D1000,"&gt;=15000",Crowdfunding!D2:D1000,"&lt;=19999",Crowdfunding!G2:G1000,"canceled")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t="s">
        <v>2099</v>
      </c>
      <c r="B7">
        <f>COUNTIFS(Crowdfunding!D2:D1000,"&gt;=20000",Crowdfunding!D2:D1000,"&lt;=24999",Crowdfunding!G2:G1000,"successful")</f>
        <v>7</v>
      </c>
      <c r="C7">
        <f>COUNTIFS(Crowdfunding!D2:D1000,"&gt;=20000",Crowdfunding!D2:D1000,"&lt;=24000",Crowdfunding!G2:G1000,"failed")</f>
        <v>0</v>
      </c>
      <c r="D7">
        <f>COUNTIFS(Crowdfunding!D2:D1000,"&gt;=20000",Crowdfunding!D2:D1000,"&lt;=24999",Crowdfunding!G2:G1000,"canceled")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t="s">
        <v>2100</v>
      </c>
      <c r="B8">
        <f>COUNTIFS(Crowdfunding!D2:D1000,"&gt;=25000",Crowdfunding!D2:D1000,"&lt;=29999",Crowdfunding!G2:G1000,"successful")</f>
        <v>11</v>
      </c>
      <c r="C8">
        <f>COUNTIFS(Crowdfunding!D2:D1000,"&gt;=25000",Crowdfunding!D2:D1000,"&lt;=29999",Crowdfunding!G2:G1000,"failed")</f>
        <v>3</v>
      </c>
      <c r="D8">
        <f>COUNTIFS(Crowdfunding!D2:D1000,"&gt;=25000",Crowdfunding!D2:D1000,"&lt;=29999",Crowdfunding!G2:G1000,"canceled")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t="s">
        <v>2101</v>
      </c>
      <c r="B9">
        <f>COUNTIFS(Crowdfunding!D2:D1000,"&gt;=30000",Crowdfunding!D2:D1000,"&lt;=34999",Crowdfunding!G2:G1000,"successful")</f>
        <v>7</v>
      </c>
      <c r="C9">
        <f>COUNTIFS(Crowdfunding!D2:D1000,"&gt;=30000",Crowdfunding!D2:D1000,"&lt;=34999",Crowdfunding!G2:G1000,"failed")</f>
        <v>0</v>
      </c>
      <c r="D9">
        <f>COUNTIFS(Crowdfunding!D2:D1000,"&gt;=30000",Crowdfunding!D2:D1000,"&lt;=34999",Crowdfunding!G2:G1000,"canceled")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t="s">
        <v>2102</v>
      </c>
      <c r="B10">
        <f>COUNTIFS(Crowdfunding!D2:D1000,"&gt;=35000",Crowdfunding!D2:D1000,"&lt;=39999",Crowdfunding!G2:G1000,"successful")</f>
        <v>8</v>
      </c>
      <c r="C10">
        <f>COUNTIFS(Crowdfunding!D2:D1000,"&gt;=35000",Crowdfunding!D2:D1000,"&lt;=39999",Crowdfunding!G2:G1000,"failed")</f>
        <v>3</v>
      </c>
      <c r="D10">
        <f>COUNTIFS(Crowdfunding!D2:D1000,"&gt;=35000",Crowdfunding!D2:D1000,"&lt;=39999",Crowdfunding!G2:G1000,"canceled")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t="s">
        <v>2103</v>
      </c>
      <c r="B11">
        <f>COUNTIFS(Crowdfunding!D2:D1000,"&gt;=40000",Crowdfunding!D2:D1000,"&lt;=44999",Crowdfunding!G2:G1000,"successful")</f>
        <v>11</v>
      </c>
      <c r="C11">
        <f>COUNTIFS(Crowdfunding!D2:D1000,"&gt;=40000",Crowdfunding!D2:D1000,"&lt;=44999",Crowdfunding!G2:G1000,"failed")</f>
        <v>3</v>
      </c>
      <c r="D11">
        <f>COUNTIFS(Crowdfunding!D2:D1000,"&gt;=40000",Crowdfunding!D2:D1000,"&lt;=44999",Crowdfunding!G2:G1000,"canceled")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t="s">
        <v>2104</v>
      </c>
      <c r="B12">
        <f>COUNTIFS(Crowdfunding!D2:D1000,"&gt;=45000",Crowdfunding!D2:D1000,"&lt;=49999",Crowdfunding!G2:G1000,"successful")</f>
        <v>8</v>
      </c>
      <c r="C12">
        <f>COUNTIFS(Crowdfunding!D2:D1000,"&gt;=45000",Crowdfunding!D2:D1000,"&lt;=49999",Crowdfunding!G2:G1000,"Failed")</f>
        <v>3</v>
      </c>
      <c r="D12">
        <f>COUNTIFS(Crowdfunding!D2:D1000,"&gt;=45000",Crowdfunding!D2:D1000,"&lt;=49000",Crowdfunding!G2:G1000,"canceled")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t="s">
        <v>2105</v>
      </c>
      <c r="B13">
        <f>COUNTIFS(Crowdfunding!D2:D1000,"&gt;=50000",Crowdfunding!G2:G1000,"successful")</f>
        <v>114</v>
      </c>
      <c r="C13">
        <f>COUNTIFS(Crowdfunding!D2:D1000,"&gt;=50000",Crowdfunding!G2:G1000,"Failed")</f>
        <v>163</v>
      </c>
      <c r="D13">
        <f>COUNTIFS(Crowdfunding!D2:D1000,"&gt;=50000",Crowdfunding!G2:G1000,"canceled")</f>
        <v>27</v>
      </c>
      <c r="E13">
        <f t="shared" si="0"/>
        <v>304</v>
      </c>
      <c r="F13" s="12">
        <f t="shared" si="1"/>
        <v>0.375</v>
      </c>
      <c r="G13" s="12">
        <f t="shared" si="2"/>
        <v>0.53618421052631582</v>
      </c>
      <c r="H13" s="12">
        <f t="shared" si="3"/>
        <v>8.8815789473684209E-2</v>
      </c>
    </row>
    <row r="14" spans="1:8" x14ac:dyDescent="0.2">
      <c r="G14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43D2-6DAA-344D-9C4B-695FC5FE4C10}">
  <dimension ref="A1:E17"/>
  <sheetViews>
    <sheetView tabSelected="1" workbookViewId="0">
      <selection activeCell="J10" sqref="J10"/>
    </sheetView>
  </sheetViews>
  <sheetFormatPr baseColWidth="10" defaultRowHeight="16" x14ac:dyDescent="0.2"/>
  <cols>
    <col min="2" max="2" width="15" customWidth="1"/>
    <col min="5" max="5" width="15" customWidth="1"/>
  </cols>
  <sheetData>
    <row r="1" spans="1:5" s="11" customFormat="1" x14ac:dyDescent="0.2">
      <c r="A1" s="11" t="s">
        <v>4</v>
      </c>
      <c r="B1" s="11" t="s">
        <v>5</v>
      </c>
      <c r="D1" s="11" t="s">
        <v>4</v>
      </c>
      <c r="E1" s="11" t="s">
        <v>5</v>
      </c>
    </row>
    <row r="2" spans="1:5" x14ac:dyDescent="0.2">
      <c r="A2" s="13" t="s">
        <v>20</v>
      </c>
      <c r="B2">
        <v>158</v>
      </c>
      <c r="D2" s="14" t="s">
        <v>14</v>
      </c>
      <c r="E2">
        <v>0</v>
      </c>
    </row>
    <row r="3" spans="1:5" x14ac:dyDescent="0.2">
      <c r="A3" s="13" t="s">
        <v>20</v>
      </c>
      <c r="B3">
        <v>1425</v>
      </c>
      <c r="D3" s="14" t="s">
        <v>14</v>
      </c>
      <c r="E3">
        <v>24</v>
      </c>
    </row>
    <row r="4" spans="1:5" x14ac:dyDescent="0.2">
      <c r="A4" s="13" t="s">
        <v>20</v>
      </c>
      <c r="B4">
        <v>174</v>
      </c>
      <c r="D4" s="14" t="s">
        <v>14</v>
      </c>
      <c r="E4">
        <v>53</v>
      </c>
    </row>
    <row r="5" spans="1:5" x14ac:dyDescent="0.2">
      <c r="A5" s="13" t="s">
        <v>20</v>
      </c>
      <c r="B5">
        <v>227</v>
      </c>
      <c r="D5" s="14" t="s">
        <v>14</v>
      </c>
      <c r="E5">
        <v>18</v>
      </c>
    </row>
    <row r="6" spans="1:5" x14ac:dyDescent="0.2">
      <c r="A6" s="13" t="s">
        <v>20</v>
      </c>
      <c r="B6">
        <v>220</v>
      </c>
      <c r="D6" s="14" t="s">
        <v>14</v>
      </c>
      <c r="E6">
        <v>44</v>
      </c>
    </row>
    <row r="7" spans="1:5" x14ac:dyDescent="0.2">
      <c r="A7" s="13" t="s">
        <v>20</v>
      </c>
      <c r="B7">
        <v>98</v>
      </c>
      <c r="D7" s="14" t="s">
        <v>14</v>
      </c>
      <c r="E7">
        <v>27</v>
      </c>
    </row>
    <row r="8" spans="1:5" x14ac:dyDescent="0.2">
      <c r="A8" s="13" t="s">
        <v>20</v>
      </c>
      <c r="B8">
        <v>100</v>
      </c>
      <c r="D8" s="14" t="s">
        <v>14</v>
      </c>
      <c r="E8">
        <v>55</v>
      </c>
    </row>
    <row r="9" spans="1:5" x14ac:dyDescent="0.2">
      <c r="A9" s="13" t="s">
        <v>20</v>
      </c>
      <c r="B9">
        <v>1249</v>
      </c>
      <c r="D9" s="14" t="s">
        <v>14</v>
      </c>
      <c r="E9">
        <v>200</v>
      </c>
    </row>
    <row r="10" spans="1:5" x14ac:dyDescent="0.2">
      <c r="A10" s="13" t="s">
        <v>20</v>
      </c>
      <c r="B10">
        <v>1396</v>
      </c>
      <c r="D10" s="14" t="s">
        <v>14</v>
      </c>
      <c r="E10">
        <v>452</v>
      </c>
    </row>
    <row r="12" spans="1:5" x14ac:dyDescent="0.2">
      <c r="A12" s="15" t="s">
        <v>2106</v>
      </c>
      <c r="B12">
        <f>AVERAGE(B2:B10)</f>
        <v>560.77777777777783</v>
      </c>
      <c r="E12">
        <f>AVERAGE(E2:E10)</f>
        <v>97</v>
      </c>
    </row>
    <row r="13" spans="1:5" x14ac:dyDescent="0.2">
      <c r="A13" s="15" t="s">
        <v>2107</v>
      </c>
      <c r="B13">
        <f>MEDIAN(B2:B10)</f>
        <v>220</v>
      </c>
      <c r="E13">
        <f>MEDIAN(E2:E10)</f>
        <v>44</v>
      </c>
    </row>
    <row r="14" spans="1:5" x14ac:dyDescent="0.2">
      <c r="A14" s="15" t="s">
        <v>2110</v>
      </c>
      <c r="B14">
        <f>MIN(B2:B10)</f>
        <v>98</v>
      </c>
      <c r="E14">
        <f>MIN(E2:E10)</f>
        <v>0</v>
      </c>
    </row>
    <row r="15" spans="1:5" x14ac:dyDescent="0.2">
      <c r="A15" s="15" t="s">
        <v>2111</v>
      </c>
      <c r="B15">
        <f>MAX(B2:B10)</f>
        <v>1425</v>
      </c>
      <c r="E15">
        <f>MAX(E2:E10)</f>
        <v>452</v>
      </c>
    </row>
    <row r="16" spans="1:5" x14ac:dyDescent="0.2">
      <c r="A16" s="15" t="s">
        <v>2108</v>
      </c>
      <c r="B16">
        <f>_xlfn.VAR.S(B2:B10)</f>
        <v>360496.19444444444</v>
      </c>
      <c r="E16">
        <f>VARA(E2:E10)</f>
        <v>21127.75</v>
      </c>
    </row>
    <row r="17" spans="1:5" x14ac:dyDescent="0.2">
      <c r="A17" s="15" t="s">
        <v>2109</v>
      </c>
      <c r="B17">
        <f>STDEV(B2:B10)</f>
        <v>600.41335298646084</v>
      </c>
      <c r="E17">
        <f>STDEV(E2:E10)</f>
        <v>145.3538785172243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I8" sqref="I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7.83203125" customWidth="1"/>
    <col min="5" max="5" width="9.1640625" customWidth="1"/>
    <col min="6" max="6" width="15.33203125" customWidth="1"/>
    <col min="8" max="8" width="15.83203125" customWidth="1"/>
    <col min="9" max="9" width="16.5" style="6" customWidth="1"/>
    <col min="12" max="13" width="11.1640625" bestFit="1" customWidth="1"/>
    <col min="14" max="14" width="23.83203125" customWidth="1"/>
    <col min="15" max="15" width="22.6640625" customWidth="1"/>
    <col min="18" max="18" width="24.6640625" customWidth="1"/>
    <col min="19" max="19" width="16.5" customWidth="1"/>
    <col min="20" max="20" width="15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 * 100</f>
        <v>0</v>
      </c>
      <c r="G2" t="s">
        <v>14</v>
      </c>
      <c r="H2">
        <v>0</v>
      </c>
      <c r="I2" s="6">
        <f>IFERROR(E2/H2, 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(((L2/60)/60/24)+DATE(1970,1,1))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 R2)-1)</f>
        <v>food</v>
      </c>
      <c r="T2" t="str">
        <f>MID(R2, FIND("/", R2) +1, LEN(R2))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 * 100</f>
        <v>1040</v>
      </c>
      <c r="G3" t="s">
        <v>20</v>
      </c>
      <c r="H3">
        <v>158</v>
      </c>
      <c r="I3" s="6">
        <f t="shared" ref="I3:I66" si="1">IFERROR(E3/H3,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(((L3/60)/60/24)+DATE(1970,1,1))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 R3)-1)</f>
        <v>music</v>
      </c>
      <c r="T3" t="str">
        <f t="shared" ref="T3:T66" si="5">MID(R3, FIND("/", R3) +1, LEN(R3))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 * 100</f>
        <v>236.14754098360655</v>
      </c>
      <c r="G67" t="s">
        <v>20</v>
      </c>
      <c r="H67">
        <v>236</v>
      </c>
      <c r="I67" s="6">
        <f t="shared" ref="I67:I130" si="7">IFERROR(E67/H67,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(((L67/60)/60/24)+DATE(1970,1,1))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 R67)-1)</f>
        <v>theater</v>
      </c>
      <c r="T67" t="str">
        <f t="shared" ref="T67:T130" si="11">MID(R67, FIND("/", R67) +1, LEN(R67))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 * 100</f>
        <v>3.202693602693603</v>
      </c>
      <c r="G131" t="s">
        <v>74</v>
      </c>
      <c r="H131">
        <v>55</v>
      </c>
      <c r="I131" s="6">
        <f t="shared" ref="I131:I194" si="13">IFERROR(E131/H131,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(((L131/60)/60/24)+DATE(1970,1,1))</f>
        <v>42038.25</v>
      </c>
      <c r="O131" s="10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 R131)-1)</f>
        <v>food</v>
      </c>
      <c r="T131" t="str">
        <f t="shared" ref="T131:T194" si="17">MID(R131, FIND("/", R131) +1, LEN(R131))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 * 100</f>
        <v>45.636363636363633</v>
      </c>
      <c r="G195" t="s">
        <v>14</v>
      </c>
      <c r="H195">
        <v>65</v>
      </c>
      <c r="I195" s="6">
        <f t="shared" ref="I195:I258" si="19">IFERROR(E195/H195,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(((L195/60)/60/24)+DATE(1970,1,1))</f>
        <v>43198.208333333328</v>
      </c>
      <c r="O195" s="10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 R195)-1)</f>
        <v>music</v>
      </c>
      <c r="T195" t="str">
        <f t="shared" ref="T195:T258" si="23">MID(R195, FIND("/", R195) +1, LEN(R195))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 * 100</f>
        <v>146</v>
      </c>
      <c r="G259" t="s">
        <v>20</v>
      </c>
      <c r="H259">
        <v>92</v>
      </c>
      <c r="I259" s="6">
        <f t="shared" ref="I259:I322" si="25">IFERROR(E259/H259,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(((L259/60)/60/24)+DATE(1970,1,1))</f>
        <v>41338.25</v>
      </c>
      <c r="O259" s="10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 R259)-1)</f>
        <v>theater</v>
      </c>
      <c r="T259" t="str">
        <f t="shared" ref="T259:T322" si="29">MID(R259, FIND("/", R259) +1, LEN(R259))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 * 100</f>
        <v>94.144366197183089</v>
      </c>
      <c r="G323" t="s">
        <v>14</v>
      </c>
      <c r="H323">
        <v>2468</v>
      </c>
      <c r="I323" s="6">
        <f t="shared" ref="I323:I386" si="31">IFERROR(E323/H323,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(((L323/60)/60/24)+DATE(1970,1,1))</f>
        <v>40634.208333333336</v>
      </c>
      <c r="O323" s="10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 R323)-1)</f>
        <v>film &amp; video</v>
      </c>
      <c r="T323" t="str">
        <f t="shared" ref="T323:T386" si="35">MID(R323, FIND("/", R323) +1, LEN(R323))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 * 100</f>
        <v>146.16709511568124</v>
      </c>
      <c r="G387" t="s">
        <v>20</v>
      </c>
      <c r="H387">
        <v>1137</v>
      </c>
      <c r="I387" s="6">
        <f t="shared" ref="I387:I450" si="37">IFERROR(E387/H387,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(((L387/60)/60/24)+DATE(1970,1,1))</f>
        <v>43553.208333333328</v>
      </c>
      <c r="O387" s="10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 R387)-1)</f>
        <v>publishing</v>
      </c>
      <c r="T387" t="str">
        <f t="shared" ref="T387:T450" si="41">MID(R387, FIND("/", R387) +1, LEN(R387))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 * 100</f>
        <v>967</v>
      </c>
      <c r="G451" t="s">
        <v>20</v>
      </c>
      <c r="H451">
        <v>86</v>
      </c>
      <c r="I451" s="6">
        <f t="shared" ref="I451:I514" si="43">IFERROR(E451/H451,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4">(((L451/60)/60/24)+DATE(1970,1,1))</f>
        <v>43530.25</v>
      </c>
      <c r="O451" s="10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 R451)-1)</f>
        <v>games</v>
      </c>
      <c r="T451" t="str">
        <f t="shared" ref="T451:T514" si="47">MID(R451, FIND("/", R451) +1, LEN(R451))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 * 100</f>
        <v>39.277108433734945</v>
      </c>
      <c r="G515" t="s">
        <v>74</v>
      </c>
      <c r="H515">
        <v>35</v>
      </c>
      <c r="I515" s="6">
        <f t="shared" ref="I515:I578" si="49">IFERROR(E515/H515,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(((L515/60)/60/24)+DATE(1970,1,1))</f>
        <v>40430.208333333336</v>
      </c>
      <c r="O515" s="10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 R515)-1)</f>
        <v>film &amp; video</v>
      </c>
      <c r="T515" t="str">
        <f t="shared" ref="T515:T578" si="53">MID(R515, FIND("/", R515) +1, LEN(R515))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 * 100</f>
        <v>18.853658536585368</v>
      </c>
      <c r="G579" t="s">
        <v>74</v>
      </c>
      <c r="H579">
        <v>37</v>
      </c>
      <c r="I579" s="6">
        <f t="shared" ref="I579:I642" si="55">IFERROR(E579/H579,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(((L579/60)/60/24)+DATE(1970,1,1))</f>
        <v>40613.25</v>
      </c>
      <c r="O579" s="10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 R579)-1)</f>
        <v>music</v>
      </c>
      <c r="T579" t="str">
        <f t="shared" ref="T579:T642" si="59">MID(R579, FIND("/", R579) +1, LEN(R579))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 * 100</f>
        <v>119.96808510638297</v>
      </c>
      <c r="G643" t="s">
        <v>20</v>
      </c>
      <c r="H643">
        <v>194</v>
      </c>
      <c r="I643" s="6">
        <f t="shared" ref="I643:I706" si="61">IFERROR(E643/H643,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2">(((L643/60)/60/24)+DATE(1970,1,1))</f>
        <v>42786.25</v>
      </c>
      <c r="O643" s="10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 R643)-1)</f>
        <v>theater</v>
      </c>
      <c r="T643" t="str">
        <f t="shared" ref="T643:T706" si="65">MID(R643, FIND("/", R643) +1, LEN(R643))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 * 100</f>
        <v>99.026517383618156</v>
      </c>
      <c r="G707" t="s">
        <v>14</v>
      </c>
      <c r="H707">
        <v>2025</v>
      </c>
      <c r="I707" s="6">
        <f t="shared" ref="I707:I770" si="67">IFERROR(E707/H707,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(((L707/60)/60/24)+DATE(1970,1,1))</f>
        <v>41619.25</v>
      </c>
      <c r="O707" s="10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 R707)-1)</f>
        <v>publishing</v>
      </c>
      <c r="T707" t="str">
        <f t="shared" ref="T707:T770" si="71">MID(R707, FIND("/", R707) +1, LEN(R707))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 * 100</f>
        <v>86.867834394904463</v>
      </c>
      <c r="G771" t="s">
        <v>14</v>
      </c>
      <c r="H771">
        <v>3410</v>
      </c>
      <c r="I771" s="6">
        <f t="shared" ref="I771:I834" si="73">IFERROR(E771/H771,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(((L771/60)/60/24)+DATE(1970,1,1))</f>
        <v>41501.208333333336</v>
      </c>
      <c r="O771" s="10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 R771)-1)</f>
        <v>games</v>
      </c>
      <c r="T771" t="str">
        <f t="shared" ref="T771:T834" si="77">MID(R771, FIND("/", R771) +1, LEN(R771))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 * 100</f>
        <v>157.69117647058823</v>
      </c>
      <c r="G835" t="s">
        <v>20</v>
      </c>
      <c r="H835">
        <v>165</v>
      </c>
      <c r="I835" s="6">
        <f t="shared" ref="I835:I898" si="79">IFERROR(E835/H835,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0">(((L835/60)/60/24)+DATE(1970,1,1))</f>
        <v>40588.25</v>
      </c>
      <c r="O835" s="10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 R835)-1)</f>
        <v>publishing</v>
      </c>
      <c r="T835" t="str">
        <f t="shared" ref="T835:T898" si="83">MID(R835, FIND("/", R835) +1, LEN(R835))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 * 100</f>
        <v>27.693181818181817</v>
      </c>
      <c r="G899" t="s">
        <v>14</v>
      </c>
      <c r="H899">
        <v>27</v>
      </c>
      <c r="I899" s="6">
        <f t="shared" ref="I899:I962" si="85">IFERROR(E899/H899,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(((L899/60)/60/24)+DATE(1970,1,1))</f>
        <v>43583.208333333328</v>
      </c>
      <c r="O899" s="10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 R899)-1)</f>
        <v>theater</v>
      </c>
      <c r="T899" t="str">
        <f t="shared" ref="T899:T962" si="89">MID(R899, FIND("/", R899) +1, LEN(R899))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 * 100</f>
        <v>119.29824561403508</v>
      </c>
      <c r="G963" t="s">
        <v>20</v>
      </c>
      <c r="H963">
        <v>155</v>
      </c>
      <c r="I963" s="6">
        <f t="shared" ref="I963:I1001" si="91">IFERROR(E963/H963,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2">(((L963/60)/60/24)+DATE(1970,1,1))</f>
        <v>40591.25</v>
      </c>
      <c r="O963" s="10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 R963)-1)</f>
        <v>publishing</v>
      </c>
      <c r="T963" t="str">
        <f t="shared" ref="T963:T1001" si="95">MID(R963, FIND("/", R963) +1, LEN(R963))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2">
    <cfRule type="containsText" dxfId="8" priority="7" operator="containsText" text="&quot;failed&quot;">
      <formula>NOT(ISERROR(SEARCH("""failed""",G2)))</formula>
    </cfRule>
    <cfRule type="duplicateValues" dxfId="7" priority="8"/>
    <cfRule type="expression" dxfId="6" priority="10">
      <formula>G2 = "failed"</formula>
    </cfRule>
  </conditionalFormatting>
  <conditionalFormatting sqref="G3">
    <cfRule type="expression" dxfId="5" priority="9">
      <formula>G3 = "successful"</formula>
    </cfRule>
  </conditionalFormatting>
  <conditionalFormatting sqref="G1:G1048576">
    <cfRule type="containsText" dxfId="4" priority="2" operator="containsText" text="live">
      <formula>NOT(ISERROR(SEARCH("live",G1)))</formula>
    </cfRule>
    <cfRule type="containsText" dxfId="3" priority="3" operator="containsText" text="canceled">
      <formula>NOT(ISERROR(SEARCH("canceled",G1)))</formula>
    </cfRule>
    <cfRule type="containsText" dxfId="2" priority="4" operator="containsText" text="successful">
      <formula>NOT(ISERROR(SEARCH("successful",G1)))</formula>
    </cfRule>
    <cfRule type="containsText" dxfId="1" priority="5" operator="containsText" text="failed">
      <formula>NOT(ISERROR(SEARCH("failed",G1)))</formula>
    </cfRule>
    <cfRule type="containsText" dxfId="0" priority="6" operator="containsText" text="&quot;failed&quot;">
      <formula>NOT(ISERROR(SEARCH("""failed""",G1)))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Sheet6</vt:lpstr>
      <vt:lpstr>Sheet7</vt:lpstr>
      <vt:lpstr>Sheet8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Sean Henderson</cp:lastModifiedBy>
  <dcterms:created xsi:type="dcterms:W3CDTF">2021-09-29T18:52:28Z</dcterms:created>
  <dcterms:modified xsi:type="dcterms:W3CDTF">2024-04-29T03:40:59Z</dcterms:modified>
</cp:coreProperties>
</file>