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canismos de custos." sheetId="1" r:id="rId4"/>
  </sheets>
  <definedNames/>
  <calcPr/>
</workbook>
</file>

<file path=xl/sharedStrings.xml><?xml version="1.0" encoding="utf-8"?>
<sst xmlns="http://schemas.openxmlformats.org/spreadsheetml/2006/main" count="107" uniqueCount="65">
  <si>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</si>
  <si>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</si>
  <si>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</si>
  <si>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</si>
  <si>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</si>
  <si>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</si>
  <si>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</si>
  <si>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</si>
  <si>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</si>
  <si>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</si>
  <si>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</si>
  <si>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</si>
  <si>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ACUMULADO</t>
  </si>
  <si>
    <t>Racional despesas &amp; receitas</t>
  </si>
  <si>
    <t>CAIXA MÊS ANTERIOR</t>
  </si>
  <si>
    <t>Preço Curso Online</t>
  </si>
  <si>
    <t>rede privada</t>
  </si>
  <si>
    <t>Total</t>
  </si>
  <si>
    <t>rede pública</t>
  </si>
  <si>
    <t>(+)RECEITA OPERACIONAL</t>
  </si>
  <si>
    <t>Nos primeiros 6 meses todos iniciarão no módulo inicial</t>
  </si>
  <si>
    <t>Inicial</t>
  </si>
  <si>
    <t>Venda de curso online</t>
  </si>
  <si>
    <t>Intermediário</t>
  </si>
  <si>
    <t>Venda de kit de robotica</t>
  </si>
  <si>
    <t>Avançado</t>
  </si>
  <si>
    <t>Aulas exclusivas</t>
  </si>
  <si>
    <t>(-) DESPESAS OPERACIONAIS</t>
  </si>
  <si>
    <t>Kit robótica</t>
  </si>
  <si>
    <t>Produção do curso online</t>
  </si>
  <si>
    <t>Produção curso online</t>
  </si>
  <si>
    <t>Custo produção Kit Robótica</t>
  </si>
  <si>
    <t>TOTAL</t>
  </si>
  <si>
    <t>(-) CUSTOS FIXOS</t>
  </si>
  <si>
    <t>Novos alunos por mês</t>
  </si>
  <si>
    <t>Suporte curso online</t>
  </si>
  <si>
    <t>Custo Kit</t>
  </si>
  <si>
    <t>Folha salarial</t>
  </si>
  <si>
    <t>Despesas Administrativas</t>
  </si>
  <si>
    <t>(=) RESULTADO OPERACIONAL ANTES DO IR E CSLL</t>
  </si>
  <si>
    <t>Estimativa de clientes</t>
  </si>
  <si>
    <t xml:space="preserve">(-) Provisão para IR </t>
  </si>
  <si>
    <t>LUCRO LÍQUIDO ANTES DAS PARTICIPAÇÕES</t>
  </si>
  <si>
    <t>Total alunos mês</t>
  </si>
  <si>
    <t>Total receita mês</t>
  </si>
  <si>
    <t>(-) PRO LABORE</t>
  </si>
  <si>
    <t>André Pereira</t>
  </si>
  <si>
    <t xml:space="preserve">Igor Pereira </t>
  </si>
  <si>
    <t>Gustavo Gomes</t>
  </si>
  <si>
    <t xml:space="preserve">Total estudantes </t>
  </si>
  <si>
    <t>Isaque José</t>
  </si>
  <si>
    <t>privada</t>
  </si>
  <si>
    <t xml:space="preserve">Leonardo Duarte </t>
  </si>
  <si>
    <t>pública</t>
  </si>
  <si>
    <t>(=) RESULTADO LÍQUIDO DO EXERCÍCIO</t>
  </si>
  <si>
    <t>Renda de 1,9k - 2,9k</t>
  </si>
  <si>
    <t>Renda de 2,8k - 5,7k</t>
  </si>
  <si>
    <t>São Paulo publica</t>
  </si>
  <si>
    <t>São Paulo privada</t>
  </si>
  <si>
    <t>Cálculo ROI - Return of investiment</t>
  </si>
  <si>
    <t>Investimento inicial</t>
  </si>
  <si>
    <t>%empresa</t>
  </si>
  <si>
    <t>12 meses o investidor terá um retorno de 81% do que foi investido</t>
  </si>
  <si>
    <t>Retorno total</t>
  </si>
  <si>
    <t>– Um resultado positivo, significa que os retornos superaram os custos e o investimento é considerado um lucrativo.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</si>
</sst>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]#,##0.00"/>
    <numFmt numFmtId="165" formatCode="[$R$]#,##0"/>
  </numFmts>
  <fonts count="13">
    <font>
      <sz val="10.0"/>
      <color rgb="FF000000"/>
      <name val="Arial"/>
    </font>
    <font>
      <sz val="8.0"/>
      <color theme="1"/>
      <name val="Arial"/>
    </font>
    <font>
      <b/>
      <sz val="8.0"/>
      <color rgb="FFFFFFFF"/>
      <name val="Tahoma"/>
    </font>
    <font>
      <b/>
      <sz val="10.0"/>
      <color theme="1"/>
      <name val="Arial"/>
    </font>
    <font/>
    <font>
      <b/>
      <sz val="8.0"/>
      <color rgb="FF000000"/>
      <name val="Arial"/>
    </font>
    <font>
      <b/>
      <sz val="8.0"/>
      <color rgb="FF000000"/>
      <name val="Tahoma"/>
    </font>
    <font>
      <color theme="1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theme="1"/>
      <name val="Arial"/>
    </font>
    <font>
      <b/>
      <sz val="7.0"/>
      <color rgb="FF000000"/>
      <name val="Tahoma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1CAB74"/>
        <bgColor rgb="FF1CAB74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</fills>
  <borders count="10">
    <border/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top style="hair">
        <color rgb="FFCCCCCC"/>
      </top>
      <bottom style="hair">
        <color rgb="FFCCCCCC"/>
      </bottom>
    </border>
    <border>
      <top style="hair">
        <color rgb="FFCCCCCC"/>
      </top>
      <bottom style="hair">
        <color rgb="FFCCCCCC"/>
      </bottom>
    </border>
    <border>
      <right style="hair">
        <color rgb="FFCCCCCC"/>
      </right>
      <top style="hair">
        <color rgb="FFCCCCCC"/>
      </top>
      <bottom style="hair">
        <color rgb="FFCCCCCC"/>
      </bottom>
    </border>
    <border>
      <left/>
      <right/>
      <top/>
      <bottom/>
    </border>
    <border>
      <left style="hair">
        <color rgb="FFCCCCCC"/>
      </left>
      <right style="hair">
        <color rgb="FFCCCCCC"/>
      </right>
      <top/>
      <bottom style="hair">
        <color rgb="FFCCCCCC"/>
      </bottom>
    </border>
    <border>
      <left style="hair">
        <color rgb="FFCCCCCC"/>
      </left>
      <right style="hair">
        <color rgb="FFCCCCCC"/>
      </right>
      <bottom style="hair">
        <color rgb="FFCCCCCC"/>
      </bottom>
    </border>
    <border>
      <left style="hair">
        <color rgb="FFCCCCCC"/>
      </left>
      <right style="hair">
        <color rgb="FFCCCCCC"/>
      </right>
      <top style="hair">
        <color rgb="FFCCCCCC"/>
      </top>
    </border>
    <border>
      <left style="hair">
        <color rgb="FFCCCCCC"/>
      </left>
      <right style="hair">
        <color rgb="FFCCCCCC"/>
      </right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1" numFmtId="0" xfId="0" applyFont="1"/>
    <xf borderId="1" fillId="2" fontId="2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2" fillId="3" fontId="3" numFmtId="0" xfId="0" applyAlignment="1" applyBorder="1" applyFill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0" fontId="5" numFmtId="0" xfId="0" applyAlignment="1" applyBorder="1" applyFont="1">
      <alignment horizontal="left" shrinkToFit="0" wrapText="1"/>
    </xf>
    <xf borderId="1" fillId="0" fontId="6" numFmtId="164" xfId="0" applyAlignment="1" applyBorder="1" applyFont="1" applyNumberFormat="1">
      <alignment horizontal="center" readingOrder="0"/>
    </xf>
    <xf borderId="1" fillId="0" fontId="6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0" fillId="0" fontId="7" numFmtId="0" xfId="0" applyAlignment="1" applyFont="1">
      <alignment horizontal="center" readingOrder="0"/>
    </xf>
    <xf borderId="1" fillId="0" fontId="1" numFmtId="0" xfId="0" applyAlignment="1" applyBorder="1" applyFont="1">
      <alignment horizontal="center"/>
    </xf>
    <xf borderId="6" fillId="3" fontId="6" numFmtId="0" xfId="0" applyAlignment="1" applyBorder="1" applyFont="1">
      <alignment horizontal="left" readingOrder="0" shrinkToFit="0" wrapText="1"/>
    </xf>
    <xf borderId="1" fillId="3" fontId="6" numFmtId="164" xfId="0" applyAlignment="1" applyBorder="1" applyFont="1" applyNumberFormat="1">
      <alignment horizontal="center"/>
    </xf>
    <xf borderId="7" fillId="3" fontId="6" numFmtId="164" xfId="0" applyAlignment="1" applyBorder="1" applyFont="1" applyNumberFormat="1">
      <alignment horizontal="center"/>
    </xf>
    <xf borderId="8" fillId="0" fontId="1" numFmtId="0" xfId="0" applyAlignment="1" applyBorder="1" applyFont="1">
      <alignment horizontal="left" readingOrder="0" shrinkToFit="0" wrapText="1"/>
    </xf>
    <xf borderId="1" fillId="0" fontId="8" numFmtId="0" xfId="0" applyAlignment="1" applyBorder="1" applyFont="1">
      <alignment horizontal="left" readingOrder="0" shrinkToFit="0" wrapText="1"/>
    </xf>
    <xf borderId="1" fillId="0" fontId="8" numFmtId="164" xfId="0" applyAlignment="1" applyBorder="1" applyFont="1" applyNumberFormat="1">
      <alignment horizontal="center" readingOrder="0"/>
    </xf>
    <xf borderId="1" fillId="0" fontId="9" numFmtId="164" xfId="0" applyAlignment="1" applyBorder="1" applyFont="1" applyNumberFormat="1">
      <alignment horizontal="center" readingOrder="0"/>
    </xf>
    <xf borderId="9" fillId="0" fontId="4" numFmtId="0" xfId="0" applyBorder="1" applyFont="1"/>
    <xf borderId="7" fillId="0" fontId="4" numFmtId="0" xfId="0" applyBorder="1" applyFont="1"/>
    <xf borderId="1" fillId="0" fontId="1" numFmtId="164" xfId="0" applyAlignment="1" applyBorder="1" applyFont="1" applyNumberFormat="1">
      <alignment horizontal="center"/>
    </xf>
    <xf borderId="1" fillId="0" fontId="8" numFmtId="0" xfId="0" applyAlignment="1" applyBorder="1" applyFont="1">
      <alignment horizontal="left" shrinkToFit="0" wrapText="1"/>
    </xf>
    <xf borderId="1" fillId="0" fontId="9" numFmtId="164" xfId="0" applyAlignment="1" applyBorder="1" applyFont="1" applyNumberFormat="1">
      <alignment horizontal="center"/>
    </xf>
    <xf borderId="1" fillId="3" fontId="6" numFmtId="0" xfId="0" applyAlignment="1" applyBorder="1" applyFont="1">
      <alignment horizontal="left" shrinkToFit="0" wrapText="1"/>
    </xf>
    <xf borderId="1" fillId="0" fontId="8" numFmtId="164" xfId="0" applyAlignment="1" applyBorder="1" applyFont="1" applyNumberFormat="1">
      <alignment horizontal="center"/>
    </xf>
    <xf borderId="1" fillId="4" fontId="1" numFmtId="0" xfId="0" applyAlignment="1" applyBorder="1" applyFill="1" applyFont="1">
      <alignment horizontal="center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/>
    </xf>
    <xf borderId="1" fillId="0" fontId="6" numFmtId="0" xfId="0" applyAlignment="1" applyBorder="1" applyFont="1">
      <alignment horizontal="left" readingOrder="0" shrinkToFit="0" wrapText="1"/>
    </xf>
    <xf borderId="1" fillId="0" fontId="6" numFmtId="164" xfId="0" applyAlignment="1" applyBorder="1" applyFont="1" applyNumberFormat="1">
      <alignment horizontal="center" readingOrder="0" shrinkToFit="0" wrapText="1"/>
    </xf>
    <xf borderId="1" fillId="0" fontId="10" numFmtId="0" xfId="0" applyAlignment="1" applyBorder="1" applyFont="1">
      <alignment horizontal="center" readingOrder="0"/>
    </xf>
    <xf borderId="1" fillId="0" fontId="1" numFmtId="1" xfId="0" applyAlignment="1" applyBorder="1" applyFont="1" applyNumberFormat="1">
      <alignment horizontal="center"/>
    </xf>
    <xf borderId="1" fillId="0" fontId="9" numFmtId="0" xfId="0" applyAlignment="1" applyBorder="1" applyFont="1">
      <alignment horizontal="left" shrinkToFit="0" wrapText="1"/>
    </xf>
    <xf borderId="1" fillId="0" fontId="9" numFmtId="0" xfId="0" applyAlignment="1" applyBorder="1" applyFont="1">
      <alignment horizontal="center"/>
    </xf>
    <xf borderId="1" fillId="3" fontId="5" numFmtId="0" xfId="0" applyAlignment="1" applyBorder="1" applyFont="1">
      <alignment horizontal="left" shrinkToFit="0" wrapText="1"/>
    </xf>
    <xf borderId="1" fillId="3" fontId="6" numFmtId="164" xfId="0" applyAlignment="1" applyBorder="1" applyFont="1" applyNumberFormat="1">
      <alignment horizontal="center" readingOrder="0"/>
    </xf>
    <xf borderId="1" fillId="0" fontId="1" numFmtId="1" xfId="0" applyAlignment="1" applyBorder="1" applyFont="1" applyNumberFormat="1">
      <alignment horizontal="center" readingOrder="0"/>
    </xf>
    <xf borderId="1" fillId="0" fontId="6" numFmtId="0" xfId="0" applyAlignment="1" applyBorder="1" applyFont="1">
      <alignment horizontal="left" shrinkToFit="0" wrapText="1"/>
    </xf>
    <xf borderId="1" fillId="3" fontId="11" numFmtId="0" xfId="0" applyAlignment="1" applyBorder="1" applyFont="1">
      <alignment horizontal="left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5" fontId="12" numFmtId="10" xfId="0" applyAlignment="1" applyFill="1" applyFont="1" applyNumberFormat="1">
      <alignment horizontal="center" shrinkToFit="0" wrapText="1"/>
    </xf>
    <xf borderId="0" fillId="0" fontId="1" numFmtId="164" xfId="0" applyAlignment="1" applyFont="1" applyNumberFormat="1">
      <alignment horizontal="center"/>
    </xf>
    <xf borderId="0" fillId="0" fontId="1" numFmtId="10" xfId="0" applyAlignment="1" applyFont="1" applyNumberFormat="1">
      <alignment horizontal="center" readingOrder="0"/>
    </xf>
    <xf borderId="1" fillId="0" fontId="9" numFmtId="165" xfId="0" applyAlignment="1" applyBorder="1" applyFont="1" applyNumberFormat="1">
      <alignment horizontal="center" readingOrder="0" shrinkToFit="0" wrapText="1"/>
    </xf>
    <xf borderId="0" fillId="0" fontId="8" numFmtId="164" xfId="0" applyAlignment="1" applyFont="1" applyNumberFormat="1">
      <alignment horizontal="center" readingOrder="0"/>
    </xf>
    <xf borderId="0" fillId="0" fontId="1" numFmtId="10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2" width="28.86"/>
    <col customWidth="1" min="3" max="3" width="14.0"/>
    <col customWidth="1" min="4" max="4" width="11.86"/>
    <col customWidth="1" min="5" max="5" width="11.57"/>
    <col customWidth="1" min="6" max="6" width="11.0"/>
    <col customWidth="1" min="7" max="16" width="11.86"/>
    <col customWidth="1" min="17" max="17" width="13.43"/>
    <col customWidth="1" min="18" max="18" width="8.43"/>
    <col customWidth="1" min="19" max="19" width="27.86"/>
    <col customWidth="1" min="20" max="21" width="15.29"/>
    <col customWidth="1" min="23" max="23" width="16.71"/>
    <col customWidth="1" min="24" max="24" width="14.14"/>
    <col customWidth="1" min="25" max="25" width="19.43"/>
  </cols>
  <sheetData>
    <row r="1" ht="15.7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15.75" customHeight="1">
      <c r="B2" s="4">
        <v>2021.0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0</v>
      </c>
      <c r="P2" s="4" t="s">
        <v>1</v>
      </c>
      <c r="Q2" s="5" t="s">
        <v>12</v>
      </c>
      <c r="R2" s="3"/>
      <c r="S2" s="6" t="s">
        <v>13</v>
      </c>
      <c r="T2" s="7"/>
      <c r="U2" s="7"/>
      <c r="V2" s="7"/>
      <c r="W2" s="7"/>
      <c r="X2" s="7"/>
      <c r="Y2" s="7"/>
      <c r="Z2" s="7"/>
      <c r="AA2" s="8"/>
    </row>
    <row r="3" ht="12.0" customHeight="1">
      <c r="B3" s="9" t="s">
        <v>14</v>
      </c>
      <c r="C3" s="10">
        <v>100000.0</v>
      </c>
      <c r="D3" s="10">
        <f t="shared" ref="D3:F3" si="1">C30</f>
        <v>65500</v>
      </c>
      <c r="E3" s="10">
        <f t="shared" si="1"/>
        <v>16000</v>
      </c>
      <c r="F3" s="11">
        <f t="shared" si="1"/>
        <v>4400</v>
      </c>
      <c r="G3" s="11">
        <f t="shared" ref="G3:I3" si="2">D30</f>
        <v>16000</v>
      </c>
      <c r="H3" s="11">
        <f t="shared" si="2"/>
        <v>4400</v>
      </c>
      <c r="I3" s="11">
        <f t="shared" si="2"/>
        <v>20550</v>
      </c>
      <c r="J3" s="11">
        <f t="shared" ref="J3:Q3" si="3">I30</f>
        <v>89119.5</v>
      </c>
      <c r="K3" s="11">
        <f t="shared" si="3"/>
        <v>110838.4</v>
      </c>
      <c r="L3" s="11">
        <f t="shared" si="3"/>
        <v>136966.08</v>
      </c>
      <c r="M3" s="11">
        <f t="shared" si="3"/>
        <v>164474.296</v>
      </c>
      <c r="N3" s="11">
        <f t="shared" si="3"/>
        <v>192657.6304</v>
      </c>
      <c r="O3" s="11">
        <f t="shared" si="3"/>
        <v>220514.0643</v>
      </c>
      <c r="P3" s="11">
        <f t="shared" si="3"/>
        <v>247109.7636</v>
      </c>
      <c r="Q3" s="11">
        <f t="shared" si="3"/>
        <v>272435.4561</v>
      </c>
      <c r="R3" s="3"/>
      <c r="S3" s="12"/>
      <c r="T3" s="12" t="s">
        <v>15</v>
      </c>
      <c r="U3" s="13" t="s">
        <v>16</v>
      </c>
      <c r="V3" s="14" t="s">
        <v>17</v>
      </c>
      <c r="W3" s="12" t="s">
        <v>18</v>
      </c>
      <c r="X3" s="12" t="s">
        <v>17</v>
      </c>
      <c r="Y3" s="12"/>
      <c r="Z3" s="15"/>
      <c r="AA3" s="15"/>
      <c r="AB3" s="15"/>
      <c r="AC3" s="15"/>
      <c r="AD3" s="15"/>
    </row>
    <row r="4" ht="12.0" customHeight="1">
      <c r="B4" s="16" t="s">
        <v>19</v>
      </c>
      <c r="C4" s="17">
        <f>C3</f>
        <v>100000</v>
      </c>
      <c r="D4" s="18">
        <f>sum(D5:D7)</f>
        <v>0</v>
      </c>
      <c r="E4" s="17">
        <f t="shared" ref="E4:Q4" si="4">SUM(E5:E7)</f>
        <v>35000</v>
      </c>
      <c r="F4" s="17">
        <f t="shared" si="4"/>
        <v>63000</v>
      </c>
      <c r="G4" s="17">
        <f t="shared" si="4"/>
        <v>95250</v>
      </c>
      <c r="H4" s="17">
        <f t="shared" si="4"/>
        <v>123600</v>
      </c>
      <c r="I4" s="17">
        <f t="shared" si="4"/>
        <v>148170</v>
      </c>
      <c r="J4" s="17">
        <f t="shared" si="4"/>
        <v>176904</v>
      </c>
      <c r="K4" s="17">
        <f t="shared" si="4"/>
        <v>212284.8</v>
      </c>
      <c r="L4" s="17">
        <f t="shared" si="4"/>
        <v>254741.76</v>
      </c>
      <c r="M4" s="17">
        <f t="shared" si="4"/>
        <v>292953.024</v>
      </c>
      <c r="N4" s="17">
        <f t="shared" si="4"/>
        <v>331790.5792</v>
      </c>
      <c r="O4" s="17">
        <f t="shared" si="4"/>
        <v>363079.6371</v>
      </c>
      <c r="P4" s="17">
        <f t="shared" si="4"/>
        <v>390691.0688</v>
      </c>
      <c r="Q4" s="17">
        <f t="shared" si="4"/>
        <v>2487464.869</v>
      </c>
      <c r="R4" s="3"/>
      <c r="S4" s="19" t="s">
        <v>20</v>
      </c>
      <c r="T4" s="12" t="s">
        <v>21</v>
      </c>
      <c r="U4" s="13">
        <v>350.0</v>
      </c>
      <c r="V4" s="13">
        <f t="shared" ref="V4:V6" si="6">U4*12</f>
        <v>4200</v>
      </c>
      <c r="W4" s="13">
        <v>175.0</v>
      </c>
      <c r="X4" s="13">
        <f t="shared" ref="X4:X6" si="7">W4*12</f>
        <v>2100</v>
      </c>
      <c r="Y4" s="15"/>
      <c r="Z4" s="15"/>
      <c r="AA4" s="15"/>
      <c r="AB4" s="15"/>
      <c r="AC4" s="15"/>
      <c r="AD4" s="15"/>
    </row>
    <row r="5" ht="12.0" customHeight="1">
      <c r="B5" s="20" t="s">
        <v>22</v>
      </c>
      <c r="C5" s="21">
        <v>0.0</v>
      </c>
      <c r="D5" s="21">
        <v>0.0</v>
      </c>
      <c r="E5" s="21">
        <f t="shared" ref="E5:P5" si="5">T23</f>
        <v>35000</v>
      </c>
      <c r="F5" s="21">
        <f t="shared" si="5"/>
        <v>63000</v>
      </c>
      <c r="G5" s="21">
        <f t="shared" si="5"/>
        <v>94500</v>
      </c>
      <c r="H5" s="21">
        <f t="shared" si="5"/>
        <v>122850</v>
      </c>
      <c r="I5" s="21">
        <f t="shared" si="5"/>
        <v>147420</v>
      </c>
      <c r="J5" s="21">
        <f t="shared" si="5"/>
        <v>176904</v>
      </c>
      <c r="K5" s="21">
        <f t="shared" si="5"/>
        <v>212284.8</v>
      </c>
      <c r="L5" s="21">
        <f t="shared" si="5"/>
        <v>254741.76</v>
      </c>
      <c r="M5" s="21">
        <f t="shared" si="5"/>
        <v>292953.024</v>
      </c>
      <c r="N5" s="21">
        <f t="shared" si="5"/>
        <v>329890.5792</v>
      </c>
      <c r="O5" s="21">
        <f t="shared" si="5"/>
        <v>362879.6371</v>
      </c>
      <c r="P5" s="21">
        <f t="shared" si="5"/>
        <v>390691.0688</v>
      </c>
      <c r="Q5" s="22">
        <f t="shared" ref="Q5:Q7" si="8">sum(C5:P5)</f>
        <v>2483114.869</v>
      </c>
      <c r="R5" s="3"/>
      <c r="S5" s="23"/>
      <c r="T5" s="12" t="s">
        <v>23</v>
      </c>
      <c r="U5" s="13">
        <v>400.0</v>
      </c>
      <c r="V5" s="13">
        <f t="shared" si="6"/>
        <v>4800</v>
      </c>
      <c r="W5" s="13">
        <v>175.0</v>
      </c>
      <c r="X5" s="13">
        <f t="shared" si="7"/>
        <v>2100</v>
      </c>
      <c r="Y5" s="15"/>
      <c r="Z5" s="15"/>
      <c r="AA5" s="15"/>
      <c r="AB5" s="15"/>
      <c r="AC5" s="15"/>
      <c r="AD5" s="15"/>
    </row>
    <row r="6" ht="12.0" customHeight="1">
      <c r="B6" s="20" t="s">
        <v>24</v>
      </c>
      <c r="C6" s="21">
        <v>0.0</v>
      </c>
      <c r="D6" s="21">
        <v>0.0</v>
      </c>
      <c r="E6" s="21">
        <v>0.0</v>
      </c>
      <c r="F6" s="21">
        <v>0.0</v>
      </c>
      <c r="G6" s="21">
        <v>750.0</v>
      </c>
      <c r="H6" s="21">
        <v>750.0</v>
      </c>
      <c r="I6" s="21">
        <v>750.0</v>
      </c>
      <c r="J6" s="21">
        <v>0.0</v>
      </c>
      <c r="K6" s="21">
        <v>0.0</v>
      </c>
      <c r="L6" s="21">
        <v>0.0</v>
      </c>
      <c r="M6" s="21">
        <v>0.0</v>
      </c>
      <c r="N6" s="21">
        <f>I6*2</f>
        <v>1500</v>
      </c>
      <c r="O6" s="21">
        <v>0.0</v>
      </c>
      <c r="P6" s="21">
        <v>0.0</v>
      </c>
      <c r="Q6" s="22">
        <f t="shared" si="8"/>
        <v>3750</v>
      </c>
      <c r="R6" s="3"/>
      <c r="S6" s="24"/>
      <c r="T6" s="12" t="s">
        <v>25</v>
      </c>
      <c r="U6" s="13">
        <v>420.0</v>
      </c>
      <c r="V6" s="13">
        <f t="shared" si="6"/>
        <v>5040</v>
      </c>
      <c r="W6" s="13">
        <v>175.0</v>
      </c>
      <c r="X6" s="13">
        <f t="shared" si="7"/>
        <v>2100</v>
      </c>
      <c r="Y6" s="15"/>
      <c r="Z6" s="15"/>
      <c r="AA6" s="15"/>
      <c r="AB6" s="15"/>
      <c r="AC6" s="15"/>
      <c r="AD6" s="15"/>
    </row>
    <row r="7" ht="12.0" customHeight="1">
      <c r="B7" s="20" t="s">
        <v>26</v>
      </c>
      <c r="C7" s="21">
        <v>0.0</v>
      </c>
      <c r="D7" s="21">
        <v>0.0</v>
      </c>
      <c r="E7" s="21">
        <v>0.0</v>
      </c>
      <c r="F7" s="21">
        <v>0.0</v>
      </c>
      <c r="G7" s="21">
        <v>0.0</v>
      </c>
      <c r="H7" s="21">
        <v>0.0</v>
      </c>
      <c r="I7" s="21">
        <v>0.0</v>
      </c>
      <c r="J7" s="21">
        <v>0.0</v>
      </c>
      <c r="K7" s="21">
        <v>0.0</v>
      </c>
      <c r="L7" s="21">
        <v>0.0</v>
      </c>
      <c r="M7" s="21">
        <v>0.0</v>
      </c>
      <c r="N7" s="21">
        <v>400.0</v>
      </c>
      <c r="O7" s="21">
        <v>200.0</v>
      </c>
      <c r="P7" s="21">
        <v>0.0</v>
      </c>
      <c r="Q7" s="22">
        <f t="shared" si="8"/>
        <v>600</v>
      </c>
      <c r="R7" s="3"/>
      <c r="S7" s="15"/>
      <c r="T7" s="15"/>
      <c r="U7" s="12"/>
      <c r="V7" s="25">
        <f>sum(V4:V6)</f>
        <v>14040</v>
      </c>
      <c r="W7" s="15"/>
      <c r="X7" s="25">
        <f>sum(X4:X6)</f>
        <v>6300</v>
      </c>
      <c r="Y7" s="15"/>
      <c r="Z7" s="15"/>
      <c r="AA7" s="15"/>
      <c r="AB7" s="15"/>
      <c r="AC7" s="15"/>
      <c r="AD7" s="15"/>
    </row>
    <row r="8" ht="12.0" customHeight="1"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3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ht="12.0" customHeight="1">
      <c r="B9" s="28" t="s">
        <v>27</v>
      </c>
      <c r="C9" s="17">
        <f t="shared" ref="C9:Q9" si="9">sum(C10:C11)+C13</f>
        <v>27000</v>
      </c>
      <c r="D9" s="17">
        <f t="shared" si="9"/>
        <v>42000</v>
      </c>
      <c r="E9" s="17">
        <f t="shared" si="9"/>
        <v>21000</v>
      </c>
      <c r="F9" s="17">
        <f t="shared" si="9"/>
        <v>30000</v>
      </c>
      <c r="G9" s="17">
        <f t="shared" si="9"/>
        <v>36000</v>
      </c>
      <c r="H9" s="17">
        <f t="shared" si="9"/>
        <v>31500</v>
      </c>
      <c r="I9" s="17">
        <f t="shared" si="9"/>
        <v>34500</v>
      </c>
      <c r="J9" s="17">
        <f t="shared" si="9"/>
        <v>31800</v>
      </c>
      <c r="K9" s="17">
        <f t="shared" si="9"/>
        <v>30560</v>
      </c>
      <c r="L9" s="17">
        <f t="shared" si="9"/>
        <v>34772</v>
      </c>
      <c r="M9" s="17">
        <f t="shared" si="9"/>
        <v>39826.4</v>
      </c>
      <c r="N9" s="17">
        <f t="shared" si="9"/>
        <v>45891.68</v>
      </c>
      <c r="O9" s="17">
        <f t="shared" si="9"/>
        <v>45891.68</v>
      </c>
      <c r="P9" s="17">
        <f t="shared" si="9"/>
        <v>43708.1792</v>
      </c>
      <c r="Q9" s="17">
        <f t="shared" si="9"/>
        <v>360741.76</v>
      </c>
      <c r="R9" s="3"/>
      <c r="S9" s="15"/>
      <c r="T9" s="15"/>
      <c r="U9" s="25"/>
      <c r="V9" s="15"/>
      <c r="W9" s="25"/>
      <c r="X9" s="15"/>
      <c r="Y9" s="15"/>
      <c r="Z9" s="15"/>
      <c r="AA9" s="15"/>
      <c r="AB9" s="15"/>
      <c r="AC9" s="15"/>
      <c r="AD9" s="15"/>
    </row>
    <row r="10" ht="12.0" customHeight="1">
      <c r="B10" s="20" t="s">
        <v>28</v>
      </c>
      <c r="C10" s="29"/>
      <c r="D10" s="29">
        <f t="shared" ref="D10:E10" si="10">$T$14/2</f>
        <v>15000</v>
      </c>
      <c r="E10" s="29">
        <f t="shared" si="10"/>
        <v>15000</v>
      </c>
      <c r="F10" s="29">
        <f>U14</f>
        <v>24000</v>
      </c>
      <c r="G10" s="29">
        <f t="shared" ref="G10:P10" si="11">T14</f>
        <v>30000</v>
      </c>
      <c r="H10" s="29">
        <f t="shared" si="11"/>
        <v>24000</v>
      </c>
      <c r="I10" s="29">
        <f t="shared" si="11"/>
        <v>27000</v>
      </c>
      <c r="J10" s="29">
        <f t="shared" si="11"/>
        <v>24300</v>
      </c>
      <c r="K10" s="29">
        <f t="shared" si="11"/>
        <v>21060</v>
      </c>
      <c r="L10" s="29">
        <f t="shared" si="11"/>
        <v>25272</v>
      </c>
      <c r="M10" s="29">
        <f t="shared" si="11"/>
        <v>30326.4</v>
      </c>
      <c r="N10" s="29">
        <f t="shared" si="11"/>
        <v>36391.68</v>
      </c>
      <c r="O10" s="29">
        <f t="shared" si="11"/>
        <v>36391.68</v>
      </c>
      <c r="P10" s="29">
        <f t="shared" si="11"/>
        <v>34208.1792</v>
      </c>
      <c r="Q10" s="27">
        <f t="shared" ref="Q10:Q11" si="13">SUM(F10:O10)</f>
        <v>278741.76</v>
      </c>
      <c r="R10" s="3"/>
      <c r="S10" s="12" t="s">
        <v>29</v>
      </c>
      <c r="T10" s="25">
        <f t="shared" ref="T10:Z10" si="12">50000/7</f>
        <v>7142.857143</v>
      </c>
      <c r="U10" s="25">
        <f t="shared" si="12"/>
        <v>7142.857143</v>
      </c>
      <c r="V10" s="25">
        <f t="shared" si="12"/>
        <v>7142.857143</v>
      </c>
      <c r="W10" s="25">
        <f t="shared" si="12"/>
        <v>7142.857143</v>
      </c>
      <c r="X10" s="25">
        <f t="shared" si="12"/>
        <v>7142.857143</v>
      </c>
      <c r="Y10" s="25">
        <f t="shared" si="12"/>
        <v>7142.857143</v>
      </c>
      <c r="Z10" s="25">
        <f t="shared" si="12"/>
        <v>7142.857143</v>
      </c>
      <c r="AA10" s="25"/>
      <c r="AB10" s="25"/>
      <c r="AC10" s="25"/>
      <c r="AD10" s="25"/>
    </row>
    <row r="11" ht="12.0" customHeight="1">
      <c r="B11" s="20" t="s">
        <v>30</v>
      </c>
      <c r="C11" s="21">
        <v>25000.0</v>
      </c>
      <c r="D11" s="21">
        <v>25000.0</v>
      </c>
      <c r="E11" s="21">
        <v>0.0</v>
      </c>
      <c r="F11" s="29">
        <v>0.0</v>
      </c>
      <c r="G11" s="29">
        <v>0.0</v>
      </c>
      <c r="H11" s="29">
        <v>0.0</v>
      </c>
      <c r="I11" s="29">
        <v>0.0</v>
      </c>
      <c r="J11" s="29">
        <v>0.0</v>
      </c>
      <c r="K11" s="29">
        <v>0.0</v>
      </c>
      <c r="L11" s="29">
        <v>0.0</v>
      </c>
      <c r="M11" s="29">
        <v>0.0</v>
      </c>
      <c r="N11" s="29">
        <v>0.0</v>
      </c>
      <c r="O11" s="29">
        <v>0.0</v>
      </c>
      <c r="P11" s="29">
        <v>0.0</v>
      </c>
      <c r="Q11" s="27">
        <f t="shared" si="13"/>
        <v>0</v>
      </c>
      <c r="R11" s="3"/>
      <c r="S11" s="30" t="s">
        <v>31</v>
      </c>
      <c r="T11" s="13">
        <v>200.0</v>
      </c>
      <c r="U11" s="25"/>
      <c r="V11" s="15"/>
      <c r="W11" s="25"/>
      <c r="X11" s="15"/>
      <c r="Y11" s="15"/>
      <c r="Z11" s="15"/>
      <c r="AA11" s="15"/>
      <c r="AB11" s="15"/>
      <c r="AC11" s="15"/>
      <c r="AD11" s="15"/>
    </row>
    <row r="12" ht="12.0" customHeight="1"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7"/>
      <c r="R12" s="3"/>
      <c r="S12" s="15"/>
      <c r="T12" s="12" t="s">
        <v>2</v>
      </c>
      <c r="U12" s="13" t="s">
        <v>3</v>
      </c>
      <c r="V12" s="12" t="s">
        <v>4</v>
      </c>
      <c r="W12" s="13" t="s">
        <v>5</v>
      </c>
      <c r="X12" s="12" t="s">
        <v>6</v>
      </c>
      <c r="Y12" s="12" t="s">
        <v>7</v>
      </c>
      <c r="Z12" s="12" t="s">
        <v>8</v>
      </c>
      <c r="AA12" s="12" t="s">
        <v>9</v>
      </c>
      <c r="AB12" s="12" t="s">
        <v>10</v>
      </c>
      <c r="AC12" s="12" t="s">
        <v>11</v>
      </c>
      <c r="AD12" s="12" t="s">
        <v>0</v>
      </c>
      <c r="AE12" s="31" t="s">
        <v>1</v>
      </c>
      <c r="AF12" s="32" t="s">
        <v>32</v>
      </c>
    </row>
    <row r="13" ht="12.0" customHeight="1">
      <c r="B13" s="33" t="s">
        <v>33</v>
      </c>
      <c r="C13" s="34">
        <f t="shared" ref="C13:Q13" si="14">sum(C14:C16)</f>
        <v>2000</v>
      </c>
      <c r="D13" s="34">
        <f t="shared" si="14"/>
        <v>2000</v>
      </c>
      <c r="E13" s="34">
        <f t="shared" si="14"/>
        <v>6000</v>
      </c>
      <c r="F13" s="34">
        <f t="shared" si="14"/>
        <v>6000</v>
      </c>
      <c r="G13" s="34">
        <f t="shared" si="14"/>
        <v>6000</v>
      </c>
      <c r="H13" s="34">
        <f t="shared" si="14"/>
        <v>7500</v>
      </c>
      <c r="I13" s="34">
        <f t="shared" si="14"/>
        <v>7500</v>
      </c>
      <c r="J13" s="34">
        <f t="shared" si="14"/>
        <v>7500</v>
      </c>
      <c r="K13" s="34">
        <f t="shared" si="14"/>
        <v>9500</v>
      </c>
      <c r="L13" s="34">
        <f t="shared" si="14"/>
        <v>9500</v>
      </c>
      <c r="M13" s="34">
        <f t="shared" si="14"/>
        <v>9500</v>
      </c>
      <c r="N13" s="34">
        <f t="shared" si="14"/>
        <v>9500</v>
      </c>
      <c r="O13" s="34">
        <f t="shared" si="14"/>
        <v>9500</v>
      </c>
      <c r="P13" s="34">
        <f t="shared" si="14"/>
        <v>9500</v>
      </c>
      <c r="Q13" s="34">
        <f t="shared" si="14"/>
        <v>82000</v>
      </c>
      <c r="R13" s="3"/>
      <c r="S13" s="35" t="s">
        <v>34</v>
      </c>
      <c r="T13" s="36">
        <f>T22</f>
        <v>150</v>
      </c>
      <c r="U13" s="36">
        <f t="shared" ref="U13:AE13" si="15">U22-T22</f>
        <v>120</v>
      </c>
      <c r="V13" s="36">
        <f t="shared" si="15"/>
        <v>135</v>
      </c>
      <c r="W13" s="36">
        <f t="shared" si="15"/>
        <v>121.5</v>
      </c>
      <c r="X13" s="36">
        <f t="shared" si="15"/>
        <v>105.3</v>
      </c>
      <c r="Y13" s="36">
        <f t="shared" si="15"/>
        <v>126.36</v>
      </c>
      <c r="Z13" s="36">
        <f t="shared" si="15"/>
        <v>151.632</v>
      </c>
      <c r="AA13" s="36">
        <f t="shared" si="15"/>
        <v>181.9584</v>
      </c>
      <c r="AB13" s="36">
        <f t="shared" si="15"/>
        <v>181.9584</v>
      </c>
      <c r="AC13" s="36">
        <f t="shared" si="15"/>
        <v>171.040896</v>
      </c>
      <c r="AD13" s="36">
        <f t="shared" si="15"/>
        <v>144.4749696</v>
      </c>
      <c r="AE13" s="36">
        <f t="shared" si="15"/>
        <v>134.7038035</v>
      </c>
      <c r="AF13" s="36">
        <f t="shared" ref="AF13:AF14" si="17">SUM(T13:AE13)</f>
        <v>1723.928469</v>
      </c>
    </row>
    <row r="14" ht="12.0" customHeight="1">
      <c r="B14" s="20" t="s">
        <v>35</v>
      </c>
      <c r="C14" s="21">
        <v>0.0</v>
      </c>
      <c r="D14" s="21">
        <v>0.0</v>
      </c>
      <c r="E14" s="21">
        <v>1500.0</v>
      </c>
      <c r="F14" s="21">
        <v>1500.0</v>
      </c>
      <c r="G14" s="21">
        <v>1500.0</v>
      </c>
      <c r="H14" s="21">
        <v>3000.0</v>
      </c>
      <c r="I14" s="21">
        <v>3000.0</v>
      </c>
      <c r="J14" s="21">
        <v>3000.0</v>
      </c>
      <c r="K14" s="21">
        <v>5000.0</v>
      </c>
      <c r="L14" s="21">
        <v>5000.0</v>
      </c>
      <c r="M14" s="21">
        <v>5000.0</v>
      </c>
      <c r="N14" s="21">
        <v>5000.0</v>
      </c>
      <c r="O14" s="21">
        <v>5000.0</v>
      </c>
      <c r="P14" s="21">
        <v>5000.0</v>
      </c>
      <c r="Q14" s="27">
        <f t="shared" ref="Q14:Q16" si="18">SUM(F14:O14)</f>
        <v>37000</v>
      </c>
      <c r="R14" s="3"/>
      <c r="S14" s="30" t="s">
        <v>36</v>
      </c>
      <c r="T14" s="25">
        <f t="shared" ref="T14:AE14" si="16">T13*$T$11</f>
        <v>30000</v>
      </c>
      <c r="U14" s="25">
        <f t="shared" si="16"/>
        <v>24000</v>
      </c>
      <c r="V14" s="25">
        <f t="shared" si="16"/>
        <v>27000</v>
      </c>
      <c r="W14" s="25">
        <f t="shared" si="16"/>
        <v>24300</v>
      </c>
      <c r="X14" s="25">
        <f t="shared" si="16"/>
        <v>21060</v>
      </c>
      <c r="Y14" s="25">
        <f t="shared" si="16"/>
        <v>25272</v>
      </c>
      <c r="Z14" s="25">
        <f t="shared" si="16"/>
        <v>30326.4</v>
      </c>
      <c r="AA14" s="25">
        <f t="shared" si="16"/>
        <v>36391.68</v>
      </c>
      <c r="AB14" s="25">
        <f t="shared" si="16"/>
        <v>36391.68</v>
      </c>
      <c r="AC14" s="25">
        <f t="shared" si="16"/>
        <v>34208.1792</v>
      </c>
      <c r="AD14" s="25">
        <f t="shared" si="16"/>
        <v>28894.99392</v>
      </c>
      <c r="AE14" s="25">
        <f t="shared" si="16"/>
        <v>26940.7607</v>
      </c>
      <c r="AF14" s="25">
        <f t="shared" si="17"/>
        <v>344785.6938</v>
      </c>
    </row>
    <row r="15" ht="12.0" customHeight="1">
      <c r="B15" s="26" t="s">
        <v>37</v>
      </c>
      <c r="C15" s="21">
        <v>1500.0</v>
      </c>
      <c r="D15" s="21">
        <v>1500.0</v>
      </c>
      <c r="E15" s="21">
        <v>1500.0</v>
      </c>
      <c r="F15" s="21">
        <v>1500.0</v>
      </c>
      <c r="G15" s="21">
        <v>1500.0</v>
      </c>
      <c r="H15" s="21">
        <v>1500.0</v>
      </c>
      <c r="I15" s="21">
        <v>1500.0</v>
      </c>
      <c r="J15" s="21">
        <v>1500.0</v>
      </c>
      <c r="K15" s="21">
        <v>1500.0</v>
      </c>
      <c r="L15" s="21">
        <v>1500.0</v>
      </c>
      <c r="M15" s="21">
        <v>1500.0</v>
      </c>
      <c r="N15" s="21">
        <v>1500.0</v>
      </c>
      <c r="O15" s="21">
        <v>1500.0</v>
      </c>
      <c r="P15" s="21">
        <v>1500.0</v>
      </c>
      <c r="Q15" s="27">
        <f t="shared" si="18"/>
        <v>15000</v>
      </c>
      <c r="R15" s="3"/>
      <c r="S15" s="12"/>
      <c r="T15" s="25"/>
      <c r="U15" s="25"/>
      <c r="V15" s="15"/>
      <c r="W15" s="25"/>
      <c r="X15" s="15"/>
      <c r="Y15" s="15"/>
      <c r="Z15" s="15"/>
      <c r="AA15" s="15"/>
      <c r="AB15" s="15"/>
      <c r="AC15" s="15"/>
      <c r="AD15" s="15"/>
    </row>
    <row r="16" ht="12.0" customHeight="1">
      <c r="B16" s="37" t="s">
        <v>38</v>
      </c>
      <c r="C16" s="21">
        <v>500.0</v>
      </c>
      <c r="D16" s="21">
        <v>500.0</v>
      </c>
      <c r="E16" s="29">
        <v>3000.0</v>
      </c>
      <c r="F16" s="29">
        <v>3000.0</v>
      </c>
      <c r="G16" s="29">
        <v>3000.0</v>
      </c>
      <c r="H16" s="29">
        <v>3000.0</v>
      </c>
      <c r="I16" s="29">
        <v>3000.0</v>
      </c>
      <c r="J16" s="29">
        <v>3000.0</v>
      </c>
      <c r="K16" s="29">
        <v>3000.0</v>
      </c>
      <c r="L16" s="29">
        <v>3000.0</v>
      </c>
      <c r="M16" s="29">
        <v>3000.0</v>
      </c>
      <c r="N16" s="29">
        <v>3000.0</v>
      </c>
      <c r="O16" s="29">
        <v>3000.0</v>
      </c>
      <c r="P16" s="29">
        <v>3000.0</v>
      </c>
      <c r="Q16" s="27">
        <f t="shared" si="18"/>
        <v>30000</v>
      </c>
      <c r="R16" s="3"/>
      <c r="S16" s="15"/>
      <c r="T16" s="15"/>
      <c r="U16" s="25"/>
      <c r="V16" s="15"/>
      <c r="W16" s="25"/>
      <c r="X16" s="15"/>
      <c r="Y16" s="15"/>
      <c r="Z16" s="15"/>
      <c r="AA16" s="15"/>
      <c r="AB16" s="15"/>
      <c r="AC16" s="15"/>
      <c r="AD16" s="15"/>
    </row>
    <row r="17" ht="12.0" customHeight="1">
      <c r="B17" s="37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"/>
      <c r="S17" s="15"/>
      <c r="T17" s="15"/>
      <c r="U17" s="25"/>
      <c r="V17" s="15"/>
      <c r="W17" s="25"/>
      <c r="X17" s="15"/>
      <c r="Y17" s="15"/>
      <c r="Z17" s="15"/>
      <c r="AA17" s="15"/>
      <c r="AB17" s="15"/>
      <c r="AC17" s="15"/>
      <c r="AD17" s="15"/>
    </row>
    <row r="18" ht="12.0" customHeight="1">
      <c r="B18" s="28" t="s">
        <v>39</v>
      </c>
      <c r="C18" s="17">
        <f>C4-C9</f>
        <v>73000</v>
      </c>
      <c r="D18" s="17">
        <f>D3-D9</f>
        <v>23500</v>
      </c>
      <c r="E18" s="17">
        <f t="shared" ref="E18:Q18" si="19">E4-E9</f>
        <v>14000</v>
      </c>
      <c r="F18" s="17">
        <f t="shared" si="19"/>
        <v>33000</v>
      </c>
      <c r="G18" s="17">
        <f t="shared" si="19"/>
        <v>59250</v>
      </c>
      <c r="H18" s="17">
        <f t="shared" si="19"/>
        <v>92100</v>
      </c>
      <c r="I18" s="17">
        <f t="shared" si="19"/>
        <v>113670</v>
      </c>
      <c r="J18" s="17">
        <f t="shared" si="19"/>
        <v>145104</v>
      </c>
      <c r="K18" s="17">
        <f t="shared" si="19"/>
        <v>181724.8</v>
      </c>
      <c r="L18" s="17">
        <f t="shared" si="19"/>
        <v>219969.76</v>
      </c>
      <c r="M18" s="17">
        <f t="shared" si="19"/>
        <v>253126.624</v>
      </c>
      <c r="N18" s="17">
        <f t="shared" si="19"/>
        <v>285898.8992</v>
      </c>
      <c r="O18" s="17">
        <f t="shared" si="19"/>
        <v>317187.9571</v>
      </c>
      <c r="P18" s="17">
        <f t="shared" si="19"/>
        <v>346982.8896</v>
      </c>
      <c r="Q18" s="17">
        <f t="shared" si="19"/>
        <v>2126723.109</v>
      </c>
      <c r="R18" s="3"/>
      <c r="S18" s="15"/>
      <c r="T18" s="15"/>
      <c r="U18" s="25"/>
      <c r="V18" s="15"/>
      <c r="W18" s="25"/>
      <c r="X18" s="15"/>
      <c r="Y18" s="15"/>
      <c r="Z18" s="15"/>
      <c r="AA18" s="15"/>
      <c r="AB18" s="15"/>
      <c r="AC18" s="15"/>
      <c r="AD18" s="15"/>
    </row>
    <row r="19" ht="12.0" customHeight="1">
      <c r="B19" s="37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"/>
      <c r="S19" s="15" t="s">
        <v>40</v>
      </c>
      <c r="T19" s="12" t="s">
        <v>2</v>
      </c>
      <c r="U19" s="13" t="s">
        <v>3</v>
      </c>
      <c r="V19" s="12" t="s">
        <v>4</v>
      </c>
      <c r="W19" s="13" t="s">
        <v>5</v>
      </c>
      <c r="X19" s="12" t="s">
        <v>6</v>
      </c>
      <c r="Y19" s="12" t="s">
        <v>7</v>
      </c>
      <c r="Z19" s="12" t="s">
        <v>8</v>
      </c>
      <c r="AA19" s="12" t="s">
        <v>9</v>
      </c>
      <c r="AB19" s="12" t="s">
        <v>10</v>
      </c>
      <c r="AC19" s="12" t="s">
        <v>11</v>
      </c>
      <c r="AD19" s="12" t="s">
        <v>0</v>
      </c>
      <c r="AE19" s="31" t="s">
        <v>1</v>
      </c>
      <c r="AF19" s="32" t="s">
        <v>32</v>
      </c>
    </row>
    <row r="20" ht="12.0" customHeight="1">
      <c r="B20" s="39" t="s">
        <v>41</v>
      </c>
      <c r="C20" s="40">
        <v>0.0</v>
      </c>
      <c r="D20" s="40">
        <v>0.0</v>
      </c>
      <c r="E20" s="17">
        <f t="shared" ref="E20:P20" si="20">E18*0.15</f>
        <v>2100</v>
      </c>
      <c r="F20" s="17">
        <f t="shared" si="20"/>
        <v>4950</v>
      </c>
      <c r="G20" s="17">
        <f t="shared" si="20"/>
        <v>8887.5</v>
      </c>
      <c r="H20" s="17">
        <f t="shared" si="20"/>
        <v>13815</v>
      </c>
      <c r="I20" s="17">
        <f t="shared" si="20"/>
        <v>17050.5</v>
      </c>
      <c r="J20" s="17">
        <f t="shared" si="20"/>
        <v>21765.6</v>
      </c>
      <c r="K20" s="17">
        <f t="shared" si="20"/>
        <v>27258.72</v>
      </c>
      <c r="L20" s="17">
        <f t="shared" si="20"/>
        <v>32995.464</v>
      </c>
      <c r="M20" s="17">
        <f t="shared" si="20"/>
        <v>37968.9936</v>
      </c>
      <c r="N20" s="17">
        <f t="shared" si="20"/>
        <v>42884.83488</v>
      </c>
      <c r="O20" s="17">
        <f t="shared" si="20"/>
        <v>47578.19357</v>
      </c>
      <c r="P20" s="17">
        <f t="shared" si="20"/>
        <v>52047.43344</v>
      </c>
      <c r="Q20" s="17">
        <f>SUM(F20:O20)</f>
        <v>255154.806</v>
      </c>
      <c r="R20" s="3"/>
      <c r="S20" s="15" t="s">
        <v>16</v>
      </c>
      <c r="T20" s="41">
        <v>50.0</v>
      </c>
      <c r="U20" s="36">
        <f t="shared" ref="U20:U21" si="23">T20*1.8</f>
        <v>90</v>
      </c>
      <c r="V20" s="36">
        <f t="shared" ref="V20:V21" si="24">U20*1.5</f>
        <v>135</v>
      </c>
      <c r="W20" s="36">
        <f t="shared" ref="W20:W21" si="25">V20*1.3</f>
        <v>175.5</v>
      </c>
      <c r="X20" s="36">
        <f t="shared" ref="X20:AA20" si="21">W20*1.2</f>
        <v>210.6</v>
      </c>
      <c r="Y20" s="36">
        <f t="shared" si="21"/>
        <v>252.72</v>
      </c>
      <c r="Z20" s="36">
        <f t="shared" si="21"/>
        <v>303.264</v>
      </c>
      <c r="AA20" s="36">
        <f t="shared" si="21"/>
        <v>363.9168</v>
      </c>
      <c r="AB20" s="36">
        <f t="shared" ref="AB20:AD20" si="22">AA20*1.1</f>
        <v>400.30848</v>
      </c>
      <c r="AC20" s="36">
        <f t="shared" si="22"/>
        <v>440.339328</v>
      </c>
      <c r="AD20" s="36">
        <f t="shared" si="22"/>
        <v>484.3732608</v>
      </c>
      <c r="AE20" s="36">
        <f>AD20*1.05</f>
        <v>508.5919238</v>
      </c>
      <c r="AF20" s="36">
        <f t="shared" ref="AF20:AF21" si="28">SUM(T20:AE20)</f>
        <v>3414.613793</v>
      </c>
    </row>
    <row r="21" ht="12.0" customHeight="1">
      <c r="B21" s="37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"/>
      <c r="S21" s="15" t="s">
        <v>18</v>
      </c>
      <c r="T21" s="41">
        <v>100.0</v>
      </c>
      <c r="U21" s="36">
        <f t="shared" si="23"/>
        <v>180</v>
      </c>
      <c r="V21" s="36">
        <f t="shared" si="24"/>
        <v>270</v>
      </c>
      <c r="W21" s="36">
        <f t="shared" si="25"/>
        <v>351</v>
      </c>
      <c r="X21" s="36">
        <f t="shared" ref="X21:AB21" si="26">W21*1.2</f>
        <v>421.2</v>
      </c>
      <c r="Y21" s="36">
        <f t="shared" si="26"/>
        <v>505.44</v>
      </c>
      <c r="Z21" s="36">
        <f t="shared" si="26"/>
        <v>606.528</v>
      </c>
      <c r="AA21" s="36">
        <f t="shared" si="26"/>
        <v>727.8336</v>
      </c>
      <c r="AB21" s="36">
        <f t="shared" si="26"/>
        <v>873.40032</v>
      </c>
      <c r="AC21" s="36">
        <f>AB21*1.15</f>
        <v>1004.410368</v>
      </c>
      <c r="AD21" s="36">
        <f t="shared" ref="AD21:AE21" si="27">AC21*1.1</f>
        <v>1104.851405</v>
      </c>
      <c r="AE21" s="36">
        <f t="shared" si="27"/>
        <v>1215.336545</v>
      </c>
      <c r="AF21" s="36">
        <f t="shared" si="28"/>
        <v>7360.000238</v>
      </c>
    </row>
    <row r="22" ht="12.0" customHeight="1">
      <c r="B22" s="39" t="s">
        <v>42</v>
      </c>
      <c r="C22" s="17">
        <f t="shared" ref="C22:Q22" si="29">C18-C20</f>
        <v>73000</v>
      </c>
      <c r="D22" s="17">
        <f t="shared" si="29"/>
        <v>23500</v>
      </c>
      <c r="E22" s="17">
        <f t="shared" si="29"/>
        <v>11900</v>
      </c>
      <c r="F22" s="17">
        <f t="shared" si="29"/>
        <v>28050</v>
      </c>
      <c r="G22" s="17">
        <f t="shared" si="29"/>
        <v>50362.5</v>
      </c>
      <c r="H22" s="17">
        <f t="shared" si="29"/>
        <v>78285</v>
      </c>
      <c r="I22" s="17">
        <f t="shared" si="29"/>
        <v>96619.5</v>
      </c>
      <c r="J22" s="17">
        <f t="shared" si="29"/>
        <v>123338.4</v>
      </c>
      <c r="K22" s="17">
        <f t="shared" si="29"/>
        <v>154466.08</v>
      </c>
      <c r="L22" s="17">
        <f t="shared" si="29"/>
        <v>186974.296</v>
      </c>
      <c r="M22" s="17">
        <f t="shared" si="29"/>
        <v>215157.6304</v>
      </c>
      <c r="N22" s="17">
        <f t="shared" si="29"/>
        <v>243014.0643</v>
      </c>
      <c r="O22" s="17">
        <f t="shared" si="29"/>
        <v>269609.7636</v>
      </c>
      <c r="P22" s="17">
        <f t="shared" si="29"/>
        <v>294935.4561</v>
      </c>
      <c r="Q22" s="17">
        <f t="shared" si="29"/>
        <v>1871568.303</v>
      </c>
      <c r="R22" s="3"/>
      <c r="S22" s="15" t="s">
        <v>43</v>
      </c>
      <c r="T22" s="41">
        <f t="shared" ref="T22:AE22" si="30">sum(T20:T21)</f>
        <v>150</v>
      </c>
      <c r="U22" s="36">
        <f t="shared" si="30"/>
        <v>270</v>
      </c>
      <c r="V22" s="36">
        <f t="shared" si="30"/>
        <v>405</v>
      </c>
      <c r="W22" s="36">
        <f t="shared" si="30"/>
        <v>526.5</v>
      </c>
      <c r="X22" s="36">
        <f t="shared" si="30"/>
        <v>631.8</v>
      </c>
      <c r="Y22" s="36">
        <f t="shared" si="30"/>
        <v>758.16</v>
      </c>
      <c r="Z22" s="36">
        <f t="shared" si="30"/>
        <v>909.792</v>
      </c>
      <c r="AA22" s="36">
        <f t="shared" si="30"/>
        <v>1091.7504</v>
      </c>
      <c r="AB22" s="36">
        <f t="shared" si="30"/>
        <v>1273.7088</v>
      </c>
      <c r="AC22" s="36">
        <f t="shared" si="30"/>
        <v>1444.749696</v>
      </c>
      <c r="AD22" s="36">
        <f t="shared" si="30"/>
        <v>1589.224666</v>
      </c>
      <c r="AE22" s="36">
        <f t="shared" si="30"/>
        <v>1723.928469</v>
      </c>
      <c r="AF22" s="36"/>
    </row>
    <row r="23" ht="12.0" customHeight="1">
      <c r="B23" s="37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"/>
      <c r="S23" s="30" t="s">
        <v>44</v>
      </c>
      <c r="T23" s="25">
        <f t="shared" ref="T23:AE23" si="31">(T20*$U$4)+(T21*$W$4)</f>
        <v>35000</v>
      </c>
      <c r="U23" s="25">
        <f t="shared" si="31"/>
        <v>63000</v>
      </c>
      <c r="V23" s="25">
        <f t="shared" si="31"/>
        <v>94500</v>
      </c>
      <c r="W23" s="25">
        <f t="shared" si="31"/>
        <v>122850</v>
      </c>
      <c r="X23" s="25">
        <f t="shared" si="31"/>
        <v>147420</v>
      </c>
      <c r="Y23" s="25">
        <f t="shared" si="31"/>
        <v>176904</v>
      </c>
      <c r="Z23" s="25">
        <f t="shared" si="31"/>
        <v>212284.8</v>
      </c>
      <c r="AA23" s="25">
        <f t="shared" si="31"/>
        <v>254741.76</v>
      </c>
      <c r="AB23" s="25">
        <f t="shared" si="31"/>
        <v>292953.024</v>
      </c>
      <c r="AC23" s="25">
        <f t="shared" si="31"/>
        <v>329890.5792</v>
      </c>
      <c r="AD23" s="25">
        <f t="shared" si="31"/>
        <v>362879.6371</v>
      </c>
      <c r="AE23" s="25">
        <f t="shared" si="31"/>
        <v>390691.0688</v>
      </c>
      <c r="AF23" s="25">
        <f>SUM(T23:AE23)</f>
        <v>2483114.869</v>
      </c>
    </row>
    <row r="24" ht="12.0" customHeight="1">
      <c r="B24" s="42" t="s">
        <v>45</v>
      </c>
      <c r="C24" s="11">
        <f t="shared" ref="C24:P24" si="32">SUM(C25:C29)</f>
        <v>7500</v>
      </c>
      <c r="D24" s="11">
        <f t="shared" si="32"/>
        <v>7500</v>
      </c>
      <c r="E24" s="11">
        <f t="shared" si="32"/>
        <v>7500</v>
      </c>
      <c r="F24" s="11">
        <f t="shared" si="32"/>
        <v>7500</v>
      </c>
      <c r="G24" s="11">
        <f t="shared" si="32"/>
        <v>7500</v>
      </c>
      <c r="H24" s="11">
        <f t="shared" si="32"/>
        <v>7500</v>
      </c>
      <c r="I24" s="11">
        <f t="shared" si="32"/>
        <v>7500</v>
      </c>
      <c r="J24" s="11">
        <f t="shared" si="32"/>
        <v>12500</v>
      </c>
      <c r="K24" s="11">
        <f t="shared" si="32"/>
        <v>17500</v>
      </c>
      <c r="L24" s="11">
        <f t="shared" si="32"/>
        <v>22500</v>
      </c>
      <c r="M24" s="11">
        <f t="shared" si="32"/>
        <v>22500</v>
      </c>
      <c r="N24" s="11">
        <f t="shared" si="32"/>
        <v>22500</v>
      </c>
      <c r="O24" s="11">
        <f t="shared" si="32"/>
        <v>22500</v>
      </c>
      <c r="P24" s="11">
        <f t="shared" si="32"/>
        <v>22500</v>
      </c>
      <c r="Q24" s="11">
        <f t="shared" ref="Q24:Q29" si="34">SUM(F24:O24)</f>
        <v>150000</v>
      </c>
      <c r="R24" s="3"/>
      <c r="S24" s="15"/>
      <c r="T24" s="36"/>
      <c r="U24" s="25"/>
      <c r="V24" s="15"/>
      <c r="W24" s="25"/>
      <c r="X24" s="15"/>
      <c r="Y24" s="15"/>
      <c r="Z24" s="15"/>
      <c r="AA24" s="15"/>
      <c r="AB24" s="15"/>
      <c r="AC24" s="15"/>
      <c r="AD24" s="15"/>
    </row>
    <row r="25" ht="12.0" customHeight="1">
      <c r="B25" s="26" t="s">
        <v>46</v>
      </c>
      <c r="C25" s="21">
        <v>1500.0</v>
      </c>
      <c r="D25" s="21">
        <v>1500.0</v>
      </c>
      <c r="E25" s="21">
        <v>1500.0</v>
      </c>
      <c r="F25" s="21">
        <v>1500.0</v>
      </c>
      <c r="G25" s="21">
        <v>1500.0</v>
      </c>
      <c r="H25" s="21">
        <v>1500.0</v>
      </c>
      <c r="I25" s="21">
        <v>1500.0</v>
      </c>
      <c r="J25" s="21">
        <v>2500.0</v>
      </c>
      <c r="K25" s="21">
        <v>3500.0</v>
      </c>
      <c r="L25" s="21">
        <v>4500.0</v>
      </c>
      <c r="M25" s="21">
        <v>4500.0</v>
      </c>
      <c r="N25" s="21">
        <v>4500.0</v>
      </c>
      <c r="O25" s="29">
        <f t="shared" ref="O25:P25" si="33">N25</f>
        <v>4500</v>
      </c>
      <c r="P25" s="29">
        <f t="shared" si="33"/>
        <v>4500</v>
      </c>
      <c r="Q25" s="27">
        <f t="shared" si="34"/>
        <v>30000</v>
      </c>
      <c r="R25" s="3"/>
      <c r="S25" s="15"/>
      <c r="T25" s="15"/>
      <c r="U25" s="25"/>
      <c r="V25" s="15"/>
      <c r="W25" s="25"/>
      <c r="X25" s="15"/>
      <c r="Y25" s="15"/>
      <c r="Z25" s="15"/>
      <c r="AA25" s="15"/>
      <c r="AB25" s="15"/>
      <c r="AC25" s="15"/>
      <c r="AD25" s="15"/>
    </row>
    <row r="26" ht="12.0" customHeight="1">
      <c r="B26" s="26" t="s">
        <v>47</v>
      </c>
      <c r="C26" s="21">
        <v>1500.0</v>
      </c>
      <c r="D26" s="21">
        <v>1500.0</v>
      </c>
      <c r="E26" s="21">
        <v>1500.0</v>
      </c>
      <c r="F26" s="21">
        <v>1500.0</v>
      </c>
      <c r="G26" s="21">
        <v>1500.0</v>
      </c>
      <c r="H26" s="21">
        <v>1500.0</v>
      </c>
      <c r="I26" s="21">
        <v>1500.0</v>
      </c>
      <c r="J26" s="21">
        <v>2500.0</v>
      </c>
      <c r="K26" s="21">
        <v>3500.0</v>
      </c>
      <c r="L26" s="21">
        <v>4500.0</v>
      </c>
      <c r="M26" s="21">
        <v>4500.0</v>
      </c>
      <c r="N26" s="21">
        <v>4500.0</v>
      </c>
      <c r="O26" s="29">
        <f t="shared" ref="O26:P26" si="35">N26</f>
        <v>4500</v>
      </c>
      <c r="P26" s="29">
        <f t="shared" si="35"/>
        <v>4500</v>
      </c>
      <c r="Q26" s="27">
        <f t="shared" si="34"/>
        <v>30000</v>
      </c>
      <c r="R26" s="3"/>
      <c r="S26" s="15"/>
      <c r="T26" s="15"/>
      <c r="U26" s="25"/>
      <c r="V26" s="15"/>
      <c r="W26" s="25"/>
      <c r="X26" s="15"/>
      <c r="Y26" s="15"/>
      <c r="Z26" s="15"/>
      <c r="AA26" s="15"/>
      <c r="AB26" s="15"/>
      <c r="AC26" s="15"/>
      <c r="AD26" s="15"/>
    </row>
    <row r="27" ht="12.0" customHeight="1">
      <c r="B27" s="26" t="s">
        <v>48</v>
      </c>
      <c r="C27" s="21">
        <v>1500.0</v>
      </c>
      <c r="D27" s="21">
        <v>1500.0</v>
      </c>
      <c r="E27" s="21">
        <v>1500.0</v>
      </c>
      <c r="F27" s="21">
        <v>1500.0</v>
      </c>
      <c r="G27" s="21">
        <v>1500.0</v>
      </c>
      <c r="H27" s="21">
        <v>1500.0</v>
      </c>
      <c r="I27" s="21">
        <v>1500.0</v>
      </c>
      <c r="J27" s="21">
        <v>2500.0</v>
      </c>
      <c r="K27" s="21">
        <v>3500.0</v>
      </c>
      <c r="L27" s="21">
        <v>4500.0</v>
      </c>
      <c r="M27" s="21">
        <v>4500.0</v>
      </c>
      <c r="N27" s="21">
        <v>4500.0</v>
      </c>
      <c r="O27" s="29">
        <f t="shared" ref="O27:P27" si="36">N27</f>
        <v>4500</v>
      </c>
      <c r="P27" s="29">
        <f t="shared" si="36"/>
        <v>4500</v>
      </c>
      <c r="Q27" s="27">
        <f t="shared" si="34"/>
        <v>30000</v>
      </c>
      <c r="R27" s="3"/>
      <c r="S27" s="15" t="s">
        <v>49</v>
      </c>
      <c r="T27" s="15">
        <v>3.58E7</v>
      </c>
      <c r="U27" s="25"/>
      <c r="V27" s="15"/>
      <c r="W27" s="25"/>
      <c r="X27" s="15"/>
      <c r="Y27" s="15"/>
      <c r="Z27" s="15"/>
      <c r="AA27" s="15"/>
      <c r="AB27" s="15"/>
      <c r="AC27" s="15"/>
      <c r="AD27" s="15"/>
    </row>
    <row r="28" ht="12.0" customHeight="1">
      <c r="B28" s="26" t="s">
        <v>50</v>
      </c>
      <c r="C28" s="21">
        <v>1500.0</v>
      </c>
      <c r="D28" s="21">
        <v>1500.0</v>
      </c>
      <c r="E28" s="21">
        <v>1500.0</v>
      </c>
      <c r="F28" s="21">
        <v>1500.0</v>
      </c>
      <c r="G28" s="21">
        <v>1500.0</v>
      </c>
      <c r="H28" s="21">
        <v>1500.0</v>
      </c>
      <c r="I28" s="21">
        <v>1500.0</v>
      </c>
      <c r="J28" s="21">
        <v>2500.0</v>
      </c>
      <c r="K28" s="21">
        <v>3500.0</v>
      </c>
      <c r="L28" s="21">
        <v>4500.0</v>
      </c>
      <c r="M28" s="21">
        <v>4500.0</v>
      </c>
      <c r="N28" s="21">
        <v>4500.0</v>
      </c>
      <c r="O28" s="29">
        <f t="shared" ref="O28:P28" si="37">N28</f>
        <v>4500</v>
      </c>
      <c r="P28" s="29">
        <f t="shared" si="37"/>
        <v>4500</v>
      </c>
      <c r="Q28" s="27">
        <f t="shared" si="34"/>
        <v>30000</v>
      </c>
      <c r="R28" s="3"/>
      <c r="S28" s="15" t="s">
        <v>51</v>
      </c>
      <c r="T28" s="15">
        <f>T27-T29</f>
        <v>9487000</v>
      </c>
      <c r="U28" s="25"/>
      <c r="V28" s="15"/>
      <c r="W28" s="25"/>
      <c r="X28" s="15"/>
      <c r="Y28" s="15"/>
      <c r="Z28" s="15"/>
      <c r="AA28" s="15"/>
      <c r="AB28" s="15"/>
      <c r="AC28" s="15"/>
      <c r="AD28" s="15"/>
    </row>
    <row r="29" ht="12.0" customHeight="1">
      <c r="B29" s="26" t="s">
        <v>52</v>
      </c>
      <c r="C29" s="21">
        <v>1500.0</v>
      </c>
      <c r="D29" s="21">
        <v>1500.0</v>
      </c>
      <c r="E29" s="21">
        <v>1500.0</v>
      </c>
      <c r="F29" s="21">
        <v>1500.0</v>
      </c>
      <c r="G29" s="21">
        <v>1500.0</v>
      </c>
      <c r="H29" s="21">
        <v>1500.0</v>
      </c>
      <c r="I29" s="21">
        <v>1500.0</v>
      </c>
      <c r="J29" s="21">
        <v>2500.0</v>
      </c>
      <c r="K29" s="21">
        <v>3500.0</v>
      </c>
      <c r="L29" s="21">
        <v>4500.0</v>
      </c>
      <c r="M29" s="21">
        <v>4500.0</v>
      </c>
      <c r="N29" s="21">
        <v>4500.0</v>
      </c>
      <c r="O29" s="29">
        <f t="shared" ref="O29:P29" si="38">N29</f>
        <v>4500</v>
      </c>
      <c r="P29" s="29">
        <f t="shared" si="38"/>
        <v>4500</v>
      </c>
      <c r="Q29" s="27">
        <f t="shared" si="34"/>
        <v>30000</v>
      </c>
      <c r="R29" s="3"/>
      <c r="S29" s="15" t="s">
        <v>53</v>
      </c>
      <c r="T29" s="15">
        <f>T27*0.735</f>
        <v>26313000</v>
      </c>
      <c r="U29" s="25"/>
      <c r="V29" s="15"/>
      <c r="W29" s="25"/>
      <c r="X29" s="15"/>
      <c r="Y29" s="15"/>
      <c r="Z29" s="15"/>
      <c r="AA29" s="15"/>
      <c r="AB29" s="15"/>
      <c r="AC29" s="15"/>
      <c r="AD29" s="15"/>
    </row>
    <row r="30" ht="12.0" customHeight="1">
      <c r="B30" s="43" t="s">
        <v>54</v>
      </c>
      <c r="C30" s="17">
        <f t="shared" ref="C30:Q30" si="39">C22-C24</f>
        <v>65500</v>
      </c>
      <c r="D30" s="17">
        <f t="shared" si="39"/>
        <v>16000</v>
      </c>
      <c r="E30" s="17">
        <f t="shared" si="39"/>
        <v>4400</v>
      </c>
      <c r="F30" s="17">
        <f t="shared" si="39"/>
        <v>20550</v>
      </c>
      <c r="G30" s="17">
        <f t="shared" si="39"/>
        <v>42862.5</v>
      </c>
      <c r="H30" s="17">
        <f t="shared" si="39"/>
        <v>70785</v>
      </c>
      <c r="I30" s="17">
        <f t="shared" si="39"/>
        <v>89119.5</v>
      </c>
      <c r="J30" s="17">
        <f t="shared" si="39"/>
        <v>110838.4</v>
      </c>
      <c r="K30" s="17">
        <f t="shared" si="39"/>
        <v>136966.08</v>
      </c>
      <c r="L30" s="17">
        <f t="shared" si="39"/>
        <v>164474.296</v>
      </c>
      <c r="M30" s="17">
        <f t="shared" si="39"/>
        <v>192657.6304</v>
      </c>
      <c r="N30" s="17">
        <f t="shared" si="39"/>
        <v>220514.0643</v>
      </c>
      <c r="O30" s="17">
        <f t="shared" si="39"/>
        <v>247109.7636</v>
      </c>
      <c r="P30" s="17">
        <f t="shared" si="39"/>
        <v>272435.4561</v>
      </c>
      <c r="Q30" s="17">
        <f t="shared" si="39"/>
        <v>1721568.303</v>
      </c>
      <c r="R30" s="3"/>
      <c r="S30" s="15" t="s">
        <v>55</v>
      </c>
      <c r="T30" s="15">
        <f>T29*0.189</f>
        <v>4973157</v>
      </c>
      <c r="U30" s="25"/>
      <c r="V30" s="15"/>
      <c r="W30" s="25"/>
      <c r="X30" s="15"/>
      <c r="Y30" s="15"/>
      <c r="Z30" s="15"/>
      <c r="AA30" s="15"/>
      <c r="AB30" s="15"/>
      <c r="AC30" s="15"/>
      <c r="AD30" s="15"/>
    </row>
    <row r="31" ht="12.0" customHeight="1"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  <c r="S31" s="15" t="s">
        <v>56</v>
      </c>
      <c r="T31" s="15">
        <f>T28*0.306</f>
        <v>2903022</v>
      </c>
      <c r="U31" s="25"/>
      <c r="V31" s="15"/>
      <c r="W31" s="25"/>
      <c r="X31" s="15"/>
      <c r="Y31" s="15"/>
      <c r="Z31" s="15"/>
      <c r="AA31" s="15"/>
      <c r="AB31" s="15"/>
      <c r="AC31" s="15"/>
      <c r="AD31" s="15"/>
    </row>
    <row r="32" ht="12.0" customHeight="1"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"/>
      <c r="S32" s="15" t="s">
        <v>57</v>
      </c>
      <c r="T32" s="15">
        <f t="shared" ref="T32:T33" si="40">(44/209)*T30</f>
        <v>1046980.421</v>
      </c>
      <c r="U32" s="25"/>
      <c r="V32" s="15"/>
      <c r="W32" s="25"/>
      <c r="X32" s="15"/>
      <c r="Y32" s="15"/>
      <c r="Z32" s="15"/>
      <c r="AA32" s="15"/>
      <c r="AB32" s="15"/>
      <c r="AC32" s="15"/>
      <c r="AD32" s="15"/>
    </row>
    <row r="33" ht="12.0" customHeight="1"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"/>
      <c r="S33" s="15" t="s">
        <v>58</v>
      </c>
      <c r="T33" s="15">
        <f t="shared" si="40"/>
        <v>611162.5263</v>
      </c>
      <c r="U33" s="25"/>
      <c r="V33" s="15"/>
      <c r="W33" s="25"/>
      <c r="X33" s="15"/>
      <c r="Y33" s="15"/>
      <c r="Z33" s="15"/>
      <c r="AA33" s="15"/>
      <c r="AB33" s="15"/>
      <c r="AC33" s="15"/>
      <c r="AD33" s="15"/>
    </row>
    <row r="34" ht="12.0" customHeight="1">
      <c r="B34" s="44" t="s">
        <v>59</v>
      </c>
      <c r="C34" s="45" t="s">
        <v>60</v>
      </c>
      <c r="D34" s="45" t="s">
        <v>61</v>
      </c>
      <c r="E34" s="46" t="s">
        <v>2</v>
      </c>
      <c r="F34" s="46" t="s">
        <v>3</v>
      </c>
      <c r="G34" s="46" t="s">
        <v>4</v>
      </c>
      <c r="H34" s="46" t="s">
        <v>5</v>
      </c>
      <c r="I34" s="46" t="s">
        <v>6</v>
      </c>
      <c r="J34" s="46" t="s">
        <v>7</v>
      </c>
      <c r="K34" s="46" t="s">
        <v>8</v>
      </c>
      <c r="L34" s="46" t="s">
        <v>9</v>
      </c>
      <c r="M34" s="46" t="s">
        <v>10</v>
      </c>
      <c r="N34" s="46" t="s">
        <v>11</v>
      </c>
      <c r="O34" s="46" t="s">
        <v>0</v>
      </c>
      <c r="P34" s="46" t="s">
        <v>1</v>
      </c>
      <c r="Q34" s="2"/>
      <c r="R34" s="3"/>
      <c r="S34" s="15"/>
      <c r="T34" s="15"/>
      <c r="U34" s="25"/>
      <c r="V34" s="15"/>
      <c r="W34" s="25"/>
      <c r="X34" s="15"/>
      <c r="Y34" s="15"/>
      <c r="Z34" s="15"/>
      <c r="AA34" s="15"/>
      <c r="AB34" s="15"/>
      <c r="AC34" s="15"/>
      <c r="AD34" s="15"/>
    </row>
    <row r="35" ht="12.0" customHeight="1">
      <c r="B35" s="47">
        <f>((C37-C35)/C35)</f>
        <v>0.5727126904</v>
      </c>
      <c r="C35" s="48">
        <f>C3</f>
        <v>100000</v>
      </c>
      <c r="D35" s="49">
        <v>0.1</v>
      </c>
      <c r="E35" s="50">
        <f t="shared" ref="E35:P35" si="41">E30*$D$35</f>
        <v>440</v>
      </c>
      <c r="F35" s="50">
        <f t="shared" si="41"/>
        <v>2055</v>
      </c>
      <c r="G35" s="50">
        <f t="shared" si="41"/>
        <v>4286.25</v>
      </c>
      <c r="H35" s="50">
        <f t="shared" si="41"/>
        <v>7078.5</v>
      </c>
      <c r="I35" s="50">
        <f t="shared" si="41"/>
        <v>8911.95</v>
      </c>
      <c r="J35" s="50">
        <f t="shared" si="41"/>
        <v>11083.84</v>
      </c>
      <c r="K35" s="50">
        <f t="shared" si="41"/>
        <v>13696.608</v>
      </c>
      <c r="L35" s="50">
        <f t="shared" si="41"/>
        <v>16447.4296</v>
      </c>
      <c r="M35" s="50">
        <f t="shared" si="41"/>
        <v>19265.76304</v>
      </c>
      <c r="N35" s="50">
        <f t="shared" si="41"/>
        <v>22051.40643</v>
      </c>
      <c r="O35" s="50">
        <f t="shared" si="41"/>
        <v>24710.97636</v>
      </c>
      <c r="P35" s="50">
        <f t="shared" si="41"/>
        <v>27243.54561</v>
      </c>
      <c r="Q35" s="2"/>
      <c r="R35" s="3"/>
      <c r="S35" s="15"/>
      <c r="T35" s="15"/>
      <c r="U35" s="25"/>
      <c r="V35" s="15"/>
      <c r="W35" s="25"/>
      <c r="X35" s="15"/>
      <c r="Y35" s="15"/>
      <c r="Z35" s="15"/>
      <c r="AA35" s="15"/>
      <c r="AB35" s="15"/>
      <c r="AC35" s="15"/>
      <c r="AD35" s="15"/>
    </row>
    <row r="36" ht="12.0" customHeight="1">
      <c r="B36" s="44" t="s">
        <v>62</v>
      </c>
      <c r="C36" s="45" t="s">
        <v>63</v>
      </c>
      <c r="D36" s="45"/>
      <c r="E36" s="45"/>
      <c r="F36" s="45"/>
      <c r="G36" s="2"/>
      <c r="H36" s="2"/>
      <c r="I36" s="2"/>
      <c r="J36" s="51"/>
      <c r="K36" s="51"/>
      <c r="L36" s="51"/>
      <c r="M36" s="51"/>
      <c r="N36" s="51"/>
      <c r="O36" s="2"/>
      <c r="P36" s="2"/>
      <c r="Q36" s="2"/>
      <c r="R36" s="3"/>
      <c r="S36" s="15"/>
      <c r="T36" s="15"/>
      <c r="U36" s="25"/>
      <c r="V36" s="15"/>
      <c r="W36" s="25"/>
      <c r="X36" s="15"/>
      <c r="Y36" s="15"/>
      <c r="Z36" s="15"/>
      <c r="AA36" s="15"/>
      <c r="AB36" s="15"/>
      <c r="AC36" s="15"/>
      <c r="AD36" s="15"/>
    </row>
    <row r="37" ht="12.0" customHeight="1">
      <c r="B37" s="1"/>
      <c r="C37" s="48">
        <f>sum(E35:P35)</f>
        <v>157271.269</v>
      </c>
      <c r="D37" s="49"/>
      <c r="E37" s="49"/>
      <c r="F37" s="49"/>
      <c r="G37" s="51"/>
      <c r="H37" s="51"/>
      <c r="I37" s="51"/>
      <c r="J37" s="51"/>
      <c r="K37" s="51"/>
      <c r="L37" s="51"/>
      <c r="M37" s="51"/>
      <c r="N37" s="51"/>
      <c r="O37" s="51"/>
      <c r="P37" s="2"/>
      <c r="Q37" s="2"/>
      <c r="R37" s="3"/>
      <c r="S37" s="15"/>
      <c r="T37" s="15"/>
      <c r="U37" s="25"/>
      <c r="V37" s="15"/>
      <c r="W37" s="25"/>
      <c r="X37" s="15"/>
      <c r="Y37" s="15"/>
      <c r="Z37" s="15"/>
      <c r="AA37" s="15"/>
      <c r="AB37" s="15"/>
      <c r="AC37" s="15"/>
      <c r="AD37" s="15"/>
    </row>
    <row r="38" ht="12.0" customHeight="1"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3"/>
      <c r="S38" s="15"/>
      <c r="T38" s="15"/>
      <c r="U38" s="25"/>
      <c r="V38" s="15"/>
      <c r="W38" s="25"/>
      <c r="X38" s="15"/>
      <c r="Y38" s="15"/>
      <c r="Z38" s="15"/>
      <c r="AA38" s="15"/>
      <c r="AB38" s="15"/>
      <c r="AC38" s="15"/>
      <c r="AD38" s="15"/>
    </row>
    <row r="39" ht="12.0" customHeight="1"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3"/>
      <c r="S39" s="15"/>
      <c r="T39" s="15"/>
      <c r="U39" s="25"/>
      <c r="V39" s="15"/>
      <c r="W39" s="25"/>
      <c r="X39" s="15"/>
      <c r="Y39" s="15"/>
      <c r="Z39" s="15"/>
      <c r="AA39" s="15"/>
      <c r="AB39" s="15"/>
      <c r="AC39" s="15"/>
      <c r="AD39" s="15"/>
    </row>
    <row r="40" ht="12.0" customHeight="1">
      <c r="B40" s="44" t="s">
        <v>64</v>
      </c>
      <c r="C40" s="52"/>
      <c r="D40" s="52"/>
      <c r="E40" s="52"/>
      <c r="F40" s="5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/>
      <c r="S40" s="15"/>
      <c r="T40" s="15"/>
      <c r="U40" s="25"/>
      <c r="V40" s="15"/>
      <c r="W40" s="25"/>
      <c r="X40" s="15"/>
      <c r="Y40" s="15"/>
      <c r="Z40" s="15"/>
      <c r="AA40" s="15"/>
      <c r="AB40" s="15"/>
      <c r="AC40" s="15"/>
      <c r="AD40" s="15"/>
    </row>
    <row r="41" ht="11.25" customHeight="1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/>
      <c r="S41" s="15"/>
      <c r="T41" s="15"/>
      <c r="U41" s="25"/>
      <c r="V41" s="15"/>
      <c r="W41" s="25"/>
      <c r="X41" s="15"/>
      <c r="Y41" s="15"/>
      <c r="Z41" s="15"/>
      <c r="AA41" s="15"/>
      <c r="AB41" s="15"/>
      <c r="AC41" s="15"/>
      <c r="AD41" s="15"/>
    </row>
    <row r="42" ht="12.0" customHeight="1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/>
      <c r="S42" s="15"/>
      <c r="T42" s="15"/>
      <c r="U42" s="25"/>
      <c r="V42" s="15"/>
      <c r="W42" s="25"/>
      <c r="X42" s="15"/>
      <c r="Y42" s="15"/>
      <c r="Z42" s="15"/>
      <c r="AA42" s="15"/>
      <c r="AB42" s="15"/>
      <c r="AC42" s="15"/>
      <c r="AD42" s="15"/>
    </row>
    <row r="43" ht="12.0" customHeight="1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/>
      <c r="S43" s="15"/>
      <c r="T43" s="15"/>
      <c r="U43" s="25"/>
      <c r="V43" s="15"/>
      <c r="W43" s="25"/>
      <c r="X43" s="15"/>
      <c r="Y43" s="15"/>
      <c r="Z43" s="15"/>
      <c r="AA43" s="15"/>
      <c r="AB43" s="15"/>
      <c r="AC43" s="15"/>
      <c r="AD43" s="15"/>
    </row>
    <row r="44" ht="12.0" customHeight="1"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/>
      <c r="S44" s="15"/>
      <c r="T44" s="15"/>
      <c r="U44" s="25"/>
      <c r="V44" s="15"/>
      <c r="W44" s="25"/>
      <c r="X44" s="15"/>
      <c r="Y44" s="15"/>
      <c r="Z44" s="15"/>
      <c r="AA44" s="15"/>
      <c r="AB44" s="15"/>
      <c r="AC44" s="15"/>
      <c r="AD44" s="15"/>
    </row>
    <row r="45" ht="12.0" customHeight="1"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ht="12.0" customHeight="1"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ht="12.0" customHeight="1"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ht="21.0" customHeight="1"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ht="12.0" customHeight="1"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3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ht="12.0" customHeight="1"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3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ht="12.0" customHeight="1"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3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ht="15.75" customHeight="1"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3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ht="15.75" customHeight="1"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3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ht="15.75" customHeight="1"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3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ht="15.75" customHeight="1"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3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ht="15.75" customHeight="1"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3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ht="15.75" customHeight="1"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ht="15.75" customHeight="1"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ht="15.75" customHeight="1"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ht="15.75" customHeight="1"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ht="15.75" customHeight="1"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ht="15.75" customHeight="1"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ht="15.75" customHeight="1"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ht="15.75" customHeight="1"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ht="15.75" customHeight="1"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ht="15.75" customHeight="1"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3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ht="15.75" customHeight="1"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3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ht="15.75" customHeight="1"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3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ht="15.75" customHeight="1"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3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ht="15.75" customHeight="1"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3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ht="15.75" customHeight="1"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3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ht="15.75" customHeight="1"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3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ht="15.75" customHeight="1"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3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ht="15.75" customHeight="1"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ht="15.75" customHeight="1"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ht="15.75" customHeight="1"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ht="15.75" customHeight="1"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ht="15.75" customHeight="1"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ht="15.75" customHeight="1"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ht="15.75" customHeight="1"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ht="15.75" customHeight="1"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ht="15.75" customHeight="1"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ht="15.75" customHeight="1"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3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ht="15.75" customHeight="1"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3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ht="15.75" customHeight="1"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3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ht="15.75" customHeight="1"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3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ht="15.75" customHeight="1"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3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ht="15.75" customHeight="1"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3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ht="15.75" customHeight="1"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ht="15.75" customHeight="1"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3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ht="15.75" customHeight="1"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ht="15.75" customHeight="1"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ht="15.75" customHeight="1"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ht="15.75" customHeight="1"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ht="15.75" customHeight="1"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ht="15.75" customHeight="1"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ht="15.75" customHeight="1"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ht="15.75" customHeight="1"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ht="15.75" customHeight="1"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ht="15.75" customHeight="1"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3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ht="15.75" customHeight="1"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3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ht="15.75" customHeight="1"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3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ht="15.75" customHeight="1"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3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ht="15.75" customHeight="1"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3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ht="15.75" customHeight="1"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3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ht="15.75" customHeight="1"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3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ht="15.75" customHeight="1"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ht="15.75" customHeight="1"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ht="15.75" customHeight="1"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ht="15.75" customHeight="1"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ht="15.75" customHeight="1"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ht="15.75" customHeight="1"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ht="15.75" customHeight="1"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ht="15.75" customHeight="1"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ht="15.75" customHeight="1"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ht="15.75" customHeight="1"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ht="15.75" customHeight="1"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3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ht="15.75" customHeight="1"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3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ht="15.75" customHeight="1"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3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ht="15.75" customHeight="1"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3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ht="15.75" customHeight="1"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3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ht="15.75" customHeight="1"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3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ht="15.75" customHeight="1"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3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ht="15.75" customHeight="1"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3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ht="15.75" customHeight="1"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ht="15.75" customHeight="1"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ht="15.75" customHeight="1"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ht="15.75" customHeight="1"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ht="15.75" customHeight="1"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ht="15.75" customHeight="1"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ht="15.75" customHeight="1"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ht="15.75" customHeight="1"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ht="15.75" customHeight="1"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ht="15.75" customHeight="1"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3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ht="15.75" customHeight="1"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3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ht="15.75" customHeight="1"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3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ht="15.75" customHeight="1"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3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ht="15.75" customHeight="1"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3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ht="15.75" customHeight="1"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3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ht="15.75" customHeight="1"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3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ht="15.75" customHeight="1"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3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ht="15.75" customHeight="1"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ht="15.75" customHeight="1"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ht="15.75" customHeight="1"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ht="15.75" customHeight="1"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ht="15.75" customHeight="1"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ht="15.75" customHeight="1"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ht="15.75" customHeight="1"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ht="15.75" customHeight="1"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ht="15.75" customHeight="1"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ht="15.75" customHeight="1"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3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ht="15.75" customHeight="1"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3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ht="15.75" customHeight="1"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3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ht="15.75" customHeight="1"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3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ht="15.75" customHeight="1"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3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ht="15.75" customHeight="1"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3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ht="15.75" customHeight="1"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3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ht="15.75" customHeight="1"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3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ht="15.75" customHeight="1"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ht="15.75" customHeight="1"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ht="15.75" customHeight="1"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ht="15.75" customHeight="1"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ht="15.75" customHeight="1"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ht="15.75" customHeight="1"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ht="15.75" customHeight="1"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ht="15.75" customHeight="1"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ht="15.75" customHeight="1"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ht="15.75" customHeight="1"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3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ht="15.75" customHeight="1"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3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ht="15.75" customHeight="1"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3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ht="15.75" customHeight="1"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3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ht="15.75" customHeight="1"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3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ht="15.75" customHeight="1"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3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ht="15.75" customHeight="1"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3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ht="15.75" customHeight="1"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3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ht="15.75" customHeight="1"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ht="15.75" customHeight="1"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ht="15.75" customHeight="1"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ht="15.75" customHeight="1"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ht="15.75" customHeight="1"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ht="15.75" customHeight="1"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ht="15.75" customHeight="1"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ht="15.75" customHeight="1"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ht="15.75" customHeight="1"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ht="15.75" customHeight="1"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3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ht="15.75" customHeight="1"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3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ht="15.75" customHeight="1"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3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ht="15.75" customHeight="1"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3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ht="15.75" customHeight="1"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3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ht="15.75" customHeight="1"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3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ht="15.75" customHeight="1"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3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ht="15.75" customHeight="1"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3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ht="15.75" customHeight="1"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ht="15.75" customHeight="1"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ht="15.75" customHeight="1"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ht="15.75" customHeight="1"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ht="15.75" customHeight="1"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ht="15.75" customHeight="1"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ht="15.75" customHeight="1"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ht="15.75" customHeight="1"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ht="15.75" customHeight="1"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ht="15.75" customHeight="1"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3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ht="15.75" customHeight="1"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3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ht="15.75" customHeight="1"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3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ht="15.75" customHeight="1"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3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ht="15.75" customHeight="1"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3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ht="15.75" customHeight="1"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3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ht="15.75" customHeight="1"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3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ht="15.75" customHeight="1"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3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ht="15.75" customHeight="1"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ht="15.75" customHeight="1"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ht="15.75" customHeight="1"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ht="15.75" customHeight="1"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ht="15.75" customHeight="1"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ht="15.75" customHeight="1"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ht="15.75" customHeight="1"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ht="15.75" customHeight="1"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ht="15.75" customHeight="1"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ht="15.75" customHeight="1"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3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ht="15.75" customHeight="1"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3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ht="15.75" customHeight="1"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3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ht="15.75" customHeight="1"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3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ht="15.75" customHeight="1"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3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ht="15.75" customHeight="1"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3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ht="15.75" customHeight="1"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3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ht="15.75" customHeight="1"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3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ht="15.75" customHeight="1"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ht="15.75" customHeight="1"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ht="15.75" customHeight="1"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ht="15.75" customHeight="1"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ht="15.75" customHeight="1">
      <c r="R231" s="3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ht="15.75" customHeight="1">
      <c r="R232" s="3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ht="15.75" customHeight="1">
      <c r="R233" s="3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ht="15.75" customHeight="1">
      <c r="R234" s="3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ht="15.75" customHeight="1">
      <c r="R235" s="3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ht="15.75" customHeight="1">
      <c r="R236" s="3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ht="15.75" customHeight="1">
      <c r="R237" s="3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ht="15.75" customHeight="1">
      <c r="R238" s="3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ht="15.75" customHeight="1">
      <c r="R239" s="3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ht="15.75" customHeight="1">
      <c r="R240" s="3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ht="15.75" customHeight="1">
      <c r="R241" s="3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ht="15.75" customHeight="1">
      <c r="R242" s="3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ht="15.75" customHeight="1">
      <c r="R243" s="3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ht="15.75" customHeight="1">
      <c r="R244" s="3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S2:AA2"/>
    <mergeCell ref="S4:S6"/>
    <mergeCell ref="B40:B43"/>
  </mergeCells>
  <printOptions/>
  <pageMargins bottom="0.75" footer="0.0" header="0.0" left="0.7" right="0.7" top="0.75"/>
  <pageSetup orientation="landscape"/>
  <drawing r:id="rId1"/>
</worksheet>
</file>