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Documents\split-loan-optimisation\"/>
    </mc:Choice>
  </mc:AlternateContent>
  <bookViews>
    <workbookView xWindow="0" yWindow="0" windowWidth="23040" windowHeight="8100"/>
  </bookViews>
  <sheets>
    <sheet name="Split Predictions" sheetId="1" r:id="rId1"/>
    <sheet name="LICENCE" sheetId="3" r:id="rId2"/>
  </sheets>
  <definedNames>
    <definedName name="solver_adj" localSheetId="0" hidden="1">'Split Predictions'!$B$9</definedName>
    <definedName name="solver_cvg" localSheetId="0" hidden="1">0.0001</definedName>
    <definedName name="solver_drv" localSheetId="0" hidden="1">1</definedName>
    <definedName name="solver_eng" localSheetId="0" hidden="1">3</definedName>
    <definedName name="solver_est" localSheetId="0" hidden="1">1</definedName>
    <definedName name="solver_itr" localSheetId="0" hidden="1">2147483647</definedName>
    <definedName name="solver_lhs1" localSheetId="0" hidden="1">'Split Predictions'!$B$9</definedName>
    <definedName name="solver_lhs2" localSheetId="0" hidden="1">'Split Predictions'!$B$9</definedName>
    <definedName name="solver_lhs3" localSheetId="0" hidden="1">'Split Predictions'!$B$9</definedName>
    <definedName name="solver_lhs4" localSheetId="0" hidden="1">'Split Predictions'!$B$9</definedName>
    <definedName name="solver_lhs5" localSheetId="0" hidden="1">'Split Predictions'!$B$9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'Split Predictions'!$B$27</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el5" localSheetId="0" hidden="1">3</definedName>
    <definedName name="solver_rhs1" localSheetId="0" hidden="1">'Split Predictions'!$B$8</definedName>
    <definedName name="solver_rhs2" localSheetId="0" hidden="1">0</definedName>
    <definedName name="solver_rhs3" localSheetId="0" hidden="1">50000</definedName>
    <definedName name="solver_rhs4" localSheetId="0" hidden="1">50000</definedName>
    <definedName name="solver_rhs5" localSheetId="0" hidden="1">50000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O2" i="1"/>
  <c r="L2" i="1"/>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L85" i="1" l="1"/>
  <c r="L83" i="1"/>
  <c r="L79" i="1"/>
  <c r="L75" i="1"/>
  <c r="L71" i="1"/>
  <c r="L67" i="1"/>
  <c r="L63" i="1"/>
  <c r="L59" i="1"/>
  <c r="L55" i="1"/>
  <c r="L51" i="1"/>
  <c r="L47" i="1"/>
  <c r="L43" i="1"/>
  <c r="L39" i="1"/>
  <c r="L35" i="1"/>
  <c r="L31" i="1"/>
  <c r="L27" i="1"/>
  <c r="L23" i="1"/>
  <c r="L19" i="1"/>
  <c r="L15" i="1"/>
  <c r="L11" i="1"/>
  <c r="L7" i="1"/>
  <c r="L3" i="1"/>
  <c r="L80" i="1"/>
  <c r="L72" i="1"/>
  <c r="L64" i="1"/>
  <c r="L56" i="1"/>
  <c r="L48" i="1"/>
  <c r="L40" i="1"/>
  <c r="L32" i="1"/>
  <c r="L28" i="1"/>
  <c r="L20" i="1"/>
  <c r="L16" i="1"/>
  <c r="L12" i="1"/>
  <c r="L8" i="1"/>
  <c r="L4" i="1"/>
  <c r="L78" i="1"/>
  <c r="L66" i="1"/>
  <c r="L58" i="1"/>
  <c r="L50" i="1"/>
  <c r="L38" i="1"/>
  <c r="L30" i="1"/>
  <c r="L18" i="1"/>
  <c r="L14" i="1"/>
  <c r="L10" i="1"/>
  <c r="L6" i="1"/>
  <c r="L84" i="1"/>
  <c r="L76" i="1"/>
  <c r="L68" i="1"/>
  <c r="L60" i="1"/>
  <c r="L52" i="1"/>
  <c r="L44" i="1"/>
  <c r="L36" i="1"/>
  <c r="L24" i="1"/>
  <c r="L82" i="1"/>
  <c r="L74" i="1"/>
  <c r="L70" i="1"/>
  <c r="L62" i="1"/>
  <c r="L54" i="1"/>
  <c r="L46" i="1"/>
  <c r="L42" i="1"/>
  <c r="L34" i="1"/>
  <c r="L26" i="1"/>
  <c r="L22" i="1"/>
  <c r="L81" i="1"/>
  <c r="L77" i="1"/>
  <c r="L73" i="1"/>
  <c r="L69" i="1"/>
  <c r="L65" i="1"/>
  <c r="L61" i="1"/>
  <c r="L57" i="1"/>
  <c r="L53" i="1"/>
  <c r="L49" i="1"/>
  <c r="L45" i="1"/>
  <c r="L41" i="1"/>
  <c r="L37" i="1"/>
  <c r="L33" i="1"/>
  <c r="L29" i="1"/>
  <c r="L25" i="1"/>
  <c r="L21" i="1"/>
  <c r="L17" i="1"/>
  <c r="L13" i="1"/>
  <c r="L9" i="1"/>
  <c r="L5" i="1"/>
  <c r="B31" i="1"/>
  <c r="D2" i="1"/>
  <c r="D3" i="1" l="1"/>
  <c r="E3" i="1" s="1"/>
  <c r="B32" i="1"/>
  <c r="J2" i="1"/>
  <c r="I2" i="1"/>
  <c r="K2" i="1" s="1"/>
  <c r="H2" i="1"/>
  <c r="E2" i="1"/>
  <c r="D4" i="1" l="1"/>
  <c r="I3" i="1"/>
  <c r="O3" i="1" s="1"/>
  <c r="N2" i="1"/>
  <c r="D5" i="1" l="1"/>
  <c r="E4" i="1"/>
  <c r="M2" i="1"/>
  <c r="J3" i="1"/>
  <c r="D6" i="1" l="1"/>
  <c r="E5" i="1"/>
  <c r="N3" i="1"/>
  <c r="J4" i="1" s="1"/>
  <c r="K3" i="1"/>
  <c r="I4" i="1" l="1"/>
  <c r="O4" i="1" s="1"/>
  <c r="E6" i="1"/>
  <c r="D7" i="1"/>
  <c r="M3" i="1"/>
  <c r="E7" i="1" l="1"/>
  <c r="D8" i="1"/>
  <c r="K4" i="1"/>
  <c r="N4" i="1"/>
  <c r="I5" i="1" l="1"/>
  <c r="O5" i="1" s="1"/>
  <c r="D9" i="1"/>
  <c r="E8" i="1"/>
  <c r="M4" i="1"/>
  <c r="J5" i="1"/>
  <c r="D10" i="1" l="1"/>
  <c r="E9" i="1"/>
  <c r="K5" i="1"/>
  <c r="N5" i="1"/>
  <c r="I6" i="1" l="1"/>
  <c r="O6" i="1" s="1"/>
  <c r="E10" i="1"/>
  <c r="D11" i="1"/>
  <c r="M5" i="1"/>
  <c r="J6" i="1"/>
  <c r="E11" i="1" l="1"/>
  <c r="D12" i="1"/>
  <c r="N6" i="1"/>
  <c r="J7" i="1" s="1"/>
  <c r="K6" i="1"/>
  <c r="I7" i="1" l="1"/>
  <c r="O7" i="1" s="1"/>
  <c r="D13" i="1"/>
  <c r="E12" i="1"/>
  <c r="M6" i="1" l="1"/>
  <c r="D14" i="1"/>
  <c r="E13" i="1"/>
  <c r="K7" i="1"/>
  <c r="N7" i="1"/>
  <c r="O8" i="1" l="1"/>
  <c r="E14" i="1"/>
  <c r="N14" i="1" s="1"/>
  <c r="D15" i="1"/>
  <c r="M7" i="1"/>
  <c r="J8" i="1"/>
  <c r="E15" i="1" l="1"/>
  <c r="D16" i="1"/>
  <c r="N8" i="1"/>
  <c r="J9" i="1" s="1"/>
  <c r="K8" i="1"/>
  <c r="I9" i="1" l="1"/>
  <c r="O9" i="1" s="1"/>
  <c r="D17" i="1"/>
  <c r="E16" i="1"/>
  <c r="N15" i="1"/>
  <c r="J15" i="1"/>
  <c r="M8" i="1" l="1"/>
  <c r="N16" i="1"/>
  <c r="J16" i="1"/>
  <c r="E17" i="1"/>
  <c r="D18" i="1"/>
  <c r="K9" i="1"/>
  <c r="N9" i="1"/>
  <c r="I10" i="1" l="1"/>
  <c r="O10" i="1" s="1"/>
  <c r="E18" i="1"/>
  <c r="D19" i="1"/>
  <c r="J17" i="1"/>
  <c r="N17" i="1"/>
  <c r="M9" i="1"/>
  <c r="J10" i="1"/>
  <c r="E19" i="1" l="1"/>
  <c r="D20" i="1"/>
  <c r="N18" i="1"/>
  <c r="J18" i="1"/>
  <c r="N10" i="1"/>
  <c r="K10" i="1"/>
  <c r="I11" i="1" l="1"/>
  <c r="O11" i="1" s="1"/>
  <c r="D21" i="1"/>
  <c r="E20" i="1"/>
  <c r="J19" i="1"/>
  <c r="N19" i="1"/>
  <c r="J11" i="1"/>
  <c r="M10" i="1" l="1"/>
  <c r="J20" i="1"/>
  <c r="N20" i="1"/>
  <c r="D22" i="1"/>
  <c r="E21" i="1"/>
  <c r="N11" i="1"/>
  <c r="K11" i="1"/>
  <c r="N21" i="1" l="1"/>
  <c r="J21" i="1"/>
  <c r="D23" i="1"/>
  <c r="E22" i="1"/>
  <c r="M11" i="1"/>
  <c r="J12" i="1"/>
  <c r="I12" i="1" l="1"/>
  <c r="N22" i="1"/>
  <c r="J22" i="1"/>
  <c r="E23" i="1"/>
  <c r="D24" i="1"/>
  <c r="K12" i="1" l="1"/>
  <c r="O12" i="1"/>
  <c r="D25" i="1"/>
  <c r="E24" i="1"/>
  <c r="J23" i="1"/>
  <c r="N23" i="1"/>
  <c r="N12" i="1"/>
  <c r="J13" i="1" s="1"/>
  <c r="I13" i="1" l="1"/>
  <c r="O13" i="1" s="1"/>
  <c r="N24" i="1"/>
  <c r="J24" i="1"/>
  <c r="D26" i="1"/>
  <c r="E25" i="1"/>
  <c r="M12" i="1"/>
  <c r="K13" i="1" l="1"/>
  <c r="I14" i="1" s="1"/>
  <c r="N13" i="1"/>
  <c r="J14" i="1" s="1"/>
  <c r="N25" i="1"/>
  <c r="J25" i="1"/>
  <c r="D27" i="1"/>
  <c r="E26" i="1"/>
  <c r="M13" i="1" l="1"/>
  <c r="K14" i="1"/>
  <c r="O14" i="1" s="1"/>
  <c r="N26" i="1"/>
  <c r="J26" i="1"/>
  <c r="D28" i="1"/>
  <c r="E27" i="1"/>
  <c r="M14" i="1" l="1"/>
  <c r="N27" i="1"/>
  <c r="J27" i="1"/>
  <c r="E28" i="1"/>
  <c r="D29" i="1"/>
  <c r="I15" i="1" l="1"/>
  <c r="K15" i="1" s="1"/>
  <c r="O15" i="1" s="1"/>
  <c r="D30" i="1"/>
  <c r="E29" i="1"/>
  <c r="J28" i="1"/>
  <c r="N28" i="1"/>
  <c r="M15" i="1" l="1"/>
  <c r="N29" i="1"/>
  <c r="J29" i="1"/>
  <c r="E30" i="1"/>
  <c r="D31" i="1"/>
  <c r="I16" i="1" l="1"/>
  <c r="K16" i="1" s="1"/>
  <c r="O16" i="1" s="1"/>
  <c r="D32" i="1"/>
  <c r="E31" i="1"/>
  <c r="J30" i="1"/>
  <c r="N30" i="1"/>
  <c r="M16" i="1" l="1"/>
  <c r="N31" i="1"/>
  <c r="J31" i="1"/>
  <c r="D33" i="1"/>
  <c r="E32" i="1"/>
  <c r="I17" i="1" l="1"/>
  <c r="K17" i="1" s="1"/>
  <c r="O17" i="1" s="1"/>
  <c r="J32" i="1"/>
  <c r="N32" i="1"/>
  <c r="D34" i="1"/>
  <c r="E33" i="1"/>
  <c r="M17" i="1" l="1"/>
  <c r="N33" i="1"/>
  <c r="J33" i="1"/>
  <c r="E34" i="1"/>
  <c r="D35" i="1"/>
  <c r="I18" i="1" l="1"/>
  <c r="K18" i="1" s="1"/>
  <c r="N34" i="1"/>
  <c r="J34" i="1"/>
  <c r="E35" i="1"/>
  <c r="D36" i="1"/>
  <c r="O18" i="1" l="1"/>
  <c r="M18" i="1" s="1"/>
  <c r="D37" i="1"/>
  <c r="E36" i="1"/>
  <c r="J35" i="1"/>
  <c r="N35" i="1"/>
  <c r="I19" i="1" l="1"/>
  <c r="K19" i="1" s="1"/>
  <c r="O19" i="1" s="1"/>
  <c r="M19" i="1" s="1"/>
  <c r="N36" i="1"/>
  <c r="J36" i="1"/>
  <c r="D38" i="1"/>
  <c r="E37" i="1"/>
  <c r="I20" i="1" l="1"/>
  <c r="K20" i="1" s="1"/>
  <c r="O20" i="1" s="1"/>
  <c r="N37" i="1"/>
  <c r="J37" i="1"/>
  <c r="E38" i="1"/>
  <c r="D39" i="1"/>
  <c r="D40" i="1" l="1"/>
  <c r="E39" i="1"/>
  <c r="J38" i="1"/>
  <c r="N38" i="1"/>
  <c r="M20" i="1"/>
  <c r="I21" i="1" l="1"/>
  <c r="K21" i="1" s="1"/>
  <c r="O21" i="1" s="1"/>
  <c r="N39" i="1"/>
  <c r="J39" i="1"/>
  <c r="E40" i="1"/>
  <c r="D41" i="1"/>
  <c r="E41" i="1" l="1"/>
  <c r="D42" i="1"/>
  <c r="J40" i="1"/>
  <c r="N40" i="1"/>
  <c r="M21" i="1"/>
  <c r="I22" i="1" l="1"/>
  <c r="K22" i="1" s="1"/>
  <c r="O22" i="1" s="1"/>
  <c r="N41" i="1"/>
  <c r="J41" i="1"/>
  <c r="D43" i="1"/>
  <c r="E42" i="1"/>
  <c r="N42" i="1" l="1"/>
  <c r="J42" i="1"/>
  <c r="E43" i="1"/>
  <c r="D44" i="1"/>
  <c r="M22" i="1"/>
  <c r="I23" i="1" l="1"/>
  <c r="K23" i="1" s="1"/>
  <c r="J43" i="1"/>
  <c r="N43" i="1"/>
  <c r="D45" i="1"/>
  <c r="E44" i="1"/>
  <c r="I24" i="1" l="1"/>
  <c r="O23" i="1"/>
  <c r="M23" i="1" s="1"/>
  <c r="J44" i="1"/>
  <c r="N44" i="1"/>
  <c r="E45" i="1"/>
  <c r="D46" i="1"/>
  <c r="K24" i="1" l="1"/>
  <c r="J45" i="1"/>
  <c r="N45" i="1"/>
  <c r="E46" i="1"/>
  <c r="D47" i="1"/>
  <c r="I25" i="1" l="1"/>
  <c r="O24" i="1"/>
  <c r="M24" i="1" s="1"/>
  <c r="N46" i="1"/>
  <c r="J46" i="1"/>
  <c r="E47" i="1"/>
  <c r="D48" i="1"/>
  <c r="K25" i="1" l="1"/>
  <c r="D49" i="1"/>
  <c r="E48" i="1"/>
  <c r="J47" i="1"/>
  <c r="N47" i="1"/>
  <c r="I26" i="1" l="1"/>
  <c r="O25" i="1"/>
  <c r="M25" i="1" s="1"/>
  <c r="J48" i="1"/>
  <c r="N48" i="1"/>
  <c r="E49" i="1"/>
  <c r="D50" i="1"/>
  <c r="K26" i="1" l="1"/>
  <c r="J49" i="1"/>
  <c r="N49" i="1"/>
  <c r="D51" i="1"/>
  <c r="E50" i="1"/>
  <c r="I27" i="1" l="1"/>
  <c r="O26" i="1"/>
  <c r="M26" i="1" s="1"/>
  <c r="E51" i="1"/>
  <c r="D52" i="1"/>
  <c r="J50" i="1"/>
  <c r="N50" i="1"/>
  <c r="K27" i="1" l="1"/>
  <c r="D53" i="1"/>
  <c r="E52" i="1"/>
  <c r="J51" i="1"/>
  <c r="N51" i="1"/>
  <c r="I28" i="1" l="1"/>
  <c r="K28" i="1" s="1"/>
  <c r="O27" i="1"/>
  <c r="M27" i="1" s="1"/>
  <c r="J52" i="1"/>
  <c r="N52" i="1"/>
  <c r="E53" i="1"/>
  <c r="D54" i="1"/>
  <c r="I29" i="1" l="1"/>
  <c r="O28" i="1"/>
  <c r="M28" i="1" s="1"/>
  <c r="D55" i="1"/>
  <c r="E54" i="1"/>
  <c r="J53" i="1"/>
  <c r="N53" i="1"/>
  <c r="K29" i="1" l="1"/>
  <c r="J54" i="1"/>
  <c r="N54" i="1"/>
  <c r="E55" i="1"/>
  <c r="D56" i="1"/>
  <c r="I30" i="1" l="1"/>
  <c r="O29" i="1"/>
  <c r="M29" i="1" s="1"/>
  <c r="K30" i="1"/>
  <c r="D57" i="1"/>
  <c r="E56" i="1"/>
  <c r="J55" i="1"/>
  <c r="N55" i="1"/>
  <c r="I31" i="1" l="1"/>
  <c r="O30" i="1"/>
  <c r="M30" i="1" s="1"/>
  <c r="K31" i="1"/>
  <c r="J56" i="1"/>
  <c r="N56" i="1"/>
  <c r="E57" i="1"/>
  <c r="D58" i="1"/>
  <c r="I32" i="1" l="1"/>
  <c r="O31" i="1"/>
  <c r="M31" i="1" s="1"/>
  <c r="D59" i="1"/>
  <c r="E58" i="1"/>
  <c r="J57" i="1"/>
  <c r="N57" i="1"/>
  <c r="K32" i="1" l="1"/>
  <c r="J58" i="1"/>
  <c r="N58" i="1"/>
  <c r="E59" i="1"/>
  <c r="D60" i="1"/>
  <c r="I33" i="1" l="1"/>
  <c r="O32" i="1"/>
  <c r="M32" i="1" s="1"/>
  <c r="J59" i="1"/>
  <c r="N59" i="1"/>
  <c r="D61" i="1"/>
  <c r="E60" i="1"/>
  <c r="K33" i="1" l="1"/>
  <c r="J60" i="1"/>
  <c r="N60" i="1"/>
  <c r="E61" i="1"/>
  <c r="D62" i="1"/>
  <c r="I34" i="1" l="1"/>
  <c r="O33" i="1"/>
  <c r="M33" i="1" s="1"/>
  <c r="D63" i="1"/>
  <c r="E62" i="1"/>
  <c r="J61" i="1"/>
  <c r="N61" i="1"/>
  <c r="K34" i="1" l="1"/>
  <c r="J62" i="1"/>
  <c r="N62" i="1"/>
  <c r="E63" i="1"/>
  <c r="D64" i="1"/>
  <c r="I35" i="1" l="1"/>
  <c r="O34" i="1"/>
  <c r="M34" i="1" s="1"/>
  <c r="J63" i="1"/>
  <c r="N63" i="1"/>
  <c r="D65" i="1"/>
  <c r="E64" i="1"/>
  <c r="K35" i="1" l="1"/>
  <c r="J64" i="1"/>
  <c r="N64" i="1"/>
  <c r="E65" i="1"/>
  <c r="D66" i="1"/>
  <c r="I36" i="1" l="1"/>
  <c r="O35" i="1"/>
  <c r="M35" i="1" s="1"/>
  <c r="N65" i="1"/>
  <c r="J65" i="1"/>
  <c r="D67" i="1"/>
  <c r="E66" i="1"/>
  <c r="K36" i="1" l="1"/>
  <c r="D68" i="1"/>
  <c r="E67" i="1"/>
  <c r="J66" i="1"/>
  <c r="N66" i="1"/>
  <c r="I37" i="1" l="1"/>
  <c r="O36" i="1"/>
  <c r="M36" i="1" s="1"/>
  <c r="K37" i="1"/>
  <c r="J67" i="1"/>
  <c r="N67" i="1"/>
  <c r="D69" i="1"/>
  <c r="E68" i="1"/>
  <c r="I38" i="1" l="1"/>
  <c r="O37" i="1"/>
  <c r="M37" i="1" s="1"/>
  <c r="J68" i="1"/>
  <c r="N68" i="1"/>
  <c r="D70" i="1"/>
  <c r="E69" i="1"/>
  <c r="K38" i="1" l="1"/>
  <c r="D71" i="1"/>
  <c r="E70" i="1"/>
  <c r="N69" i="1"/>
  <c r="J69" i="1"/>
  <c r="I39" i="1" l="1"/>
  <c r="O38" i="1"/>
  <c r="M38" i="1" s="1"/>
  <c r="J70" i="1"/>
  <c r="N70" i="1"/>
  <c r="E71" i="1"/>
  <c r="D72" i="1"/>
  <c r="K39" i="1" l="1"/>
  <c r="J71" i="1"/>
  <c r="N71" i="1"/>
  <c r="D73" i="1"/>
  <c r="E72" i="1"/>
  <c r="I40" i="1" l="1"/>
  <c r="O39" i="1"/>
  <c r="M39" i="1" s="1"/>
  <c r="K40" i="1"/>
  <c r="J72" i="1"/>
  <c r="N72" i="1"/>
  <c r="E73" i="1"/>
  <c r="D74" i="1"/>
  <c r="I41" i="1" l="1"/>
  <c r="O40" i="1"/>
  <c r="M40" i="1" s="1"/>
  <c r="D75" i="1"/>
  <c r="E74" i="1"/>
  <c r="J73" i="1"/>
  <c r="N73" i="1"/>
  <c r="K41" i="1" l="1"/>
  <c r="J74" i="1"/>
  <c r="N74" i="1"/>
  <c r="E75" i="1"/>
  <c r="D76" i="1"/>
  <c r="I42" i="1" l="1"/>
  <c r="O41" i="1"/>
  <c r="M41" i="1" s="1"/>
  <c r="J75" i="1"/>
  <c r="N75" i="1"/>
  <c r="D77" i="1"/>
  <c r="E76" i="1"/>
  <c r="K42" i="1" l="1"/>
  <c r="D78" i="1"/>
  <c r="E77" i="1"/>
  <c r="J76" i="1"/>
  <c r="N76" i="1"/>
  <c r="I43" i="1" l="1"/>
  <c r="O42" i="1"/>
  <c r="M42" i="1" s="1"/>
  <c r="J77" i="1"/>
  <c r="N77" i="1"/>
  <c r="D79" i="1"/>
  <c r="E78" i="1"/>
  <c r="K43" i="1" l="1"/>
  <c r="E79" i="1"/>
  <c r="D80" i="1"/>
  <c r="J78" i="1"/>
  <c r="N78" i="1"/>
  <c r="I44" i="1" l="1"/>
  <c r="O43" i="1"/>
  <c r="M43" i="1" s="1"/>
  <c r="D81" i="1"/>
  <c r="E80" i="1"/>
  <c r="J79" i="1"/>
  <c r="N79" i="1"/>
  <c r="K44" i="1" l="1"/>
  <c r="J80" i="1"/>
  <c r="N80" i="1"/>
  <c r="E81" i="1"/>
  <c r="D82" i="1"/>
  <c r="I45" i="1" l="1"/>
  <c r="O44" i="1"/>
  <c r="M44" i="1" s="1"/>
  <c r="D83" i="1"/>
  <c r="E82" i="1"/>
  <c r="N81" i="1"/>
  <c r="J81" i="1"/>
  <c r="K45" i="1" l="1"/>
  <c r="J82" i="1"/>
  <c r="N82" i="1"/>
  <c r="E83" i="1"/>
  <c r="D84" i="1"/>
  <c r="I46" i="1" l="1"/>
  <c r="O45" i="1"/>
  <c r="M45" i="1" s="1"/>
  <c r="K46" i="1"/>
  <c r="D85" i="1"/>
  <c r="E85" i="1" s="1"/>
  <c r="E84" i="1"/>
  <c r="B29" i="1" s="1"/>
  <c r="J83" i="1"/>
  <c r="N83" i="1"/>
  <c r="I47" i="1" l="1"/>
  <c r="O46" i="1"/>
  <c r="M46" i="1" s="1"/>
  <c r="N84" i="1"/>
  <c r="J84" i="1"/>
  <c r="J85" i="1"/>
  <c r="N85" i="1"/>
  <c r="B26" i="1"/>
  <c r="K47" i="1" l="1"/>
  <c r="B24" i="1"/>
  <c r="I48" i="1" l="1"/>
  <c r="O47" i="1"/>
  <c r="M47" i="1" s="1"/>
  <c r="K48" i="1" l="1"/>
  <c r="I49" i="1" l="1"/>
  <c r="O48" i="1"/>
  <c r="M48" i="1" s="1"/>
  <c r="K49" i="1" l="1"/>
  <c r="I50" i="1" l="1"/>
  <c r="O49" i="1"/>
  <c r="M49" i="1" s="1"/>
  <c r="K50" i="1" l="1"/>
  <c r="I51" i="1" l="1"/>
  <c r="O50" i="1"/>
  <c r="M50" i="1" s="1"/>
  <c r="K51" i="1" l="1"/>
  <c r="I52" i="1" l="1"/>
  <c r="O51" i="1"/>
  <c r="M51" i="1" s="1"/>
  <c r="K52" i="1" l="1"/>
  <c r="I53" i="1" l="1"/>
  <c r="O52" i="1"/>
  <c r="M52" i="1" s="1"/>
  <c r="K53" i="1" l="1"/>
  <c r="I54" i="1" l="1"/>
  <c r="O53" i="1"/>
  <c r="M53" i="1" s="1"/>
  <c r="K54" i="1" l="1"/>
  <c r="I55" i="1" l="1"/>
  <c r="O54" i="1"/>
  <c r="M54" i="1" s="1"/>
  <c r="K55" i="1" l="1"/>
  <c r="I56" i="1" l="1"/>
  <c r="K56" i="1" s="1"/>
  <c r="O55" i="1"/>
  <c r="M55" i="1" s="1"/>
  <c r="I57" i="1" l="1"/>
  <c r="K57" i="1" s="1"/>
  <c r="O56" i="1"/>
  <c r="M56" i="1" s="1"/>
  <c r="I58" i="1" l="1"/>
  <c r="O57" i="1"/>
  <c r="M57" i="1" s="1"/>
  <c r="K58" i="1"/>
  <c r="I59" i="1" l="1"/>
  <c r="O58" i="1"/>
  <c r="M58" i="1" s="1"/>
  <c r="K59" i="1"/>
  <c r="I60" i="1" l="1"/>
  <c r="O59" i="1"/>
  <c r="M59" i="1" s="1"/>
  <c r="K60" i="1"/>
  <c r="I61" i="1" l="1"/>
  <c r="O60" i="1"/>
  <c r="M60" i="1" s="1"/>
  <c r="K61" i="1"/>
  <c r="I62" i="1" l="1"/>
  <c r="O61" i="1"/>
  <c r="M61" i="1" s="1"/>
  <c r="K62" i="1"/>
  <c r="I63" i="1" l="1"/>
  <c r="K63" i="1" s="1"/>
  <c r="O62" i="1"/>
  <c r="M62" i="1" s="1"/>
  <c r="I64" i="1" l="1"/>
  <c r="K64" i="1" s="1"/>
  <c r="O63" i="1"/>
  <c r="M63" i="1" s="1"/>
  <c r="I65" i="1" l="1"/>
  <c r="O64" i="1"/>
  <c r="K65" i="1"/>
  <c r="I66" i="1" l="1"/>
  <c r="K66" i="1" s="1"/>
  <c r="O65" i="1"/>
  <c r="M65" i="1" s="1"/>
  <c r="M64" i="1"/>
  <c r="I67" i="1" l="1"/>
  <c r="K67" i="1" s="1"/>
  <c r="O66" i="1"/>
  <c r="M66" i="1" s="1"/>
  <c r="I68" i="1" l="1"/>
  <c r="O67" i="1"/>
  <c r="M67" i="1" s="1"/>
  <c r="K68" i="1"/>
  <c r="I69" i="1" l="1"/>
  <c r="K69" i="1" s="1"/>
  <c r="O68" i="1"/>
  <c r="M68" i="1" s="1"/>
  <c r="I70" i="1" l="1"/>
  <c r="K70" i="1" s="1"/>
  <c r="O69" i="1"/>
  <c r="I71" i="1" l="1"/>
  <c r="K71" i="1" s="1"/>
  <c r="O70" i="1"/>
  <c r="M70" i="1" s="1"/>
  <c r="M69" i="1"/>
  <c r="I72" i="1" l="1"/>
  <c r="K72" i="1" s="1"/>
  <c r="O71" i="1"/>
  <c r="M71" i="1" s="1"/>
  <c r="I73" i="1" l="1"/>
  <c r="K73" i="1" s="1"/>
  <c r="O72" i="1"/>
  <c r="M72" i="1" s="1"/>
  <c r="I74" i="1" l="1"/>
  <c r="O73" i="1"/>
  <c r="M73" i="1" s="1"/>
  <c r="K74" i="1"/>
  <c r="I75" i="1" l="1"/>
  <c r="K75" i="1" s="1"/>
  <c r="O74" i="1"/>
  <c r="M74" i="1" s="1"/>
  <c r="I76" i="1" l="1"/>
  <c r="K76" i="1" s="1"/>
  <c r="O75" i="1"/>
  <c r="M75" i="1" s="1"/>
  <c r="I77" i="1" l="1"/>
  <c r="O76" i="1"/>
  <c r="M76" i="1" s="1"/>
  <c r="K77" i="1"/>
  <c r="I78" i="1" l="1"/>
  <c r="K78" i="1" s="1"/>
  <c r="O77" i="1"/>
  <c r="M77" i="1" s="1"/>
  <c r="I79" i="1" l="1"/>
  <c r="O78" i="1"/>
  <c r="M78" i="1" s="1"/>
  <c r="K79" i="1"/>
  <c r="I80" i="1" l="1"/>
  <c r="O79" i="1"/>
  <c r="M79" i="1" s="1"/>
  <c r="K80" i="1"/>
  <c r="I81" i="1" l="1"/>
  <c r="K81" i="1" s="1"/>
  <c r="O80" i="1"/>
  <c r="M80" i="1" s="1"/>
  <c r="I82" i="1" l="1"/>
  <c r="K82" i="1" s="1"/>
  <c r="O81" i="1"/>
  <c r="M81" i="1" s="1"/>
  <c r="I83" i="1" l="1"/>
  <c r="K83" i="1" s="1"/>
  <c r="O82" i="1"/>
  <c r="M82" i="1" s="1"/>
  <c r="I84" i="1" l="1"/>
  <c r="O83" i="1"/>
  <c r="M83" i="1" s="1"/>
  <c r="K84" i="1"/>
  <c r="I85" i="1" l="1"/>
  <c r="O84" i="1"/>
  <c r="M84" i="1" s="1"/>
  <c r="K85" i="1"/>
  <c r="O85" i="1" s="1"/>
  <c r="B28" i="1" l="1"/>
  <c r="M85" i="1" l="1"/>
  <c r="B25" i="1"/>
  <c r="B23" i="1" s="1"/>
  <c r="B27" i="1" s="1"/>
</calcChain>
</file>

<file path=xl/comments1.xml><?xml version="1.0" encoding="utf-8"?>
<comments xmlns="http://schemas.openxmlformats.org/spreadsheetml/2006/main">
  <authors>
    <author>Leon Clark</author>
  </authors>
  <commentList>
    <comment ref="F1" authorId="0" shapeId="0">
      <text>
        <r>
          <rPr>
            <b/>
            <sz val="9"/>
            <color indexed="81"/>
            <rFont val="Tahoma"/>
            <family val="2"/>
          </rPr>
          <t>Leon Clark:</t>
        </r>
        <r>
          <rPr>
            <sz val="9"/>
            <color indexed="81"/>
            <rFont val="Tahoma"/>
            <family val="2"/>
          </rPr>
          <t xml:space="preserve">
The relative amount which earnings after tax is expected to be reduced by for the subsequent period. For example, if the value is 0.25, then for the next period the earnings are reduced to 25% of the value of cell A1. Note that expenses are unaffected.</t>
        </r>
      </text>
    </comment>
    <comment ref="G1" authorId="0" shapeId="0">
      <text>
        <r>
          <rPr>
            <b/>
            <sz val="9"/>
            <color indexed="81"/>
            <rFont val="Tahoma"/>
            <family val="2"/>
          </rPr>
          <t>Leon Clark:</t>
        </r>
        <r>
          <rPr>
            <sz val="9"/>
            <color indexed="81"/>
            <rFont val="Tahoma"/>
            <family val="2"/>
          </rPr>
          <t xml:space="preserve">
The variable rate (annualised) that applies to the interest calculated for the following quarter. Only used if cell B11 is set to 0.</t>
        </r>
      </text>
    </comment>
    <comment ref="H1" authorId="0" shapeId="0">
      <text>
        <r>
          <rPr>
            <b/>
            <sz val="9"/>
            <color indexed="81"/>
            <rFont val="Tahoma"/>
            <family val="2"/>
          </rPr>
          <t>Leon Clark:</t>
        </r>
        <r>
          <rPr>
            <sz val="9"/>
            <color indexed="81"/>
            <rFont val="Tahoma"/>
            <family val="2"/>
          </rPr>
          <t xml:space="preserve">
This is the base case - if the split were never done.</t>
        </r>
      </text>
    </comment>
    <comment ref="N1" authorId="0" shapeId="0">
      <text>
        <r>
          <rPr>
            <b/>
            <sz val="9"/>
            <color indexed="81"/>
            <rFont val="Tahoma"/>
            <family val="2"/>
          </rPr>
          <t>Leon Clark:</t>
        </r>
        <r>
          <rPr>
            <sz val="9"/>
            <color indexed="81"/>
            <rFont val="Tahoma"/>
            <family val="2"/>
          </rPr>
          <t xml:space="preserve">
The fixed portion will be offset up to the maximum fixed repayment (cell B13) if the variable balance becomes negative (column H).</t>
        </r>
      </text>
    </comment>
    <comment ref="A2" authorId="0" shapeId="0">
      <text>
        <r>
          <rPr>
            <b/>
            <sz val="9"/>
            <color indexed="81"/>
            <rFont val="Tahoma"/>
            <family val="2"/>
          </rPr>
          <t>Leon Clark:</t>
        </r>
        <r>
          <rPr>
            <sz val="9"/>
            <color indexed="81"/>
            <rFont val="Tahoma"/>
            <family val="2"/>
          </rPr>
          <t xml:space="preserve">
Net earnings after tax is deducted, before expenses</t>
        </r>
      </text>
    </comment>
    <comment ref="A3" authorId="0" shapeId="0">
      <text>
        <r>
          <rPr>
            <b/>
            <sz val="9"/>
            <color indexed="81"/>
            <rFont val="Tahoma"/>
            <family val="2"/>
          </rPr>
          <t>Leon Clark:</t>
        </r>
        <r>
          <rPr>
            <sz val="9"/>
            <color indexed="81"/>
            <rFont val="Tahoma"/>
            <family val="2"/>
          </rPr>
          <t xml:space="preserve">
Total outgoings per year</t>
        </r>
      </text>
    </comment>
    <comment ref="A4" authorId="0" shapeId="0">
      <text>
        <r>
          <rPr>
            <b/>
            <sz val="9"/>
            <color indexed="81"/>
            <rFont val="Tahoma"/>
            <family val="2"/>
          </rPr>
          <t>Leon Clark:</t>
        </r>
        <r>
          <rPr>
            <sz val="9"/>
            <color indexed="81"/>
            <rFont val="Tahoma"/>
            <family val="2"/>
          </rPr>
          <t xml:space="preserve">
The expected pay rise per year (eg. 3.0). It's likely easier to assume that the payrise and expense increases will cancel and use 0.</t>
        </r>
      </text>
    </comment>
    <comment ref="A5" authorId="0" shapeId="0">
      <text>
        <r>
          <rPr>
            <b/>
            <sz val="9"/>
            <color indexed="81"/>
            <rFont val="Tahoma"/>
            <family val="2"/>
          </rPr>
          <t>Leon Clark:</t>
        </r>
        <r>
          <rPr>
            <sz val="9"/>
            <color indexed="81"/>
            <rFont val="Tahoma"/>
            <family val="2"/>
          </rPr>
          <t xml:space="preserve">
The rate at which expenses increase. It's likely easier just to assume this and the payrise rate are 0.</t>
        </r>
      </text>
    </comment>
    <comment ref="A6" authorId="0" shapeId="0">
      <text>
        <r>
          <rPr>
            <b/>
            <sz val="9"/>
            <color indexed="81"/>
            <rFont val="Tahoma"/>
            <family val="2"/>
          </rPr>
          <t>Leon Clark:</t>
        </r>
        <r>
          <rPr>
            <sz val="9"/>
            <color indexed="81"/>
            <rFont val="Tahoma"/>
            <family val="2"/>
          </rPr>
          <t xml:space="preserve">
Account keeping fee. Likely negligible relative to the impact of other assumptions.</t>
        </r>
      </text>
    </comment>
    <comment ref="A7" authorId="0" shapeId="0">
      <text>
        <r>
          <rPr>
            <b/>
            <sz val="9"/>
            <color indexed="81"/>
            <rFont val="Tahoma"/>
            <family val="2"/>
          </rPr>
          <t>Leon Clark:</t>
        </r>
        <r>
          <rPr>
            <sz val="9"/>
            <color indexed="81"/>
            <rFont val="Tahoma"/>
            <family val="2"/>
          </rPr>
          <t xml:space="preserve">
The date to start projecting from (helps with anchoring the durations to something).</t>
        </r>
      </text>
    </comment>
    <comment ref="A8" authorId="0" shapeId="0">
      <text>
        <r>
          <rPr>
            <b/>
            <sz val="9"/>
            <color indexed="81"/>
            <rFont val="Tahoma"/>
            <family val="2"/>
          </rPr>
          <t>Leon Clark:</t>
        </r>
        <r>
          <rPr>
            <sz val="9"/>
            <color indexed="81"/>
            <rFont val="Tahoma"/>
            <family val="2"/>
          </rPr>
          <t xml:space="preserve">
Total loan balance at T=0</t>
        </r>
      </text>
    </comment>
    <comment ref="A9" authorId="0" shapeId="0">
      <text>
        <r>
          <rPr>
            <b/>
            <sz val="9"/>
            <color indexed="81"/>
            <rFont val="Tahoma"/>
            <family val="2"/>
          </rPr>
          <t>Leon Clark:</t>
        </r>
        <r>
          <rPr>
            <sz val="9"/>
            <color indexed="81"/>
            <rFont val="Tahoma"/>
            <family val="2"/>
          </rPr>
          <t xml:space="preserve">
The amount that will be split off into the fixed portion.</t>
        </r>
      </text>
    </comment>
    <comment ref="A10" authorId="0" shapeId="0">
      <text>
        <r>
          <rPr>
            <b/>
            <sz val="9"/>
            <color indexed="81"/>
            <rFont val="Tahoma"/>
            <family val="2"/>
          </rPr>
          <t>Leon Clark:</t>
        </r>
        <r>
          <rPr>
            <sz val="9"/>
            <color indexed="81"/>
            <rFont val="Tahoma"/>
            <family val="2"/>
          </rPr>
          <t xml:space="preserve">
The number of years that the loan will be split.</t>
        </r>
      </text>
    </comment>
    <comment ref="A11" authorId="0" shapeId="0">
      <text>
        <r>
          <rPr>
            <b/>
            <sz val="9"/>
            <color indexed="81"/>
            <rFont val="Tahoma"/>
            <family val="2"/>
          </rPr>
          <t>Leon Clark:</t>
        </r>
        <r>
          <rPr>
            <sz val="9"/>
            <color indexed="81"/>
            <rFont val="Tahoma"/>
            <family val="2"/>
          </rPr>
          <t xml:space="preserve">
The interest rate for the variable portion. Either: Set 0 here to use column G, or use a value here and it will be applied uniformly.</t>
        </r>
      </text>
    </comment>
    <comment ref="A12" authorId="0" shapeId="0">
      <text>
        <r>
          <rPr>
            <b/>
            <sz val="9"/>
            <color indexed="81"/>
            <rFont val="Tahoma"/>
            <family val="2"/>
          </rPr>
          <t>Leon Clark:</t>
        </r>
        <r>
          <rPr>
            <sz val="9"/>
            <color indexed="81"/>
            <rFont val="Tahoma"/>
            <family val="2"/>
          </rPr>
          <t xml:space="preserve">
The term of the loan. Should be equal to the number of years remaining on the loan.</t>
        </r>
      </text>
    </comment>
    <comment ref="A13" authorId="0" shapeId="0">
      <text>
        <r>
          <rPr>
            <b/>
            <sz val="9"/>
            <color indexed="81"/>
            <rFont val="Tahoma"/>
            <family val="2"/>
          </rPr>
          <t>Leon Clark:</t>
        </r>
        <r>
          <rPr>
            <sz val="9"/>
            <color indexed="81"/>
            <rFont val="Tahoma"/>
            <family val="2"/>
          </rPr>
          <t xml:space="preserve">
The maximum amount that can be repaid into the fixed portion without incurring a break fee. If the variable portion has a negative value, up to this value will offset the fixed interest.</t>
        </r>
      </text>
    </comment>
    <comment ref="A14" authorId="0" shapeId="0">
      <text>
        <r>
          <rPr>
            <b/>
            <sz val="9"/>
            <color indexed="81"/>
            <rFont val="Tahoma"/>
            <family val="2"/>
          </rPr>
          <t>Leon Clark:</t>
        </r>
        <r>
          <rPr>
            <sz val="9"/>
            <color indexed="81"/>
            <rFont val="Tahoma"/>
            <family val="2"/>
          </rPr>
          <t xml:space="preserve">
Fill this table with the fixed rates (given the fixed term) from lender data. The rate will be looked up given the data entered into cell B10.</t>
        </r>
      </text>
    </comment>
    <comment ref="A23" authorId="0" shapeId="0">
      <text>
        <r>
          <rPr>
            <b/>
            <sz val="9"/>
            <color indexed="81"/>
            <rFont val="Tahoma"/>
            <family val="2"/>
          </rPr>
          <t>Leon Clark:</t>
        </r>
        <r>
          <rPr>
            <sz val="9"/>
            <color indexed="81"/>
            <rFont val="Tahoma"/>
            <family val="2"/>
          </rPr>
          <t xml:space="preserve">
The total interest over the life of the loan.</t>
        </r>
      </text>
    </comment>
    <comment ref="A24" authorId="0" shapeId="0">
      <text>
        <r>
          <rPr>
            <b/>
            <sz val="9"/>
            <color indexed="81"/>
            <rFont val="Tahoma"/>
            <family val="2"/>
          </rPr>
          <t>Leon Clark:</t>
        </r>
        <r>
          <rPr>
            <sz val="9"/>
            <color indexed="81"/>
            <rFont val="Tahoma"/>
            <family val="2"/>
          </rPr>
          <t xml:space="preserve">
The total interest for the fixed portion over the life of the loan.</t>
        </r>
      </text>
    </comment>
    <comment ref="A25" authorId="0" shapeId="0">
      <text>
        <r>
          <rPr>
            <b/>
            <sz val="9"/>
            <color indexed="81"/>
            <rFont val="Tahoma"/>
            <family val="2"/>
          </rPr>
          <t>Leon Clark:</t>
        </r>
        <r>
          <rPr>
            <sz val="9"/>
            <color indexed="81"/>
            <rFont val="Tahoma"/>
            <family val="2"/>
          </rPr>
          <t xml:space="preserve">
The total interest incurred on the variable portion over the life of the loan.</t>
        </r>
      </text>
    </comment>
    <comment ref="A26" authorId="0" shapeId="0">
      <text>
        <r>
          <rPr>
            <b/>
            <sz val="9"/>
            <color indexed="81"/>
            <rFont val="Tahoma"/>
            <family val="2"/>
          </rPr>
          <t>Leon Clark:</t>
        </r>
        <r>
          <rPr>
            <sz val="9"/>
            <color indexed="81"/>
            <rFont val="Tahoma"/>
            <family val="2"/>
          </rPr>
          <t xml:space="preserve">
The total interest incurred in the base case, where no split is made.</t>
        </r>
      </text>
    </comment>
    <comment ref="A27" authorId="0" shapeId="0">
      <text>
        <r>
          <rPr>
            <b/>
            <sz val="9"/>
            <color indexed="81"/>
            <rFont val="Tahoma"/>
            <family val="2"/>
          </rPr>
          <t>Leon Clark:</t>
        </r>
        <r>
          <rPr>
            <sz val="9"/>
            <color indexed="81"/>
            <rFont val="Tahoma"/>
            <family val="2"/>
          </rPr>
          <t xml:space="preserve">
The amount of interest saved by making the switch to the split loan. A positive value is a saving.</t>
        </r>
      </text>
    </comment>
    <comment ref="A28" authorId="0" shapeId="0">
      <text>
        <r>
          <rPr>
            <b/>
            <sz val="9"/>
            <color indexed="81"/>
            <rFont val="Tahoma"/>
            <family val="2"/>
          </rPr>
          <t>Leon Clark:</t>
        </r>
        <r>
          <rPr>
            <sz val="9"/>
            <color indexed="81"/>
            <rFont val="Tahoma"/>
            <family val="2"/>
          </rPr>
          <t xml:space="preserve">
How long it takes to achieve zero balance (plus or minus 3 months)</t>
        </r>
      </text>
    </comment>
    <comment ref="A29" authorId="0" shapeId="0">
      <text>
        <r>
          <rPr>
            <b/>
            <sz val="9"/>
            <color indexed="81"/>
            <rFont val="Tahoma"/>
            <family val="2"/>
          </rPr>
          <t>Leon Clark:</t>
        </r>
        <r>
          <rPr>
            <sz val="9"/>
            <color indexed="81"/>
            <rFont val="Tahoma"/>
            <family val="2"/>
          </rPr>
          <t xml:space="preserve">
How long it takes to achieve zero balance (plus or minus 3 months) in the base case.</t>
        </r>
      </text>
    </comment>
    <comment ref="A31" authorId="0" shapeId="0">
      <text>
        <r>
          <rPr>
            <b/>
            <sz val="9"/>
            <color indexed="81"/>
            <rFont val="Tahoma"/>
            <family val="2"/>
          </rPr>
          <t>Leon Clark:</t>
        </r>
        <r>
          <rPr>
            <sz val="9"/>
            <color indexed="81"/>
            <rFont val="Tahoma"/>
            <family val="2"/>
          </rPr>
          <t xml:space="preserve">
Edit the 'fix rate data' sheet to populate this field automatically based upon the fixed period.</t>
        </r>
      </text>
    </comment>
    <comment ref="A32" authorId="0" shapeId="0">
      <text>
        <r>
          <rPr>
            <b/>
            <sz val="9"/>
            <color indexed="81"/>
            <rFont val="Tahoma"/>
            <family val="2"/>
          </rPr>
          <t>Leon Clark:</t>
        </r>
        <r>
          <rPr>
            <sz val="9"/>
            <color indexed="81"/>
            <rFont val="Tahoma"/>
            <family val="2"/>
          </rPr>
          <t xml:space="preserve">
The amount repaid per month on the fixed portion. Do not edit.</t>
        </r>
      </text>
    </comment>
  </commentList>
</comments>
</file>

<file path=xl/sharedStrings.xml><?xml version="1.0" encoding="utf-8"?>
<sst xmlns="http://schemas.openxmlformats.org/spreadsheetml/2006/main" count="39" uniqueCount="37">
  <si>
    <t>Earnings after tax ($/year)</t>
  </si>
  <si>
    <t>Date</t>
  </si>
  <si>
    <t>Net Interest</t>
  </si>
  <si>
    <t>Expenses ($/year)</t>
  </si>
  <si>
    <t>Payrise Rate (%)</t>
  </si>
  <si>
    <t>Account Fee ($/year)</t>
  </si>
  <si>
    <t>Fixed Amount ($)</t>
  </si>
  <si>
    <t>Variable Rate (%)</t>
  </si>
  <si>
    <t>Fixed Rate (%)</t>
  </si>
  <si>
    <t>Fixed Period (years)</t>
  </si>
  <si>
    <t>Fixed Repayment ($/month)</t>
  </si>
  <si>
    <t>Total Interest ($)</t>
  </si>
  <si>
    <t>Total Fixed Interest ($)</t>
  </si>
  <si>
    <t>Total Variable Interest ($)</t>
  </si>
  <si>
    <t>Total Variable Only Interest ($)</t>
  </si>
  <si>
    <t>Earn Multiplier</t>
  </si>
  <si>
    <t>Months</t>
  </si>
  <si>
    <t>Variable Balance</t>
  </si>
  <si>
    <t>Fixed Balance</t>
  </si>
  <si>
    <t>Variable Only Balance</t>
  </si>
  <si>
    <t>Variable Only Payback (months)</t>
  </si>
  <si>
    <t>Outputs</t>
  </si>
  <si>
    <t>Inputs</t>
  </si>
  <si>
    <t>Bank Data</t>
  </si>
  <si>
    <t>Start Date</t>
  </si>
  <si>
    <t>Payback Period (years)</t>
  </si>
  <si>
    <t>Expense Rise Rate (%)</t>
  </si>
  <si>
    <t>Copyright 2021 LS Clark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</si>
  <si>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Initial Loan Balance ($)</t>
  </si>
  <si>
    <t>Initial Remaining Term (years)</t>
  </si>
  <si>
    <t>Maximum Fixed Repayment ($)</t>
  </si>
  <si>
    <t>Net Balance</t>
  </si>
  <si>
    <t>Variable Only Interest</t>
  </si>
  <si>
    <t>Fixed Portion Interest</t>
  </si>
  <si>
    <t>Variable Portion Interest</t>
  </si>
  <si>
    <t>Variable Rate</t>
  </si>
  <si>
    <t>Difference (Saving)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</si>
</sst>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C09]* #,##0.00_-;\-[$$-C09]* #,##0.00_-;_-[$$-C09]* &quot;-&quot;??_-;_-@_-"/>
    <numFmt numFmtId="165"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0" tint="-0.499984740745262"/>
      <name val="Calibri"/>
      <family val="2"/>
      <scheme val="minor"/>
    </font>
    <font>
      <b/>
      <i/>
      <sz val="11"/>
      <color theme="0" tint="-0.499984740745262"/>
      <name val="Calibri"/>
      <family val="2"/>
      <scheme val="minor"/>
    </font>
    <font>
      <b/>
      <sz val="11"/>
      <name val="Calibri"/>
      <family val="2"/>
      <scheme val="minor"/>
    </font>
    <font>
      <sz val="11"/>
      <color theme="0" tint="-0.499984740745262"/>
      <name val="Calibri"/>
      <family val="2"/>
      <scheme val="minor"/>
    </font>
    <font>
      <i/>
      <sz val="11"/>
      <color theme="1"/>
      <name val="Calibri"/>
      <family val="2"/>
      <scheme val="minor"/>
    </font>
    <font>
      <i/>
      <sz val="11"/>
      <color theme="0" tint="-0.499984740745262"/>
      <name val="Calibri"/>
      <family val="2"/>
      <scheme val="minor"/>
    </font>
    <font>
      <sz val="11"/>
      <color theme="0" tint="-0.249977111117893"/>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3" fillId="0" borderId="0" xfId="0" applyFont="1"/>
    <xf numFmtId="165" fontId="6" fillId="0" borderId="0" xfId="0" applyNumberFormat="1" applyFont="1"/>
    <xf numFmtId="0" fontId="2" fillId="0" borderId="0" xfId="0" applyFont="1" applyBorder="1" applyAlignment="1">
      <alignment horizontal="center"/>
    </xf>
    <xf numFmtId="0" fontId="0" fillId="0" borderId="0" xfId="0" applyFont="1" applyBorder="1"/>
    <xf numFmtId="0" fontId="2" fillId="0" borderId="0" xfId="0" applyFont="1" applyBorder="1"/>
    <xf numFmtId="1" fontId="2" fillId="0" borderId="0" xfId="0" applyNumberFormat="1" applyFont="1" applyBorder="1"/>
    <xf numFmtId="0" fontId="0" fillId="0" borderId="0" xfId="0" applyBorder="1"/>
    <xf numFmtId="1" fontId="0" fillId="0" borderId="0" xfId="0" applyNumberFormat="1" applyBorder="1"/>
    <xf numFmtId="1" fontId="0" fillId="0" borderId="0" xfId="0" applyNumberFormat="1" applyFont="1" applyBorder="1"/>
    <xf numFmtId="0" fontId="6" fillId="0" borderId="0" xfId="0" applyFont="1"/>
    <xf numFmtId="0" fontId="4" fillId="0" borderId="0" xfId="0" applyFont="1" applyBorder="1"/>
    <xf numFmtId="1" fontId="4" fillId="0" borderId="0" xfId="0" applyNumberFormat="1" applyFont="1" applyBorder="1"/>
    <xf numFmtId="0" fontId="0" fillId="0" borderId="0" xfId="0" applyFill="1" applyBorder="1"/>
    <xf numFmtId="1" fontId="0" fillId="0" borderId="0" xfId="0" applyNumberFormat="1" applyFill="1" applyBorder="1"/>
    <xf numFmtId="0" fontId="7" fillId="0" borderId="0" xfId="0" applyFont="1" applyBorder="1"/>
    <xf numFmtId="1" fontId="7" fillId="0" borderId="0" xfId="0" applyNumberFormat="1" applyFont="1" applyBorder="1"/>
    <xf numFmtId="0" fontId="5" fillId="0" borderId="0" xfId="0" applyFont="1" applyBorder="1" applyAlignment="1">
      <alignment horizontal="center"/>
    </xf>
    <xf numFmtId="0" fontId="0" fillId="0" borderId="0" xfId="0"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9" fillId="0" borderId="0" xfId="0" applyFont="1"/>
    <xf numFmtId="14" fontId="0" fillId="0" borderId="3" xfId="0" applyNumberFormat="1" applyBorder="1"/>
    <xf numFmtId="0" fontId="6" fillId="0" borderId="0" xfId="0" applyNumberFormat="1" applyFont="1" applyBorder="1"/>
    <xf numFmtId="0" fontId="7" fillId="0" borderId="0" xfId="0" applyNumberFormat="1" applyFont="1" applyBorder="1"/>
    <xf numFmtId="165" fontId="0" fillId="0" borderId="0" xfId="0" applyNumberFormat="1" applyBorder="1"/>
    <xf numFmtId="165" fontId="6" fillId="0" borderId="0" xfId="0" applyNumberFormat="1" applyFont="1" applyBorder="1"/>
    <xf numFmtId="165" fontId="8" fillId="0" borderId="0" xfId="0" applyNumberFormat="1" applyFont="1" applyBorder="1"/>
    <xf numFmtId="165" fontId="8" fillId="0" borderId="4" xfId="0" applyNumberFormat="1" applyFont="1" applyBorder="1"/>
    <xf numFmtId="0" fontId="0" fillId="0" borderId="3" xfId="0" applyBorder="1"/>
    <xf numFmtId="0" fontId="6" fillId="0" borderId="0" xfId="0" applyFont="1" applyBorder="1"/>
    <xf numFmtId="0" fontId="8" fillId="0" borderId="0" xfId="0" applyFont="1" applyBorder="1"/>
    <xf numFmtId="0" fontId="8" fillId="0" borderId="4" xfId="0" applyFont="1" applyBorder="1"/>
    <xf numFmtId="2" fontId="9" fillId="0" borderId="0" xfId="0" applyNumberFormat="1" applyFont="1"/>
    <xf numFmtId="44" fontId="2" fillId="0" borderId="2" xfId="1" applyFont="1" applyBorder="1"/>
    <xf numFmtId="44" fontId="1" fillId="0" borderId="4" xfId="1" applyFont="1" applyBorder="1"/>
    <xf numFmtId="44" fontId="2" fillId="0" borderId="4" xfId="1" applyFont="1" applyBorder="1"/>
    <xf numFmtId="0" fontId="0" fillId="0" borderId="4" xfId="0" applyBorder="1"/>
    <xf numFmtId="0" fontId="0" fillId="0" borderId="5" xfId="0" applyBorder="1"/>
    <xf numFmtId="0" fontId="2" fillId="0" borderId="6" xfId="0" applyFont="1" applyBorder="1" applyAlignment="1">
      <alignment horizontal="center"/>
    </xf>
    <xf numFmtId="164" fontId="9" fillId="0" borderId="0" xfId="1" applyNumberFormat="1" applyFont="1"/>
    <xf numFmtId="164" fontId="7" fillId="0" borderId="4" xfId="0" applyNumberFormat="1" applyFont="1" applyBorder="1"/>
    <xf numFmtId="2" fontId="7" fillId="0" borderId="4" xfId="0" applyNumberFormat="1" applyFont="1" applyBorder="1"/>
    <xf numFmtId="0" fontId="7" fillId="0" borderId="4" xfId="0" applyFont="1" applyBorder="1"/>
    <xf numFmtId="164" fontId="7" fillId="0" borderId="2" xfId="0" applyNumberFormat="1" applyFont="1" applyBorder="1"/>
    <xf numFmtId="14" fontId="0" fillId="0" borderId="3" xfId="0" applyNumberFormat="1" applyFont="1" applyBorder="1"/>
    <xf numFmtId="0" fontId="0" fillId="0" borderId="8" xfId="0" applyBorder="1"/>
    <xf numFmtId="14" fontId="7" fillId="0" borderId="4" xfId="0" applyNumberFormat="1" applyFont="1" applyBorder="1"/>
    <xf numFmtId="164" fontId="7" fillId="0" borderId="5" xfId="0" applyNumberFormat="1" applyFont="1" applyBorder="1"/>
    <xf numFmtId="0" fontId="7" fillId="0" borderId="3" xfId="0" applyFont="1" applyFill="1" applyBorder="1" applyAlignment="1">
      <alignment horizontal="right"/>
    </xf>
    <xf numFmtId="0" fontId="7" fillId="0" borderId="1" xfId="0" applyFont="1" applyBorder="1" applyAlignment="1">
      <alignment horizontal="right"/>
    </xf>
    <xf numFmtId="0" fontId="7" fillId="0" borderId="3" xfId="0" applyFont="1" applyBorder="1" applyAlignment="1">
      <alignment horizontal="right"/>
    </xf>
    <xf numFmtId="0" fontId="7" fillId="0" borderId="8" xfId="0" applyFont="1" applyBorder="1" applyAlignment="1">
      <alignment horizontal="right"/>
    </xf>
    <xf numFmtId="0" fontId="0" fillId="0" borderId="1" xfId="0" applyFont="1" applyBorder="1" applyAlignment="1">
      <alignment horizontal="right"/>
    </xf>
    <xf numFmtId="0" fontId="0" fillId="0" borderId="3" xfId="0" applyFont="1" applyBorder="1" applyAlignment="1">
      <alignment horizontal="right"/>
    </xf>
    <xf numFmtId="0" fontId="0" fillId="0" borderId="8" xfId="0" applyFont="1" applyBorder="1" applyAlignment="1">
      <alignment horizontal="right"/>
    </xf>
    <xf numFmtId="0" fontId="3" fillId="0" borderId="9" xfId="0" applyFont="1" applyBorder="1" applyAlignment="1">
      <alignment horizontal="center"/>
    </xf>
    <xf numFmtId="0" fontId="2" fillId="0" borderId="9"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165" fontId="0" fillId="0" borderId="0" xfId="0" applyNumberFormat="1" applyFont="1" applyBorder="1"/>
    <xf numFmtId="0" fontId="2" fillId="0" borderId="6" xfId="0" applyFont="1" applyBorder="1" applyAlignment="1">
      <alignment horizontal="center"/>
    </xf>
    <xf numFmtId="0" fontId="2" fillId="0" borderId="7" xfId="0" applyFont="1" applyBorder="1" applyAlignment="1">
      <alignment horizontal="center"/>
    </xf>
    <xf numFmtId="0" fontId="7" fillId="0" borderId="1" xfId="0" applyFont="1" applyFill="1" applyBorder="1" applyAlignment="1">
      <alignment horizontal="center"/>
    </xf>
    <xf numFmtId="0" fontId="7" fillId="0" borderId="2" xfId="0" applyFont="1" applyFill="1" applyBorder="1" applyAlignment="1">
      <alignment horizontal="center"/>
    </xf>
    <xf numFmtId="0" fontId="0" fillId="0" borderId="0" xfId="0" applyAlignment="1">
      <alignment vertical="top" wrapText="1"/>
    </xf>
  </cellXfs>
  <cellStyles count="2">
    <cellStyle name="Currency" xfId="1" builtinId="4"/>
    <cellStyle name="Normal" xfId="0" builtinId="0"/>
  </cellStyles>
  <dxfs count="1">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5"/>
  <sheetViews>
    <sheetView tabSelected="1" zoomScale="85" zoomScaleNormal="85" workbookViewId="0">
      <selection activeCell="O7" sqref="O7"/>
    </sheetView>
  </sheetViews>
  <sheetFormatPr defaultRowHeight="14.4" x14ac:dyDescent="0.3"/>
  <cols>
    <col min="1" max="1" width="28.44140625" bestFit="1" customWidth="1"/>
    <col min="2" max="2" width="14" bestFit="1" customWidth="1"/>
    <col min="3" max="3" width="3.88671875" customWidth="1"/>
    <col min="4" max="4" width="9.77734375" style="29" bestFit="1" customWidth="1"/>
    <col min="5" max="5" width="7.77734375" style="30" customWidth="1"/>
    <col min="6" max="7" width="14.44140625" style="7" customWidth="1"/>
    <col min="8" max="8" width="21" style="4" bestFit="1" customWidth="1"/>
    <col min="9" max="9" width="15.77734375" style="7" bestFit="1" customWidth="1"/>
    <col min="10" max="10" width="12.88671875" style="7" bestFit="1" customWidth="1"/>
    <col min="11" max="11" width="11.6640625" style="7" bestFit="1" customWidth="1"/>
    <col min="12" max="12" width="20.6640625" style="30" bestFit="1" customWidth="1"/>
    <col min="13" max="13" width="11.6640625" style="7" bestFit="1" customWidth="1"/>
    <col min="14" max="14" width="20.6640625" style="31" bestFit="1" customWidth="1"/>
    <col min="15" max="15" width="23.5546875" style="32" bestFit="1" customWidth="1"/>
    <col min="16" max="16" width="8.88671875" style="10" customWidth="1"/>
    <col min="17" max="26" width="8.88671875" style="7" customWidth="1"/>
    <col min="27" max="27" width="8.88671875" customWidth="1"/>
  </cols>
  <sheetData>
    <row r="1" spans="1:26" ht="15" thickBot="1" x14ac:dyDescent="0.35">
      <c r="A1" s="61" t="s">
        <v>22</v>
      </c>
      <c r="B1" s="62"/>
      <c r="D1" s="39" t="s">
        <v>1</v>
      </c>
      <c r="E1" s="56" t="s">
        <v>16</v>
      </c>
      <c r="F1" s="57" t="s">
        <v>15</v>
      </c>
      <c r="G1" s="57" t="s">
        <v>35</v>
      </c>
      <c r="H1" s="57" t="s">
        <v>19</v>
      </c>
      <c r="I1" s="57" t="s">
        <v>17</v>
      </c>
      <c r="J1" s="57" t="s">
        <v>18</v>
      </c>
      <c r="K1" s="57" t="s">
        <v>31</v>
      </c>
      <c r="L1" s="56" t="s">
        <v>32</v>
      </c>
      <c r="M1" s="56" t="s">
        <v>2</v>
      </c>
      <c r="N1" s="58" t="s">
        <v>33</v>
      </c>
      <c r="O1" s="59" t="s">
        <v>34</v>
      </c>
      <c r="P1" s="1"/>
      <c r="Q1" s="17"/>
      <c r="R1" s="17"/>
      <c r="S1" s="17"/>
      <c r="T1" s="17"/>
      <c r="U1" s="17"/>
      <c r="V1" s="17"/>
      <c r="W1" s="17"/>
      <c r="X1" s="17"/>
      <c r="Y1" s="17"/>
      <c r="Z1" s="17"/>
    </row>
    <row r="2" spans="1:26" x14ac:dyDescent="0.3">
      <c r="A2" s="50" t="s">
        <v>0</v>
      </c>
      <c r="B2" s="44">
        <v>150000</v>
      </c>
      <c r="D2" s="45">
        <f>B7</f>
        <v>44348</v>
      </c>
      <c r="E2" s="23">
        <f>DATEDIF($D$2,D2,"m")</f>
        <v>0</v>
      </c>
      <c r="F2" s="24">
        <v>1</v>
      </c>
      <c r="G2" s="24">
        <v>3</v>
      </c>
      <c r="H2" s="60">
        <f>B8</f>
        <v>500000</v>
      </c>
      <c r="I2" s="25">
        <f>B8-B9</f>
        <v>150000</v>
      </c>
      <c r="J2" s="25">
        <f>B9</f>
        <v>350000</v>
      </c>
      <c r="K2" s="25">
        <f>IF(I2+J2&gt;0, I2+J2,0)</f>
        <v>500000</v>
      </c>
      <c r="L2" s="26">
        <f>IF(H2&gt;0,H2*((1+IF($B$11&gt;0,$B$11,G2)/100/12)^3-1),0)</f>
        <v>3759.3828124998786</v>
      </c>
      <c r="M2" s="26">
        <f>SUM(N2:O2)</f>
        <v>2792.9485246816266</v>
      </c>
      <c r="N2" s="27">
        <f>IF(E2&lt;$B$10*12,
       (J2+MIN(0,MAX(-$B$13,I2)))*((1+$B$31/100/12)^3-1),
       0)</f>
        <v>1665.1336809316631</v>
      </c>
      <c r="O2" s="28">
        <f>IF(IF(E2&gt;=$B$10*12,K2,I2)*((1+IF($B$11&gt;0,$B$11,G2)/100/12)^3-1)&gt;0,
IF(E2&gt;=$B$10*12,K2,I2)*((1+IF($B$11&gt;0,$B$11,G2)/100/12)^3-1),
0)</f>
        <v>1127.8148437499635</v>
      </c>
      <c r="P2" s="2"/>
      <c r="Q2" s="3"/>
      <c r="R2" s="3"/>
      <c r="S2" s="3"/>
      <c r="T2" s="3"/>
      <c r="U2" s="3"/>
      <c r="V2" s="3"/>
      <c r="W2" s="3"/>
      <c r="X2" s="3"/>
      <c r="Y2" s="3"/>
      <c r="Z2" s="3"/>
    </row>
    <row r="3" spans="1:26" x14ac:dyDescent="0.3">
      <c r="A3" s="51" t="s">
        <v>3</v>
      </c>
      <c r="B3" s="41">
        <v>30000</v>
      </c>
      <c r="D3" s="22">
        <f>EDATE(D2,3)</f>
        <v>44440</v>
      </c>
      <c r="E3" s="23">
        <f>DATEDIF($D$2,D3,"m")</f>
        <v>3</v>
      </c>
      <c r="F3" s="24">
        <v>1</v>
      </c>
      <c r="G3" s="24">
        <v>3</v>
      </c>
      <c r="H3" s="60">
        <f>IF(H2*((1+IF($B$11&gt;0,$B$11,G2)/100/12)^3)+($B$6-$B$2*((1+$B$4/100)^_xlfn.FLOOR.MATH(E2/12))*F2+$B$3*((1+$B$5/100)^_xlfn.FLOOR.MATH(E2/12)))/4&gt;0,
       H2*((1+IF($B$11&gt;0,$B$11,G2)/100/12)^3)+($B$6-$B$2*((1+$B$4/100)^_xlfn.FLOOR.MATH(E2/12))*F2+$B$3*((1+$B$5/100)^_xlfn.FLOOR.MATH(E2/12)))/4,
        0)</f>
        <v>473884.38281249988</v>
      </c>
      <c r="I3" s="25">
        <f>IF(K2&gt;0,
      IF(E2&gt;=$B$10*12,K2,I2)+O2+($B$6-$B$2*((1+$B$4/100)^_xlfn.FLOOR.MATH(E2/12))*F2+$B$3*((1+$B$5/100)^_xlfn.FLOOR.MATH(E2/12)))/4+(E2&lt;=$B$10*12)*$B$32*3,
      0)</f>
        <v>125081.5228946188</v>
      </c>
      <c r="J3" s="25">
        <f>IF(E3&lt;=$B$10*12,J2+N2-$B$32*3, 0)</f>
        <v>347836.42563006282</v>
      </c>
      <c r="K3" s="25">
        <f t="shared" ref="K3:K40" si="0">IF(I3+J3&gt;0, I3+J3,0)</f>
        <v>472917.94852468162</v>
      </c>
      <c r="L3" s="26">
        <f t="shared" ref="L3:L66" si="1">IF(H3&gt;0,H3*((1+IF($B$11&gt;0,$B$11,G3)/100/12)^3-1),0)</f>
        <v>3563.0256077148497</v>
      </c>
      <c r="M3" s="26">
        <f t="shared" ref="M3:M40" si="2">SUM(N3:O3)</f>
        <v>2595.2990768669633</v>
      </c>
      <c r="N3" s="27">
        <f>IF(E3&lt;$B$10*12,
       (J3+MIN(0,MAX(-$B$13,I3)))*((1+$B$31/100/12)^3-1),
       0)</f>
        <v>1654.8404222042834</v>
      </c>
      <c r="O3" s="28">
        <f t="shared" ref="O3:O66" si="3">IF(IF(E3&gt;=$B$10*12,K3,I3)*((1+IF($B$11&gt;0,$B$11,G3)/100/12)^3-1)&gt;0,
IF(E3&gt;=$B$10*12,K3,I3)*((1+IF($B$11&gt;0,$B$11,G3)/100/12)^3-1),
0)</f>
        <v>940.45865466267992</v>
      </c>
      <c r="P3" s="2"/>
      <c r="Q3" s="11"/>
      <c r="R3" s="11"/>
      <c r="S3" s="11"/>
      <c r="T3" s="11"/>
      <c r="U3" s="11"/>
      <c r="V3" s="11"/>
      <c r="W3" s="12"/>
      <c r="X3" s="12"/>
      <c r="Y3" s="11"/>
      <c r="Z3" s="11"/>
    </row>
    <row r="4" spans="1:26" ht="14.4" customHeight="1" x14ac:dyDescent="0.3">
      <c r="A4" s="51" t="s">
        <v>4</v>
      </c>
      <c r="B4" s="42">
        <v>0</v>
      </c>
      <c r="D4" s="22">
        <f>EDATE(D3,3)</f>
        <v>44531</v>
      </c>
      <c r="E4" s="23">
        <f t="shared" ref="E4:E40" si="4">DATEDIF($D$2,D4,"m")</f>
        <v>6</v>
      </c>
      <c r="F4" s="24">
        <v>1</v>
      </c>
      <c r="G4" s="24">
        <v>3</v>
      </c>
      <c r="H4" s="60">
        <f t="shared" ref="H4:H67" si="5">IF(H3*((1+IF($B$11&gt;0,$B$11,G3)/100/12)^3)+($B$6-$B$2*((1+$B$4/100)^_xlfn.FLOOR.MATH(E3/12))*F3+$B$3*((1+$B$5/100)^_xlfn.FLOOR.MATH(E3/12)))/4&gt;0,
       H3*((1+IF($B$11&gt;0,$B$11,G3)/100/12)^3)+($B$6-$B$2*((1+$B$4/100)^_xlfn.FLOOR.MATH(E3/12))*F3+$B$3*((1+$B$5/100)^_xlfn.FLOOR.MATH(E3/12)))/4,
        0)</f>
        <v>447572.40842021472</v>
      </c>
      <c r="I4" s="25">
        <f>IF(K3&gt;0,
      IF(E3&gt;=$B$10*12,K3,I3)+O3+($B$6-$B$2*((1+$B$4/100)^_xlfn.FLOOR.MATH(E3/12))*F3+$B$3*((1+$B$5/100)^_xlfn.FLOOR.MATH(E3/12)))/4+(E3&lt;=$B$10*12)*$B$32*3,
      0)</f>
        <v>99975.689600150305</v>
      </c>
      <c r="J4" s="25">
        <f>IF(E4&lt;=$B$10*12,J3+N3-$B$32*3, 0)</f>
        <v>345662.55800139828</v>
      </c>
      <c r="K4" s="25">
        <f t="shared" si="0"/>
        <v>445638.24760154856</v>
      </c>
      <c r="L4" s="26">
        <f t="shared" si="1"/>
        <v>3365.1920391282624</v>
      </c>
      <c r="M4" s="26">
        <f t="shared" si="2"/>
        <v>2396.191971344464</v>
      </c>
      <c r="N4" s="27">
        <f>IF(E4&lt;$B$10*12,
       (J4+MIN(0,MAX(-$B$13,I4)))*((1+$B$31/100/12)^3-1),
       0)</f>
        <v>1644.4981930432079</v>
      </c>
      <c r="O4" s="28">
        <f t="shared" si="3"/>
        <v>751.69377830125586</v>
      </c>
      <c r="P4" s="2"/>
      <c r="Q4" s="13"/>
      <c r="R4" s="13"/>
      <c r="S4" s="13"/>
      <c r="T4" s="13"/>
      <c r="U4" s="13"/>
      <c r="V4" s="18"/>
      <c r="W4" s="14"/>
      <c r="X4" s="14"/>
      <c r="Y4" s="13"/>
      <c r="Z4" s="13"/>
    </row>
    <row r="5" spans="1:26" x14ac:dyDescent="0.3">
      <c r="A5" s="49" t="s">
        <v>26</v>
      </c>
      <c r="B5" s="42">
        <v>0</v>
      </c>
      <c r="D5" s="22">
        <f t="shared" ref="D5:D40" si="6">EDATE(D4,3)</f>
        <v>44621</v>
      </c>
      <c r="E5" s="23">
        <f t="shared" si="4"/>
        <v>9</v>
      </c>
      <c r="F5" s="24">
        <v>1</v>
      </c>
      <c r="G5" s="24">
        <v>3.25</v>
      </c>
      <c r="H5" s="60">
        <f t="shared" si="5"/>
        <v>421062.600459343</v>
      </c>
      <c r="I5" s="25">
        <f>IF(K4&gt;0,
      IF(E4&gt;=$B$10*12,K4,I4)+O4+($B$6-$B$2*((1+$B$4/100)^_xlfn.FLOOR.MATH(E4/12))*F4+$B$3*((1+$B$5/100)^_xlfn.FLOOR.MATH(E4/12)))/4+(E4&lt;=$B$10*12)*$B$32*3,
      0)</f>
        <v>74681.091429320382</v>
      </c>
      <c r="J5" s="25">
        <f>IF(E5&lt;=$B$10*12,J4+N4-$B$32*3, 0)</f>
        <v>343478.34814357269</v>
      </c>
      <c r="K5" s="25">
        <f t="shared" si="0"/>
        <v>418159.43957289308</v>
      </c>
      <c r="L5" s="26">
        <f t="shared" si="1"/>
        <v>3165.8710063067151</v>
      </c>
      <c r="M5" s="26">
        <f t="shared" si="2"/>
        <v>2195.6163835466223</v>
      </c>
      <c r="N5" s="27">
        <f>IF(E5&lt;$B$10*12,
       (J5+MIN(0,MAX(-$B$13,I5)))*((1+$B$31/100/12)^3-1),
       0)</f>
        <v>1634.1067604703842</v>
      </c>
      <c r="O5" s="28">
        <f t="shared" si="3"/>
        <v>561.50962307623809</v>
      </c>
      <c r="P5" s="2"/>
      <c r="Q5" s="4"/>
      <c r="R5" s="4"/>
      <c r="S5" s="4"/>
      <c r="T5" s="4"/>
      <c r="U5" s="4"/>
      <c r="V5" s="18"/>
      <c r="W5" s="4"/>
      <c r="X5" s="4"/>
      <c r="Y5" s="4"/>
      <c r="Z5" s="4"/>
    </row>
    <row r="6" spans="1:26" x14ac:dyDescent="0.3">
      <c r="A6" s="51" t="s">
        <v>5</v>
      </c>
      <c r="B6" s="41">
        <v>500</v>
      </c>
      <c r="D6" s="22">
        <f t="shared" si="6"/>
        <v>44713</v>
      </c>
      <c r="E6" s="23">
        <f t="shared" si="4"/>
        <v>12</v>
      </c>
      <c r="F6" s="24">
        <v>0.5</v>
      </c>
      <c r="G6" s="24">
        <v>3.25</v>
      </c>
      <c r="H6" s="60">
        <f t="shared" si="5"/>
        <v>394353.47146564972</v>
      </c>
      <c r="I6" s="25">
        <f>IF(K5&gt;0,
      IF(E5&gt;=$B$10*12,K5,I5)+O5+($B$6-$B$2*((1+$B$4/100)^_xlfn.FLOOR.MATH(E5/12))*F5+$B$3*((1+$B$5/100)^_xlfn.FLOOR.MATH(E5/12)))/4+(E5&lt;=$B$10*12)*$B$32*3,
      0)</f>
        <v>49196.309103265448</v>
      </c>
      <c r="J6" s="25">
        <f>IF(E6&lt;=$B$10*12,J5+N5-$B$32*3, 0)</f>
        <v>341283.74685317423</v>
      </c>
      <c r="K6" s="25">
        <f t="shared" si="0"/>
        <v>390480.0559564397</v>
      </c>
      <c r="L6" s="26">
        <f t="shared" si="1"/>
        <v>2965.0513253552499</v>
      </c>
      <c r="M6" s="26">
        <f t="shared" si="2"/>
        <v>1993.5614081618544</v>
      </c>
      <c r="N6" s="27">
        <f>IF(E6&lt;$B$10*12,
       (J6+MIN(0,MAX(-$B$13,I6)))*((1+$B$31/100/12)^3-1),
       0)</f>
        <v>1623.6658903993596</v>
      </c>
      <c r="O6" s="28">
        <f t="shared" si="3"/>
        <v>369.89551776249488</v>
      </c>
      <c r="P6" s="2"/>
      <c r="Q6" s="5"/>
      <c r="R6" s="5"/>
      <c r="S6" s="5"/>
      <c r="T6" s="5"/>
      <c r="U6" s="5"/>
      <c r="V6" s="18"/>
      <c r="W6" s="5"/>
      <c r="X6" s="5"/>
      <c r="Y6" s="5"/>
      <c r="Z6" s="5"/>
    </row>
    <row r="7" spans="1:26" x14ac:dyDescent="0.3">
      <c r="A7" s="49" t="s">
        <v>24</v>
      </c>
      <c r="B7" s="47">
        <v>44348</v>
      </c>
      <c r="D7" s="22">
        <f t="shared" si="6"/>
        <v>44805</v>
      </c>
      <c r="E7" s="23">
        <f t="shared" si="4"/>
        <v>15</v>
      </c>
      <c r="F7" s="24">
        <v>0.5</v>
      </c>
      <c r="G7" s="24">
        <v>3.25</v>
      </c>
      <c r="H7" s="60">
        <f t="shared" si="5"/>
        <v>386193.52279100497</v>
      </c>
      <c r="I7" s="25">
        <f>IF(K6&gt;0,
      IF(E6&gt;=$B$10*12,K6,I6)+O6+($B$6-$B$2*((1+$B$4/100)^_xlfn.FLOOR.MATH(E6/12))*F6+$B$3*((1+$B$5/100)^_xlfn.FLOOR.MATH(E6/12)))/4+(E6&lt;=$B$10*12)*$B$32*3,
      0)</f>
        <v>42269.912671896767</v>
      </c>
      <c r="J7" s="25">
        <f>IF(E7&lt;=$B$10*12,J6+N6-$B$32*3, 0)</f>
        <v>339078.70469270478</v>
      </c>
      <c r="K7" s="25">
        <f t="shared" si="0"/>
        <v>381348.61736460152</v>
      </c>
      <c r="L7" s="26">
        <f t="shared" si="1"/>
        <v>2903.6985837585685</v>
      </c>
      <c r="M7" s="26">
        <f t="shared" si="2"/>
        <v>1930.99291399921</v>
      </c>
      <c r="N7" s="27">
        <f>IF(E7&lt;$B$10*12,
       (J7+MIN(0,MAX(-$B$13,I7)))*((1+$B$31/100/12)^3-1),
       0)</f>
        <v>1613.1753476300109</v>
      </c>
      <c r="O7" s="28">
        <f t="shared" si="3"/>
        <v>317.81756636919903</v>
      </c>
      <c r="P7" s="2"/>
      <c r="Q7" s="4"/>
      <c r="R7" s="4"/>
      <c r="S7" s="4"/>
      <c r="T7" s="4"/>
      <c r="U7" s="4"/>
      <c r="V7" s="18"/>
      <c r="W7" s="4"/>
      <c r="X7" s="4"/>
      <c r="Y7" s="4"/>
      <c r="Z7" s="4"/>
    </row>
    <row r="8" spans="1:26" ht="14.4" customHeight="1" x14ac:dyDescent="0.3">
      <c r="A8" s="51" t="s">
        <v>28</v>
      </c>
      <c r="B8" s="41">
        <v>500000</v>
      </c>
      <c r="D8" s="22">
        <f t="shared" si="6"/>
        <v>44896</v>
      </c>
      <c r="E8" s="23">
        <f t="shared" si="4"/>
        <v>18</v>
      </c>
      <c r="F8" s="24">
        <v>0.5</v>
      </c>
      <c r="G8" s="24">
        <v>3.25</v>
      </c>
      <c r="H8" s="60">
        <f t="shared" si="5"/>
        <v>377972.22137476353</v>
      </c>
      <c r="I8" s="25">
        <f>IF(K7&gt;0,
      IF(E7&gt;=$B$10*12,K7,I7)+O7+($B$6-$B$2*((1+$B$4/100)^_xlfn.FLOOR.MATH(E7/12))*F7+$B$3*((1+$B$5/100)^_xlfn.FLOOR.MATH(E7/12)))/4+(E7&lt;=$B$10*12)*$B$32*3,
      0)</f>
        <v>35291.438289134792</v>
      </c>
      <c r="J8" s="25">
        <f>IF(E8&lt;=$B$10*12,J7+N7-$B$32*3, 0)</f>
        <v>336863.17198946595</v>
      </c>
      <c r="K8" s="25">
        <f t="shared" si="0"/>
        <v>372154.61027860071</v>
      </c>
      <c r="L8" s="26">
        <f t="shared" si="1"/>
        <v>2841.8845452773703</v>
      </c>
      <c r="M8" s="26">
        <f t="shared" si="2"/>
        <v>1867.9829489083909</v>
      </c>
      <c r="N8" s="27">
        <f>IF(E8&lt;$B$10*12,
       (J8+MIN(0,MAX(-$B$13,I8)))*((1+$B$31/100/12)^3-1),
       0)</f>
        <v>1602.6348958432438</v>
      </c>
      <c r="O8" s="28">
        <f t="shared" si="3"/>
        <v>265.34805306514693</v>
      </c>
      <c r="P8" s="2"/>
      <c r="V8" s="18"/>
      <c r="W8" s="8"/>
      <c r="X8" s="8"/>
    </row>
    <row r="9" spans="1:26" x14ac:dyDescent="0.3">
      <c r="A9" s="51" t="s">
        <v>6</v>
      </c>
      <c r="B9" s="41">
        <v>350000</v>
      </c>
      <c r="D9" s="22">
        <f t="shared" si="6"/>
        <v>44986</v>
      </c>
      <c r="E9" s="23">
        <f t="shared" si="4"/>
        <v>21</v>
      </c>
      <c r="F9" s="24">
        <v>0.5</v>
      </c>
      <c r="G9" s="24">
        <v>3.5</v>
      </c>
      <c r="H9" s="60">
        <f t="shared" si="5"/>
        <v>369689.10592004092</v>
      </c>
      <c r="I9" s="25">
        <f>IF(K8&gt;0,
      IF(E8&gt;=$B$10*12,K8,I8)+O8+($B$6-$B$2*((1+$B$4/100)^_xlfn.FLOOR.MATH(E8/12))*F8+$B$3*((1+$B$5/100)^_xlfn.FLOOR.MATH(E8/12)))/4+(E8&lt;=$B$10*12)*$B$32*3,
      0)</f>
        <v>28260.494393068766</v>
      </c>
      <c r="J9" s="25">
        <f>IF(E9&lt;=$B$10*12,J8+N8-$B$32*3, 0)</f>
        <v>334637.09883444034</v>
      </c>
      <c r="K9" s="25">
        <f t="shared" si="0"/>
        <v>362897.59322750912</v>
      </c>
      <c r="L9" s="26">
        <f t="shared" si="1"/>
        <v>2779.6057415284977</v>
      </c>
      <c r="M9" s="26">
        <f t="shared" si="2"/>
        <v>1804.5283313837733</v>
      </c>
      <c r="N9" s="27">
        <f>IF(E9&lt;$B$10*12,
       (J9+MIN(0,MAX(-$B$13,I9)))*((1+$B$31/100/12)^3-1),
       0)</f>
        <v>1592.0442975956696</v>
      </c>
      <c r="O9" s="28">
        <f t="shared" si="3"/>
        <v>212.4840337881038</v>
      </c>
      <c r="P9" s="2"/>
      <c r="V9" s="19"/>
      <c r="X9" s="8"/>
    </row>
    <row r="10" spans="1:26" ht="14.4" customHeight="1" x14ac:dyDescent="0.3">
      <c r="A10" s="51" t="s">
        <v>9</v>
      </c>
      <c r="B10" s="43">
        <v>3</v>
      </c>
      <c r="D10" s="22">
        <f t="shared" si="6"/>
        <v>45078</v>
      </c>
      <c r="E10" s="23">
        <f t="shared" si="4"/>
        <v>24</v>
      </c>
      <c r="F10" s="24">
        <v>1</v>
      </c>
      <c r="G10" s="24">
        <v>3.5</v>
      </c>
      <c r="H10" s="60">
        <f t="shared" si="5"/>
        <v>361343.71166156942</v>
      </c>
      <c r="I10" s="25">
        <f>IF(K9&gt;0,
      IF(E9&gt;=$B$10*12,K9,I9)+O9+($B$6-$B$2*((1+$B$4/100)^_xlfn.FLOOR.MATH(E9/12))*F9+$B$3*((1+$B$5/100)^_xlfn.FLOOR.MATH(E9/12)))/4+(E9&lt;=$B$10*12)*$B$32*3,
      0)</f>
        <v>21176.686477725692</v>
      </c>
      <c r="J10" s="25">
        <f>IF(E10&lt;=$B$10*12,J9+N9-$B$32*3, 0)</f>
        <v>332400.4350811672</v>
      </c>
      <c r="K10" s="25">
        <f t="shared" si="0"/>
        <v>353577.12155889289</v>
      </c>
      <c r="L10" s="26">
        <f t="shared" si="1"/>
        <v>2716.8586780508322</v>
      </c>
      <c r="M10" s="26">
        <f t="shared" si="2"/>
        <v>1740.625856654379</v>
      </c>
      <c r="N10" s="27">
        <f>IF(E10&lt;$B$10*12,
       (J10+MIN(0,MAX(-$B$13,I10)))*((1+$B$31/100/12)^3-1),
       0)</f>
        <v>1581.4033143142578</v>
      </c>
      <c r="O10" s="28">
        <f t="shared" si="3"/>
        <v>159.22254234012112</v>
      </c>
      <c r="P10" s="2"/>
      <c r="Q10" s="5"/>
      <c r="R10" s="5"/>
      <c r="S10" s="5"/>
      <c r="T10" s="5"/>
      <c r="U10" s="5"/>
      <c r="V10" s="19"/>
      <c r="W10" s="5"/>
      <c r="X10" s="6"/>
      <c r="Y10" s="5"/>
      <c r="Z10" s="5"/>
    </row>
    <row r="11" spans="1:26" x14ac:dyDescent="0.3">
      <c r="A11" s="51" t="s">
        <v>7</v>
      </c>
      <c r="B11" s="42">
        <v>3</v>
      </c>
      <c r="D11" s="22">
        <f t="shared" si="6"/>
        <v>45170</v>
      </c>
      <c r="E11" s="23">
        <f t="shared" si="4"/>
        <v>27</v>
      </c>
      <c r="F11" s="24">
        <v>1</v>
      </c>
      <c r="G11" s="24">
        <v>3.5</v>
      </c>
      <c r="H11" s="60">
        <f t="shared" si="5"/>
        <v>334185.57033962023</v>
      </c>
      <c r="I11" s="25">
        <f>IF(K10&gt;0,
      IF(E10&gt;=$B$10*12,K10,I10)+O10+($B$6-$B$2*((1+$B$4/100)^_xlfn.FLOOR.MATH(E10/12))*F10+$B$3*((1+$B$5/100)^_xlfn.FLOOR.MATH(E10/12)))/4+(E10&lt;=$B$10*12)*$B$32*3,
      0)</f>
        <v>-4710.3829290653648</v>
      </c>
      <c r="J11" s="25">
        <f>IF(E11&lt;=$B$10*12,J10+N10-$B$32*3, 0)</f>
        <v>330153.13034461264</v>
      </c>
      <c r="K11" s="25">
        <f t="shared" si="0"/>
        <v>325442.74741554726</v>
      </c>
      <c r="L11" s="26">
        <f t="shared" si="1"/>
        <v>2512.6629786404751</v>
      </c>
      <c r="M11" s="26">
        <f t="shared" si="2"/>
        <v>1548.3019426758963</v>
      </c>
      <c r="N11" s="27">
        <f>IF(E11&lt;$B$10*12,
       (J11+MIN(0,MAX(-$B$13,I11)))*((1+$B$31/100/12)^3-1),
       0)</f>
        <v>1548.3019426758963</v>
      </c>
      <c r="O11" s="28">
        <f t="shared" si="3"/>
        <v>0</v>
      </c>
      <c r="P11" s="2"/>
      <c r="V11" s="19"/>
      <c r="X11" s="8"/>
    </row>
    <row r="12" spans="1:26" ht="14.4" customHeight="1" x14ac:dyDescent="0.3">
      <c r="A12" s="51" t="s">
        <v>29</v>
      </c>
      <c r="B12" s="43">
        <v>30</v>
      </c>
      <c r="D12" s="22">
        <f t="shared" si="6"/>
        <v>45261</v>
      </c>
      <c r="E12" s="23">
        <f t="shared" si="4"/>
        <v>30</v>
      </c>
      <c r="F12" s="24">
        <v>1</v>
      </c>
      <c r="G12" s="24">
        <v>3.5</v>
      </c>
      <c r="H12" s="60">
        <f t="shared" si="5"/>
        <v>306823.2333182607</v>
      </c>
      <c r="I12" s="25">
        <f>IF(K11&gt;0,
      IF(E11&gt;=$B$10*12,K11,I11)+O11+($B$6-$B$2*((1+$B$4/100)^_xlfn.FLOOR.MATH(E11/12))*F11+$B$3*((1+$B$5/100)^_xlfn.FLOOR.MATH(E11/12)))/4+(E11&lt;=$B$10*12)*$B$32*3,
      0)</f>
        <v>-30756.674878196543</v>
      </c>
      <c r="J12" s="25">
        <f>IF(E12&lt;=$B$10*12,J11+N11-$B$32*3, 0)</f>
        <v>327872.72423641972</v>
      </c>
      <c r="K12" s="25">
        <f t="shared" si="0"/>
        <v>297116.04935822316</v>
      </c>
      <c r="L12" s="26">
        <f t="shared" si="1"/>
        <v>2306.9319796246186</v>
      </c>
      <c r="M12" s="26">
        <f t="shared" si="2"/>
        <v>1413.5369740906624</v>
      </c>
      <c r="N12" s="27">
        <f>IF(E12&lt;$B$10*12,
       (J12+MIN(0,MAX(-$B$13,I12)))*((1+$B$31/100/12)^3-1),
       0)</f>
        <v>1413.5369740906624</v>
      </c>
      <c r="O12" s="28">
        <f t="shared" si="3"/>
        <v>0</v>
      </c>
      <c r="P12" s="2"/>
      <c r="V12" s="19"/>
      <c r="W12" s="8"/>
      <c r="X12" s="8"/>
    </row>
    <row r="13" spans="1:26" ht="15" thickBot="1" x14ac:dyDescent="0.35">
      <c r="A13" s="52" t="s">
        <v>30</v>
      </c>
      <c r="B13" s="48">
        <v>50000</v>
      </c>
      <c r="D13" s="22">
        <f t="shared" si="6"/>
        <v>45352</v>
      </c>
      <c r="E13" s="23">
        <f t="shared" si="4"/>
        <v>33</v>
      </c>
      <c r="F13" s="24">
        <v>1</v>
      </c>
      <c r="G13" s="24">
        <v>3.75</v>
      </c>
      <c r="H13" s="60">
        <f t="shared" si="5"/>
        <v>279255.16529788531</v>
      </c>
      <c r="I13" s="25">
        <f>IF(K12&gt;0,
      IF(E12&gt;=$B$10*12,K12,I12)+O12+($B$6-$B$2*((1+$B$4/100)^_xlfn.FLOOR.MATH(E12/12))*F12+$B$3*((1+$B$5/100)^_xlfn.FLOOR.MATH(E12/12)))/4+(E12&lt;=$B$10*12)*$B$32*3,
      0)</f>
        <v>-56802.96682732772</v>
      </c>
      <c r="J13" s="25">
        <f>IF(E13&lt;=$B$10*12,J12+N12-$B$32*3, 0)</f>
        <v>325457.55315964157</v>
      </c>
      <c r="K13" s="25">
        <f t="shared" si="0"/>
        <v>268654.58633231383</v>
      </c>
      <c r="L13" s="26">
        <f t="shared" si="1"/>
        <v>2099.654137445365</v>
      </c>
      <c r="M13" s="26">
        <f t="shared" si="2"/>
        <v>1310.4961412375521</v>
      </c>
      <c r="N13" s="27">
        <f>IF(E13&lt;$B$10*12,
       (J13+MIN(0,MAX(-$B$13,I13)))*((1+$B$31/100/12)^3-1),
       0)</f>
        <v>1310.4961412375521</v>
      </c>
      <c r="O13" s="28">
        <f t="shared" si="3"/>
        <v>0</v>
      </c>
      <c r="P13" s="2"/>
      <c r="V13" s="19"/>
      <c r="W13" s="8"/>
      <c r="X13" s="8"/>
    </row>
    <row r="14" spans="1:26" x14ac:dyDescent="0.3">
      <c r="A14" s="63" t="s">
        <v>23</v>
      </c>
      <c r="B14" s="64"/>
      <c r="D14" s="22">
        <f t="shared" si="6"/>
        <v>45444</v>
      </c>
      <c r="E14" s="23">
        <f t="shared" si="4"/>
        <v>36</v>
      </c>
      <c r="F14" s="24">
        <v>1</v>
      </c>
      <c r="G14" s="24">
        <v>3.75</v>
      </c>
      <c r="H14" s="60">
        <f t="shared" si="5"/>
        <v>251479.81943533069</v>
      </c>
      <c r="I14" s="25">
        <f>IF(K13&gt;0,
      IF(E13&gt;=$B$10*12,K13,I13)+O13+($B$6-$B$2*((1+$B$4/100)^_xlfn.FLOOR.MATH(E13/12))*F13+$B$3*((1+$B$5/100)^_xlfn.FLOOR.MATH(E13/12)))/4+(E13&lt;=$B$10*12)*$B$32*3,
      0)</f>
        <v>-82849.258776458897</v>
      </c>
      <c r="J14" s="25">
        <f>IF(E14&lt;=$B$10*12,J13+N13-$B$32*3, 0)</f>
        <v>322939.3412500103</v>
      </c>
      <c r="K14" s="25">
        <f t="shared" si="0"/>
        <v>240090.08247355139</v>
      </c>
      <c r="L14" s="26">
        <f t="shared" si="1"/>
        <v>1890.8178217515101</v>
      </c>
      <c r="M14" s="26">
        <f t="shared" si="2"/>
        <v>1805.1810590054947</v>
      </c>
      <c r="N14" s="27">
        <f>IF(E14&lt;$B$10*12,
       (J14+MIN(0,MAX(-$B$13,I14)))*((1+$B$31/100/12)^3-1),
       0)</f>
        <v>0</v>
      </c>
      <c r="O14" s="28">
        <f t="shared" si="3"/>
        <v>1805.1810590054947</v>
      </c>
      <c r="P14" s="2"/>
      <c r="Q14" s="5"/>
      <c r="R14" s="5"/>
      <c r="S14" s="5"/>
      <c r="T14" s="5"/>
      <c r="U14" s="5"/>
      <c r="V14" s="19"/>
      <c r="W14" s="6"/>
      <c r="X14" s="6"/>
      <c r="Y14" s="5"/>
      <c r="Z14" s="5"/>
    </row>
    <row r="15" spans="1:26" x14ac:dyDescent="0.3">
      <c r="A15" s="49" t="s">
        <v>9</v>
      </c>
      <c r="B15" s="43" t="s">
        <v>8</v>
      </c>
      <c r="D15" s="22">
        <f t="shared" si="6"/>
        <v>45536</v>
      </c>
      <c r="E15" s="23">
        <f t="shared" si="4"/>
        <v>39</v>
      </c>
      <c r="F15" s="24">
        <v>1</v>
      </c>
      <c r="G15" s="24">
        <v>3.75</v>
      </c>
      <c r="H15" s="60">
        <f t="shared" si="5"/>
        <v>223495.63725708221</v>
      </c>
      <c r="I15" s="25">
        <f>IF(K14&gt;0,
      IF(E14&gt;=$B$10*12,K14,I14)+O14+($B$6-$B$2*((1+$B$4/100)^_xlfn.FLOOR.MATH(E14/12))*F14+$B$3*((1+$B$5/100)^_xlfn.FLOOR.MATH(E14/12)))/4+(E14&lt;=$B$10*12)*$B$32*3,
      0)</f>
        <v>215848.97158342571</v>
      </c>
      <c r="J15" s="25">
        <f>IF(E15&lt;=$B$10*12,J14+N14-$B$32*3, 0)</f>
        <v>0</v>
      </c>
      <c r="K15" s="25">
        <f t="shared" si="0"/>
        <v>215848.97158342571</v>
      </c>
      <c r="L15" s="26">
        <f t="shared" si="1"/>
        <v>1680.4113147459648</v>
      </c>
      <c r="M15" s="26">
        <f t="shared" si="2"/>
        <v>1622.9178277330107</v>
      </c>
      <c r="N15" s="27">
        <f>IF(E15&lt;$B$10*12,
       (J15+MIN(0,MAX(-$B$13,I15)))*((1+$B$31/100/12)^3-1),
       0)</f>
        <v>0</v>
      </c>
      <c r="O15" s="28">
        <f t="shared" si="3"/>
        <v>1622.9178277330107</v>
      </c>
      <c r="P15" s="2"/>
      <c r="Q15" s="4"/>
      <c r="R15" s="4"/>
      <c r="S15" s="4"/>
      <c r="T15" s="4"/>
      <c r="U15" s="4"/>
      <c r="V15" s="19"/>
      <c r="W15" s="4"/>
      <c r="X15" s="4"/>
      <c r="Y15" s="4"/>
      <c r="Z15" s="4"/>
    </row>
    <row r="16" spans="1:26" ht="14.4" customHeight="1" x14ac:dyDescent="0.3">
      <c r="A16" s="29">
        <v>1</v>
      </c>
      <c r="B16" s="37">
        <v>1.8</v>
      </c>
      <c r="D16" s="22">
        <f t="shared" si="6"/>
        <v>45627</v>
      </c>
      <c r="E16" s="23">
        <f t="shared" si="4"/>
        <v>42</v>
      </c>
      <c r="F16" s="24">
        <v>1</v>
      </c>
      <c r="G16" s="24">
        <v>3.75</v>
      </c>
      <c r="H16" s="60">
        <f t="shared" si="5"/>
        <v>195301.04857182817</v>
      </c>
      <c r="I16" s="25">
        <f>IF(K15&gt;0,
      IF(E15&gt;=$B$10*12,K15,I15)+O15+($B$6-$B$2*((1+$B$4/100)^_xlfn.FLOOR.MATH(E15/12))*F15+$B$3*((1+$B$5/100)^_xlfn.FLOOR.MATH(E15/12)))/4+(E15&lt;=$B$10*12)*$B$32*3,
      0)</f>
        <v>187596.88941115871</v>
      </c>
      <c r="J16" s="25">
        <f>IF(E16&lt;=$B$10*12,J15+N15-$B$32*3, 0)</f>
        <v>0</v>
      </c>
      <c r="K16" s="25">
        <f t="shared" si="0"/>
        <v>187596.88941115871</v>
      </c>
      <c r="L16" s="26">
        <f t="shared" si="1"/>
        <v>1468.4228105282696</v>
      </c>
      <c r="M16" s="26">
        <f t="shared" si="2"/>
        <v>1410.4970434615011</v>
      </c>
      <c r="N16" s="27">
        <f>IF(E16&lt;$B$10*12,
       (J16+MIN(0,MAX(-$B$13,I16)))*((1+$B$31/100/12)^3-1),
       0)</f>
        <v>0</v>
      </c>
      <c r="O16" s="28">
        <f t="shared" si="3"/>
        <v>1410.4970434615011</v>
      </c>
      <c r="P16" s="2"/>
      <c r="Q16" s="4"/>
      <c r="R16" s="4"/>
      <c r="S16" s="4"/>
      <c r="T16" s="4"/>
      <c r="U16" s="4"/>
      <c r="V16" s="19"/>
      <c r="W16" s="4"/>
      <c r="X16" s="9"/>
      <c r="Y16" s="4"/>
      <c r="Z16" s="4"/>
    </row>
    <row r="17" spans="1:26" x14ac:dyDescent="0.3">
      <c r="A17" s="29">
        <v>2</v>
      </c>
      <c r="B17" s="37">
        <v>1.85</v>
      </c>
      <c r="D17" s="22">
        <f t="shared" si="6"/>
        <v>45717</v>
      </c>
      <c r="E17" s="23">
        <f t="shared" si="4"/>
        <v>45</v>
      </c>
      <c r="F17" s="24">
        <v>1</v>
      </c>
      <c r="G17" s="24">
        <v>4</v>
      </c>
      <c r="H17" s="60">
        <f t="shared" si="5"/>
        <v>166894.47138235645</v>
      </c>
      <c r="I17" s="25">
        <f>IF(K16&gt;0,
      IF(E16&gt;=$B$10*12,K16,I16)+O16+($B$6-$B$2*((1+$B$4/100)^_xlfn.FLOOR.MATH(E16/12))*F16+$B$3*((1+$B$5/100)^_xlfn.FLOOR.MATH(E16/12)))/4+(E16&lt;=$B$10*12)*$B$32*3,
      0)</f>
        <v>159132.38645462022</v>
      </c>
      <c r="J17" s="25">
        <f>IF(E17&lt;=$B$10*12,J16+N16-$B$32*3, 0)</f>
        <v>0</v>
      </c>
      <c r="K17" s="25">
        <f t="shared" si="0"/>
        <v>159132.38645462022</v>
      </c>
      <c r="L17" s="26">
        <f t="shared" si="1"/>
        <v>1254.8404144321673</v>
      </c>
      <c r="M17" s="26">
        <f t="shared" si="2"/>
        <v>1196.4791170991755</v>
      </c>
      <c r="N17" s="27">
        <f>IF(E17&lt;$B$10*12,
       (J17+MIN(0,MAX(-$B$13,I17)))*((1+$B$31/100/12)^3-1),
       0)</f>
        <v>0</v>
      </c>
      <c r="O17" s="28">
        <f t="shared" si="3"/>
        <v>1196.4791170991755</v>
      </c>
      <c r="P17" s="2"/>
      <c r="Q17" s="5"/>
      <c r="R17" s="5"/>
      <c r="S17" s="5"/>
      <c r="T17" s="5"/>
      <c r="U17" s="5"/>
      <c r="V17" s="19"/>
      <c r="W17" s="5"/>
      <c r="X17" s="6"/>
      <c r="Y17" s="5"/>
      <c r="Z17" s="5"/>
    </row>
    <row r="18" spans="1:26" x14ac:dyDescent="0.3">
      <c r="A18" s="29">
        <v>3</v>
      </c>
      <c r="B18" s="37">
        <v>1.9</v>
      </c>
      <c r="D18" s="22">
        <f t="shared" si="6"/>
        <v>45809</v>
      </c>
      <c r="E18" s="23">
        <f t="shared" si="4"/>
        <v>48</v>
      </c>
      <c r="F18" s="24">
        <v>1</v>
      </c>
      <c r="G18" s="24">
        <v>4</v>
      </c>
      <c r="H18" s="60">
        <f t="shared" si="5"/>
        <v>138274.31179678862</v>
      </c>
      <c r="I18" s="25">
        <f>IF(K17&gt;0,
      IF(E17&gt;=$B$10*12,K17,I17)+O17+($B$6-$B$2*((1+$B$4/100)^_xlfn.FLOOR.MATH(E17/12))*F17+$B$3*((1+$B$5/100)^_xlfn.FLOOR.MATH(E17/12)))/4+(E17&lt;=$B$10*12)*$B$32*3,
      0)</f>
        <v>130453.86557171939</v>
      </c>
      <c r="J18" s="25">
        <f>IF(E18&lt;=$B$10*12,J17+N17-$B$32*3, 0)</f>
        <v>0</v>
      </c>
      <c r="K18" s="25">
        <f t="shared" si="0"/>
        <v>130453.86557171939</v>
      </c>
      <c r="L18" s="26">
        <f t="shared" si="1"/>
        <v>1039.6521423581926</v>
      </c>
      <c r="M18" s="26">
        <f t="shared" si="2"/>
        <v>980.85204010898303</v>
      </c>
      <c r="N18" s="27">
        <f>IF(E18&lt;$B$10*12,
       (J18+MIN(0,MAX(-$B$13,I18)))*((1+$B$31/100/12)^3-1),
       0)</f>
        <v>0</v>
      </c>
      <c r="O18" s="28">
        <f t="shared" si="3"/>
        <v>980.85204010898303</v>
      </c>
      <c r="P18" s="2"/>
      <c r="Q18" s="15"/>
      <c r="R18" s="15"/>
      <c r="S18" s="15"/>
      <c r="T18" s="15"/>
      <c r="U18" s="15"/>
      <c r="V18" s="19"/>
      <c r="W18" s="15"/>
      <c r="X18" s="15"/>
      <c r="Y18" s="15"/>
      <c r="Z18" s="15"/>
    </row>
    <row r="19" spans="1:26" ht="14.4" customHeight="1" x14ac:dyDescent="0.3">
      <c r="A19" s="29">
        <v>4</v>
      </c>
      <c r="B19" s="37">
        <v>2.2999999999999998</v>
      </c>
      <c r="D19" s="22">
        <f t="shared" si="6"/>
        <v>45901</v>
      </c>
      <c r="E19" s="23">
        <f t="shared" si="4"/>
        <v>51</v>
      </c>
      <c r="F19" s="24">
        <v>1</v>
      </c>
      <c r="G19" s="24">
        <v>4</v>
      </c>
      <c r="H19" s="60">
        <f t="shared" si="5"/>
        <v>109438.96393914681</v>
      </c>
      <c r="I19" s="25">
        <f>IF(K18&gt;0,
      IF(E18&gt;=$B$10*12,K18,I18)+O18+($B$6-$B$2*((1+$B$4/100)^_xlfn.FLOOR.MATH(E18/12))*F18+$B$3*((1+$B$5/100)^_xlfn.FLOOR.MATH(E18/12)))/4+(E18&lt;=$B$10*12)*$B$32*3,
      0)</f>
        <v>101559.71761182838</v>
      </c>
      <c r="J19" s="25">
        <f>IF(E19&lt;=$B$10*12,J18+N18-$B$32*3, 0)</f>
        <v>0</v>
      </c>
      <c r="K19" s="25">
        <f t="shared" si="0"/>
        <v>101559.71761182838</v>
      </c>
      <c r="L19" s="26">
        <f t="shared" si="1"/>
        <v>822.84592010124504</v>
      </c>
      <c r="M19" s="26">
        <f t="shared" si="2"/>
        <v>763.6037136644976</v>
      </c>
      <c r="N19" s="27">
        <f>IF(E19&lt;$B$10*12,
       (J19+MIN(0,MAX(-$B$13,I19)))*((1+$B$31/100/12)^3-1),
       0)</f>
        <v>0</v>
      </c>
      <c r="O19" s="28">
        <f t="shared" si="3"/>
        <v>763.6037136644976</v>
      </c>
      <c r="P19" s="2"/>
      <c r="V19" s="19"/>
      <c r="W19" s="8"/>
      <c r="X19" s="8"/>
    </row>
    <row r="20" spans="1:26" ht="14.4" customHeight="1" thickBot="1" x14ac:dyDescent="0.35">
      <c r="A20" s="46">
        <v>5</v>
      </c>
      <c r="B20" s="38">
        <v>2.5</v>
      </c>
      <c r="D20" s="22">
        <f t="shared" si="6"/>
        <v>45992</v>
      </c>
      <c r="E20" s="23">
        <f t="shared" si="4"/>
        <v>54</v>
      </c>
      <c r="F20" s="24">
        <v>1</v>
      </c>
      <c r="G20" s="24">
        <v>4</v>
      </c>
      <c r="H20" s="60">
        <f t="shared" si="5"/>
        <v>80386.809859248053</v>
      </c>
      <c r="I20" s="25">
        <f>IF(K19&gt;0,
      IF(E19&gt;=$B$10*12,K19,I19)+O19+($B$6-$B$2*((1+$B$4/100)^_xlfn.FLOOR.MATH(E19/12))*F19+$B$3*((1+$B$5/100)^_xlfn.FLOOR.MATH(E19/12)))/4+(E19&lt;=$B$10*12)*$B$32*3,
      0)</f>
        <v>72448.321325492885</v>
      </c>
      <c r="J20" s="25">
        <f>IF(E20&lt;=$B$10*12,J19+N19-$B$32*3, 0)</f>
        <v>0</v>
      </c>
      <c r="K20" s="25">
        <f t="shared" si="0"/>
        <v>72448.321325492885</v>
      </c>
      <c r="L20" s="26">
        <f t="shared" si="1"/>
        <v>604.40958267310577</v>
      </c>
      <c r="M20" s="26">
        <f t="shared" si="2"/>
        <v>544.72194797105271</v>
      </c>
      <c r="N20" s="27">
        <f>IF(E20&lt;$B$10*12,
       (J20+MIN(0,MAX(-$B$13,I20)))*((1+$B$31/100/12)^3-1),
       0)</f>
        <v>0</v>
      </c>
      <c r="O20" s="28">
        <f t="shared" si="3"/>
        <v>544.72194797105271</v>
      </c>
      <c r="P20" s="2"/>
      <c r="Q20" s="4"/>
      <c r="R20" s="4"/>
      <c r="S20" s="4"/>
      <c r="T20" s="4"/>
      <c r="U20" s="4"/>
      <c r="V20" s="19"/>
      <c r="W20" s="9"/>
      <c r="X20" s="9"/>
      <c r="Y20" s="4"/>
      <c r="Z20" s="4"/>
    </row>
    <row r="21" spans="1:26" ht="15" thickBot="1" x14ac:dyDescent="0.35">
      <c r="D21" s="22">
        <f t="shared" si="6"/>
        <v>46082</v>
      </c>
      <c r="E21" s="23">
        <f t="shared" si="4"/>
        <v>57</v>
      </c>
      <c r="F21" s="24">
        <v>1</v>
      </c>
      <c r="G21" s="24">
        <v>4.25</v>
      </c>
      <c r="H21" s="60">
        <f t="shared" si="5"/>
        <v>51116.219441921159</v>
      </c>
      <c r="I21" s="25">
        <f>IF(K20&gt;0,
      IF(E20&gt;=$B$10*12,K20,I20)+O20+($B$6-$B$2*((1+$B$4/100)^_xlfn.FLOOR.MATH(E20/12))*F20+$B$3*((1+$B$5/100)^_xlfn.FLOOR.MATH(E20/12)))/4+(E20&lt;=$B$10*12)*$B$32*3,
      0)</f>
        <v>43118.043273463933</v>
      </c>
      <c r="J21" s="25">
        <f>IF(E21&lt;=$B$10*12,J20+N20-$B$32*3, 0)</f>
        <v>0</v>
      </c>
      <c r="K21" s="25">
        <f t="shared" si="0"/>
        <v>43118.043273463933</v>
      </c>
      <c r="L21" s="26">
        <f t="shared" si="1"/>
        <v>384.33087361986105</v>
      </c>
      <c r="M21" s="26">
        <f t="shared" si="2"/>
        <v>324.1944615817726</v>
      </c>
      <c r="N21" s="27">
        <f>IF(E21&lt;$B$10*12,
       (J21+MIN(0,MAX(-$B$13,I21)))*((1+$B$31/100/12)^3-1),
       0)</f>
        <v>0</v>
      </c>
      <c r="O21" s="28">
        <f t="shared" si="3"/>
        <v>324.1944615817726</v>
      </c>
      <c r="P21" s="2"/>
      <c r="Q21" s="5"/>
      <c r="R21" s="5"/>
      <c r="S21" s="5"/>
      <c r="T21" s="5"/>
      <c r="U21" s="5"/>
      <c r="V21" s="19"/>
      <c r="W21" s="5"/>
      <c r="X21" s="6"/>
      <c r="Y21" s="5"/>
      <c r="Z21" s="5"/>
    </row>
    <row r="22" spans="1:26" ht="14.4" customHeight="1" thickBot="1" x14ac:dyDescent="0.35">
      <c r="A22" s="61" t="s">
        <v>21</v>
      </c>
      <c r="B22" s="62"/>
      <c r="D22" s="22">
        <f t="shared" si="6"/>
        <v>46174</v>
      </c>
      <c r="E22" s="23">
        <f t="shared" si="4"/>
        <v>60</v>
      </c>
      <c r="F22" s="24">
        <v>1</v>
      </c>
      <c r="G22" s="24">
        <v>4.25</v>
      </c>
      <c r="H22" s="60">
        <f t="shared" si="5"/>
        <v>21625.550315541019</v>
      </c>
      <c r="I22" s="25">
        <f>IF(K21&gt;0,
      IF(E21&gt;=$B$10*12,K21,I21)+O21+($B$6-$B$2*((1+$B$4/100)^_xlfn.FLOOR.MATH(E21/12))*F21+$B$3*((1+$B$5/100)^_xlfn.FLOOR.MATH(E21/12)))/4+(E21&lt;=$B$10*12)*$B$32*3,
      0)</f>
        <v>13567.237735045703</v>
      </c>
      <c r="J22" s="25">
        <f>IF(E22&lt;=$B$10*12,J21+N21-$B$32*3, 0)</f>
        <v>0</v>
      </c>
      <c r="K22" s="25">
        <f t="shared" si="0"/>
        <v>13567.237735045703</v>
      </c>
      <c r="L22" s="26">
        <f t="shared" si="1"/>
        <v>162.59744433419246</v>
      </c>
      <c r="M22" s="26">
        <f t="shared" si="2"/>
        <v>102.00888070846119</v>
      </c>
      <c r="N22" s="27">
        <f>IF(E22&lt;$B$10*12,
       (J22+MIN(0,MAX(-$B$13,I22)))*((1+$B$31/100/12)^3-1),
       0)</f>
        <v>0</v>
      </c>
      <c r="O22" s="28">
        <f t="shared" si="3"/>
        <v>102.00888070846119</v>
      </c>
      <c r="P22" s="2"/>
      <c r="Q22" s="4"/>
      <c r="R22" s="4"/>
      <c r="S22" s="4"/>
      <c r="T22" s="4"/>
      <c r="U22" s="4"/>
      <c r="V22" s="19"/>
      <c r="W22" s="4"/>
      <c r="X22" s="4"/>
      <c r="Y22" s="4"/>
      <c r="Z22" s="4"/>
    </row>
    <row r="23" spans="1:26" x14ac:dyDescent="0.3">
      <c r="A23" s="53" t="s">
        <v>11</v>
      </c>
      <c r="B23" s="34">
        <f>SUM(B24:B25)</f>
        <v>32340.538564885344</v>
      </c>
      <c r="D23" s="22">
        <f t="shared" si="6"/>
        <v>46266</v>
      </c>
      <c r="E23" s="23">
        <f t="shared" si="4"/>
        <v>63</v>
      </c>
      <c r="F23" s="24">
        <v>1</v>
      </c>
      <c r="G23" s="24">
        <v>4.25</v>
      </c>
      <c r="H23" s="60">
        <f t="shared" si="5"/>
        <v>0</v>
      </c>
      <c r="I23" s="25">
        <f>IF(K22&gt;0,
      IF(E22&gt;=$B$10*12,K22,I22)+O22+($B$6-$B$2*((1+$B$4/100)^_xlfn.FLOOR.MATH(E22/12))*F22+$B$3*((1+$B$5/100)^_xlfn.FLOOR.MATH(E22/12)))/4+(E22&lt;=$B$10*12)*$B$32*3,
      0)</f>
        <v>-16205.753384245836</v>
      </c>
      <c r="J23" s="25">
        <f>IF(E23&lt;=$B$10*12,J22+N22-$B$32*3, 0)</f>
        <v>0</v>
      </c>
      <c r="K23" s="25">
        <f t="shared" si="0"/>
        <v>0</v>
      </c>
      <c r="L23" s="26">
        <f t="shared" si="1"/>
        <v>0</v>
      </c>
      <c r="M23" s="26">
        <f t="shared" si="2"/>
        <v>0</v>
      </c>
      <c r="N23" s="27">
        <f>IF(E23&lt;$B$10*12,
       (J23+MIN(0,MAX(-$B$13,I23)))*((1+$B$31/100/12)^3-1),
       0)</f>
        <v>0</v>
      </c>
      <c r="O23" s="28">
        <f t="shared" si="3"/>
        <v>0</v>
      </c>
      <c r="P23" s="2"/>
      <c r="V23" s="19"/>
      <c r="X23" s="8"/>
    </row>
    <row r="24" spans="1:26" ht="14.4" customHeight="1" x14ac:dyDescent="0.3">
      <c r="A24" s="54" t="s">
        <v>12</v>
      </c>
      <c r="B24" s="35">
        <f>SUM(N:N)</f>
        <v>18883.837860436193</v>
      </c>
      <c r="D24" s="22">
        <f t="shared" si="6"/>
        <v>46357</v>
      </c>
      <c r="E24" s="23">
        <f t="shared" si="4"/>
        <v>66</v>
      </c>
      <c r="F24" s="24">
        <v>1</v>
      </c>
      <c r="G24" s="24">
        <v>4.25</v>
      </c>
      <c r="H24" s="60">
        <f t="shared" si="5"/>
        <v>0</v>
      </c>
      <c r="I24" s="25">
        <f>IF(K23&gt;0,
      IF(E23&gt;=$B$10*12,K23,I23)+O23+($B$6-$B$2*((1+$B$4/100)^_xlfn.FLOOR.MATH(E23/12))*F23+$B$3*((1+$B$5/100)^_xlfn.FLOOR.MATH(E23/12)))/4+(E23&lt;=$B$10*12)*$B$32*3,
      0)</f>
        <v>0</v>
      </c>
      <c r="J24" s="25">
        <f>IF(E24&lt;=$B$10*12,J23+N23-$B$32*3, 0)</f>
        <v>0</v>
      </c>
      <c r="K24" s="25">
        <f t="shared" si="0"/>
        <v>0</v>
      </c>
      <c r="L24" s="26">
        <f t="shared" si="1"/>
        <v>0</v>
      </c>
      <c r="M24" s="26">
        <f t="shared" si="2"/>
        <v>0</v>
      </c>
      <c r="N24" s="27">
        <f>IF(E24&lt;$B$10*12,
       (J24+MIN(0,MAX(-$B$13,I24)))*((1+$B$31/100/12)^3-1),
       0)</f>
        <v>0</v>
      </c>
      <c r="O24" s="28">
        <f t="shared" si="3"/>
        <v>0</v>
      </c>
      <c r="P24" s="2"/>
      <c r="Q24" s="15"/>
      <c r="R24" s="15"/>
      <c r="S24" s="15"/>
      <c r="T24" s="15"/>
      <c r="U24" s="15"/>
      <c r="V24" s="20"/>
      <c r="W24" s="16"/>
      <c r="X24" s="16"/>
      <c r="Y24" s="15"/>
      <c r="Z24" s="15"/>
    </row>
    <row r="25" spans="1:26" x14ac:dyDescent="0.3">
      <c r="A25" s="54" t="s">
        <v>13</v>
      </c>
      <c r="B25" s="35">
        <f>SUM(O:O)</f>
        <v>13456.700704449151</v>
      </c>
      <c r="D25" s="22">
        <f t="shared" si="6"/>
        <v>46447</v>
      </c>
      <c r="E25" s="23">
        <f t="shared" si="4"/>
        <v>69</v>
      </c>
      <c r="F25" s="24">
        <v>1</v>
      </c>
      <c r="G25" s="24">
        <v>4.25</v>
      </c>
      <c r="H25" s="60">
        <f t="shared" si="5"/>
        <v>0</v>
      </c>
      <c r="I25" s="25">
        <f>IF(K24&gt;0,
      IF(E24&gt;=$B$10*12,K24,I24)+O24+($B$6-$B$2*((1+$B$4/100)^_xlfn.FLOOR.MATH(E24/12))*F24+$B$3*((1+$B$5/100)^_xlfn.FLOOR.MATH(E24/12)))/4+(E24&lt;=$B$10*12)*$B$32*3,
      0)</f>
        <v>0</v>
      </c>
      <c r="J25" s="25">
        <f>IF(E25&lt;=$B$10*12,J24+N24-$B$32*3, 0)</f>
        <v>0</v>
      </c>
      <c r="K25" s="25">
        <f t="shared" si="0"/>
        <v>0</v>
      </c>
      <c r="L25" s="26">
        <f t="shared" si="1"/>
        <v>0</v>
      </c>
      <c r="M25" s="26">
        <f t="shared" si="2"/>
        <v>0</v>
      </c>
      <c r="N25" s="27">
        <f>IF(E25&lt;$B$10*12,
       (J25+MIN(0,MAX(-$B$13,I25)))*((1+$B$31/100/12)^3-1),
       0)</f>
        <v>0</v>
      </c>
      <c r="O25" s="28">
        <f t="shared" si="3"/>
        <v>0</v>
      </c>
      <c r="P25" s="2"/>
      <c r="Q25" s="4"/>
      <c r="R25" s="4"/>
      <c r="S25" s="4"/>
      <c r="T25" s="4"/>
      <c r="U25" s="4"/>
      <c r="V25" s="20"/>
      <c r="W25" s="9"/>
      <c r="X25" s="9"/>
      <c r="Y25" s="4"/>
      <c r="Z25" s="4"/>
    </row>
    <row r="26" spans="1:26" x14ac:dyDescent="0.3">
      <c r="A26" s="54" t="s">
        <v>14</v>
      </c>
      <c r="B26" s="36">
        <f>SUM(L:L)</f>
        <v>44288.147759875188</v>
      </c>
      <c r="D26" s="22">
        <f t="shared" si="6"/>
        <v>46539</v>
      </c>
      <c r="E26" s="23">
        <f t="shared" si="4"/>
        <v>72</v>
      </c>
      <c r="F26" s="24">
        <v>1</v>
      </c>
      <c r="G26" s="24">
        <v>4.25</v>
      </c>
      <c r="H26" s="60">
        <f t="shared" si="5"/>
        <v>0</v>
      </c>
      <c r="I26" s="25">
        <f>IF(K25&gt;0,
      IF(E25&gt;=$B$10*12,K25,I25)+O25+($B$6-$B$2*((1+$B$4/100)^_xlfn.FLOOR.MATH(E25/12))*F25+$B$3*((1+$B$5/100)^_xlfn.FLOOR.MATH(E25/12)))/4+(E25&lt;=$B$10*12)*$B$32*3,
      0)</f>
        <v>0</v>
      </c>
      <c r="J26" s="25">
        <f>IF(E26&lt;=$B$10*12,J25+N25-$B$32*3, 0)</f>
        <v>0</v>
      </c>
      <c r="K26" s="25">
        <f t="shared" si="0"/>
        <v>0</v>
      </c>
      <c r="L26" s="26">
        <f t="shared" si="1"/>
        <v>0</v>
      </c>
      <c r="M26" s="26">
        <f t="shared" si="2"/>
        <v>0</v>
      </c>
      <c r="N26" s="27">
        <f>IF(E26&lt;$B$10*12,
       (J26+MIN(0,MAX(-$B$13,I26)))*((1+$B$31/100/12)^3-1),
       0)</f>
        <v>0</v>
      </c>
      <c r="O26" s="28">
        <f t="shared" si="3"/>
        <v>0</v>
      </c>
      <c r="P26" s="2"/>
      <c r="Q26" s="5"/>
      <c r="R26" s="5"/>
      <c r="S26" s="5"/>
      <c r="T26" s="5"/>
      <c r="U26" s="5"/>
      <c r="V26" s="20"/>
      <c r="W26" s="5"/>
      <c r="X26" s="5"/>
      <c r="Y26" s="5"/>
      <c r="Z26" s="5"/>
    </row>
    <row r="27" spans="1:26" x14ac:dyDescent="0.3">
      <c r="A27" s="54" t="s">
        <v>36</v>
      </c>
      <c r="B27" s="36">
        <f>B26-B23</f>
        <v>11947.609194989844</v>
      </c>
      <c r="D27" s="22">
        <f t="shared" si="6"/>
        <v>46631</v>
      </c>
      <c r="E27" s="23">
        <f t="shared" si="4"/>
        <v>75</v>
      </c>
      <c r="F27" s="24">
        <v>1</v>
      </c>
      <c r="G27" s="24">
        <v>4.25</v>
      </c>
      <c r="H27" s="60">
        <f t="shared" si="5"/>
        <v>0</v>
      </c>
      <c r="I27" s="25">
        <f>IF(K26&gt;0,
      IF(E26&gt;=$B$10*12,K26,I26)+O26+($B$6-$B$2*((1+$B$4/100)^_xlfn.FLOOR.MATH(E26/12))*F26+$B$3*((1+$B$5/100)^_xlfn.FLOOR.MATH(E26/12)))/4+(E26&lt;=$B$10*12)*$B$32*3,
      0)</f>
        <v>0</v>
      </c>
      <c r="J27" s="25">
        <f>IF(E27&lt;=$B$10*12,J26+N26-$B$32*3, 0)</f>
        <v>0</v>
      </c>
      <c r="K27" s="25">
        <f t="shared" si="0"/>
        <v>0</v>
      </c>
      <c r="L27" s="26">
        <f t="shared" si="1"/>
        <v>0</v>
      </c>
      <c r="M27" s="26">
        <f t="shared" si="2"/>
        <v>0</v>
      </c>
      <c r="N27" s="27">
        <f>IF(E27&lt;$B$10*12,
       (J27+MIN(0,MAX(-$B$13,I27)))*((1+$B$31/100/12)^3-1),
       0)</f>
        <v>0</v>
      </c>
      <c r="O27" s="28">
        <f t="shared" si="3"/>
        <v>0</v>
      </c>
      <c r="P27" s="2"/>
      <c r="V27" s="20"/>
    </row>
    <row r="28" spans="1:26" x14ac:dyDescent="0.3">
      <c r="A28" s="54" t="s">
        <v>25</v>
      </c>
      <c r="B28" s="37">
        <f>INDEX(E2:E85,COUNT(K2:K85)-COUNTIF(K2:K85,0)+1)/12</f>
        <v>5.25</v>
      </c>
      <c r="D28" s="22">
        <f t="shared" si="6"/>
        <v>46722</v>
      </c>
      <c r="E28" s="23">
        <f t="shared" si="4"/>
        <v>78</v>
      </c>
      <c r="F28" s="24">
        <v>1</v>
      </c>
      <c r="G28" s="24">
        <v>4.25</v>
      </c>
      <c r="H28" s="60">
        <f t="shared" si="5"/>
        <v>0</v>
      </c>
      <c r="I28" s="25">
        <f>IF(K27&gt;0,
      IF(E27&gt;=$B$10*12,K27,I27)+O27+($B$6-$B$2*((1+$B$4/100)^_xlfn.FLOOR.MATH(E27/12))*F27+$B$3*((1+$B$5/100)^_xlfn.FLOOR.MATH(E27/12)))/4+(E27&lt;=$B$10*12)*$B$32*3,
      0)</f>
        <v>0</v>
      </c>
      <c r="J28" s="25">
        <f>IF(E28&lt;=$B$10*12,J27+N27-$B$32*3, 0)</f>
        <v>0</v>
      </c>
      <c r="K28" s="25">
        <f t="shared" si="0"/>
        <v>0</v>
      </c>
      <c r="L28" s="26">
        <f t="shared" si="1"/>
        <v>0</v>
      </c>
      <c r="M28" s="26">
        <f t="shared" si="2"/>
        <v>0</v>
      </c>
      <c r="N28" s="27">
        <f>IF(E28&lt;$B$10*12,
       (J28+MIN(0,MAX(-$B$13,I28)))*((1+$B$31/100/12)^3-1),
       0)</f>
        <v>0</v>
      </c>
      <c r="O28" s="28">
        <f t="shared" si="3"/>
        <v>0</v>
      </c>
      <c r="P28" s="2"/>
      <c r="V28" s="20"/>
      <c r="X28" s="8"/>
    </row>
    <row r="29" spans="1:26" ht="15" thickBot="1" x14ac:dyDescent="0.35">
      <c r="A29" s="55" t="s">
        <v>20</v>
      </c>
      <c r="B29" s="38">
        <f>INDEX(E2:E85,COUNT(H2:H85)-COUNTIF(H2:H85,0)+1)/12</f>
        <v>5.25</v>
      </c>
      <c r="D29" s="22">
        <f t="shared" si="6"/>
        <v>46813</v>
      </c>
      <c r="E29" s="23">
        <f t="shared" si="4"/>
        <v>81</v>
      </c>
      <c r="F29" s="24">
        <v>1</v>
      </c>
      <c r="G29" s="24">
        <v>4.25</v>
      </c>
      <c r="H29" s="60">
        <f t="shared" si="5"/>
        <v>0</v>
      </c>
      <c r="I29" s="25">
        <f>IF(K28&gt;0,
      IF(E28&gt;=$B$10*12,K28,I28)+O28+($B$6-$B$2*((1+$B$4/100)^_xlfn.FLOOR.MATH(E28/12))*F28+$B$3*((1+$B$5/100)^_xlfn.FLOOR.MATH(E28/12)))/4+(E28&lt;=$B$10*12)*$B$32*3,
      0)</f>
        <v>0</v>
      </c>
      <c r="J29" s="25">
        <f>IF(E29&lt;=$B$10*12,J28+N28-$B$32*3, 0)</f>
        <v>0</v>
      </c>
      <c r="K29" s="25">
        <f t="shared" si="0"/>
        <v>0</v>
      </c>
      <c r="L29" s="26">
        <f t="shared" si="1"/>
        <v>0</v>
      </c>
      <c r="M29" s="26">
        <f t="shared" si="2"/>
        <v>0</v>
      </c>
      <c r="N29" s="27">
        <f>IF(E29&lt;$B$10*12,
       (J29+MIN(0,MAX(-$B$13,I29)))*((1+$B$31/100/12)^3-1),
       0)</f>
        <v>0</v>
      </c>
      <c r="O29" s="28">
        <f t="shared" si="3"/>
        <v>0</v>
      </c>
      <c r="P29" s="2"/>
      <c r="Q29" s="4"/>
      <c r="R29" s="4"/>
      <c r="S29" s="4"/>
      <c r="T29" s="4"/>
      <c r="U29" s="4"/>
      <c r="V29" s="20"/>
      <c r="W29" s="9"/>
      <c r="X29" s="9"/>
      <c r="Y29" s="4"/>
      <c r="Z29" s="4"/>
    </row>
    <row r="30" spans="1:26" x14ac:dyDescent="0.3">
      <c r="D30" s="22">
        <f t="shared" si="6"/>
        <v>46905</v>
      </c>
      <c r="E30" s="23">
        <f t="shared" si="4"/>
        <v>84</v>
      </c>
      <c r="F30" s="24">
        <v>1</v>
      </c>
      <c r="G30" s="24">
        <v>4.25</v>
      </c>
      <c r="H30" s="60">
        <f t="shared" si="5"/>
        <v>0</v>
      </c>
      <c r="I30" s="25">
        <f>IF(K29&gt;0,
      IF(E29&gt;=$B$10*12,K29,I29)+O29+($B$6-$B$2*((1+$B$4/100)^_xlfn.FLOOR.MATH(E29/12))*F29+$B$3*((1+$B$5/100)^_xlfn.FLOOR.MATH(E29/12)))/4+(E29&lt;=$B$10*12)*$B$32*3,
      0)</f>
        <v>0</v>
      </c>
      <c r="J30" s="25">
        <f>IF(E30&lt;=$B$10*12,J29+N29-$B$32*3, 0)</f>
        <v>0</v>
      </c>
      <c r="K30" s="25">
        <f t="shared" si="0"/>
        <v>0</v>
      </c>
      <c r="L30" s="26">
        <f t="shared" si="1"/>
        <v>0</v>
      </c>
      <c r="M30" s="26">
        <f t="shared" si="2"/>
        <v>0</v>
      </c>
      <c r="N30" s="27">
        <f>IF(E30&lt;$B$10*12,
       (J30+MIN(0,MAX(-$B$13,I30)))*((1+$B$31/100/12)^3-1),
       0)</f>
        <v>0</v>
      </c>
      <c r="O30" s="28">
        <f t="shared" si="3"/>
        <v>0</v>
      </c>
      <c r="P30" s="2"/>
    </row>
    <row r="31" spans="1:26" x14ac:dyDescent="0.3">
      <c r="A31" s="21" t="s">
        <v>8</v>
      </c>
      <c r="B31" s="33">
        <f>VLOOKUP(B10,A16:B20,2)</f>
        <v>1.9</v>
      </c>
      <c r="D31" s="22">
        <f t="shared" si="6"/>
        <v>46997</v>
      </c>
      <c r="E31" s="23">
        <f t="shared" si="4"/>
        <v>87</v>
      </c>
      <c r="F31" s="24">
        <v>1</v>
      </c>
      <c r="G31" s="24">
        <v>4.25</v>
      </c>
      <c r="H31" s="60">
        <f t="shared" si="5"/>
        <v>0</v>
      </c>
      <c r="I31" s="25">
        <f>IF(K30&gt;0,
      IF(E30&gt;=$B$10*12,K30,I30)+O30+($B$6-$B$2*((1+$B$4/100)^_xlfn.FLOOR.MATH(E30/12))*F30+$B$3*((1+$B$5/100)^_xlfn.FLOOR.MATH(E30/12)))/4+(E30&lt;=$B$10*12)*$B$32*3,
      0)</f>
        <v>0</v>
      </c>
      <c r="J31" s="25">
        <f>IF(E31&lt;=$B$10*12,J30+N30-$B$32*3, 0)</f>
        <v>0</v>
      </c>
      <c r="K31" s="25">
        <f t="shared" si="0"/>
        <v>0</v>
      </c>
      <c r="L31" s="26">
        <f t="shared" si="1"/>
        <v>0</v>
      </c>
      <c r="M31" s="26">
        <f t="shared" si="2"/>
        <v>0</v>
      </c>
      <c r="N31" s="27">
        <f>IF(E31&lt;$B$10*12,
       (J31+MIN(0,MAX(-$B$13,I31)))*((1+$B$31/100/12)^3-1),
       0)</f>
        <v>0</v>
      </c>
      <c r="O31" s="28">
        <f t="shared" si="3"/>
        <v>0</v>
      </c>
      <c r="P31" s="2"/>
    </row>
    <row r="32" spans="1:26" x14ac:dyDescent="0.3">
      <c r="A32" s="21" t="s">
        <v>10</v>
      </c>
      <c r="B32" s="40">
        <f>-PMT(B31/100/12,B12*12,B9)</f>
        <v>1276.2360169562739</v>
      </c>
      <c r="D32" s="22">
        <f t="shared" si="6"/>
        <v>47088</v>
      </c>
      <c r="E32" s="23">
        <f t="shared" si="4"/>
        <v>90</v>
      </c>
      <c r="F32" s="24">
        <v>1</v>
      </c>
      <c r="G32" s="24">
        <v>4.25</v>
      </c>
      <c r="H32" s="60">
        <f t="shared" si="5"/>
        <v>0</v>
      </c>
      <c r="I32" s="25">
        <f>IF(K31&gt;0,
      IF(E31&gt;=$B$10*12,K31,I31)+O31+($B$6-$B$2*((1+$B$4/100)^_xlfn.FLOOR.MATH(E31/12))*F31+$B$3*((1+$B$5/100)^_xlfn.FLOOR.MATH(E31/12)))/4+(E31&lt;=$B$10*12)*$B$32*3,
      0)</f>
        <v>0</v>
      </c>
      <c r="J32" s="25">
        <f>IF(E32&lt;=$B$10*12,J31+N31-$B$32*3, 0)</f>
        <v>0</v>
      </c>
      <c r="K32" s="25">
        <f t="shared" si="0"/>
        <v>0</v>
      </c>
      <c r="L32" s="26">
        <f t="shared" si="1"/>
        <v>0</v>
      </c>
      <c r="M32" s="26">
        <f t="shared" si="2"/>
        <v>0</v>
      </c>
      <c r="N32" s="27">
        <f>IF(E32&lt;$B$10*12,
       (J32+MIN(0,MAX(-$B$13,I32)))*((1+$B$31/100/12)^3-1),
       0)</f>
        <v>0</v>
      </c>
      <c r="O32" s="28">
        <f t="shared" si="3"/>
        <v>0</v>
      </c>
      <c r="P32" s="2"/>
    </row>
    <row r="33" spans="4:16" x14ac:dyDescent="0.3">
      <c r="D33" s="22">
        <f t="shared" si="6"/>
        <v>47178</v>
      </c>
      <c r="E33" s="23">
        <f t="shared" si="4"/>
        <v>93</v>
      </c>
      <c r="F33" s="24">
        <v>1</v>
      </c>
      <c r="G33" s="24">
        <v>4.25</v>
      </c>
      <c r="H33" s="60">
        <f t="shared" si="5"/>
        <v>0</v>
      </c>
      <c r="I33" s="25">
        <f>IF(K32&gt;0,
      IF(E32&gt;=$B$10*12,K32,I32)+O32+($B$6-$B$2*((1+$B$4/100)^_xlfn.FLOOR.MATH(E32/12))*F32+$B$3*((1+$B$5/100)^_xlfn.FLOOR.MATH(E32/12)))/4+(E32&lt;=$B$10*12)*$B$32*3,
      0)</f>
        <v>0</v>
      </c>
      <c r="J33" s="25">
        <f>IF(E33&lt;=$B$10*12,J32+N32-$B$32*3, 0)</f>
        <v>0</v>
      </c>
      <c r="K33" s="25">
        <f t="shared" si="0"/>
        <v>0</v>
      </c>
      <c r="L33" s="26">
        <f t="shared" si="1"/>
        <v>0</v>
      </c>
      <c r="M33" s="26">
        <f t="shared" si="2"/>
        <v>0</v>
      </c>
      <c r="N33" s="27">
        <f>IF(E33&lt;$B$10*12,
       (J33+MIN(0,MAX(-$B$13,I33)))*((1+$B$31/100/12)^3-1),
       0)</f>
        <v>0</v>
      </c>
      <c r="O33" s="28">
        <f t="shared" si="3"/>
        <v>0</v>
      </c>
      <c r="P33" s="2"/>
    </row>
    <row r="34" spans="4:16" x14ac:dyDescent="0.3">
      <c r="D34" s="22">
        <f t="shared" si="6"/>
        <v>47270</v>
      </c>
      <c r="E34" s="23">
        <f t="shared" si="4"/>
        <v>96</v>
      </c>
      <c r="F34" s="24">
        <v>1</v>
      </c>
      <c r="G34" s="24">
        <v>4.25</v>
      </c>
      <c r="H34" s="60">
        <f t="shared" si="5"/>
        <v>0</v>
      </c>
      <c r="I34" s="25">
        <f>IF(K33&gt;0,
      IF(E33&gt;=$B$10*12,K33,I33)+O33+($B$6-$B$2*((1+$B$4/100)^_xlfn.FLOOR.MATH(E33/12))*F33+$B$3*((1+$B$5/100)^_xlfn.FLOOR.MATH(E33/12)))/4+(E33&lt;=$B$10*12)*$B$32*3,
      0)</f>
        <v>0</v>
      </c>
      <c r="J34" s="25">
        <f>IF(E34&lt;=$B$10*12,J33+N33-$B$32*3, 0)</f>
        <v>0</v>
      </c>
      <c r="K34" s="25">
        <f t="shared" si="0"/>
        <v>0</v>
      </c>
      <c r="L34" s="26">
        <f t="shared" si="1"/>
        <v>0</v>
      </c>
      <c r="M34" s="26">
        <f t="shared" si="2"/>
        <v>0</v>
      </c>
      <c r="N34" s="27">
        <f>IF(E34&lt;$B$10*12,
       (J34+MIN(0,MAX(-$B$13,I34)))*((1+$B$31/100/12)^3-1),
       0)</f>
        <v>0</v>
      </c>
      <c r="O34" s="28">
        <f t="shared" si="3"/>
        <v>0</v>
      </c>
      <c r="P34" s="2"/>
    </row>
    <row r="35" spans="4:16" x14ac:dyDescent="0.3">
      <c r="D35" s="22">
        <f t="shared" si="6"/>
        <v>47362</v>
      </c>
      <c r="E35" s="23">
        <f t="shared" si="4"/>
        <v>99</v>
      </c>
      <c r="F35" s="24">
        <v>1</v>
      </c>
      <c r="G35" s="24">
        <v>4.25</v>
      </c>
      <c r="H35" s="60">
        <f t="shared" si="5"/>
        <v>0</v>
      </c>
      <c r="I35" s="25">
        <f>IF(K34&gt;0,
      IF(E34&gt;=$B$10*12,K34,I34)+O34+($B$6-$B$2*((1+$B$4/100)^_xlfn.FLOOR.MATH(E34/12))*F34+$B$3*((1+$B$5/100)^_xlfn.FLOOR.MATH(E34/12)))/4+(E34&lt;=$B$10*12)*$B$32*3,
      0)</f>
        <v>0</v>
      </c>
      <c r="J35" s="25">
        <f>IF(E35&lt;=$B$10*12,J34+N34-$B$32*3, 0)</f>
        <v>0</v>
      </c>
      <c r="K35" s="25">
        <f t="shared" si="0"/>
        <v>0</v>
      </c>
      <c r="L35" s="26">
        <f t="shared" si="1"/>
        <v>0</v>
      </c>
      <c r="M35" s="26">
        <f t="shared" si="2"/>
        <v>0</v>
      </c>
      <c r="N35" s="27">
        <f>IF(E35&lt;$B$10*12,
       (J35+MIN(0,MAX(-$B$13,I35)))*((1+$B$31/100/12)^3-1),
       0)</f>
        <v>0</v>
      </c>
      <c r="O35" s="28">
        <f t="shared" si="3"/>
        <v>0</v>
      </c>
      <c r="P35" s="2"/>
    </row>
    <row r="36" spans="4:16" x14ac:dyDescent="0.3">
      <c r="D36" s="22">
        <f t="shared" si="6"/>
        <v>47453</v>
      </c>
      <c r="E36" s="23">
        <f t="shared" si="4"/>
        <v>102</v>
      </c>
      <c r="F36" s="24">
        <v>1</v>
      </c>
      <c r="G36" s="24">
        <v>4.25</v>
      </c>
      <c r="H36" s="60">
        <f t="shared" si="5"/>
        <v>0</v>
      </c>
      <c r="I36" s="25">
        <f>IF(K35&gt;0,
      IF(E35&gt;=$B$10*12,K35,I35)+O35+($B$6-$B$2*((1+$B$4/100)^_xlfn.FLOOR.MATH(E35/12))*F35+$B$3*((1+$B$5/100)^_xlfn.FLOOR.MATH(E35/12)))/4+(E35&lt;=$B$10*12)*$B$32*3,
      0)</f>
        <v>0</v>
      </c>
      <c r="J36" s="25">
        <f>IF(E36&lt;=$B$10*12,J35+N35-$B$32*3, 0)</f>
        <v>0</v>
      </c>
      <c r="K36" s="25">
        <f t="shared" si="0"/>
        <v>0</v>
      </c>
      <c r="L36" s="26">
        <f t="shared" si="1"/>
        <v>0</v>
      </c>
      <c r="M36" s="26">
        <f t="shared" si="2"/>
        <v>0</v>
      </c>
      <c r="N36" s="27">
        <f>IF(E36&lt;$B$10*12,
       (J36+MIN(0,MAX(-$B$13,I36)))*((1+$B$31/100/12)^3-1),
       0)</f>
        <v>0</v>
      </c>
      <c r="O36" s="28">
        <f t="shared" si="3"/>
        <v>0</v>
      </c>
      <c r="P36" s="2"/>
    </row>
    <row r="37" spans="4:16" x14ac:dyDescent="0.3">
      <c r="D37" s="22">
        <f t="shared" si="6"/>
        <v>47543</v>
      </c>
      <c r="E37" s="23">
        <f t="shared" si="4"/>
        <v>105</v>
      </c>
      <c r="F37" s="24">
        <v>1</v>
      </c>
      <c r="G37" s="24">
        <v>4.25</v>
      </c>
      <c r="H37" s="60">
        <f t="shared" si="5"/>
        <v>0</v>
      </c>
      <c r="I37" s="25">
        <f>IF(K36&gt;0,
      IF(E36&gt;=$B$10*12,K36,I36)+O36+($B$6-$B$2*((1+$B$4/100)^_xlfn.FLOOR.MATH(E36/12))*F36+$B$3*((1+$B$5/100)^_xlfn.FLOOR.MATH(E36/12)))/4+(E36&lt;=$B$10*12)*$B$32*3,
      0)</f>
        <v>0</v>
      </c>
      <c r="J37" s="25">
        <f>IF(E37&lt;=$B$10*12,J36+N36-$B$32*3, 0)</f>
        <v>0</v>
      </c>
      <c r="K37" s="25">
        <f t="shared" si="0"/>
        <v>0</v>
      </c>
      <c r="L37" s="26">
        <f t="shared" si="1"/>
        <v>0</v>
      </c>
      <c r="M37" s="26">
        <f t="shared" si="2"/>
        <v>0</v>
      </c>
      <c r="N37" s="27">
        <f>IF(E37&lt;$B$10*12,
       (J37+MIN(0,MAX(-$B$13,I37)))*((1+$B$31/100/12)^3-1),
       0)</f>
        <v>0</v>
      </c>
      <c r="O37" s="28">
        <f t="shared" si="3"/>
        <v>0</v>
      </c>
      <c r="P37" s="2"/>
    </row>
    <row r="38" spans="4:16" x14ac:dyDescent="0.3">
      <c r="D38" s="22">
        <f t="shared" si="6"/>
        <v>47635</v>
      </c>
      <c r="E38" s="23">
        <f t="shared" si="4"/>
        <v>108</v>
      </c>
      <c r="F38" s="24">
        <v>1</v>
      </c>
      <c r="G38" s="24">
        <v>4.25</v>
      </c>
      <c r="H38" s="60">
        <f t="shared" si="5"/>
        <v>0</v>
      </c>
      <c r="I38" s="25">
        <f>IF(K37&gt;0,
      IF(E37&gt;=$B$10*12,K37,I37)+O37+($B$6-$B$2*((1+$B$4/100)^_xlfn.FLOOR.MATH(E37/12))*F37+$B$3*((1+$B$5/100)^_xlfn.FLOOR.MATH(E37/12)))/4+(E37&lt;=$B$10*12)*$B$32*3,
      0)</f>
        <v>0</v>
      </c>
      <c r="J38" s="25">
        <f>IF(E38&lt;=$B$10*12,J37+N37-$B$32*3, 0)</f>
        <v>0</v>
      </c>
      <c r="K38" s="25">
        <f t="shared" si="0"/>
        <v>0</v>
      </c>
      <c r="L38" s="26">
        <f t="shared" si="1"/>
        <v>0</v>
      </c>
      <c r="M38" s="26">
        <f t="shared" si="2"/>
        <v>0</v>
      </c>
      <c r="N38" s="27">
        <f>IF(E38&lt;$B$10*12,
       (J38+MIN(0,MAX(-$B$13,I38)))*((1+$B$31/100/12)^3-1),
       0)</f>
        <v>0</v>
      </c>
      <c r="O38" s="28">
        <f t="shared" si="3"/>
        <v>0</v>
      </c>
      <c r="P38" s="2"/>
    </row>
    <row r="39" spans="4:16" x14ac:dyDescent="0.3">
      <c r="D39" s="22">
        <f t="shared" si="6"/>
        <v>47727</v>
      </c>
      <c r="E39" s="23">
        <f t="shared" si="4"/>
        <v>111</v>
      </c>
      <c r="F39" s="24">
        <v>1</v>
      </c>
      <c r="G39" s="24">
        <v>4.25</v>
      </c>
      <c r="H39" s="60">
        <f t="shared" si="5"/>
        <v>0</v>
      </c>
      <c r="I39" s="25">
        <f>IF(K38&gt;0,
      IF(E38&gt;=$B$10*12,K38,I38)+O38+($B$6-$B$2*((1+$B$4/100)^_xlfn.FLOOR.MATH(E38/12))*F38+$B$3*((1+$B$5/100)^_xlfn.FLOOR.MATH(E38/12)))/4+(E38&lt;=$B$10*12)*$B$32*3,
      0)</f>
        <v>0</v>
      </c>
      <c r="J39" s="25">
        <f>IF(E39&lt;=$B$10*12,J38+N38-$B$32*3, 0)</f>
        <v>0</v>
      </c>
      <c r="K39" s="25">
        <f t="shared" si="0"/>
        <v>0</v>
      </c>
      <c r="L39" s="26">
        <f t="shared" si="1"/>
        <v>0</v>
      </c>
      <c r="M39" s="26">
        <f t="shared" si="2"/>
        <v>0</v>
      </c>
      <c r="N39" s="27">
        <f>IF(E39&lt;$B$10*12,
       (J39+MIN(0,MAX(-$B$13,I39)))*((1+$B$31/100/12)^3-1),
       0)</f>
        <v>0</v>
      </c>
      <c r="O39" s="28">
        <f t="shared" si="3"/>
        <v>0</v>
      </c>
      <c r="P39" s="2"/>
    </row>
    <row r="40" spans="4:16" x14ac:dyDescent="0.3">
      <c r="D40" s="22">
        <f t="shared" si="6"/>
        <v>47818</v>
      </c>
      <c r="E40" s="23">
        <f t="shared" si="4"/>
        <v>114</v>
      </c>
      <c r="F40" s="24">
        <v>1</v>
      </c>
      <c r="G40" s="24">
        <v>4.25</v>
      </c>
      <c r="H40" s="60">
        <f t="shared" si="5"/>
        <v>0</v>
      </c>
      <c r="I40" s="25">
        <f>IF(K39&gt;0,
      IF(E39&gt;=$B$10*12,K39,I39)+O39+($B$6-$B$2*((1+$B$4/100)^_xlfn.FLOOR.MATH(E39/12))*F39+$B$3*((1+$B$5/100)^_xlfn.FLOOR.MATH(E39/12)))/4+(E39&lt;=$B$10*12)*$B$32*3,
      0)</f>
        <v>0</v>
      </c>
      <c r="J40" s="25">
        <f>IF(E40&lt;=$B$10*12,J39+N39-$B$32*3, 0)</f>
        <v>0</v>
      </c>
      <c r="K40" s="25">
        <f t="shared" si="0"/>
        <v>0</v>
      </c>
      <c r="L40" s="26">
        <f t="shared" si="1"/>
        <v>0</v>
      </c>
      <c r="M40" s="26">
        <f t="shared" si="2"/>
        <v>0</v>
      </c>
      <c r="N40" s="27">
        <f>IF(E40&lt;$B$10*12,
       (J40+MIN(0,MAX(-$B$13,I40)))*((1+$B$31/100/12)^3-1),
       0)</f>
        <v>0</v>
      </c>
      <c r="O40" s="28">
        <f t="shared" si="3"/>
        <v>0</v>
      </c>
      <c r="P40" s="2"/>
    </row>
    <row r="41" spans="4:16" x14ac:dyDescent="0.3">
      <c r="D41" s="22">
        <f t="shared" ref="D41:D46" si="7">EDATE(D40,3)</f>
        <v>47908</v>
      </c>
      <c r="E41" s="23">
        <f t="shared" ref="E41:E46" si="8">DATEDIF($D$2,D41,"m")</f>
        <v>117</v>
      </c>
      <c r="F41" s="24">
        <v>1</v>
      </c>
      <c r="G41" s="24">
        <v>4.25</v>
      </c>
      <c r="H41" s="60">
        <f t="shared" si="5"/>
        <v>0</v>
      </c>
      <c r="I41" s="25">
        <f>IF(K40&gt;0,
      IF(E40&gt;=$B$10*12,K40,I40)+O40+($B$6-$B$2*((1+$B$4/100)^_xlfn.FLOOR.MATH(E40/12))*F40+$B$3*((1+$B$5/100)^_xlfn.FLOOR.MATH(E40/12)))/4+(E40&lt;=$B$10*12)*$B$32*3,
      0)</f>
        <v>0</v>
      </c>
      <c r="J41" s="25">
        <f>IF(E41&lt;=$B$10*12,J40+N40-$B$32*3, 0)</f>
        <v>0</v>
      </c>
      <c r="K41" s="25">
        <f t="shared" ref="K41:K46" si="9">IF(I41+J41&gt;0, I41+J41,0)</f>
        <v>0</v>
      </c>
      <c r="L41" s="26">
        <f t="shared" si="1"/>
        <v>0</v>
      </c>
      <c r="M41" s="26">
        <f t="shared" ref="M41:M46" si="10">SUM(N41:O41)</f>
        <v>0</v>
      </c>
      <c r="N41" s="27">
        <f>IF(E41&lt;$B$10*12,
       (J41+MIN(0,MAX(-$B$13,I41)))*((1+$B$31/100/12)^3-1),
       0)</f>
        <v>0</v>
      </c>
      <c r="O41" s="28">
        <f t="shared" si="3"/>
        <v>0</v>
      </c>
    </row>
    <row r="42" spans="4:16" x14ac:dyDescent="0.3">
      <c r="D42" s="22">
        <f t="shared" si="7"/>
        <v>48000</v>
      </c>
      <c r="E42" s="23">
        <f t="shared" si="8"/>
        <v>120</v>
      </c>
      <c r="F42" s="24">
        <v>1</v>
      </c>
      <c r="G42" s="24">
        <v>4.25</v>
      </c>
      <c r="H42" s="60">
        <f t="shared" si="5"/>
        <v>0</v>
      </c>
      <c r="I42" s="25">
        <f>IF(K41&gt;0,
      IF(E41&gt;=$B$10*12,K41,I41)+O41+($B$6-$B$2*((1+$B$4/100)^_xlfn.FLOOR.MATH(E41/12))*F41+$B$3*((1+$B$5/100)^_xlfn.FLOOR.MATH(E41/12)))/4+(E41&lt;=$B$10*12)*$B$32*3,
      0)</f>
        <v>0</v>
      </c>
      <c r="J42" s="25">
        <f>IF(E42&lt;=$B$10*12,J41+N41-$B$32*3, 0)</f>
        <v>0</v>
      </c>
      <c r="K42" s="25">
        <f t="shared" si="9"/>
        <v>0</v>
      </c>
      <c r="L42" s="26">
        <f t="shared" si="1"/>
        <v>0</v>
      </c>
      <c r="M42" s="26">
        <f t="shared" si="10"/>
        <v>0</v>
      </c>
      <c r="N42" s="27">
        <f>IF(E42&lt;$B$10*12,
       (J42+MIN(0,MAX(-$B$13,I42)))*((1+$B$31/100/12)^3-1),
       0)</f>
        <v>0</v>
      </c>
      <c r="O42" s="28">
        <f t="shared" si="3"/>
        <v>0</v>
      </c>
    </row>
    <row r="43" spans="4:16" x14ac:dyDescent="0.3">
      <c r="D43" s="22">
        <f t="shared" si="7"/>
        <v>48092</v>
      </c>
      <c r="E43" s="23">
        <f t="shared" si="8"/>
        <v>123</v>
      </c>
      <c r="F43" s="24">
        <v>1</v>
      </c>
      <c r="G43" s="24">
        <v>4.25</v>
      </c>
      <c r="H43" s="60">
        <f t="shared" si="5"/>
        <v>0</v>
      </c>
      <c r="I43" s="25">
        <f>IF(K42&gt;0,
      IF(E42&gt;=$B$10*12,K42,I42)+O42+($B$6-$B$2*((1+$B$4/100)^_xlfn.FLOOR.MATH(E42/12))*F42+$B$3*((1+$B$5/100)^_xlfn.FLOOR.MATH(E42/12)))/4+(E42&lt;=$B$10*12)*$B$32*3,
      0)</f>
        <v>0</v>
      </c>
      <c r="J43" s="25">
        <f>IF(E43&lt;=$B$10*12,J42+N42-$B$32*3, 0)</f>
        <v>0</v>
      </c>
      <c r="K43" s="25">
        <f t="shared" si="9"/>
        <v>0</v>
      </c>
      <c r="L43" s="26">
        <f t="shared" si="1"/>
        <v>0</v>
      </c>
      <c r="M43" s="26">
        <f t="shared" si="10"/>
        <v>0</v>
      </c>
      <c r="N43" s="27">
        <f>IF(E43&lt;$B$10*12,
       (J43+MIN(0,MAX(-$B$13,I43)))*((1+$B$31/100/12)^3-1),
       0)</f>
        <v>0</v>
      </c>
      <c r="O43" s="28">
        <f t="shared" si="3"/>
        <v>0</v>
      </c>
    </row>
    <row r="44" spans="4:16" x14ac:dyDescent="0.3">
      <c r="D44" s="22">
        <f t="shared" si="7"/>
        <v>48183</v>
      </c>
      <c r="E44" s="23">
        <f t="shared" si="8"/>
        <v>126</v>
      </c>
      <c r="F44" s="24">
        <v>1</v>
      </c>
      <c r="G44" s="24">
        <v>4.25</v>
      </c>
      <c r="H44" s="60">
        <f t="shared" si="5"/>
        <v>0</v>
      </c>
      <c r="I44" s="25">
        <f>IF(K43&gt;0,
      IF(E43&gt;=$B$10*12,K43,I43)+O43+($B$6-$B$2*((1+$B$4/100)^_xlfn.FLOOR.MATH(E43/12))*F43+$B$3*((1+$B$5/100)^_xlfn.FLOOR.MATH(E43/12)))/4+(E43&lt;=$B$10*12)*$B$32*3,
      0)</f>
        <v>0</v>
      </c>
      <c r="J44" s="25">
        <f>IF(E44&lt;=$B$10*12,J43+N43-$B$32*3, 0)</f>
        <v>0</v>
      </c>
      <c r="K44" s="25">
        <f t="shared" si="9"/>
        <v>0</v>
      </c>
      <c r="L44" s="26">
        <f t="shared" si="1"/>
        <v>0</v>
      </c>
      <c r="M44" s="26">
        <f t="shared" si="10"/>
        <v>0</v>
      </c>
      <c r="N44" s="27">
        <f>IF(E44&lt;$B$10*12,
       (J44+MIN(0,MAX(-$B$13,I44)))*((1+$B$31/100/12)^3-1),
       0)</f>
        <v>0</v>
      </c>
      <c r="O44" s="28">
        <f t="shared" si="3"/>
        <v>0</v>
      </c>
    </row>
    <row r="45" spans="4:16" x14ac:dyDescent="0.3">
      <c r="D45" s="22">
        <f t="shared" si="7"/>
        <v>48274</v>
      </c>
      <c r="E45" s="23">
        <f t="shared" si="8"/>
        <v>129</v>
      </c>
      <c r="F45" s="24">
        <v>1</v>
      </c>
      <c r="G45" s="24">
        <v>4.25</v>
      </c>
      <c r="H45" s="60">
        <f t="shared" si="5"/>
        <v>0</v>
      </c>
      <c r="I45" s="25">
        <f>IF(K44&gt;0,
      IF(E44&gt;=$B$10*12,K44,I44)+O44+($B$6-$B$2*((1+$B$4/100)^_xlfn.FLOOR.MATH(E44/12))*F44+$B$3*((1+$B$5/100)^_xlfn.FLOOR.MATH(E44/12)))/4+(E44&lt;=$B$10*12)*$B$32*3,
      0)</f>
        <v>0</v>
      </c>
      <c r="J45" s="25">
        <f>IF(E45&lt;=$B$10*12,J44+N44-$B$32*3, 0)</f>
        <v>0</v>
      </c>
      <c r="K45" s="25">
        <f t="shared" si="9"/>
        <v>0</v>
      </c>
      <c r="L45" s="26">
        <f t="shared" si="1"/>
        <v>0</v>
      </c>
      <c r="M45" s="26">
        <f t="shared" si="10"/>
        <v>0</v>
      </c>
      <c r="N45" s="27">
        <f>IF(E45&lt;$B$10*12,
       (J45+MIN(0,MAX(-$B$13,I45)))*((1+$B$31/100/12)^3-1),
       0)</f>
        <v>0</v>
      </c>
      <c r="O45" s="28">
        <f t="shared" si="3"/>
        <v>0</v>
      </c>
    </row>
    <row r="46" spans="4:16" x14ac:dyDescent="0.3">
      <c r="D46" s="22">
        <f t="shared" si="7"/>
        <v>48366</v>
      </c>
      <c r="E46" s="23">
        <f t="shared" si="8"/>
        <v>132</v>
      </c>
      <c r="F46" s="24">
        <v>1</v>
      </c>
      <c r="G46" s="24">
        <v>4.25</v>
      </c>
      <c r="H46" s="60">
        <f t="shared" si="5"/>
        <v>0</v>
      </c>
      <c r="I46" s="25">
        <f>IF(K45&gt;0,
      IF(E45&gt;=$B$10*12,K45,I45)+O45+($B$6-$B$2*((1+$B$4/100)^_xlfn.FLOOR.MATH(E45/12))*F45+$B$3*((1+$B$5/100)^_xlfn.FLOOR.MATH(E45/12)))/4+(E45&lt;=$B$10*12)*$B$32*3,
      0)</f>
        <v>0</v>
      </c>
      <c r="J46" s="25">
        <f>IF(E46&lt;=$B$10*12,J45+N45-$B$32*3, 0)</f>
        <v>0</v>
      </c>
      <c r="K46" s="25">
        <f t="shared" si="9"/>
        <v>0</v>
      </c>
      <c r="L46" s="26">
        <f t="shared" si="1"/>
        <v>0</v>
      </c>
      <c r="M46" s="26">
        <f t="shared" si="10"/>
        <v>0</v>
      </c>
      <c r="N46" s="27">
        <f>IF(E46&lt;$B$10*12,
       (J46+MIN(0,MAX(-$B$13,I46)))*((1+$B$31/100/12)^3-1),
       0)</f>
        <v>0</v>
      </c>
      <c r="O46" s="28">
        <f t="shared" si="3"/>
        <v>0</v>
      </c>
    </row>
    <row r="47" spans="4:16" x14ac:dyDescent="0.3">
      <c r="D47" s="22">
        <f t="shared" ref="D47:D85" si="11">EDATE(D46,3)</f>
        <v>48458</v>
      </c>
      <c r="E47" s="23">
        <f t="shared" ref="E47:E85" si="12">DATEDIF($D$2,D47,"m")</f>
        <v>135</v>
      </c>
      <c r="F47" s="24">
        <v>1</v>
      </c>
      <c r="G47" s="24">
        <v>4.25</v>
      </c>
      <c r="H47" s="60">
        <f t="shared" si="5"/>
        <v>0</v>
      </c>
      <c r="I47" s="25">
        <f>IF(K46&gt;0,
      IF(E46&gt;=$B$10*12,K46,I46)+O46+($B$6-$B$2*((1+$B$4/100)^_xlfn.FLOOR.MATH(E46/12))*F46+$B$3*((1+$B$5/100)^_xlfn.FLOOR.MATH(E46/12)))/4+(E46&lt;=$B$10*12)*$B$32*3,
      0)</f>
        <v>0</v>
      </c>
      <c r="J47" s="25">
        <f>IF(E47&lt;=$B$10*12,J46+N46-$B$32*3, 0)</f>
        <v>0</v>
      </c>
      <c r="K47" s="25">
        <f t="shared" ref="K47:K85" si="13">IF(I47+J47&gt;0, I47+J47,0)</f>
        <v>0</v>
      </c>
      <c r="L47" s="26">
        <f t="shared" si="1"/>
        <v>0</v>
      </c>
      <c r="M47" s="26">
        <f t="shared" ref="M47:M85" si="14">SUM(N47:O47)</f>
        <v>0</v>
      </c>
      <c r="N47" s="27">
        <f>IF(E47&lt;$B$10*12,
       (J47+MIN(0,MAX(-$B$13,I47)))*((1+$B$31/100/12)^3-1),
       0)</f>
        <v>0</v>
      </c>
      <c r="O47" s="28">
        <f t="shared" si="3"/>
        <v>0</v>
      </c>
    </row>
    <row r="48" spans="4:16" x14ac:dyDescent="0.3">
      <c r="D48" s="22">
        <f t="shared" si="11"/>
        <v>48549</v>
      </c>
      <c r="E48" s="23">
        <f t="shared" si="12"/>
        <v>138</v>
      </c>
      <c r="F48" s="24">
        <v>1</v>
      </c>
      <c r="G48" s="24">
        <v>4.25</v>
      </c>
      <c r="H48" s="60">
        <f t="shared" si="5"/>
        <v>0</v>
      </c>
      <c r="I48" s="25">
        <f>IF(K47&gt;0,
      IF(E47&gt;=$B$10*12,K47,I47)+O47+($B$6-$B$2*((1+$B$4/100)^_xlfn.FLOOR.MATH(E47/12))*F47+$B$3*((1+$B$5/100)^_xlfn.FLOOR.MATH(E47/12)))/4+(E47&lt;=$B$10*12)*$B$32*3,
      0)</f>
        <v>0</v>
      </c>
      <c r="J48" s="25">
        <f>IF(E48&lt;=$B$10*12,J47+N47-$B$32*3, 0)</f>
        <v>0</v>
      </c>
      <c r="K48" s="25">
        <f t="shared" si="13"/>
        <v>0</v>
      </c>
      <c r="L48" s="26">
        <f t="shared" si="1"/>
        <v>0</v>
      </c>
      <c r="M48" s="26">
        <f t="shared" si="14"/>
        <v>0</v>
      </c>
      <c r="N48" s="27">
        <f>IF(E48&lt;$B$10*12,
       (J48+MIN(0,MAX(-$B$13,I48)))*((1+$B$31/100/12)^3-1),
       0)</f>
        <v>0</v>
      </c>
      <c r="O48" s="28">
        <f t="shared" si="3"/>
        <v>0</v>
      </c>
    </row>
    <row r="49" spans="4:15" x14ac:dyDescent="0.3">
      <c r="D49" s="22">
        <f t="shared" si="11"/>
        <v>48639</v>
      </c>
      <c r="E49" s="23">
        <f t="shared" si="12"/>
        <v>141</v>
      </c>
      <c r="F49" s="24">
        <v>1</v>
      </c>
      <c r="G49" s="24">
        <v>4.25</v>
      </c>
      <c r="H49" s="60">
        <f t="shared" si="5"/>
        <v>0</v>
      </c>
      <c r="I49" s="25">
        <f>IF(K48&gt;0,
      IF(E48&gt;=$B$10*12,K48,I48)+O48+($B$6-$B$2*((1+$B$4/100)^_xlfn.FLOOR.MATH(E48/12))*F48+$B$3*((1+$B$5/100)^_xlfn.FLOOR.MATH(E48/12)))/4+(E48&lt;=$B$10*12)*$B$32*3,
      0)</f>
        <v>0</v>
      </c>
      <c r="J49" s="25">
        <f>IF(E49&lt;=$B$10*12,J48+N48-$B$32*3, 0)</f>
        <v>0</v>
      </c>
      <c r="K49" s="25">
        <f t="shared" si="13"/>
        <v>0</v>
      </c>
      <c r="L49" s="26">
        <f t="shared" si="1"/>
        <v>0</v>
      </c>
      <c r="M49" s="26">
        <f t="shared" si="14"/>
        <v>0</v>
      </c>
      <c r="N49" s="27">
        <f>IF(E49&lt;$B$10*12,
       (J49+MIN(0,MAX(-$B$13,I49)))*((1+$B$31/100/12)^3-1),
       0)</f>
        <v>0</v>
      </c>
      <c r="O49" s="28">
        <f t="shared" si="3"/>
        <v>0</v>
      </c>
    </row>
    <row r="50" spans="4:15" x14ac:dyDescent="0.3">
      <c r="D50" s="22">
        <f t="shared" si="11"/>
        <v>48731</v>
      </c>
      <c r="E50" s="23">
        <f t="shared" si="12"/>
        <v>144</v>
      </c>
      <c r="F50" s="24">
        <v>1</v>
      </c>
      <c r="G50" s="24">
        <v>4.25</v>
      </c>
      <c r="H50" s="60">
        <f t="shared" si="5"/>
        <v>0</v>
      </c>
      <c r="I50" s="25">
        <f>IF(K49&gt;0,
      IF(E49&gt;=$B$10*12,K49,I49)+O49+($B$6-$B$2*((1+$B$4/100)^_xlfn.FLOOR.MATH(E49/12))*F49+$B$3*((1+$B$5/100)^_xlfn.FLOOR.MATH(E49/12)))/4+(E49&lt;=$B$10*12)*$B$32*3,
      0)</f>
        <v>0</v>
      </c>
      <c r="J50" s="25">
        <f>IF(E50&lt;=$B$10*12,J49+N49-$B$32*3, 0)</f>
        <v>0</v>
      </c>
      <c r="K50" s="25">
        <f t="shared" si="13"/>
        <v>0</v>
      </c>
      <c r="L50" s="26">
        <f t="shared" si="1"/>
        <v>0</v>
      </c>
      <c r="M50" s="26">
        <f t="shared" si="14"/>
        <v>0</v>
      </c>
      <c r="N50" s="27">
        <f>IF(E50&lt;$B$10*12,
       (J50+MIN(0,MAX(-$B$13,I50)))*((1+$B$31/100/12)^3-1),
       0)</f>
        <v>0</v>
      </c>
      <c r="O50" s="28">
        <f t="shared" si="3"/>
        <v>0</v>
      </c>
    </row>
    <row r="51" spans="4:15" x14ac:dyDescent="0.3">
      <c r="D51" s="22">
        <f t="shared" si="11"/>
        <v>48823</v>
      </c>
      <c r="E51" s="23">
        <f t="shared" si="12"/>
        <v>147</v>
      </c>
      <c r="F51" s="24">
        <v>1</v>
      </c>
      <c r="G51" s="24">
        <v>4.25</v>
      </c>
      <c r="H51" s="60">
        <f t="shared" si="5"/>
        <v>0</v>
      </c>
      <c r="I51" s="25">
        <f>IF(K50&gt;0,
      IF(E50&gt;=$B$10*12,K50,I50)+O50+($B$6-$B$2*((1+$B$4/100)^_xlfn.FLOOR.MATH(E50/12))*F50+$B$3*((1+$B$5/100)^_xlfn.FLOOR.MATH(E50/12)))/4+(E50&lt;=$B$10*12)*$B$32*3,
      0)</f>
        <v>0</v>
      </c>
      <c r="J51" s="25">
        <f>IF(E51&lt;=$B$10*12,J50+N50-$B$32*3, 0)</f>
        <v>0</v>
      </c>
      <c r="K51" s="25">
        <f t="shared" si="13"/>
        <v>0</v>
      </c>
      <c r="L51" s="26">
        <f t="shared" si="1"/>
        <v>0</v>
      </c>
      <c r="M51" s="26">
        <f t="shared" si="14"/>
        <v>0</v>
      </c>
      <c r="N51" s="27">
        <f>IF(E51&lt;$B$10*12,
       (J51+MIN(0,MAX(-$B$13,I51)))*((1+$B$31/100/12)^3-1),
       0)</f>
        <v>0</v>
      </c>
      <c r="O51" s="28">
        <f t="shared" si="3"/>
        <v>0</v>
      </c>
    </row>
    <row r="52" spans="4:15" x14ac:dyDescent="0.3">
      <c r="D52" s="22">
        <f t="shared" si="11"/>
        <v>48914</v>
      </c>
      <c r="E52" s="23">
        <f t="shared" si="12"/>
        <v>150</v>
      </c>
      <c r="F52" s="24">
        <v>1</v>
      </c>
      <c r="G52" s="24">
        <v>4.25</v>
      </c>
      <c r="H52" s="60">
        <f t="shared" si="5"/>
        <v>0</v>
      </c>
      <c r="I52" s="25">
        <f>IF(K51&gt;0,
      IF(E51&gt;=$B$10*12,K51,I51)+O51+($B$6-$B$2*((1+$B$4/100)^_xlfn.FLOOR.MATH(E51/12))*F51+$B$3*((1+$B$5/100)^_xlfn.FLOOR.MATH(E51/12)))/4+(E51&lt;=$B$10*12)*$B$32*3,
      0)</f>
        <v>0</v>
      </c>
      <c r="J52" s="25">
        <f>IF(E52&lt;=$B$10*12,J51+N51-$B$32*3, 0)</f>
        <v>0</v>
      </c>
      <c r="K52" s="25">
        <f t="shared" si="13"/>
        <v>0</v>
      </c>
      <c r="L52" s="26">
        <f t="shared" si="1"/>
        <v>0</v>
      </c>
      <c r="M52" s="26">
        <f t="shared" si="14"/>
        <v>0</v>
      </c>
      <c r="N52" s="27">
        <f>IF(E52&lt;$B$10*12,
       (J52+MIN(0,MAX(-$B$13,I52)))*((1+$B$31/100/12)^3-1),
       0)</f>
        <v>0</v>
      </c>
      <c r="O52" s="28">
        <f t="shared" si="3"/>
        <v>0</v>
      </c>
    </row>
    <row r="53" spans="4:15" x14ac:dyDescent="0.3">
      <c r="D53" s="22">
        <f t="shared" si="11"/>
        <v>49004</v>
      </c>
      <c r="E53" s="23">
        <f t="shared" si="12"/>
        <v>153</v>
      </c>
      <c r="F53" s="24">
        <v>1</v>
      </c>
      <c r="G53" s="24">
        <v>4.25</v>
      </c>
      <c r="H53" s="60">
        <f t="shared" si="5"/>
        <v>0</v>
      </c>
      <c r="I53" s="25">
        <f>IF(K52&gt;0,
      IF(E52&gt;=$B$10*12,K52,I52)+O52+($B$6-$B$2*((1+$B$4/100)^_xlfn.FLOOR.MATH(E52/12))*F52+$B$3*((1+$B$5/100)^_xlfn.FLOOR.MATH(E52/12)))/4+(E52&lt;=$B$10*12)*$B$32*3,
      0)</f>
        <v>0</v>
      </c>
      <c r="J53" s="25">
        <f>IF(E53&lt;=$B$10*12,J52+N52-$B$32*3, 0)</f>
        <v>0</v>
      </c>
      <c r="K53" s="25">
        <f t="shared" si="13"/>
        <v>0</v>
      </c>
      <c r="L53" s="26">
        <f t="shared" si="1"/>
        <v>0</v>
      </c>
      <c r="M53" s="26">
        <f t="shared" si="14"/>
        <v>0</v>
      </c>
      <c r="N53" s="27">
        <f>IF(E53&lt;$B$10*12,
       (J53+MIN(0,MAX(-$B$13,I53)))*((1+$B$31/100/12)^3-1),
       0)</f>
        <v>0</v>
      </c>
      <c r="O53" s="28">
        <f t="shared" si="3"/>
        <v>0</v>
      </c>
    </row>
    <row r="54" spans="4:15" x14ac:dyDescent="0.3">
      <c r="D54" s="22">
        <f t="shared" si="11"/>
        <v>49096</v>
      </c>
      <c r="E54" s="23">
        <f t="shared" si="12"/>
        <v>156</v>
      </c>
      <c r="F54" s="24">
        <v>1</v>
      </c>
      <c r="G54" s="24">
        <v>4.25</v>
      </c>
      <c r="H54" s="60">
        <f t="shared" si="5"/>
        <v>0</v>
      </c>
      <c r="I54" s="25">
        <f>IF(K53&gt;0,
      IF(E53&gt;=$B$10*12,K53,I53)+O53+($B$6-$B$2*((1+$B$4/100)^_xlfn.FLOOR.MATH(E53/12))*F53+$B$3*((1+$B$5/100)^_xlfn.FLOOR.MATH(E53/12)))/4+(E53&lt;=$B$10*12)*$B$32*3,
      0)</f>
        <v>0</v>
      </c>
      <c r="J54" s="25">
        <f>IF(E54&lt;=$B$10*12,J53+N53-$B$32*3, 0)</f>
        <v>0</v>
      </c>
      <c r="K54" s="25">
        <f t="shared" si="13"/>
        <v>0</v>
      </c>
      <c r="L54" s="26">
        <f t="shared" si="1"/>
        <v>0</v>
      </c>
      <c r="M54" s="26">
        <f t="shared" si="14"/>
        <v>0</v>
      </c>
      <c r="N54" s="27">
        <f>IF(E54&lt;$B$10*12,
       (J54+MIN(0,MAX(-$B$13,I54)))*((1+$B$31/100/12)^3-1),
       0)</f>
        <v>0</v>
      </c>
      <c r="O54" s="28">
        <f t="shared" si="3"/>
        <v>0</v>
      </c>
    </row>
    <row r="55" spans="4:15" x14ac:dyDescent="0.3">
      <c r="D55" s="22">
        <f t="shared" si="11"/>
        <v>49188</v>
      </c>
      <c r="E55" s="23">
        <f t="shared" si="12"/>
        <v>159</v>
      </c>
      <c r="F55" s="24">
        <v>1</v>
      </c>
      <c r="G55" s="24">
        <v>4.25</v>
      </c>
      <c r="H55" s="60">
        <f t="shared" si="5"/>
        <v>0</v>
      </c>
      <c r="I55" s="25">
        <f>IF(K54&gt;0,
      IF(E54&gt;=$B$10*12,K54,I54)+O54+($B$6-$B$2*((1+$B$4/100)^_xlfn.FLOOR.MATH(E54/12))*F54+$B$3*((1+$B$5/100)^_xlfn.FLOOR.MATH(E54/12)))/4+(E54&lt;=$B$10*12)*$B$32*3,
      0)</f>
        <v>0</v>
      </c>
      <c r="J55" s="25">
        <f>IF(E55&lt;=$B$10*12,J54+N54-$B$32*3, 0)</f>
        <v>0</v>
      </c>
      <c r="K55" s="25">
        <f t="shared" si="13"/>
        <v>0</v>
      </c>
      <c r="L55" s="26">
        <f t="shared" si="1"/>
        <v>0</v>
      </c>
      <c r="M55" s="26">
        <f t="shared" si="14"/>
        <v>0</v>
      </c>
      <c r="N55" s="27">
        <f>IF(E55&lt;$B$10*12,
       (J55+MIN(0,MAX(-$B$13,I55)))*((1+$B$31/100/12)^3-1),
       0)</f>
        <v>0</v>
      </c>
      <c r="O55" s="28">
        <f t="shared" si="3"/>
        <v>0</v>
      </c>
    </row>
    <row r="56" spans="4:15" x14ac:dyDescent="0.3">
      <c r="D56" s="22">
        <f t="shared" si="11"/>
        <v>49279</v>
      </c>
      <c r="E56" s="23">
        <f t="shared" si="12"/>
        <v>162</v>
      </c>
      <c r="F56" s="24">
        <v>1</v>
      </c>
      <c r="G56" s="24">
        <v>4.25</v>
      </c>
      <c r="H56" s="60">
        <f t="shared" si="5"/>
        <v>0</v>
      </c>
      <c r="I56" s="25">
        <f>IF(K55&gt;0,
      IF(E55&gt;=$B$10*12,K55,I55)+O55+($B$6-$B$2*((1+$B$4/100)^_xlfn.FLOOR.MATH(E55/12))*F55+$B$3*((1+$B$5/100)^_xlfn.FLOOR.MATH(E55/12)))/4+(E55&lt;=$B$10*12)*$B$32*3,
      0)</f>
        <v>0</v>
      </c>
      <c r="J56" s="25">
        <f>IF(E56&lt;=$B$10*12,J55+N55-$B$32*3, 0)</f>
        <v>0</v>
      </c>
      <c r="K56" s="25">
        <f t="shared" si="13"/>
        <v>0</v>
      </c>
      <c r="L56" s="26">
        <f t="shared" si="1"/>
        <v>0</v>
      </c>
      <c r="M56" s="26">
        <f t="shared" si="14"/>
        <v>0</v>
      </c>
      <c r="N56" s="27">
        <f>IF(E56&lt;$B$10*12,
       (J56+MIN(0,MAX(-$B$13,I56)))*((1+$B$31/100/12)^3-1),
       0)</f>
        <v>0</v>
      </c>
      <c r="O56" s="28">
        <f t="shared" si="3"/>
        <v>0</v>
      </c>
    </row>
    <row r="57" spans="4:15" x14ac:dyDescent="0.3">
      <c r="D57" s="22">
        <f t="shared" si="11"/>
        <v>49369</v>
      </c>
      <c r="E57" s="23">
        <f t="shared" si="12"/>
        <v>165</v>
      </c>
      <c r="F57" s="24">
        <v>1</v>
      </c>
      <c r="G57" s="24">
        <v>4.25</v>
      </c>
      <c r="H57" s="60">
        <f t="shared" si="5"/>
        <v>0</v>
      </c>
      <c r="I57" s="25">
        <f>IF(K56&gt;0,
      IF(E56&gt;=$B$10*12,K56,I56)+O56+($B$6-$B$2*((1+$B$4/100)^_xlfn.FLOOR.MATH(E56/12))*F56+$B$3*((1+$B$5/100)^_xlfn.FLOOR.MATH(E56/12)))/4+(E56&lt;=$B$10*12)*$B$32*3,
      0)</f>
        <v>0</v>
      </c>
      <c r="J57" s="25">
        <f>IF(E57&lt;=$B$10*12,J56+N56-$B$32*3, 0)</f>
        <v>0</v>
      </c>
      <c r="K57" s="25">
        <f t="shared" si="13"/>
        <v>0</v>
      </c>
      <c r="L57" s="26">
        <f t="shared" si="1"/>
        <v>0</v>
      </c>
      <c r="M57" s="26">
        <f t="shared" si="14"/>
        <v>0</v>
      </c>
      <c r="N57" s="27">
        <f>IF(E57&lt;$B$10*12,
       (J57+MIN(0,MAX(-$B$13,I57)))*((1+$B$31/100/12)^3-1),
       0)</f>
        <v>0</v>
      </c>
      <c r="O57" s="28">
        <f t="shared" si="3"/>
        <v>0</v>
      </c>
    </row>
    <row r="58" spans="4:15" x14ac:dyDescent="0.3">
      <c r="D58" s="22">
        <f t="shared" si="11"/>
        <v>49461</v>
      </c>
      <c r="E58" s="23">
        <f t="shared" si="12"/>
        <v>168</v>
      </c>
      <c r="F58" s="24">
        <v>1</v>
      </c>
      <c r="G58" s="24">
        <v>4.25</v>
      </c>
      <c r="H58" s="60">
        <f t="shared" si="5"/>
        <v>0</v>
      </c>
      <c r="I58" s="25">
        <f>IF(K57&gt;0,
      IF(E57&gt;=$B$10*12,K57,I57)+O57+($B$6-$B$2*((1+$B$4/100)^_xlfn.FLOOR.MATH(E57/12))*F57+$B$3*((1+$B$5/100)^_xlfn.FLOOR.MATH(E57/12)))/4+(E57&lt;=$B$10*12)*$B$32*3,
      0)</f>
        <v>0</v>
      </c>
      <c r="J58" s="25">
        <f>IF(E58&lt;=$B$10*12,J57+N57-$B$32*3, 0)</f>
        <v>0</v>
      </c>
      <c r="K58" s="25">
        <f t="shared" si="13"/>
        <v>0</v>
      </c>
      <c r="L58" s="26">
        <f t="shared" si="1"/>
        <v>0</v>
      </c>
      <c r="M58" s="26">
        <f t="shared" si="14"/>
        <v>0</v>
      </c>
      <c r="N58" s="27">
        <f>IF(E58&lt;$B$10*12,
       (J58+MIN(0,MAX(-$B$13,I58)))*((1+$B$31/100/12)^3-1),
       0)</f>
        <v>0</v>
      </c>
      <c r="O58" s="28">
        <f t="shared" si="3"/>
        <v>0</v>
      </c>
    </row>
    <row r="59" spans="4:15" x14ac:dyDescent="0.3">
      <c r="D59" s="22">
        <f t="shared" si="11"/>
        <v>49553</v>
      </c>
      <c r="E59" s="23">
        <f t="shared" si="12"/>
        <v>171</v>
      </c>
      <c r="F59" s="24">
        <v>1</v>
      </c>
      <c r="G59" s="24">
        <v>4.25</v>
      </c>
      <c r="H59" s="60">
        <f t="shared" si="5"/>
        <v>0</v>
      </c>
      <c r="I59" s="25">
        <f>IF(K58&gt;0,
      IF(E58&gt;=$B$10*12,K58,I58)+O58+($B$6-$B$2*((1+$B$4/100)^_xlfn.FLOOR.MATH(E58/12))*F58+$B$3*((1+$B$5/100)^_xlfn.FLOOR.MATH(E58/12)))/4+(E58&lt;=$B$10*12)*$B$32*3,
      0)</f>
        <v>0</v>
      </c>
      <c r="J59" s="25">
        <f>IF(E59&lt;=$B$10*12,J58+N58-$B$32*3, 0)</f>
        <v>0</v>
      </c>
      <c r="K59" s="25">
        <f t="shared" si="13"/>
        <v>0</v>
      </c>
      <c r="L59" s="26">
        <f t="shared" si="1"/>
        <v>0</v>
      </c>
      <c r="M59" s="26">
        <f t="shared" si="14"/>
        <v>0</v>
      </c>
      <c r="N59" s="27">
        <f>IF(E59&lt;$B$10*12,
       (J59+MIN(0,MAX(-$B$13,I59)))*((1+$B$31/100/12)^3-1),
       0)</f>
        <v>0</v>
      </c>
      <c r="O59" s="28">
        <f t="shared" si="3"/>
        <v>0</v>
      </c>
    </row>
    <row r="60" spans="4:15" x14ac:dyDescent="0.3">
      <c r="D60" s="22">
        <f t="shared" si="11"/>
        <v>49644</v>
      </c>
      <c r="E60" s="23">
        <f t="shared" si="12"/>
        <v>174</v>
      </c>
      <c r="F60" s="24">
        <v>1</v>
      </c>
      <c r="G60" s="24">
        <v>4.25</v>
      </c>
      <c r="H60" s="60">
        <f t="shared" si="5"/>
        <v>0</v>
      </c>
      <c r="I60" s="25">
        <f>IF(K59&gt;0,
      IF(E59&gt;=$B$10*12,K59,I59)+O59+($B$6-$B$2*((1+$B$4/100)^_xlfn.FLOOR.MATH(E59/12))*F59+$B$3*((1+$B$5/100)^_xlfn.FLOOR.MATH(E59/12)))/4+(E59&lt;=$B$10*12)*$B$32*3,
      0)</f>
        <v>0</v>
      </c>
      <c r="J60" s="25">
        <f>IF(E60&lt;=$B$10*12,J59+N59-$B$32*3, 0)</f>
        <v>0</v>
      </c>
      <c r="K60" s="25">
        <f t="shared" si="13"/>
        <v>0</v>
      </c>
      <c r="L60" s="26">
        <f t="shared" si="1"/>
        <v>0</v>
      </c>
      <c r="M60" s="26">
        <f t="shared" si="14"/>
        <v>0</v>
      </c>
      <c r="N60" s="27">
        <f>IF(E60&lt;$B$10*12,
       (J60+MIN(0,MAX(-$B$13,I60)))*((1+$B$31/100/12)^3-1),
       0)</f>
        <v>0</v>
      </c>
      <c r="O60" s="28">
        <f t="shared" si="3"/>
        <v>0</v>
      </c>
    </row>
    <row r="61" spans="4:15" x14ac:dyDescent="0.3">
      <c r="D61" s="22">
        <f t="shared" si="11"/>
        <v>49735</v>
      </c>
      <c r="E61" s="23">
        <f t="shared" si="12"/>
        <v>177</v>
      </c>
      <c r="F61" s="24">
        <v>1</v>
      </c>
      <c r="G61" s="24">
        <v>4.25</v>
      </c>
      <c r="H61" s="60">
        <f t="shared" si="5"/>
        <v>0</v>
      </c>
      <c r="I61" s="25">
        <f>IF(K60&gt;0,
      IF(E60&gt;=$B$10*12,K60,I60)+O60+($B$6-$B$2*((1+$B$4/100)^_xlfn.FLOOR.MATH(E60/12))*F60+$B$3*((1+$B$5/100)^_xlfn.FLOOR.MATH(E60/12)))/4+(E60&lt;=$B$10*12)*$B$32*3,
      0)</f>
        <v>0</v>
      </c>
      <c r="J61" s="25">
        <f>IF(E61&lt;=$B$10*12,J60+N60-$B$32*3, 0)</f>
        <v>0</v>
      </c>
      <c r="K61" s="25">
        <f t="shared" si="13"/>
        <v>0</v>
      </c>
      <c r="L61" s="26">
        <f t="shared" si="1"/>
        <v>0</v>
      </c>
      <c r="M61" s="26">
        <f t="shared" si="14"/>
        <v>0</v>
      </c>
      <c r="N61" s="27">
        <f>IF(E61&lt;$B$10*12,
       (J61+MIN(0,MAX(-$B$13,I61)))*((1+$B$31/100/12)^3-1),
       0)</f>
        <v>0</v>
      </c>
      <c r="O61" s="28">
        <f t="shared" si="3"/>
        <v>0</v>
      </c>
    </row>
    <row r="62" spans="4:15" x14ac:dyDescent="0.3">
      <c r="D62" s="22">
        <f t="shared" si="11"/>
        <v>49827</v>
      </c>
      <c r="E62" s="23">
        <f t="shared" si="12"/>
        <v>180</v>
      </c>
      <c r="F62" s="24">
        <v>1</v>
      </c>
      <c r="G62" s="24">
        <v>4.25</v>
      </c>
      <c r="H62" s="60">
        <f t="shared" si="5"/>
        <v>0</v>
      </c>
      <c r="I62" s="25">
        <f>IF(K61&gt;0,
      IF(E61&gt;=$B$10*12,K61,I61)+O61+($B$6-$B$2*((1+$B$4/100)^_xlfn.FLOOR.MATH(E61/12))*F61+$B$3*((1+$B$5/100)^_xlfn.FLOOR.MATH(E61/12)))/4+(E61&lt;=$B$10*12)*$B$32*3,
      0)</f>
        <v>0</v>
      </c>
      <c r="J62" s="25">
        <f>IF(E62&lt;=$B$10*12,J61+N61-$B$32*3, 0)</f>
        <v>0</v>
      </c>
      <c r="K62" s="25">
        <f t="shared" si="13"/>
        <v>0</v>
      </c>
      <c r="L62" s="26">
        <f t="shared" si="1"/>
        <v>0</v>
      </c>
      <c r="M62" s="26">
        <f t="shared" si="14"/>
        <v>0</v>
      </c>
      <c r="N62" s="27">
        <f>IF(E62&lt;$B$10*12,
       (J62+MIN(0,MAX(-$B$13,I62)))*((1+$B$31/100/12)^3-1),
       0)</f>
        <v>0</v>
      </c>
      <c r="O62" s="28">
        <f t="shared" si="3"/>
        <v>0</v>
      </c>
    </row>
    <row r="63" spans="4:15" x14ac:dyDescent="0.3">
      <c r="D63" s="22">
        <f t="shared" si="11"/>
        <v>49919</v>
      </c>
      <c r="E63" s="23">
        <f t="shared" si="12"/>
        <v>183</v>
      </c>
      <c r="F63" s="24">
        <v>1</v>
      </c>
      <c r="G63" s="24">
        <v>4.25</v>
      </c>
      <c r="H63" s="60">
        <f t="shared" si="5"/>
        <v>0</v>
      </c>
      <c r="I63" s="25">
        <f>IF(K62&gt;0,
      IF(E62&gt;=$B$10*12,K62,I62)+O62+($B$6-$B$2*((1+$B$4/100)^_xlfn.FLOOR.MATH(E62/12))*F62+$B$3*((1+$B$5/100)^_xlfn.FLOOR.MATH(E62/12)))/4+(E62&lt;=$B$10*12)*$B$32*3,
      0)</f>
        <v>0</v>
      </c>
      <c r="J63" s="25">
        <f>IF(E63&lt;=$B$10*12,J62+N62-$B$32*3, 0)</f>
        <v>0</v>
      </c>
      <c r="K63" s="25">
        <f t="shared" si="13"/>
        <v>0</v>
      </c>
      <c r="L63" s="26">
        <f t="shared" si="1"/>
        <v>0</v>
      </c>
      <c r="M63" s="26">
        <f t="shared" si="14"/>
        <v>0</v>
      </c>
      <c r="N63" s="27">
        <f>IF(E63&lt;$B$10*12,
       (J63+MIN(0,MAX(-$B$13,I63)))*((1+$B$31/100/12)^3-1),
       0)</f>
        <v>0</v>
      </c>
      <c r="O63" s="28">
        <f t="shared" si="3"/>
        <v>0</v>
      </c>
    </row>
    <row r="64" spans="4:15" x14ac:dyDescent="0.3">
      <c r="D64" s="22">
        <f t="shared" si="11"/>
        <v>50010</v>
      </c>
      <c r="E64" s="23">
        <f t="shared" si="12"/>
        <v>186</v>
      </c>
      <c r="F64" s="24">
        <v>1</v>
      </c>
      <c r="G64" s="24">
        <v>4.25</v>
      </c>
      <c r="H64" s="60">
        <f t="shared" si="5"/>
        <v>0</v>
      </c>
      <c r="I64" s="25">
        <f>IF(K63&gt;0,
      IF(E63&gt;=$B$10*12,K63,I63)+O63+($B$6-$B$2*((1+$B$4/100)^_xlfn.FLOOR.MATH(E63/12))*F63+$B$3*((1+$B$5/100)^_xlfn.FLOOR.MATH(E63/12)))/4+(E63&lt;=$B$10*12)*$B$32*3,
      0)</f>
        <v>0</v>
      </c>
      <c r="J64" s="25">
        <f>IF(E64&lt;=$B$10*12,J63+N63-$B$32*3, 0)</f>
        <v>0</v>
      </c>
      <c r="K64" s="25">
        <f t="shared" si="13"/>
        <v>0</v>
      </c>
      <c r="L64" s="26">
        <f t="shared" si="1"/>
        <v>0</v>
      </c>
      <c r="M64" s="26">
        <f t="shared" si="14"/>
        <v>0</v>
      </c>
      <c r="N64" s="27">
        <f>IF(E64&lt;$B$10*12,
       (J64+MIN(0,MAX(-$B$13,I64)))*((1+$B$31/100/12)^3-1),
       0)</f>
        <v>0</v>
      </c>
      <c r="O64" s="28">
        <f t="shared" si="3"/>
        <v>0</v>
      </c>
    </row>
    <row r="65" spans="4:15" x14ac:dyDescent="0.3">
      <c r="D65" s="22">
        <f t="shared" si="11"/>
        <v>50100</v>
      </c>
      <c r="E65" s="23">
        <f t="shared" si="12"/>
        <v>189</v>
      </c>
      <c r="F65" s="24">
        <v>1</v>
      </c>
      <c r="G65" s="24">
        <v>4.25</v>
      </c>
      <c r="H65" s="60">
        <f t="shared" si="5"/>
        <v>0</v>
      </c>
      <c r="I65" s="25">
        <f>IF(K64&gt;0,
      IF(E64&gt;=$B$10*12,K64,I64)+O64+($B$6-$B$2*((1+$B$4/100)^_xlfn.FLOOR.MATH(E64/12))*F64+$B$3*((1+$B$5/100)^_xlfn.FLOOR.MATH(E64/12)))/4+(E64&lt;=$B$10*12)*$B$32*3,
      0)</f>
        <v>0</v>
      </c>
      <c r="J65" s="25">
        <f>IF(E65&lt;=$B$10*12,J64+N64-$B$32*3, 0)</f>
        <v>0</v>
      </c>
      <c r="K65" s="25">
        <f t="shared" si="13"/>
        <v>0</v>
      </c>
      <c r="L65" s="26">
        <f t="shared" si="1"/>
        <v>0</v>
      </c>
      <c r="M65" s="26">
        <f t="shared" si="14"/>
        <v>0</v>
      </c>
      <c r="N65" s="27">
        <f>IF(E65&lt;$B$10*12,
       (J65+MIN(0,MAX(-$B$13,I65)))*((1+$B$31/100/12)^3-1),
       0)</f>
        <v>0</v>
      </c>
      <c r="O65" s="28">
        <f t="shared" si="3"/>
        <v>0</v>
      </c>
    </row>
    <row r="66" spans="4:15" x14ac:dyDescent="0.3">
      <c r="D66" s="22">
        <f t="shared" si="11"/>
        <v>50192</v>
      </c>
      <c r="E66" s="23">
        <f t="shared" si="12"/>
        <v>192</v>
      </c>
      <c r="F66" s="24">
        <v>1</v>
      </c>
      <c r="G66" s="24">
        <v>4.25</v>
      </c>
      <c r="H66" s="60">
        <f t="shared" si="5"/>
        <v>0</v>
      </c>
      <c r="I66" s="25">
        <f>IF(K65&gt;0,
      IF(E65&gt;=$B$10*12,K65,I65)+O65+($B$6-$B$2*((1+$B$4/100)^_xlfn.FLOOR.MATH(E65/12))*F65+$B$3*((1+$B$5/100)^_xlfn.FLOOR.MATH(E65/12)))/4+(E65&lt;=$B$10*12)*$B$32*3,
      0)</f>
        <v>0</v>
      </c>
      <c r="J66" s="25">
        <f>IF(E66&lt;=$B$10*12,J65+N65-$B$32*3, 0)</f>
        <v>0</v>
      </c>
      <c r="K66" s="25">
        <f t="shared" si="13"/>
        <v>0</v>
      </c>
      <c r="L66" s="26">
        <f t="shared" si="1"/>
        <v>0</v>
      </c>
      <c r="M66" s="26">
        <f t="shared" si="14"/>
        <v>0</v>
      </c>
      <c r="N66" s="27">
        <f>IF(E66&lt;$B$10*12,
       (J66+MIN(0,MAX(-$B$13,I66)))*((1+$B$31/100/12)^3-1),
       0)</f>
        <v>0</v>
      </c>
      <c r="O66" s="28">
        <f t="shared" si="3"/>
        <v>0</v>
      </c>
    </row>
    <row r="67" spans="4:15" x14ac:dyDescent="0.3">
      <c r="D67" s="22">
        <f t="shared" si="11"/>
        <v>50284</v>
      </c>
      <c r="E67" s="23">
        <f t="shared" si="12"/>
        <v>195</v>
      </c>
      <c r="F67" s="24">
        <v>1</v>
      </c>
      <c r="G67" s="24">
        <v>4.25</v>
      </c>
      <c r="H67" s="60">
        <f t="shared" si="5"/>
        <v>0</v>
      </c>
      <c r="I67" s="25">
        <f>IF(K66&gt;0,
      IF(E66&gt;=$B$10*12,K66,I66)+O66+($B$6-$B$2*((1+$B$4/100)^_xlfn.FLOOR.MATH(E66/12))*F66+$B$3*((1+$B$5/100)^_xlfn.FLOOR.MATH(E66/12)))/4+(E66&lt;=$B$10*12)*$B$32*3,
      0)</f>
        <v>0</v>
      </c>
      <c r="J67" s="25">
        <f>IF(E67&lt;=$B$10*12,J66+N66-$B$32*3, 0)</f>
        <v>0</v>
      </c>
      <c r="K67" s="25">
        <f t="shared" si="13"/>
        <v>0</v>
      </c>
      <c r="L67" s="26">
        <f t="shared" ref="L67:L85" si="15">IF(H67&gt;0,H67*((1+IF($B$11&gt;0,$B$11,G67)/100/12)^3-1),0)</f>
        <v>0</v>
      </c>
      <c r="M67" s="26">
        <f t="shared" si="14"/>
        <v>0</v>
      </c>
      <c r="N67" s="27">
        <f>IF(E67&lt;$B$10*12,
       (J67+MIN(0,MAX(-$B$13,I67)))*((1+$B$31/100/12)^3-1),
       0)</f>
        <v>0</v>
      </c>
      <c r="O67" s="28">
        <f t="shared" ref="O67:O85" si="16">IF(IF(E67&gt;=$B$10*12,K67,I67)*((1+IF($B$11&gt;0,$B$11,G67)/100/12)^3-1)&gt;0,
IF(E67&gt;=$B$10*12,K67,I67)*((1+IF($B$11&gt;0,$B$11,G67)/100/12)^3-1),
0)</f>
        <v>0</v>
      </c>
    </row>
    <row r="68" spans="4:15" x14ac:dyDescent="0.3">
      <c r="D68" s="22">
        <f t="shared" si="11"/>
        <v>50375</v>
      </c>
      <c r="E68" s="23">
        <f t="shared" si="12"/>
        <v>198</v>
      </c>
      <c r="F68" s="24">
        <v>1</v>
      </c>
      <c r="G68" s="24">
        <v>4.25</v>
      </c>
      <c r="H68" s="60">
        <f t="shared" ref="H68:H85" si="17">IF(H67*((1+IF($B$11&gt;0,$B$11,G67)/100/12)^3)+($B$6-$B$2*((1+$B$4/100)^_xlfn.FLOOR.MATH(E67/12))*F67+$B$3*((1+$B$5/100)^_xlfn.FLOOR.MATH(E67/12)))/4&gt;0,
       H67*((1+IF($B$11&gt;0,$B$11,G67)/100/12)^3)+($B$6-$B$2*((1+$B$4/100)^_xlfn.FLOOR.MATH(E67/12))*F67+$B$3*((1+$B$5/100)^_xlfn.FLOOR.MATH(E67/12)))/4,
        0)</f>
        <v>0</v>
      </c>
      <c r="I68" s="25">
        <f>IF(K67&gt;0,
      IF(E67&gt;=$B$10*12,K67,I67)+O67+($B$6-$B$2*((1+$B$4/100)^_xlfn.FLOOR.MATH(E67/12))*F67+$B$3*((1+$B$5/100)^_xlfn.FLOOR.MATH(E67/12)))/4+(E67&lt;=$B$10*12)*$B$32*3,
      0)</f>
        <v>0</v>
      </c>
      <c r="J68" s="25">
        <f>IF(E68&lt;=$B$10*12,J67+N67-$B$32*3, 0)</f>
        <v>0</v>
      </c>
      <c r="K68" s="25">
        <f t="shared" si="13"/>
        <v>0</v>
      </c>
      <c r="L68" s="26">
        <f t="shared" si="15"/>
        <v>0</v>
      </c>
      <c r="M68" s="26">
        <f t="shared" si="14"/>
        <v>0</v>
      </c>
      <c r="N68" s="27">
        <f>IF(E68&lt;$B$10*12,
       (J68+MIN(0,MAX(-$B$13,I68)))*((1+$B$31/100/12)^3-1),
       0)</f>
        <v>0</v>
      </c>
      <c r="O68" s="28">
        <f t="shared" si="16"/>
        <v>0</v>
      </c>
    </row>
    <row r="69" spans="4:15" x14ac:dyDescent="0.3">
      <c r="D69" s="22">
        <f t="shared" si="11"/>
        <v>50465</v>
      </c>
      <c r="E69" s="23">
        <f t="shared" si="12"/>
        <v>201</v>
      </c>
      <c r="F69" s="24">
        <v>1</v>
      </c>
      <c r="G69" s="24">
        <v>4.25</v>
      </c>
      <c r="H69" s="60">
        <f t="shared" si="17"/>
        <v>0</v>
      </c>
      <c r="I69" s="25">
        <f>IF(K68&gt;0,
      IF(E68&gt;=$B$10*12,K68,I68)+O68+($B$6-$B$2*((1+$B$4/100)^_xlfn.FLOOR.MATH(E68/12))*F68+$B$3*((1+$B$5/100)^_xlfn.FLOOR.MATH(E68/12)))/4+(E68&lt;=$B$10*12)*$B$32*3,
      0)</f>
        <v>0</v>
      </c>
      <c r="J69" s="25">
        <f>IF(E69&lt;=$B$10*12,J68+N68-$B$32*3, 0)</f>
        <v>0</v>
      </c>
      <c r="K69" s="25">
        <f t="shared" si="13"/>
        <v>0</v>
      </c>
      <c r="L69" s="26">
        <f t="shared" si="15"/>
        <v>0</v>
      </c>
      <c r="M69" s="26">
        <f t="shared" si="14"/>
        <v>0</v>
      </c>
      <c r="N69" s="27">
        <f>IF(E69&lt;$B$10*12,
       (J69+MIN(0,MAX(-$B$13,I69)))*((1+$B$31/100/12)^3-1),
       0)</f>
        <v>0</v>
      </c>
      <c r="O69" s="28">
        <f t="shared" si="16"/>
        <v>0</v>
      </c>
    </row>
    <row r="70" spans="4:15" x14ac:dyDescent="0.3">
      <c r="D70" s="22">
        <f t="shared" si="11"/>
        <v>50557</v>
      </c>
      <c r="E70" s="23">
        <f t="shared" si="12"/>
        <v>204</v>
      </c>
      <c r="F70" s="24">
        <v>1</v>
      </c>
      <c r="G70" s="24">
        <v>4.25</v>
      </c>
      <c r="H70" s="60">
        <f t="shared" si="17"/>
        <v>0</v>
      </c>
      <c r="I70" s="25">
        <f>IF(K69&gt;0,
      IF(E69&gt;=$B$10*12,K69,I69)+O69+($B$6-$B$2*((1+$B$4/100)^_xlfn.FLOOR.MATH(E69/12))*F69+$B$3*((1+$B$5/100)^_xlfn.FLOOR.MATH(E69/12)))/4+(E69&lt;=$B$10*12)*$B$32*3,
      0)</f>
        <v>0</v>
      </c>
      <c r="J70" s="25">
        <f>IF(E70&lt;=$B$10*12,J69+N69-$B$32*3, 0)</f>
        <v>0</v>
      </c>
      <c r="K70" s="25">
        <f t="shared" si="13"/>
        <v>0</v>
      </c>
      <c r="L70" s="26">
        <f t="shared" si="15"/>
        <v>0</v>
      </c>
      <c r="M70" s="26">
        <f t="shared" si="14"/>
        <v>0</v>
      </c>
      <c r="N70" s="27">
        <f>IF(E70&lt;$B$10*12,
       (J70+MIN(0,MAX(-$B$13,I70)))*((1+$B$31/100/12)^3-1),
       0)</f>
        <v>0</v>
      </c>
      <c r="O70" s="28">
        <f t="shared" si="16"/>
        <v>0</v>
      </c>
    </row>
    <row r="71" spans="4:15" x14ac:dyDescent="0.3">
      <c r="D71" s="22">
        <f t="shared" si="11"/>
        <v>50649</v>
      </c>
      <c r="E71" s="23">
        <f t="shared" si="12"/>
        <v>207</v>
      </c>
      <c r="F71" s="24">
        <v>1</v>
      </c>
      <c r="G71" s="24">
        <v>4.25</v>
      </c>
      <c r="H71" s="60">
        <f t="shared" si="17"/>
        <v>0</v>
      </c>
      <c r="I71" s="25">
        <f>IF(K70&gt;0,
      IF(E70&gt;=$B$10*12,K70,I70)+O70+($B$6-$B$2*((1+$B$4/100)^_xlfn.FLOOR.MATH(E70/12))*F70+$B$3*((1+$B$5/100)^_xlfn.FLOOR.MATH(E70/12)))/4+(E70&lt;=$B$10*12)*$B$32*3,
      0)</f>
        <v>0</v>
      </c>
      <c r="J71" s="25">
        <f>IF(E71&lt;=$B$10*12,J70+N70-$B$32*3, 0)</f>
        <v>0</v>
      </c>
      <c r="K71" s="25">
        <f t="shared" si="13"/>
        <v>0</v>
      </c>
      <c r="L71" s="26">
        <f t="shared" si="15"/>
        <v>0</v>
      </c>
      <c r="M71" s="26">
        <f t="shared" si="14"/>
        <v>0</v>
      </c>
      <c r="N71" s="27">
        <f>IF(E71&lt;$B$10*12,
       (J71+MIN(0,MAX(-$B$13,I71)))*((1+$B$31/100/12)^3-1),
       0)</f>
        <v>0</v>
      </c>
      <c r="O71" s="28">
        <f t="shared" si="16"/>
        <v>0</v>
      </c>
    </row>
    <row r="72" spans="4:15" x14ac:dyDescent="0.3">
      <c r="D72" s="22">
        <f t="shared" si="11"/>
        <v>50740</v>
      </c>
      <c r="E72" s="23">
        <f t="shared" si="12"/>
        <v>210</v>
      </c>
      <c r="F72" s="24">
        <v>1</v>
      </c>
      <c r="G72" s="24">
        <v>4.25</v>
      </c>
      <c r="H72" s="60">
        <f t="shared" si="17"/>
        <v>0</v>
      </c>
      <c r="I72" s="25">
        <f>IF(K71&gt;0,
      IF(E71&gt;=$B$10*12,K71,I71)+O71+($B$6-$B$2*((1+$B$4/100)^_xlfn.FLOOR.MATH(E71/12))*F71+$B$3*((1+$B$5/100)^_xlfn.FLOOR.MATH(E71/12)))/4+(E71&lt;=$B$10*12)*$B$32*3,
      0)</f>
        <v>0</v>
      </c>
      <c r="J72" s="25">
        <f>IF(E72&lt;=$B$10*12,J71+N71-$B$32*3, 0)</f>
        <v>0</v>
      </c>
      <c r="K72" s="25">
        <f t="shared" si="13"/>
        <v>0</v>
      </c>
      <c r="L72" s="26">
        <f t="shared" si="15"/>
        <v>0</v>
      </c>
      <c r="M72" s="26">
        <f t="shared" si="14"/>
        <v>0</v>
      </c>
      <c r="N72" s="27">
        <f>IF(E72&lt;$B$10*12,
       (J72+MIN(0,MAX(-$B$13,I72)))*((1+$B$31/100/12)^3-1),
       0)</f>
        <v>0</v>
      </c>
      <c r="O72" s="28">
        <f t="shared" si="16"/>
        <v>0</v>
      </c>
    </row>
    <row r="73" spans="4:15" x14ac:dyDescent="0.3">
      <c r="D73" s="22">
        <f t="shared" si="11"/>
        <v>50830</v>
      </c>
      <c r="E73" s="23">
        <f t="shared" si="12"/>
        <v>213</v>
      </c>
      <c r="F73" s="24">
        <v>1</v>
      </c>
      <c r="G73" s="24">
        <v>4.25</v>
      </c>
      <c r="H73" s="60">
        <f t="shared" si="17"/>
        <v>0</v>
      </c>
      <c r="I73" s="25">
        <f>IF(K72&gt;0,
      IF(E72&gt;=$B$10*12,K72,I72)+O72+($B$6-$B$2*((1+$B$4/100)^_xlfn.FLOOR.MATH(E72/12))*F72+$B$3*((1+$B$5/100)^_xlfn.FLOOR.MATH(E72/12)))/4+(E72&lt;=$B$10*12)*$B$32*3,
      0)</f>
        <v>0</v>
      </c>
      <c r="J73" s="25">
        <f>IF(E73&lt;=$B$10*12,J72+N72-$B$32*3, 0)</f>
        <v>0</v>
      </c>
      <c r="K73" s="25">
        <f t="shared" si="13"/>
        <v>0</v>
      </c>
      <c r="L73" s="26">
        <f t="shared" si="15"/>
        <v>0</v>
      </c>
      <c r="M73" s="26">
        <f t="shared" si="14"/>
        <v>0</v>
      </c>
      <c r="N73" s="27">
        <f>IF(E73&lt;$B$10*12,
       (J73+MIN(0,MAX(-$B$13,I73)))*((1+$B$31/100/12)^3-1),
       0)</f>
        <v>0</v>
      </c>
      <c r="O73" s="28">
        <f t="shared" si="16"/>
        <v>0</v>
      </c>
    </row>
    <row r="74" spans="4:15" x14ac:dyDescent="0.3">
      <c r="D74" s="22">
        <f t="shared" si="11"/>
        <v>50922</v>
      </c>
      <c r="E74" s="23">
        <f t="shared" si="12"/>
        <v>216</v>
      </c>
      <c r="F74" s="24">
        <v>1</v>
      </c>
      <c r="G74" s="24">
        <v>4.25</v>
      </c>
      <c r="H74" s="60">
        <f t="shared" si="17"/>
        <v>0</v>
      </c>
      <c r="I74" s="25">
        <f>IF(K73&gt;0,
      IF(E73&gt;=$B$10*12,K73,I73)+O73+($B$6-$B$2*((1+$B$4/100)^_xlfn.FLOOR.MATH(E73/12))*F73+$B$3*((1+$B$5/100)^_xlfn.FLOOR.MATH(E73/12)))/4+(E73&lt;=$B$10*12)*$B$32*3,
      0)</f>
        <v>0</v>
      </c>
      <c r="J74" s="25">
        <f>IF(E74&lt;=$B$10*12,J73+N73-$B$32*3, 0)</f>
        <v>0</v>
      </c>
      <c r="K74" s="25">
        <f t="shared" si="13"/>
        <v>0</v>
      </c>
      <c r="L74" s="26">
        <f t="shared" si="15"/>
        <v>0</v>
      </c>
      <c r="M74" s="26">
        <f t="shared" si="14"/>
        <v>0</v>
      </c>
      <c r="N74" s="27">
        <f>IF(E74&lt;$B$10*12,
       (J74+MIN(0,MAX(-$B$13,I74)))*((1+$B$31/100/12)^3-1),
       0)</f>
        <v>0</v>
      </c>
      <c r="O74" s="28">
        <f t="shared" si="16"/>
        <v>0</v>
      </c>
    </row>
    <row r="75" spans="4:15" x14ac:dyDescent="0.3">
      <c r="D75" s="22">
        <f t="shared" si="11"/>
        <v>51014</v>
      </c>
      <c r="E75" s="23">
        <f t="shared" si="12"/>
        <v>219</v>
      </c>
      <c r="F75" s="24">
        <v>1</v>
      </c>
      <c r="G75" s="24">
        <v>4.25</v>
      </c>
      <c r="H75" s="60">
        <f t="shared" si="17"/>
        <v>0</v>
      </c>
      <c r="I75" s="25">
        <f>IF(K74&gt;0,
      IF(E74&gt;=$B$10*12,K74,I74)+O74+($B$6-$B$2*((1+$B$4/100)^_xlfn.FLOOR.MATH(E74/12))*F74+$B$3*((1+$B$5/100)^_xlfn.FLOOR.MATH(E74/12)))/4+(E74&lt;=$B$10*12)*$B$32*3,
      0)</f>
        <v>0</v>
      </c>
      <c r="J75" s="25">
        <f>IF(E75&lt;=$B$10*12,J74+N74-$B$32*3, 0)</f>
        <v>0</v>
      </c>
      <c r="K75" s="25">
        <f t="shared" si="13"/>
        <v>0</v>
      </c>
      <c r="L75" s="26">
        <f t="shared" si="15"/>
        <v>0</v>
      </c>
      <c r="M75" s="26">
        <f t="shared" si="14"/>
        <v>0</v>
      </c>
      <c r="N75" s="27">
        <f>IF(E75&lt;$B$10*12,
       (J75+MIN(0,MAX(-$B$13,I75)))*((1+$B$31/100/12)^3-1),
       0)</f>
        <v>0</v>
      </c>
      <c r="O75" s="28">
        <f t="shared" si="16"/>
        <v>0</v>
      </c>
    </row>
    <row r="76" spans="4:15" x14ac:dyDescent="0.3">
      <c r="D76" s="22">
        <f t="shared" si="11"/>
        <v>51105</v>
      </c>
      <c r="E76" s="23">
        <f t="shared" si="12"/>
        <v>222</v>
      </c>
      <c r="F76" s="24">
        <v>1</v>
      </c>
      <c r="G76" s="24">
        <v>4.25</v>
      </c>
      <c r="H76" s="60">
        <f t="shared" si="17"/>
        <v>0</v>
      </c>
      <c r="I76" s="25">
        <f>IF(K75&gt;0,
      IF(E75&gt;=$B$10*12,K75,I75)+O75+($B$6-$B$2*((1+$B$4/100)^_xlfn.FLOOR.MATH(E75/12))*F75+$B$3*((1+$B$5/100)^_xlfn.FLOOR.MATH(E75/12)))/4+(E75&lt;=$B$10*12)*$B$32*3,
      0)</f>
        <v>0</v>
      </c>
      <c r="J76" s="25">
        <f>IF(E76&lt;=$B$10*12,J75+N75-$B$32*3, 0)</f>
        <v>0</v>
      </c>
      <c r="K76" s="25">
        <f t="shared" si="13"/>
        <v>0</v>
      </c>
      <c r="L76" s="26">
        <f t="shared" si="15"/>
        <v>0</v>
      </c>
      <c r="M76" s="26">
        <f t="shared" si="14"/>
        <v>0</v>
      </c>
      <c r="N76" s="27">
        <f>IF(E76&lt;$B$10*12,
       (J76+MIN(0,MAX(-$B$13,I76)))*((1+$B$31/100/12)^3-1),
       0)</f>
        <v>0</v>
      </c>
      <c r="O76" s="28">
        <f t="shared" si="16"/>
        <v>0</v>
      </c>
    </row>
    <row r="77" spans="4:15" x14ac:dyDescent="0.3">
      <c r="D77" s="22">
        <f t="shared" si="11"/>
        <v>51196</v>
      </c>
      <c r="E77" s="23">
        <f t="shared" si="12"/>
        <v>225</v>
      </c>
      <c r="F77" s="24">
        <v>1</v>
      </c>
      <c r="G77" s="24">
        <v>4.25</v>
      </c>
      <c r="H77" s="60">
        <f t="shared" si="17"/>
        <v>0</v>
      </c>
      <c r="I77" s="25">
        <f>IF(K76&gt;0,
      IF(E76&gt;=$B$10*12,K76,I76)+O76+($B$6-$B$2*((1+$B$4/100)^_xlfn.FLOOR.MATH(E76/12))*F76+$B$3*((1+$B$5/100)^_xlfn.FLOOR.MATH(E76/12)))/4+(E76&lt;=$B$10*12)*$B$32*3,
      0)</f>
        <v>0</v>
      </c>
      <c r="J77" s="25">
        <f>IF(E77&lt;=$B$10*12,J76+N76-$B$32*3, 0)</f>
        <v>0</v>
      </c>
      <c r="K77" s="25">
        <f t="shared" si="13"/>
        <v>0</v>
      </c>
      <c r="L77" s="26">
        <f t="shared" si="15"/>
        <v>0</v>
      </c>
      <c r="M77" s="26">
        <f t="shared" si="14"/>
        <v>0</v>
      </c>
      <c r="N77" s="27">
        <f>IF(E77&lt;$B$10*12,
       (J77+MIN(0,MAX(-$B$13,I77)))*((1+$B$31/100/12)^3-1),
       0)</f>
        <v>0</v>
      </c>
      <c r="O77" s="28">
        <f t="shared" si="16"/>
        <v>0</v>
      </c>
    </row>
    <row r="78" spans="4:15" x14ac:dyDescent="0.3">
      <c r="D78" s="22">
        <f t="shared" si="11"/>
        <v>51288</v>
      </c>
      <c r="E78" s="23">
        <f t="shared" si="12"/>
        <v>228</v>
      </c>
      <c r="F78" s="24">
        <v>1</v>
      </c>
      <c r="G78" s="24">
        <v>4.25</v>
      </c>
      <c r="H78" s="60">
        <f t="shared" si="17"/>
        <v>0</v>
      </c>
      <c r="I78" s="25">
        <f>IF(K77&gt;0,
      IF(E77&gt;=$B$10*12,K77,I77)+O77+($B$6-$B$2*((1+$B$4/100)^_xlfn.FLOOR.MATH(E77/12))*F77+$B$3*((1+$B$5/100)^_xlfn.FLOOR.MATH(E77/12)))/4+(E77&lt;=$B$10*12)*$B$32*3,
      0)</f>
        <v>0</v>
      </c>
      <c r="J78" s="25">
        <f>IF(E78&lt;=$B$10*12,J77+N77-$B$32*3, 0)</f>
        <v>0</v>
      </c>
      <c r="K78" s="25">
        <f t="shared" si="13"/>
        <v>0</v>
      </c>
      <c r="L78" s="26">
        <f t="shared" si="15"/>
        <v>0</v>
      </c>
      <c r="M78" s="26">
        <f t="shared" si="14"/>
        <v>0</v>
      </c>
      <c r="N78" s="27">
        <f>IF(E78&lt;$B$10*12,
       (J78+MIN(0,MAX(-$B$13,I78)))*((1+$B$31/100/12)^3-1),
       0)</f>
        <v>0</v>
      </c>
      <c r="O78" s="28">
        <f t="shared" si="16"/>
        <v>0</v>
      </c>
    </row>
    <row r="79" spans="4:15" x14ac:dyDescent="0.3">
      <c r="D79" s="22">
        <f t="shared" si="11"/>
        <v>51380</v>
      </c>
      <c r="E79" s="23">
        <f t="shared" si="12"/>
        <v>231</v>
      </c>
      <c r="F79" s="24">
        <v>1</v>
      </c>
      <c r="G79" s="24">
        <v>4.25</v>
      </c>
      <c r="H79" s="60">
        <f t="shared" si="17"/>
        <v>0</v>
      </c>
      <c r="I79" s="25">
        <f>IF(K78&gt;0,
      IF(E78&gt;=$B$10*12,K78,I78)+O78+($B$6-$B$2*((1+$B$4/100)^_xlfn.FLOOR.MATH(E78/12))*F78+$B$3*((1+$B$5/100)^_xlfn.FLOOR.MATH(E78/12)))/4+(E78&lt;=$B$10*12)*$B$32*3,
      0)</f>
        <v>0</v>
      </c>
      <c r="J79" s="25">
        <f>IF(E79&lt;=$B$10*12,J78+N78-$B$32*3, 0)</f>
        <v>0</v>
      </c>
      <c r="K79" s="25">
        <f t="shared" si="13"/>
        <v>0</v>
      </c>
      <c r="L79" s="26">
        <f t="shared" si="15"/>
        <v>0</v>
      </c>
      <c r="M79" s="26">
        <f t="shared" si="14"/>
        <v>0</v>
      </c>
      <c r="N79" s="27">
        <f>IF(E79&lt;$B$10*12,
       (J79+MIN(0,MAX(-$B$13,I79)))*((1+$B$31/100/12)^3-1),
       0)</f>
        <v>0</v>
      </c>
      <c r="O79" s="28">
        <f t="shared" si="16"/>
        <v>0</v>
      </c>
    </row>
    <row r="80" spans="4:15" x14ac:dyDescent="0.3">
      <c r="D80" s="22">
        <f t="shared" si="11"/>
        <v>51471</v>
      </c>
      <c r="E80" s="23">
        <f t="shared" si="12"/>
        <v>234</v>
      </c>
      <c r="F80" s="24">
        <v>1</v>
      </c>
      <c r="G80" s="24">
        <v>4.25</v>
      </c>
      <c r="H80" s="60">
        <f t="shared" si="17"/>
        <v>0</v>
      </c>
      <c r="I80" s="25">
        <f>IF(K79&gt;0,
      IF(E79&gt;=$B$10*12,K79,I79)+O79+($B$6-$B$2*((1+$B$4/100)^_xlfn.FLOOR.MATH(E79/12))*F79+$B$3*((1+$B$5/100)^_xlfn.FLOOR.MATH(E79/12)))/4+(E79&lt;=$B$10*12)*$B$32*3,
      0)</f>
        <v>0</v>
      </c>
      <c r="J80" s="25">
        <f>IF(E80&lt;=$B$10*12,J79+N79-$B$32*3, 0)</f>
        <v>0</v>
      </c>
      <c r="K80" s="25">
        <f t="shared" si="13"/>
        <v>0</v>
      </c>
      <c r="L80" s="26">
        <f t="shared" si="15"/>
        <v>0</v>
      </c>
      <c r="M80" s="26">
        <f t="shared" si="14"/>
        <v>0</v>
      </c>
      <c r="N80" s="27">
        <f>IF(E80&lt;$B$10*12,
       (J80+MIN(0,MAX(-$B$13,I80)))*((1+$B$31/100/12)^3-1),
       0)</f>
        <v>0</v>
      </c>
      <c r="O80" s="28">
        <f t="shared" si="16"/>
        <v>0</v>
      </c>
    </row>
    <row r="81" spans="4:15" x14ac:dyDescent="0.3">
      <c r="D81" s="22">
        <f t="shared" si="11"/>
        <v>51561</v>
      </c>
      <c r="E81" s="23">
        <f t="shared" si="12"/>
        <v>237</v>
      </c>
      <c r="F81" s="24">
        <v>1</v>
      </c>
      <c r="G81" s="24">
        <v>4.25</v>
      </c>
      <c r="H81" s="60">
        <f t="shared" si="17"/>
        <v>0</v>
      </c>
      <c r="I81" s="25">
        <f>IF(K80&gt;0,
      IF(E80&gt;=$B$10*12,K80,I80)+O80+($B$6-$B$2*((1+$B$4/100)^_xlfn.FLOOR.MATH(E80/12))*F80+$B$3*((1+$B$5/100)^_xlfn.FLOOR.MATH(E80/12)))/4+(E80&lt;=$B$10*12)*$B$32*3,
      0)</f>
        <v>0</v>
      </c>
      <c r="J81" s="25">
        <f>IF(E81&lt;=$B$10*12,J80+N80-$B$32*3, 0)</f>
        <v>0</v>
      </c>
      <c r="K81" s="25">
        <f t="shared" si="13"/>
        <v>0</v>
      </c>
      <c r="L81" s="26">
        <f t="shared" si="15"/>
        <v>0</v>
      </c>
      <c r="M81" s="26">
        <f t="shared" si="14"/>
        <v>0</v>
      </c>
      <c r="N81" s="27">
        <f>IF(E81&lt;$B$10*12,
       (J81+MIN(0,MAX(-$B$13,I81)))*((1+$B$31/100/12)^3-1),
       0)</f>
        <v>0</v>
      </c>
      <c r="O81" s="28">
        <f t="shared" si="16"/>
        <v>0</v>
      </c>
    </row>
    <row r="82" spans="4:15" x14ac:dyDescent="0.3">
      <c r="D82" s="22">
        <f t="shared" si="11"/>
        <v>51653</v>
      </c>
      <c r="E82" s="23">
        <f t="shared" si="12"/>
        <v>240</v>
      </c>
      <c r="F82" s="24">
        <v>1</v>
      </c>
      <c r="G82" s="24">
        <v>4.25</v>
      </c>
      <c r="H82" s="60">
        <f t="shared" si="17"/>
        <v>0</v>
      </c>
      <c r="I82" s="25">
        <f>IF(K81&gt;0,
      IF(E81&gt;=$B$10*12,K81,I81)+O81+($B$6-$B$2*((1+$B$4/100)^_xlfn.FLOOR.MATH(E81/12))*F81+$B$3*((1+$B$5/100)^_xlfn.FLOOR.MATH(E81/12)))/4+(E81&lt;=$B$10*12)*$B$32*3,
      0)</f>
        <v>0</v>
      </c>
      <c r="J82" s="25">
        <f>IF(E82&lt;=$B$10*12,J81+N81-$B$32*3, 0)</f>
        <v>0</v>
      </c>
      <c r="K82" s="25">
        <f t="shared" si="13"/>
        <v>0</v>
      </c>
      <c r="L82" s="26">
        <f t="shared" si="15"/>
        <v>0</v>
      </c>
      <c r="M82" s="26">
        <f t="shared" si="14"/>
        <v>0</v>
      </c>
      <c r="N82" s="27">
        <f>IF(E82&lt;$B$10*12,
       (J82+MIN(0,MAX(-$B$13,I82)))*((1+$B$31/100/12)^3-1),
       0)</f>
        <v>0</v>
      </c>
      <c r="O82" s="28">
        <f t="shared" si="16"/>
        <v>0</v>
      </c>
    </row>
    <row r="83" spans="4:15" x14ac:dyDescent="0.3">
      <c r="D83" s="22">
        <f t="shared" si="11"/>
        <v>51745</v>
      </c>
      <c r="E83" s="23">
        <f t="shared" si="12"/>
        <v>243</v>
      </c>
      <c r="F83" s="24">
        <v>1</v>
      </c>
      <c r="G83" s="24">
        <v>4.25</v>
      </c>
      <c r="H83" s="60">
        <f t="shared" si="17"/>
        <v>0</v>
      </c>
      <c r="I83" s="25">
        <f>IF(K82&gt;0,
      IF(E82&gt;=$B$10*12,K82,I82)+O82+($B$6-$B$2*((1+$B$4/100)^_xlfn.FLOOR.MATH(E82/12))*F82+$B$3*((1+$B$5/100)^_xlfn.FLOOR.MATH(E82/12)))/4+(E82&lt;=$B$10*12)*$B$32*3,
      0)</f>
        <v>0</v>
      </c>
      <c r="J83" s="25">
        <f>IF(E83&lt;=$B$10*12,J82+N82-$B$32*3, 0)</f>
        <v>0</v>
      </c>
      <c r="K83" s="25">
        <f t="shared" si="13"/>
        <v>0</v>
      </c>
      <c r="L83" s="26">
        <f t="shared" si="15"/>
        <v>0</v>
      </c>
      <c r="M83" s="26">
        <f t="shared" si="14"/>
        <v>0</v>
      </c>
      <c r="N83" s="27">
        <f>IF(E83&lt;$B$10*12,
       (J83+MIN(0,MAX(-$B$13,I83)))*((1+$B$31/100/12)^3-1),
       0)</f>
        <v>0</v>
      </c>
      <c r="O83" s="28">
        <f t="shared" si="16"/>
        <v>0</v>
      </c>
    </row>
    <row r="84" spans="4:15" x14ac:dyDescent="0.3">
      <c r="D84" s="22">
        <f t="shared" si="11"/>
        <v>51836</v>
      </c>
      <c r="E84" s="23">
        <f t="shared" si="12"/>
        <v>246</v>
      </c>
      <c r="F84" s="24">
        <v>1</v>
      </c>
      <c r="G84" s="24">
        <v>4.25</v>
      </c>
      <c r="H84" s="60">
        <f t="shared" si="17"/>
        <v>0</v>
      </c>
      <c r="I84" s="25">
        <f>IF(K83&gt;0,
      IF(E83&gt;=$B$10*12,K83,I83)+O83+($B$6-$B$2*((1+$B$4/100)^_xlfn.FLOOR.MATH(E83/12))*F83+$B$3*((1+$B$5/100)^_xlfn.FLOOR.MATH(E83/12)))/4+(E83&lt;=$B$10*12)*$B$32*3,
      0)</f>
        <v>0</v>
      </c>
      <c r="J84" s="25">
        <f>IF(E84&lt;=$B$10*12,J83+N83-$B$32*3, 0)</f>
        <v>0</v>
      </c>
      <c r="K84" s="25">
        <f t="shared" si="13"/>
        <v>0</v>
      </c>
      <c r="L84" s="26">
        <f t="shared" si="15"/>
        <v>0</v>
      </c>
      <c r="M84" s="26">
        <f t="shared" si="14"/>
        <v>0</v>
      </c>
      <c r="N84" s="27">
        <f>IF(E84&lt;$B$10*12,
       (J84+MIN(0,MAX(-$B$13,I84)))*((1+$B$31/100/12)^3-1),
       0)</f>
        <v>0</v>
      </c>
      <c r="O84" s="28">
        <f t="shared" si="16"/>
        <v>0</v>
      </c>
    </row>
    <row r="85" spans="4:15" x14ac:dyDescent="0.3">
      <c r="D85" s="22">
        <f t="shared" si="11"/>
        <v>51926</v>
      </c>
      <c r="E85" s="23">
        <f t="shared" si="12"/>
        <v>249</v>
      </c>
      <c r="F85" s="24">
        <v>1</v>
      </c>
      <c r="G85" s="24">
        <v>4.25</v>
      </c>
      <c r="H85" s="60">
        <f t="shared" si="17"/>
        <v>0</v>
      </c>
      <c r="I85" s="25">
        <f>IF(K84&gt;0,
      IF(E84&gt;=$B$10*12,K84,I84)+O84+($B$6-$B$2*((1+$B$4/100)^_xlfn.FLOOR.MATH(E84/12))*F84+$B$3*((1+$B$5/100)^_xlfn.FLOOR.MATH(E84/12)))/4+(E84&lt;=$B$10*12)*$B$32*3,
      0)</f>
        <v>0</v>
      </c>
      <c r="J85" s="25">
        <f>IF(E85&lt;=$B$10*12,J84+N84-$B$32*3, 0)</f>
        <v>0</v>
      </c>
      <c r="K85" s="25">
        <f t="shared" si="13"/>
        <v>0</v>
      </c>
      <c r="L85" s="26">
        <f t="shared" si="15"/>
        <v>0</v>
      </c>
      <c r="M85" s="26">
        <f t="shared" si="14"/>
        <v>0</v>
      </c>
      <c r="N85" s="27">
        <f>IF(E85&lt;$B$10*12,
       (J85+MIN(0,MAX(-$B$13,I85)))*((1+$B$31/100/12)^3-1),
       0)</f>
        <v>0</v>
      </c>
      <c r="O85" s="28">
        <f t="shared" si="16"/>
        <v>0</v>
      </c>
    </row>
  </sheetData>
  <mergeCells count="3">
    <mergeCell ref="A1:B1"/>
    <mergeCell ref="A22:B22"/>
    <mergeCell ref="A14:B14"/>
  </mergeCells>
  <conditionalFormatting sqref="G1:G1048576">
    <cfRule type="expression" dxfId="0" priority="1">
      <formula>$B$11&gt;0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1" sqref="E1"/>
    </sheetView>
  </sheetViews>
  <sheetFormatPr defaultRowHeight="14.4" x14ac:dyDescent="0.3"/>
  <cols>
    <col min="1" max="1" width="98" customWidth="1"/>
  </cols>
  <sheetData>
    <row r="1" spans="1:1" ht="216" customHeight="1" x14ac:dyDescent="0.3">
      <c r="A1" s="65" t="s">
        <v>27</v>
      </c>
    </row>
    <row r="2" spans="1:1" x14ac:dyDescent="0.3">
      <c r="A2" s="65"/>
    </row>
    <row r="3" spans="1:1" x14ac:dyDescent="0.3">
      <c r="A3" s="65"/>
    </row>
    <row r="4" spans="1:1" x14ac:dyDescent="0.3">
      <c r="A4" s="65"/>
    </row>
    <row r="5" spans="1:1" x14ac:dyDescent="0.3">
      <c r="A5" s="65"/>
    </row>
    <row r="6" spans="1:1" x14ac:dyDescent="0.3">
      <c r="A6" s="65"/>
    </row>
    <row r="7" spans="1:1" x14ac:dyDescent="0.3">
      <c r="A7" s="65"/>
    </row>
    <row r="8" spans="1:1" x14ac:dyDescent="0.3">
      <c r="A8" s="65"/>
    </row>
    <row r="9" spans="1:1" x14ac:dyDescent="0.3">
      <c r="A9" s="65"/>
    </row>
    <row r="10" spans="1:1" x14ac:dyDescent="0.3">
      <c r="A10" s="65"/>
    </row>
  </sheetData>
  <mergeCells count="1">
    <mergeCell ref="A1:A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Split Predictions</vt:lpstr>
      <vt:lpstr>LICENCE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Clark</dc:creator>
  <cp:lastModifiedBy>Leon Clark</cp:lastModifiedBy>
  <dcterms:created xsi:type="dcterms:W3CDTF">2021-05-08T01:24:44Z</dcterms:created>
  <dcterms:modified xsi:type="dcterms:W3CDTF">2021-05-08T23:32:34Z</dcterms:modified>
</cp:coreProperties>
</file>